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360-my.sharepoint.com/personal/ian_vargas_te_com/Documents/Desktop/HOME/Capstone Project/Excel Docs/"/>
    </mc:Choice>
  </mc:AlternateContent>
  <xr:revisionPtr revIDLastSave="50" documentId="8_{D90C6984-A4AC-402B-BFF0-01F74570955C}" xr6:coauthVersionLast="47" xr6:coauthVersionMax="47" xr10:uidLastSave="{19D97590-0555-4180-BC44-36D4A6603441}"/>
  <bookViews>
    <workbookView xWindow="-120" yWindow="-120" windowWidth="29040" windowHeight="15720" tabRatio="759" firstSheet="2" activeTab="6" xr2:uid="{00000000-000D-0000-FFFF-FFFF00000000}"/>
  </bookViews>
  <sheets>
    <sheet name="Índice" sheetId="1" r:id="rId1"/>
    <sheet name="Instructions" sheetId="2" r:id="rId2"/>
    <sheet name="Components" sheetId="3" r:id="rId3"/>
    <sheet name="Recipes" sheetId="4" r:id="rId4"/>
    <sheet name="INFO Muestras Componentes" sheetId="5" r:id="rId5"/>
    <sheet name="Documentación" sheetId="6" r:id="rId6"/>
    <sheet name="Runs Distance + 3 Sigma" sheetId="7" r:id="rId7"/>
    <sheet name="Runs Distance 2 + 3 S 20262904" sheetId="8" state="hidden" r:id="rId8"/>
    <sheet name="Runs Distance + 3.5 Sigma" sheetId="9" r:id="rId9"/>
    <sheet name="Runs Distance + 6 Sigma" sheetId="10" r:id="rId10"/>
    <sheet name="Runs Z-Score" sheetId="11" r:id="rId11"/>
    <sheet name="Runs Z-Score + 3.5 Sigma" sheetId="20" r:id="rId12"/>
    <sheet name="Runs Z-Score + 6 Sigma" sheetId="19" r:id="rId13"/>
    <sheet name="Runs Mahalanobis" sheetId="13" r:id="rId14"/>
    <sheet name="Runs GMM" sheetId="14" r:id="rId15"/>
    <sheet name="Results" sheetId="15" state="hidden" r:id="rId16"/>
    <sheet name="Comparativa Final" sheetId="16" r:id="rId17"/>
    <sheet name="Future Data 2 pieces missing" sheetId="17" state="hidden" r:id="rId18"/>
    <sheet name="Sheet1" sheetId="18" state="hidden"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9" i="7" l="1"/>
  <c r="G41" i="7"/>
  <c r="G33" i="16"/>
  <c r="F33" i="16"/>
  <c r="E33" i="16"/>
  <c r="D33" i="16"/>
  <c r="C33" i="16"/>
  <c r="D34" i="16"/>
  <c r="B33" i="16"/>
  <c r="B34" i="16"/>
  <c r="G34" i="16"/>
  <c r="F34" i="16"/>
  <c r="E34" i="16"/>
  <c r="C34" i="16"/>
  <c r="E22" i="16"/>
  <c r="D22" i="16"/>
  <c r="C22" i="16"/>
  <c r="B22" i="16"/>
  <c r="E21" i="16"/>
  <c r="E20" i="16"/>
  <c r="D21" i="16"/>
  <c r="D20" i="16"/>
  <c r="C21" i="16"/>
  <c r="C20" i="16"/>
  <c r="B21" i="16"/>
  <c r="B20" i="16"/>
  <c r="H12" i="14"/>
  <c r="I12" i="14"/>
  <c r="H14" i="14"/>
  <c r="H15" i="14"/>
  <c r="I15" i="14"/>
  <c r="J15" i="14"/>
  <c r="K15" i="14"/>
  <c r="H17" i="14"/>
  <c r="I17" i="14"/>
  <c r="J17" i="14"/>
  <c r="H18" i="14"/>
  <c r="I18" i="14"/>
  <c r="H20" i="14"/>
  <c r="I20" i="14"/>
  <c r="H21" i="14"/>
  <c r="I21" i="14"/>
  <c r="H23" i="14"/>
  <c r="I23" i="14"/>
  <c r="H29" i="14"/>
  <c r="I29" i="14"/>
  <c r="H30" i="14"/>
  <c r="I30" i="14"/>
  <c r="H31" i="14"/>
  <c r="I31" i="14"/>
  <c r="H32" i="14"/>
  <c r="I32" i="14"/>
  <c r="H33" i="14"/>
  <c r="J33" i="14" s="1"/>
  <c r="H34" i="14"/>
  <c r="I34" i="14"/>
  <c r="H35" i="14"/>
  <c r="H38" i="14"/>
  <c r="I38" i="14"/>
  <c r="H40" i="14"/>
  <c r="I40" i="14"/>
  <c r="I41" i="14"/>
  <c r="H42" i="14"/>
  <c r="I42" i="14"/>
  <c r="J42" i="14"/>
  <c r="O42" i="14" s="1"/>
  <c r="H43" i="14"/>
  <c r="I43" i="14"/>
  <c r="I44" i="14"/>
  <c r="I46" i="14"/>
  <c r="H47" i="14"/>
  <c r="H48" i="14"/>
  <c r="I48" i="14"/>
  <c r="H51" i="14"/>
  <c r="I51" i="14"/>
  <c r="H52" i="14"/>
  <c r="I52" i="14"/>
  <c r="H53" i="14"/>
  <c r="I53" i="14"/>
  <c r="I54" i="14"/>
  <c r="H57" i="14"/>
  <c r="I57" i="14"/>
  <c r="H58" i="14"/>
  <c r="I58" i="14"/>
  <c r="H59" i="14"/>
  <c r="I59" i="14"/>
  <c r="I61" i="14"/>
  <c r="J61" i="14"/>
  <c r="M61" i="14" s="1"/>
  <c r="N61" i="14"/>
  <c r="H62" i="14"/>
  <c r="I62" i="14"/>
  <c r="I63" i="14"/>
  <c r="H64" i="14"/>
  <c r="J64" i="14" s="1"/>
  <c r="H66" i="14"/>
  <c r="I66" i="14"/>
  <c r="H68" i="14"/>
  <c r="H71" i="14"/>
  <c r="I71" i="14"/>
  <c r="H73" i="14"/>
  <c r="I73" i="14"/>
  <c r="T73" i="14" s="1"/>
  <c r="J73" i="14"/>
  <c r="O73" i="14"/>
  <c r="H74" i="14"/>
  <c r="I74" i="14"/>
  <c r="H75" i="14"/>
  <c r="I75" i="14"/>
  <c r="H76" i="14"/>
  <c r="H79" i="14"/>
  <c r="I79" i="14"/>
  <c r="H80" i="14"/>
  <c r="I80" i="14"/>
  <c r="H81" i="14"/>
  <c r="H85" i="14"/>
  <c r="I85" i="14"/>
  <c r="H87" i="14"/>
  <c r="I87" i="14"/>
  <c r="H88" i="14"/>
  <c r="I88" i="14"/>
  <c r="H90" i="14"/>
  <c r="I90" i="14"/>
  <c r="H91" i="14"/>
  <c r="I91" i="14"/>
  <c r="H92" i="14"/>
  <c r="H94" i="14"/>
  <c r="I94" i="14"/>
  <c r="H96" i="14"/>
  <c r="I96" i="14"/>
  <c r="I98" i="14"/>
  <c r="H99" i="14"/>
  <c r="I99" i="14"/>
  <c r="H103" i="14"/>
  <c r="I103" i="14"/>
  <c r="H104" i="14"/>
  <c r="I104" i="14"/>
  <c r="H105" i="14"/>
  <c r="I105" i="14"/>
  <c r="H107" i="14"/>
  <c r="I107" i="14"/>
  <c r="H108" i="14"/>
  <c r="I108" i="14"/>
  <c r="H109" i="14"/>
  <c r="I109" i="14"/>
  <c r="H113" i="14"/>
  <c r="H116" i="14"/>
  <c r="H118" i="14"/>
  <c r="I118" i="14"/>
  <c r="I120" i="14"/>
  <c r="H121" i="14"/>
  <c r="I121" i="14"/>
  <c r="H122" i="14"/>
  <c r="I122" i="14"/>
  <c r="H123" i="14"/>
  <c r="I123" i="14"/>
  <c r="H124" i="14"/>
  <c r="I124" i="14"/>
  <c r="J124" i="14"/>
  <c r="M124" i="14" s="1"/>
  <c r="H127" i="14"/>
  <c r="H129" i="14"/>
  <c r="I129" i="14"/>
  <c r="I133" i="14"/>
  <c r="J134" i="14"/>
  <c r="K134" i="14" s="1"/>
  <c r="I135" i="14"/>
  <c r="I136" i="14"/>
  <c r="I137" i="14"/>
  <c r="I138" i="14"/>
  <c r="I141" i="14"/>
  <c r="I142" i="14"/>
  <c r="J142" i="14"/>
  <c r="I146" i="14"/>
  <c r="I147" i="14"/>
  <c r="J147" i="14"/>
  <c r="I148" i="14"/>
  <c r="T148" i="14" s="1"/>
  <c r="I150" i="14"/>
  <c r="I152" i="14"/>
  <c r="I154" i="14"/>
  <c r="P154" i="14"/>
  <c r="I155" i="14"/>
  <c r="I161" i="14"/>
  <c r="J162" i="14"/>
  <c r="I163" i="14"/>
  <c r="J165" i="14"/>
  <c r="K165" i="14" s="1"/>
  <c r="I166" i="14"/>
  <c r="J166" i="14"/>
  <c r="L166" i="14" s="1"/>
  <c r="I167" i="14"/>
  <c r="I168" i="14"/>
  <c r="T168" i="14" s="1"/>
  <c r="I169" i="14"/>
  <c r="J170" i="14"/>
  <c r="K170" i="14" s="1"/>
  <c r="I171" i="14"/>
  <c r="I172" i="14"/>
  <c r="I178" i="14"/>
  <c r="J180" i="14"/>
  <c r="K180" i="14" s="1"/>
  <c r="I180" i="14"/>
  <c r="I181" i="14"/>
  <c r="I182" i="14"/>
  <c r="I183" i="14"/>
  <c r="J183" i="14"/>
  <c r="L183" i="14" s="1"/>
  <c r="K183" i="14"/>
  <c r="I185" i="14"/>
  <c r="J190" i="14"/>
  <c r="M190" i="14" s="1"/>
  <c r="I191" i="14"/>
  <c r="I192" i="14"/>
  <c r="I197" i="14"/>
  <c r="I199" i="14"/>
  <c r="L199" i="14"/>
  <c r="M199" i="14"/>
  <c r="O199" i="14"/>
  <c r="P199" i="14"/>
  <c r="T199" i="14"/>
  <c r="U199" i="14" s="1"/>
  <c r="I200" i="14"/>
  <c r="O201" i="14"/>
  <c r="I202" i="14"/>
  <c r="I205" i="14"/>
  <c r="T205" i="14"/>
  <c r="U205" i="14"/>
  <c r="I206" i="14"/>
  <c r="J207" i="14"/>
  <c r="I208" i="14"/>
  <c r="I211" i="14"/>
  <c r="I213" i="14"/>
  <c r="T213" i="14"/>
  <c r="J218" i="14"/>
  <c r="I219" i="14"/>
  <c r="I220" i="14"/>
  <c r="I221" i="14"/>
  <c r="I222" i="14"/>
  <c r="I225" i="14"/>
  <c r="I226" i="14"/>
  <c r="I227" i="14"/>
  <c r="I228" i="14"/>
  <c r="I230" i="14"/>
  <c r="I231" i="14"/>
  <c r="I234" i="14"/>
  <c r="I236" i="14"/>
  <c r="I239" i="14"/>
  <c r="I241" i="14"/>
  <c r="I242" i="14"/>
  <c r="I243" i="14"/>
  <c r="I247" i="14"/>
  <c r="I248" i="14"/>
  <c r="I249" i="14"/>
  <c r="T249" i="14"/>
  <c r="U249" i="14" s="1"/>
  <c r="I253" i="14"/>
  <c r="I258" i="14"/>
  <c r="I260" i="14"/>
  <c r="I262" i="14"/>
  <c r="J263" i="14"/>
  <c r="I264" i="14"/>
  <c r="I265" i="14"/>
  <c r="I270" i="14"/>
  <c r="I271" i="14"/>
  <c r="I272" i="14"/>
  <c r="I273" i="14"/>
  <c r="I276" i="14"/>
  <c r="I281" i="14"/>
  <c r="I282" i="14"/>
  <c r="T282" i="14" s="1"/>
  <c r="I284" i="14"/>
  <c r="I288" i="14"/>
  <c r="T288" i="14" s="1"/>
  <c r="N288" i="14"/>
  <c r="I289" i="14"/>
  <c r="J289" i="14"/>
  <c r="L289" i="14" s="1"/>
  <c r="I290" i="14"/>
  <c r="L291" i="14"/>
  <c r="I292" i="14"/>
  <c r="I295" i="14"/>
  <c r="I297" i="14"/>
  <c r="I299" i="14"/>
  <c r="I300" i="14"/>
  <c r="I301" i="14"/>
  <c r="J302" i="14"/>
  <c r="O302" i="14" s="1"/>
  <c r="I304" i="14"/>
  <c r="I305" i="14"/>
  <c r="J305" i="14"/>
  <c r="I306" i="14"/>
  <c r="T306" i="14" s="1"/>
  <c r="J306" i="14"/>
  <c r="K306" i="14" s="1"/>
  <c r="K307" i="14"/>
  <c r="I308" i="14"/>
  <c r="J308" i="14"/>
  <c r="O308" i="14" s="1"/>
  <c r="M308" i="14"/>
  <c r="I309" i="14"/>
  <c r="I314" i="14"/>
  <c r="I316" i="14"/>
  <c r="I318" i="14"/>
  <c r="I320" i="14"/>
  <c r="J320" i="14"/>
  <c r="P320" i="14" s="1"/>
  <c r="I321" i="14"/>
  <c r="I322" i="14"/>
  <c r="I323" i="14"/>
  <c r="I329" i="14"/>
  <c r="I330" i="14"/>
  <c r="I331" i="14"/>
  <c r="I334" i="14"/>
  <c r="I337" i="14"/>
  <c r="I339" i="14"/>
  <c r="O339" i="14"/>
  <c r="P339" i="14"/>
  <c r="I340" i="14"/>
  <c r="I342" i="14"/>
  <c r="I343" i="14"/>
  <c r="J343" i="14"/>
  <c r="K343" i="14" s="1"/>
  <c r="L343" i="14"/>
  <c r="M343" i="14"/>
  <c r="T343" i="14"/>
  <c r="U343" i="14" s="1"/>
  <c r="J344" i="14"/>
  <c r="N344" i="14" s="1"/>
  <c r="P344" i="14"/>
  <c r="I345" i="14"/>
  <c r="I346" i="14"/>
  <c r="I348" i="14"/>
  <c r="I350" i="14"/>
  <c r="I356" i="14"/>
  <c r="I357" i="14"/>
  <c r="I359" i="14"/>
  <c r="I360" i="14"/>
  <c r="I361" i="14"/>
  <c r="I362" i="14"/>
  <c r="I364" i="14"/>
  <c r="J364" i="14"/>
  <c r="K364" i="14" s="1"/>
  <c r="L364" i="14"/>
  <c r="N364" i="14"/>
  <c r="O364" i="14"/>
  <c r="I365" i="14"/>
  <c r="J366" i="14"/>
  <c r="N366" i="14" s="1"/>
  <c r="I368" i="14"/>
  <c r="I373" i="14"/>
  <c r="I374" i="14"/>
  <c r="J375" i="14"/>
  <c r="K375" i="14"/>
  <c r="L375" i="14"/>
  <c r="I376" i="14"/>
  <c r="T376" i="14"/>
  <c r="U376" i="14" s="1"/>
  <c r="I377" i="14"/>
  <c r="I381" i="14"/>
  <c r="I382" i="14"/>
  <c r="I385" i="14"/>
  <c r="J386" i="14"/>
  <c r="P386" i="14" s="1"/>
  <c r="I387" i="14"/>
  <c r="I388" i="14"/>
  <c r="I389" i="14"/>
  <c r="I396" i="14"/>
  <c r="I398" i="14"/>
  <c r="I399" i="14"/>
  <c r="I400" i="14"/>
  <c r="I401" i="14"/>
  <c r="J403" i="14"/>
  <c r="K403" i="14" s="1"/>
  <c r="T403" i="14"/>
  <c r="I404" i="14"/>
  <c r="I406" i="14"/>
  <c r="K407" i="14"/>
  <c r="I409" i="14"/>
  <c r="I410" i="14"/>
  <c r="I411" i="14"/>
  <c r="I415" i="14"/>
  <c r="I416" i="14"/>
  <c r="I417" i="14"/>
  <c r="I418" i="14"/>
  <c r="I420" i="14"/>
  <c r="I421" i="14"/>
  <c r="I422" i="14"/>
  <c r="J422" i="14"/>
  <c r="K422" i="14"/>
  <c r="I423" i="14"/>
  <c r="I424" i="14"/>
  <c r="O42" i="13"/>
  <c r="O59" i="13"/>
  <c r="R59" i="13" s="1"/>
  <c r="O63" i="13"/>
  <c r="O64" i="13"/>
  <c r="O65" i="13"/>
  <c r="P65" i="13" s="1"/>
  <c r="O93" i="13"/>
  <c r="O143" i="13"/>
  <c r="O149" i="13"/>
  <c r="P149" i="13" s="1"/>
  <c r="O169" i="13"/>
  <c r="O171" i="13"/>
  <c r="O173" i="13"/>
  <c r="O174" i="13"/>
  <c r="O177" i="13"/>
  <c r="Q177" i="13" s="1"/>
  <c r="O180" i="13"/>
  <c r="O182" i="13"/>
  <c r="O197" i="13"/>
  <c r="S197" i="13" s="1"/>
  <c r="O198" i="13"/>
  <c r="O199" i="13"/>
  <c r="O205" i="13"/>
  <c r="O225" i="13"/>
  <c r="O226" i="13"/>
  <c r="O227" i="13"/>
  <c r="O233" i="13"/>
  <c r="U233" i="13" s="1"/>
  <c r="O234" i="13"/>
  <c r="P234" i="13" s="1"/>
  <c r="O236" i="13"/>
  <c r="O257" i="13"/>
  <c r="O258" i="13"/>
  <c r="O259" i="13"/>
  <c r="O261" i="13"/>
  <c r="O281" i="13"/>
  <c r="O282" i="13"/>
  <c r="O283" i="13"/>
  <c r="O289" i="13"/>
  <c r="O292" i="13"/>
  <c r="Q292" i="13" s="1"/>
  <c r="O293" i="13"/>
  <c r="O294" i="13"/>
  <c r="O317" i="13"/>
  <c r="O320" i="13"/>
  <c r="O345" i="13"/>
  <c r="P345" i="13" s="1"/>
  <c r="O348" i="13"/>
  <c r="P348" i="13" s="1"/>
  <c r="O366" i="13"/>
  <c r="O367" i="13"/>
  <c r="O373" i="13"/>
  <c r="O376" i="13"/>
  <c r="U376" i="13" s="1"/>
  <c r="O377" i="13"/>
  <c r="O378" i="13"/>
  <c r="O395" i="13"/>
  <c r="O399" i="13"/>
  <c r="O401" i="13"/>
  <c r="P401" i="13" s="1"/>
  <c r="O428" i="13"/>
  <c r="O429" i="13"/>
  <c r="P429" i="13" s="1"/>
  <c r="O434" i="13"/>
  <c r="I18" i="13"/>
  <c r="H20" i="13"/>
  <c r="H21" i="13"/>
  <c r="I21" i="13"/>
  <c r="H25" i="13"/>
  <c r="I25" i="13"/>
  <c r="H26" i="13"/>
  <c r="I26" i="13"/>
  <c r="I31" i="13"/>
  <c r="H32" i="13"/>
  <c r="I32" i="13"/>
  <c r="I34" i="13"/>
  <c r="H35" i="13"/>
  <c r="I35" i="13"/>
  <c r="H37" i="13"/>
  <c r="O37" i="13" s="1"/>
  <c r="I37" i="13"/>
  <c r="H38" i="13"/>
  <c r="H42" i="13"/>
  <c r="H43" i="13"/>
  <c r="I43" i="13"/>
  <c r="H46" i="13"/>
  <c r="I46" i="13"/>
  <c r="H52" i="13"/>
  <c r="I52" i="13"/>
  <c r="H53" i="13"/>
  <c r="I53" i="13"/>
  <c r="H54" i="13"/>
  <c r="H56" i="13"/>
  <c r="I56" i="13"/>
  <c r="H57" i="13"/>
  <c r="O57" i="13" s="1"/>
  <c r="I57" i="13"/>
  <c r="J57" i="13" s="1"/>
  <c r="K57" i="13" s="1"/>
  <c r="H58" i="13"/>
  <c r="O58" i="13" s="1"/>
  <c r="U58" i="13" s="1"/>
  <c r="H60" i="13"/>
  <c r="H63" i="13"/>
  <c r="I63" i="13"/>
  <c r="H64" i="13"/>
  <c r="I64" i="13"/>
  <c r="H65" i="13"/>
  <c r="I68" i="13"/>
  <c r="H70" i="13"/>
  <c r="I70" i="13"/>
  <c r="H71" i="13"/>
  <c r="I71" i="13"/>
  <c r="H74" i="13"/>
  <c r="I74" i="13"/>
  <c r="H77" i="13"/>
  <c r="I77" i="13"/>
  <c r="I81" i="13"/>
  <c r="H82" i="13"/>
  <c r="I82" i="13"/>
  <c r="I84" i="13"/>
  <c r="H85" i="13"/>
  <c r="I85" i="13"/>
  <c r="J85" i="13"/>
  <c r="H87" i="13"/>
  <c r="I87" i="13"/>
  <c r="H88" i="13"/>
  <c r="I88" i="13"/>
  <c r="H91" i="13"/>
  <c r="I91" i="13"/>
  <c r="I93" i="13"/>
  <c r="H99" i="13"/>
  <c r="I99" i="13"/>
  <c r="I101" i="13"/>
  <c r="H102" i="13"/>
  <c r="I102" i="13"/>
  <c r="H105" i="13"/>
  <c r="I105" i="13"/>
  <c r="H106" i="13"/>
  <c r="I106" i="13"/>
  <c r="J106" i="13"/>
  <c r="H107" i="13"/>
  <c r="I107" i="13"/>
  <c r="H110" i="13"/>
  <c r="H114" i="13"/>
  <c r="I114" i="13"/>
  <c r="H116" i="13"/>
  <c r="I116" i="13"/>
  <c r="H119" i="13"/>
  <c r="I119" i="13"/>
  <c r="J119" i="13"/>
  <c r="K119" i="13" s="1"/>
  <c r="L119" i="13" s="1"/>
  <c r="H120" i="13"/>
  <c r="O120" i="13" s="1"/>
  <c r="I120" i="13"/>
  <c r="J120" i="13"/>
  <c r="H121" i="13"/>
  <c r="O121" i="13" s="1"/>
  <c r="I121" i="13"/>
  <c r="H126" i="13"/>
  <c r="I126" i="13"/>
  <c r="H127" i="13"/>
  <c r="I127" i="13"/>
  <c r="H130" i="13"/>
  <c r="I130" i="13"/>
  <c r="H131" i="13"/>
  <c r="I132" i="13"/>
  <c r="H133" i="13"/>
  <c r="I133" i="13"/>
  <c r="H134" i="13"/>
  <c r="I134" i="13"/>
  <c r="I135" i="13"/>
  <c r="I140" i="13"/>
  <c r="I143" i="13"/>
  <c r="I144" i="13"/>
  <c r="I147" i="13"/>
  <c r="I154" i="13"/>
  <c r="J154" i="13"/>
  <c r="K154" i="13" s="1"/>
  <c r="I155" i="13"/>
  <c r="I161" i="13"/>
  <c r="I164" i="13"/>
  <c r="I165" i="13"/>
  <c r="I166" i="13"/>
  <c r="J166" i="13"/>
  <c r="K166" i="13"/>
  <c r="L166" i="13" s="1"/>
  <c r="M169" i="13"/>
  <c r="P169" i="13"/>
  <c r="Q169" i="13"/>
  <c r="I170" i="13"/>
  <c r="I171" i="13"/>
  <c r="I172" i="13"/>
  <c r="I175" i="13"/>
  <c r="I182" i="13"/>
  <c r="I183" i="13"/>
  <c r="I186" i="13"/>
  <c r="S188" i="13"/>
  <c r="I192" i="13"/>
  <c r="I193" i="13"/>
  <c r="I194" i="13"/>
  <c r="I200" i="13"/>
  <c r="I203" i="13"/>
  <c r="I208" i="13"/>
  <c r="I209" i="13"/>
  <c r="I210" i="13"/>
  <c r="I211" i="13"/>
  <c r="I212" i="13"/>
  <c r="I213" i="13"/>
  <c r="I214" i="13"/>
  <c r="I215" i="13"/>
  <c r="I216" i="13"/>
  <c r="J216" i="13" s="1"/>
  <c r="K216" i="13" s="1"/>
  <c r="T216" i="13"/>
  <c r="Q216" i="13"/>
  <c r="I220" i="13"/>
  <c r="I221" i="13"/>
  <c r="I222" i="13"/>
  <c r="I224" i="13"/>
  <c r="I225" i="13"/>
  <c r="I228" i="13"/>
  <c r="I231" i="13"/>
  <c r="I233" i="13"/>
  <c r="I242" i="13"/>
  <c r="I244" i="13"/>
  <c r="U244" i="13"/>
  <c r="I245" i="13"/>
  <c r="I246" i="13"/>
  <c r="I247" i="13"/>
  <c r="I248" i="13"/>
  <c r="I250" i="13"/>
  <c r="I256" i="13"/>
  <c r="I259" i="13"/>
  <c r="I261" i="13"/>
  <c r="I266" i="13"/>
  <c r="I267" i="13"/>
  <c r="I269" i="13"/>
  <c r="I273" i="13"/>
  <c r="I275" i="13"/>
  <c r="I276" i="13"/>
  <c r="I277" i="13"/>
  <c r="I278" i="13"/>
  <c r="I284" i="13"/>
  <c r="I287" i="13"/>
  <c r="I289" i="13"/>
  <c r="I294" i="13"/>
  <c r="J294" i="13" s="1"/>
  <c r="K294" i="13" s="1"/>
  <c r="I295" i="13"/>
  <c r="I296" i="13"/>
  <c r="I297" i="13"/>
  <c r="I298" i="13"/>
  <c r="I300" i="13"/>
  <c r="J300" i="13" s="1"/>
  <c r="K300" i="13" s="1"/>
  <c r="I301" i="13"/>
  <c r="I305" i="13"/>
  <c r="I306" i="13"/>
  <c r="I311" i="13"/>
  <c r="I312" i="13"/>
  <c r="I315" i="13"/>
  <c r="I317" i="13"/>
  <c r="I323" i="13"/>
  <c r="I325" i="13"/>
  <c r="I326" i="13"/>
  <c r="I327" i="13"/>
  <c r="I328" i="13"/>
  <c r="I329" i="13"/>
  <c r="I330" i="13"/>
  <c r="I331" i="13"/>
  <c r="I334" i="13"/>
  <c r="I339" i="13"/>
  <c r="I340" i="13"/>
  <c r="I350" i="13"/>
  <c r="I351" i="13"/>
  <c r="I356" i="13"/>
  <c r="J356" i="13"/>
  <c r="K356" i="13" s="1"/>
  <c r="M356" i="13" s="1"/>
  <c r="N356" i="13" s="1"/>
  <c r="I357" i="13"/>
  <c r="I360" i="13"/>
  <c r="I361" i="13"/>
  <c r="I362" i="13"/>
  <c r="J362" i="13" s="1"/>
  <c r="I368" i="13"/>
  <c r="I370" i="13"/>
  <c r="I371" i="13"/>
  <c r="I372" i="13"/>
  <c r="I375" i="13"/>
  <c r="I376" i="13"/>
  <c r="J376" i="13"/>
  <c r="K376" i="13" s="1"/>
  <c r="I377" i="13"/>
  <c r="J377" i="13" s="1"/>
  <c r="K377" i="13" s="1"/>
  <c r="M377" i="13" s="1"/>
  <c r="I378" i="13"/>
  <c r="J378" i="13" s="1"/>
  <c r="K378" i="13" s="1"/>
  <c r="I379" i="13"/>
  <c r="I382" i="13"/>
  <c r="I388" i="13"/>
  <c r="I389" i="13"/>
  <c r="I390" i="13"/>
  <c r="J390" i="13" s="1"/>
  <c r="K390" i="13" s="1"/>
  <c r="I396" i="13"/>
  <c r="I399" i="13"/>
  <c r="I400" i="13"/>
  <c r="I401" i="13"/>
  <c r="I404" i="13"/>
  <c r="I407" i="13"/>
  <c r="I409" i="13"/>
  <c r="I410" i="13"/>
  <c r="I411" i="13"/>
  <c r="P412" i="13"/>
  <c r="T412" i="13"/>
  <c r="U412" i="13"/>
  <c r="I418" i="13"/>
  <c r="I422" i="13"/>
  <c r="J422" i="13" s="1"/>
  <c r="K422" i="13" s="1"/>
  <c r="I423" i="13"/>
  <c r="I424" i="13"/>
  <c r="I427" i="13"/>
  <c r="I428" i="13"/>
  <c r="I434" i="13"/>
  <c r="H11" i="16"/>
  <c r="G11" i="16"/>
  <c r="E11" i="16"/>
  <c r="H10" i="16"/>
  <c r="F10" i="16"/>
  <c r="E10" i="16"/>
  <c r="G10" i="16"/>
  <c r="F11" i="16"/>
  <c r="D11" i="16"/>
  <c r="C11" i="16"/>
  <c r="D10" i="16"/>
  <c r="C10" i="16"/>
  <c r="B11" i="16"/>
  <c r="B10" i="16"/>
  <c r="L3" i="19"/>
  <c r="L4" i="19"/>
  <c r="L5" i="19"/>
  <c r="L6" i="19"/>
  <c r="L7" i="19"/>
  <c r="L8" i="19"/>
  <c r="L9" i="19"/>
  <c r="M9" i="19" s="1"/>
  <c r="N9" i="19" s="1"/>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M93" i="19" s="1"/>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M126" i="19" s="1"/>
  <c r="L127" i="19"/>
  <c r="L128" i="19"/>
  <c r="L129" i="19"/>
  <c r="L130" i="19"/>
  <c r="M130" i="19" s="1"/>
  <c r="N130" i="19" s="1"/>
  <c r="L131" i="19"/>
  <c r="M131" i="19" s="1"/>
  <c r="L132" i="19"/>
  <c r="L133" i="19"/>
  <c r="L134" i="19"/>
  <c r="L135" i="19"/>
  <c r="L136" i="19"/>
  <c r="L137" i="19"/>
  <c r="L138" i="19"/>
  <c r="L139" i="19"/>
  <c r="L140" i="19"/>
  <c r="L141" i="19"/>
  <c r="L142" i="19"/>
  <c r="L143" i="19"/>
  <c r="L144" i="19"/>
  <c r="L145" i="19"/>
  <c r="L146" i="19"/>
  <c r="L147" i="19"/>
  <c r="L148" i="19"/>
  <c r="L149" i="19"/>
  <c r="L150" i="19"/>
  <c r="L151" i="19"/>
  <c r="M151" i="19" s="1"/>
  <c r="N151" i="19" s="1"/>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M186" i="19" s="1"/>
  <c r="N186" i="19" s="1"/>
  <c r="L187" i="19"/>
  <c r="L188" i="19"/>
  <c r="L189" i="19"/>
  <c r="L190" i="19"/>
  <c r="L191" i="19"/>
  <c r="L192" i="19"/>
  <c r="M192" i="19" s="1"/>
  <c r="N192" i="19" s="1"/>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M217" i="19" s="1"/>
  <c r="N217" i="19" s="1"/>
  <c r="L218" i="19"/>
  <c r="L219" i="19"/>
  <c r="L220" i="19"/>
  <c r="L221" i="19"/>
  <c r="L222" i="19"/>
  <c r="L223" i="19"/>
  <c r="M223" i="19" s="1"/>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M259" i="19" s="1"/>
  <c r="N259" i="19" s="1"/>
  <c r="L260" i="19"/>
  <c r="L261" i="19"/>
  <c r="L262" i="19"/>
  <c r="L263" i="19"/>
  <c r="L264" i="19"/>
  <c r="L265" i="19"/>
  <c r="L266" i="19"/>
  <c r="L267" i="19"/>
  <c r="L268" i="19"/>
  <c r="L269" i="19"/>
  <c r="L270" i="19"/>
  <c r="L271" i="19"/>
  <c r="L272" i="19"/>
  <c r="M272" i="19" s="1"/>
  <c r="N272" i="19" s="1"/>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M302" i="19" s="1"/>
  <c r="N302" i="19" s="1"/>
  <c r="L303" i="19"/>
  <c r="L304" i="19"/>
  <c r="L305" i="19"/>
  <c r="L306" i="19"/>
  <c r="L307" i="19"/>
  <c r="L308" i="19"/>
  <c r="L309" i="19"/>
  <c r="L310" i="19"/>
  <c r="L311" i="19"/>
  <c r="L312" i="19"/>
  <c r="L313" i="19"/>
  <c r="L314" i="19"/>
  <c r="L315" i="19"/>
  <c r="L316" i="19"/>
  <c r="L317" i="19"/>
  <c r="L318" i="19"/>
  <c r="L319" i="19"/>
  <c r="L320" i="19"/>
  <c r="L321" i="19"/>
  <c r="L322" i="19"/>
  <c r="L323" i="19"/>
  <c r="L324" i="19"/>
  <c r="L325" i="19"/>
  <c r="L326" i="19"/>
  <c r="L327" i="19"/>
  <c r="L328" i="19"/>
  <c r="L329" i="19"/>
  <c r="L330" i="19"/>
  <c r="L331" i="19"/>
  <c r="L332" i="19"/>
  <c r="L333" i="19"/>
  <c r="L334" i="19"/>
  <c r="L335" i="19"/>
  <c r="L336" i="19"/>
  <c r="M336" i="19" s="1"/>
  <c r="L337" i="19"/>
  <c r="L338" i="19"/>
  <c r="L339" i="19"/>
  <c r="L340" i="19"/>
  <c r="L341" i="19"/>
  <c r="L342" i="19"/>
  <c r="L343" i="19"/>
  <c r="L344" i="19"/>
  <c r="L345" i="19"/>
  <c r="L346" i="19"/>
  <c r="L347" i="19"/>
  <c r="L348" i="19"/>
  <c r="L349" i="19"/>
  <c r="L350" i="19"/>
  <c r="L351" i="19"/>
  <c r="L352" i="19"/>
  <c r="L353" i="19"/>
  <c r="L354" i="19"/>
  <c r="L355" i="19"/>
  <c r="L356" i="19"/>
  <c r="L357" i="19"/>
  <c r="L358" i="19"/>
  <c r="L359" i="19"/>
  <c r="L360" i="19"/>
  <c r="L361" i="19"/>
  <c r="L362" i="19"/>
  <c r="L363" i="19"/>
  <c r="L364" i="19"/>
  <c r="L365" i="19"/>
  <c r="L366" i="19"/>
  <c r="L367" i="19"/>
  <c r="L368" i="19"/>
  <c r="L369" i="19"/>
  <c r="L370" i="19"/>
  <c r="L371" i="19"/>
  <c r="L372" i="19"/>
  <c r="L373" i="19"/>
  <c r="L374" i="19"/>
  <c r="L375" i="19"/>
  <c r="L376" i="19"/>
  <c r="L377" i="19"/>
  <c r="L378" i="19"/>
  <c r="L379" i="19"/>
  <c r="L380" i="19"/>
  <c r="L381" i="19"/>
  <c r="L382" i="19"/>
  <c r="L383" i="19"/>
  <c r="L384" i="19"/>
  <c r="L385" i="19"/>
  <c r="L386" i="19"/>
  <c r="L387" i="19"/>
  <c r="L388" i="19"/>
  <c r="L389" i="19"/>
  <c r="L390" i="19"/>
  <c r="L391" i="19"/>
  <c r="L392" i="19"/>
  <c r="L393" i="19"/>
  <c r="L394" i="19"/>
  <c r="L395" i="19"/>
  <c r="L396" i="19"/>
  <c r="L397" i="19"/>
  <c r="L398" i="19"/>
  <c r="L399" i="19"/>
  <c r="L400" i="19"/>
  <c r="L401" i="19"/>
  <c r="L402" i="19"/>
  <c r="L403" i="19"/>
  <c r="L404" i="19"/>
  <c r="L405" i="19"/>
  <c r="L406" i="19"/>
  <c r="L407" i="19"/>
  <c r="L408" i="19"/>
  <c r="L409" i="19"/>
  <c r="L410" i="19"/>
  <c r="M410" i="19" s="1"/>
  <c r="N410" i="19" s="1"/>
  <c r="L411" i="19"/>
  <c r="L412" i="19"/>
  <c r="L413" i="19"/>
  <c r="L414" i="19"/>
  <c r="L415" i="19"/>
  <c r="L416" i="19"/>
  <c r="L417" i="19"/>
  <c r="L418" i="19"/>
  <c r="L419" i="19"/>
  <c r="L420" i="19"/>
  <c r="L421" i="19"/>
  <c r="L422" i="19"/>
  <c r="K3" i="19"/>
  <c r="K4" i="19"/>
  <c r="K5" i="19"/>
  <c r="K6" i="19"/>
  <c r="K7" i="19"/>
  <c r="K8" i="19"/>
  <c r="M8" i="19" s="1"/>
  <c r="N8" i="19" s="1"/>
  <c r="K9" i="19"/>
  <c r="K10" i="19"/>
  <c r="K11" i="19"/>
  <c r="K12" i="19"/>
  <c r="K13" i="19"/>
  <c r="K14" i="19"/>
  <c r="K15" i="19"/>
  <c r="K16" i="19"/>
  <c r="K17" i="19"/>
  <c r="K18" i="19"/>
  <c r="K19" i="19"/>
  <c r="K20" i="19"/>
  <c r="K21" i="19"/>
  <c r="K22" i="19"/>
  <c r="K23" i="19"/>
  <c r="M23" i="19" s="1"/>
  <c r="N23" i="19" s="1"/>
  <c r="K24" i="19"/>
  <c r="K25" i="19"/>
  <c r="M25" i="19" s="1"/>
  <c r="N25" i="19" s="1"/>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M56" i="19" s="1"/>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M104" i="19" s="1"/>
  <c r="K105" i="19"/>
  <c r="K106" i="19"/>
  <c r="K107" i="19"/>
  <c r="K108" i="19"/>
  <c r="K109" i="19"/>
  <c r="K110" i="19"/>
  <c r="K111" i="19"/>
  <c r="K112" i="19"/>
  <c r="K113" i="19"/>
  <c r="M113" i="19" s="1"/>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M161" i="19" s="1"/>
  <c r="V161" i="19" s="1"/>
  <c r="W161" i="19" s="1"/>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M188" i="19" s="1"/>
  <c r="K189" i="19"/>
  <c r="K190" i="19"/>
  <c r="K191" i="19"/>
  <c r="K192" i="19"/>
  <c r="K193" i="19"/>
  <c r="K194" i="19"/>
  <c r="M194" i="19" s="1"/>
  <c r="N194" i="19" s="1"/>
  <c r="K195" i="19"/>
  <c r="M195" i="19" s="1"/>
  <c r="K196" i="19"/>
  <c r="K197" i="19"/>
  <c r="K198" i="19"/>
  <c r="M198" i="19" s="1"/>
  <c r="N198" i="19" s="1"/>
  <c r="K199" i="19"/>
  <c r="K200" i="19"/>
  <c r="K201" i="19"/>
  <c r="K202" i="19"/>
  <c r="K203" i="19"/>
  <c r="K204" i="19"/>
  <c r="K205" i="19"/>
  <c r="K206" i="19"/>
  <c r="K207" i="19"/>
  <c r="K208" i="19"/>
  <c r="K209" i="19"/>
  <c r="K210" i="19"/>
  <c r="K211" i="19"/>
  <c r="K212" i="19"/>
  <c r="K213" i="19"/>
  <c r="K214" i="19"/>
  <c r="K215" i="19"/>
  <c r="M215" i="19" s="1"/>
  <c r="N215" i="19" s="1"/>
  <c r="K216" i="19"/>
  <c r="K217" i="19"/>
  <c r="K218" i="19"/>
  <c r="K219" i="19"/>
  <c r="K220" i="19"/>
  <c r="K221" i="19"/>
  <c r="K222" i="19"/>
  <c r="K223" i="19"/>
  <c r="K224" i="19"/>
  <c r="K225" i="19"/>
  <c r="K226" i="19"/>
  <c r="K227" i="19"/>
  <c r="K228" i="19"/>
  <c r="K229" i="19"/>
  <c r="K230" i="19"/>
  <c r="K231" i="19"/>
  <c r="K232" i="19"/>
  <c r="K233" i="19"/>
  <c r="K234" i="19"/>
  <c r="K235" i="19"/>
  <c r="K236" i="19"/>
  <c r="M236" i="19" s="1"/>
  <c r="K237" i="19"/>
  <c r="K238" i="19"/>
  <c r="K239" i="19"/>
  <c r="K240" i="19"/>
  <c r="K241" i="19"/>
  <c r="M241" i="19" s="1"/>
  <c r="K242" i="19"/>
  <c r="M242" i="19" s="1"/>
  <c r="N242" i="19" s="1"/>
  <c r="K243" i="19"/>
  <c r="K244" i="19"/>
  <c r="K245" i="19"/>
  <c r="K246" i="19"/>
  <c r="M246" i="19" s="1"/>
  <c r="K247" i="19"/>
  <c r="K248" i="19"/>
  <c r="K249" i="19"/>
  <c r="K250" i="19"/>
  <c r="K251" i="19"/>
  <c r="K252" i="19"/>
  <c r="K253" i="19"/>
  <c r="M253" i="19" s="1"/>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M276" i="19" s="1"/>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M301" i="19" s="1"/>
  <c r="V301" i="19" s="1"/>
  <c r="W301" i="19" s="1"/>
  <c r="K302" i="19"/>
  <c r="K303" i="19"/>
  <c r="M303" i="19" s="1"/>
  <c r="K304" i="19"/>
  <c r="K305" i="19"/>
  <c r="K306" i="19"/>
  <c r="K307" i="19"/>
  <c r="K308" i="19"/>
  <c r="M308" i="19" s="1"/>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M331" i="19" s="1"/>
  <c r="N331" i="19" s="1"/>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M362" i="19" s="1"/>
  <c r="N362" i="19" s="1"/>
  <c r="K363" i="19"/>
  <c r="K364" i="19"/>
  <c r="K365" i="19"/>
  <c r="M365" i="19" s="1"/>
  <c r="N365" i="19" s="1"/>
  <c r="K366" i="19"/>
  <c r="K367" i="19"/>
  <c r="K368" i="19"/>
  <c r="K369" i="19"/>
  <c r="K370" i="19"/>
  <c r="K371" i="19"/>
  <c r="K372" i="19"/>
  <c r="K373" i="19"/>
  <c r="K374" i="19"/>
  <c r="K375" i="19"/>
  <c r="K376" i="19"/>
  <c r="K377" i="19"/>
  <c r="K378" i="19"/>
  <c r="M378" i="19" s="1"/>
  <c r="K379" i="19"/>
  <c r="K380" i="19"/>
  <c r="K381" i="19"/>
  <c r="K382" i="19"/>
  <c r="K383" i="19"/>
  <c r="M383" i="19" s="1"/>
  <c r="N383" i="19" s="1"/>
  <c r="K384" i="19"/>
  <c r="K385" i="19"/>
  <c r="K386" i="19"/>
  <c r="M386" i="19" s="1"/>
  <c r="N386" i="19" s="1"/>
  <c r="K387" i="19"/>
  <c r="K388" i="19"/>
  <c r="K389" i="19"/>
  <c r="K390" i="19"/>
  <c r="K391" i="19"/>
  <c r="K392" i="19"/>
  <c r="K393" i="19"/>
  <c r="M393" i="19" s="1"/>
  <c r="N393" i="19" s="1"/>
  <c r="K394" i="19"/>
  <c r="K395" i="19"/>
  <c r="K396" i="19"/>
  <c r="K397" i="19"/>
  <c r="K398" i="19"/>
  <c r="K399" i="19"/>
  <c r="K400" i="19"/>
  <c r="K401" i="19"/>
  <c r="K402" i="19"/>
  <c r="K403" i="19"/>
  <c r="M403" i="19" s="1"/>
  <c r="K404" i="19"/>
  <c r="K405" i="19"/>
  <c r="K406" i="19"/>
  <c r="K407" i="19"/>
  <c r="K408" i="19"/>
  <c r="M408" i="19" s="1"/>
  <c r="N408" i="19" s="1"/>
  <c r="K409" i="19"/>
  <c r="K410" i="19"/>
  <c r="K411" i="19"/>
  <c r="K412" i="19"/>
  <c r="K413" i="19"/>
  <c r="K414" i="19"/>
  <c r="K415" i="19"/>
  <c r="K416" i="19"/>
  <c r="K417" i="19"/>
  <c r="K418" i="19"/>
  <c r="K419" i="19"/>
  <c r="K420" i="19"/>
  <c r="M420" i="19" s="1"/>
  <c r="K421" i="19"/>
  <c r="K422" i="19"/>
  <c r="L3" i="20"/>
  <c r="L4" i="20"/>
  <c r="L5" i="20"/>
  <c r="L6" i="20"/>
  <c r="L7" i="20"/>
  <c r="L8" i="20"/>
  <c r="L9" i="20"/>
  <c r="L10" i="20"/>
  <c r="L11" i="20"/>
  <c r="L12" i="20"/>
  <c r="L13" i="20"/>
  <c r="L14" i="20"/>
  <c r="L15" i="20"/>
  <c r="L16" i="20"/>
  <c r="L17" i="20"/>
  <c r="L18" i="20"/>
  <c r="L19" i="20"/>
  <c r="M19" i="20" s="1"/>
  <c r="L20" i="20"/>
  <c r="L21" i="20"/>
  <c r="L22" i="20"/>
  <c r="L23" i="20"/>
  <c r="L24" i="20"/>
  <c r="L25" i="20"/>
  <c r="L26" i="20"/>
  <c r="L27" i="20"/>
  <c r="L28" i="20"/>
  <c r="L29" i="20"/>
  <c r="L30" i="20"/>
  <c r="L31" i="20"/>
  <c r="L32" i="20"/>
  <c r="L33" i="20"/>
  <c r="L34" i="20"/>
  <c r="L35" i="20"/>
  <c r="M35" i="20" s="1"/>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M62" i="20" s="1"/>
  <c r="N62" i="20" s="1"/>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M123" i="20" s="1"/>
  <c r="N123" i="20" s="1"/>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M167" i="20" s="1"/>
  <c r="N167" i="20" s="1"/>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M244" i="20" s="1"/>
  <c r="L245" i="20"/>
  <c r="L246" i="20"/>
  <c r="M246" i="20" s="1"/>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M274" i="20" s="1"/>
  <c r="N274" i="20" s="1"/>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M299" i="20" s="1"/>
  <c r="N299" i="20" s="1"/>
  <c r="L300" i="20"/>
  <c r="L301" i="20"/>
  <c r="L302" i="20"/>
  <c r="L303" i="20"/>
  <c r="L304" i="20"/>
  <c r="M304" i="20" s="1"/>
  <c r="N304" i="20" s="1"/>
  <c r="L305" i="20"/>
  <c r="L306" i="20"/>
  <c r="L307" i="20"/>
  <c r="L308" i="20"/>
  <c r="L309" i="20"/>
  <c r="L310" i="20"/>
  <c r="L311" i="20"/>
  <c r="L312" i="20"/>
  <c r="M312" i="20" s="1"/>
  <c r="N312" i="20" s="1"/>
  <c r="L313" i="20"/>
  <c r="L314" i="20"/>
  <c r="L315" i="20"/>
  <c r="L316" i="20"/>
  <c r="L317" i="20"/>
  <c r="M317" i="20" s="1"/>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M382" i="20" s="1"/>
  <c r="N382" i="20" s="1"/>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M411" i="20" s="1"/>
  <c r="N411" i="20" s="1"/>
  <c r="L412" i="20"/>
  <c r="L413" i="20"/>
  <c r="L414" i="20"/>
  <c r="L415" i="20"/>
  <c r="L416" i="20"/>
  <c r="L417" i="20"/>
  <c r="L418" i="20"/>
  <c r="L419" i="20"/>
  <c r="L420" i="20"/>
  <c r="L421" i="20"/>
  <c r="L422"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M46" i="20" s="1"/>
  <c r="N46" i="20" s="1"/>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M98" i="20" s="1"/>
  <c r="N98" i="20" s="1"/>
  <c r="K99" i="20"/>
  <c r="K100" i="20"/>
  <c r="K101" i="20"/>
  <c r="K102" i="20"/>
  <c r="K103" i="20"/>
  <c r="K104" i="20"/>
  <c r="K105" i="20"/>
  <c r="K106" i="20"/>
  <c r="M106" i="20" s="1"/>
  <c r="N106" i="20" s="1"/>
  <c r="K107" i="20"/>
  <c r="K108" i="20"/>
  <c r="K109" i="20"/>
  <c r="K110" i="20"/>
  <c r="K111" i="20"/>
  <c r="K112" i="20"/>
  <c r="K113" i="20"/>
  <c r="K114" i="20"/>
  <c r="K115" i="20"/>
  <c r="K116" i="20"/>
  <c r="K117" i="20"/>
  <c r="K118" i="20"/>
  <c r="K119" i="20"/>
  <c r="M119" i="20" s="1"/>
  <c r="K120" i="20"/>
  <c r="K121" i="20"/>
  <c r="M121" i="20" s="1"/>
  <c r="N121" i="20" s="1"/>
  <c r="K122" i="20"/>
  <c r="K123" i="20"/>
  <c r="K124" i="20"/>
  <c r="K125" i="20"/>
  <c r="K126" i="20"/>
  <c r="K127" i="20"/>
  <c r="K128" i="20"/>
  <c r="K129" i="20"/>
  <c r="K130" i="20"/>
  <c r="K131" i="20"/>
  <c r="K132" i="20"/>
  <c r="K133" i="20"/>
  <c r="K134" i="20"/>
  <c r="K135" i="20"/>
  <c r="K136" i="20"/>
  <c r="K137" i="20"/>
  <c r="K138" i="20"/>
  <c r="K139" i="20"/>
  <c r="K140" i="20"/>
  <c r="K141" i="20"/>
  <c r="K142" i="20"/>
  <c r="M142" i="20" s="1"/>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M166" i="20" s="1"/>
  <c r="N166" i="20" s="1"/>
  <c r="K167" i="20"/>
  <c r="K168" i="20"/>
  <c r="K169" i="20"/>
  <c r="M169" i="20" s="1"/>
  <c r="N169" i="20" s="1"/>
  <c r="K170" i="20"/>
  <c r="K171" i="20"/>
  <c r="K172" i="20"/>
  <c r="K173" i="20"/>
  <c r="K174" i="20"/>
  <c r="K175" i="20"/>
  <c r="K176" i="20"/>
  <c r="K177" i="20"/>
  <c r="K178" i="20"/>
  <c r="K179" i="20"/>
  <c r="K180" i="20"/>
  <c r="K181" i="20"/>
  <c r="M181" i="20" s="1"/>
  <c r="N181" i="20" s="1"/>
  <c r="K182" i="20"/>
  <c r="K183" i="20"/>
  <c r="K184" i="20"/>
  <c r="K185" i="20"/>
  <c r="K186" i="20"/>
  <c r="K187" i="20"/>
  <c r="K188" i="20"/>
  <c r="K189" i="20"/>
  <c r="K190" i="20"/>
  <c r="K191" i="20"/>
  <c r="K192" i="20"/>
  <c r="K193" i="20"/>
  <c r="M193" i="20" s="1"/>
  <c r="N193" i="20" s="1"/>
  <c r="K194" i="20"/>
  <c r="K195" i="20"/>
  <c r="K196" i="20"/>
  <c r="K197" i="20"/>
  <c r="K198" i="20"/>
  <c r="K199" i="20"/>
  <c r="K200" i="20"/>
  <c r="K201" i="20"/>
  <c r="K202" i="20"/>
  <c r="K203" i="20"/>
  <c r="K204" i="20"/>
  <c r="K205" i="20"/>
  <c r="K206" i="20"/>
  <c r="K207" i="20"/>
  <c r="K208" i="20"/>
  <c r="K209" i="20"/>
  <c r="M209" i="20" s="1"/>
  <c r="K210" i="20"/>
  <c r="K211" i="20"/>
  <c r="K212" i="20"/>
  <c r="K213" i="20"/>
  <c r="K214" i="20"/>
  <c r="K215" i="20"/>
  <c r="M215" i="20" s="1"/>
  <c r="N215" i="20" s="1"/>
  <c r="K216" i="20"/>
  <c r="K217" i="20"/>
  <c r="K218" i="20"/>
  <c r="K219" i="20"/>
  <c r="M219" i="20" s="1"/>
  <c r="K220" i="20"/>
  <c r="K221" i="20"/>
  <c r="M221" i="20" s="1"/>
  <c r="K222" i="20"/>
  <c r="K223" i="20"/>
  <c r="K224" i="20"/>
  <c r="K225" i="20"/>
  <c r="K226" i="20"/>
  <c r="K227" i="20"/>
  <c r="K228" i="20"/>
  <c r="K229" i="20"/>
  <c r="K230" i="20"/>
  <c r="K231" i="20"/>
  <c r="K232" i="20"/>
  <c r="K233" i="20"/>
  <c r="K234" i="20"/>
  <c r="K235" i="20"/>
  <c r="M235" i="20" s="1"/>
  <c r="N235" i="20" s="1"/>
  <c r="K236" i="20"/>
  <c r="K237" i="20"/>
  <c r="K238" i="20"/>
  <c r="K239" i="20"/>
  <c r="K240" i="20"/>
  <c r="K241" i="20"/>
  <c r="K242" i="20"/>
  <c r="K243" i="20"/>
  <c r="K244" i="20"/>
  <c r="K245" i="20"/>
  <c r="K246" i="20"/>
  <c r="K247" i="20"/>
  <c r="K248" i="20"/>
  <c r="K249" i="20"/>
  <c r="K250" i="20"/>
  <c r="K251" i="20"/>
  <c r="K252" i="20"/>
  <c r="K253" i="20"/>
  <c r="M253" i="20" s="1"/>
  <c r="K254" i="20"/>
  <c r="K255" i="20"/>
  <c r="K256" i="20"/>
  <c r="K257" i="20"/>
  <c r="K258" i="20"/>
  <c r="K259" i="20"/>
  <c r="K260" i="20"/>
  <c r="K261" i="20"/>
  <c r="K262" i="20"/>
  <c r="K263" i="20"/>
  <c r="K264" i="20"/>
  <c r="K265" i="20"/>
  <c r="K266" i="20"/>
  <c r="K267" i="20"/>
  <c r="M267" i="20" s="1"/>
  <c r="N267" i="20" s="1"/>
  <c r="K268" i="20"/>
  <c r="K269" i="20"/>
  <c r="K270" i="20"/>
  <c r="K271" i="20"/>
  <c r="K272" i="20"/>
  <c r="K273" i="20"/>
  <c r="K274" i="20"/>
  <c r="K275" i="20"/>
  <c r="K276" i="20"/>
  <c r="K277" i="20"/>
  <c r="K278" i="20"/>
  <c r="K279" i="20"/>
  <c r="K280" i="20"/>
  <c r="K281" i="20"/>
  <c r="M281" i="20" s="1"/>
  <c r="V281" i="20" s="1"/>
  <c r="W281" i="20" s="1"/>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M309" i="20" s="1"/>
  <c r="N309" i="20" s="1"/>
  <c r="K310" i="20"/>
  <c r="K311" i="20"/>
  <c r="K312" i="20"/>
  <c r="K313" i="20"/>
  <c r="K314" i="20"/>
  <c r="K315" i="20"/>
  <c r="K316" i="20"/>
  <c r="K317" i="20"/>
  <c r="K318" i="20"/>
  <c r="M318" i="20" s="1"/>
  <c r="N318" i="20" s="1"/>
  <c r="K319" i="20"/>
  <c r="K320" i="20"/>
  <c r="K321" i="20"/>
  <c r="K322" i="20"/>
  <c r="M322" i="20" s="1"/>
  <c r="N322" i="20" s="1"/>
  <c r="K323" i="20"/>
  <c r="K324" i="20"/>
  <c r="K325" i="20"/>
  <c r="K326" i="20"/>
  <c r="K327" i="20"/>
  <c r="K328" i="20"/>
  <c r="K329" i="20"/>
  <c r="K330" i="20"/>
  <c r="K331" i="20"/>
  <c r="K332" i="20"/>
  <c r="K333" i="20"/>
  <c r="K334" i="20"/>
  <c r="K335" i="20"/>
  <c r="K336" i="20"/>
  <c r="K337" i="20"/>
  <c r="M337" i="20" s="1"/>
  <c r="K338" i="20"/>
  <c r="M338" i="20" s="1"/>
  <c r="N338" i="20" s="1"/>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M365" i="20" s="1"/>
  <c r="K366" i="20"/>
  <c r="K367" i="20"/>
  <c r="K368" i="20"/>
  <c r="K369" i="20"/>
  <c r="K370" i="20"/>
  <c r="K371" i="20"/>
  <c r="K372" i="20"/>
  <c r="K373" i="20"/>
  <c r="K374" i="20"/>
  <c r="K375" i="20"/>
  <c r="K376" i="20"/>
  <c r="K377" i="20"/>
  <c r="K378" i="20"/>
  <c r="K379" i="20"/>
  <c r="M379" i="20" s="1"/>
  <c r="N379" i="20" s="1"/>
  <c r="K380" i="20"/>
  <c r="K381" i="20"/>
  <c r="K382" i="20"/>
  <c r="K383" i="20"/>
  <c r="K384" i="20"/>
  <c r="K385" i="20"/>
  <c r="K386" i="20"/>
  <c r="K387" i="20"/>
  <c r="K388" i="20"/>
  <c r="M388" i="20" s="1"/>
  <c r="N388" i="20" s="1"/>
  <c r="K389" i="20"/>
  <c r="K390" i="20"/>
  <c r="K391" i="20"/>
  <c r="K392" i="20"/>
  <c r="K393" i="20"/>
  <c r="K394" i="20"/>
  <c r="M394" i="20" s="1"/>
  <c r="N394" i="20" s="1"/>
  <c r="K395" i="20"/>
  <c r="K396" i="20"/>
  <c r="K397" i="20"/>
  <c r="K398" i="20"/>
  <c r="K399" i="20"/>
  <c r="K400" i="20"/>
  <c r="K401" i="20"/>
  <c r="K402" i="20"/>
  <c r="K403" i="20"/>
  <c r="K404" i="20"/>
  <c r="K405" i="20"/>
  <c r="K406" i="20"/>
  <c r="K407" i="20"/>
  <c r="K408" i="20"/>
  <c r="M408" i="20" s="1"/>
  <c r="K409" i="20"/>
  <c r="K410" i="20"/>
  <c r="K411" i="20"/>
  <c r="K412" i="20"/>
  <c r="K413" i="20"/>
  <c r="K414" i="20"/>
  <c r="K415" i="20"/>
  <c r="K416" i="20"/>
  <c r="K417" i="20"/>
  <c r="K418" i="20"/>
  <c r="K419" i="20"/>
  <c r="M419" i="20" s="1"/>
  <c r="N419" i="20" s="1"/>
  <c r="K420" i="20"/>
  <c r="K421" i="20"/>
  <c r="M421" i="20" s="1"/>
  <c r="N421" i="20" s="1"/>
  <c r="K422" i="20"/>
  <c r="J422" i="20"/>
  <c r="G422" i="20"/>
  <c r="O421" i="20"/>
  <c r="R421" i="20" s="1"/>
  <c r="J421" i="20"/>
  <c r="G421" i="20"/>
  <c r="T420" i="20"/>
  <c r="Q420" i="20"/>
  <c r="O420" i="20"/>
  <c r="P420" i="20" s="1"/>
  <c r="J420" i="20"/>
  <c r="G420" i="20"/>
  <c r="J419" i="20"/>
  <c r="G419" i="20"/>
  <c r="J418" i="20"/>
  <c r="G418" i="20"/>
  <c r="J417" i="20"/>
  <c r="G417" i="20"/>
  <c r="J416" i="20"/>
  <c r="G416" i="20"/>
  <c r="J415" i="20"/>
  <c r="G415" i="20"/>
  <c r="J414" i="20"/>
  <c r="G414" i="20"/>
  <c r="J413" i="20"/>
  <c r="G413" i="20"/>
  <c r="U412" i="20"/>
  <c r="T412" i="20"/>
  <c r="O412" i="20"/>
  <c r="P412" i="20" s="1"/>
  <c r="J412" i="20"/>
  <c r="G412" i="20"/>
  <c r="O411" i="20"/>
  <c r="U411" i="20" s="1"/>
  <c r="J411" i="20"/>
  <c r="G411" i="20"/>
  <c r="O410" i="20"/>
  <c r="M410" i="20"/>
  <c r="J410" i="20"/>
  <c r="G410" i="20"/>
  <c r="J409" i="20"/>
  <c r="G409" i="20"/>
  <c r="U408" i="20"/>
  <c r="S408" i="20"/>
  <c r="R408" i="20"/>
  <c r="P408" i="20"/>
  <c r="O408" i="20"/>
  <c r="J408" i="20"/>
  <c r="G408" i="20"/>
  <c r="J407" i="20"/>
  <c r="G407" i="20"/>
  <c r="O406" i="20"/>
  <c r="J406" i="20"/>
  <c r="G406" i="20"/>
  <c r="O405" i="20"/>
  <c r="J405" i="20"/>
  <c r="G405" i="20"/>
  <c r="J404" i="20"/>
  <c r="G404" i="20"/>
  <c r="J403" i="20"/>
  <c r="G403" i="20"/>
  <c r="J402" i="20"/>
  <c r="G402" i="20"/>
  <c r="J401" i="20"/>
  <c r="G401" i="20"/>
  <c r="J400" i="20"/>
  <c r="G400" i="20"/>
  <c r="M399" i="20"/>
  <c r="J399" i="20"/>
  <c r="G399" i="20"/>
  <c r="J398" i="20"/>
  <c r="G398" i="20"/>
  <c r="J397" i="20"/>
  <c r="G397" i="20"/>
  <c r="Q396" i="20"/>
  <c r="P396" i="20"/>
  <c r="O396" i="20"/>
  <c r="J396" i="20"/>
  <c r="G396" i="20"/>
  <c r="T395" i="20"/>
  <c r="S395" i="20"/>
  <c r="O395" i="20"/>
  <c r="U395" i="20" s="1"/>
  <c r="J395" i="20"/>
  <c r="G395" i="20"/>
  <c r="O394" i="20"/>
  <c r="S394" i="20" s="1"/>
  <c r="J394" i="20"/>
  <c r="G394" i="20"/>
  <c r="S393" i="20"/>
  <c r="R393" i="20"/>
  <c r="Q393" i="20"/>
  <c r="P393" i="20"/>
  <c r="O393" i="20"/>
  <c r="J393" i="20"/>
  <c r="G393" i="20"/>
  <c r="J392" i="20"/>
  <c r="G392" i="20"/>
  <c r="P391" i="20"/>
  <c r="O391" i="20"/>
  <c r="J391" i="20"/>
  <c r="G391" i="20"/>
  <c r="J390" i="20"/>
  <c r="G390" i="20"/>
  <c r="J389" i="20"/>
  <c r="G389" i="20"/>
  <c r="U388" i="20"/>
  <c r="T388" i="20"/>
  <c r="S388" i="20"/>
  <c r="R388" i="20"/>
  <c r="O388" i="20"/>
  <c r="J388" i="20"/>
  <c r="G388" i="20"/>
  <c r="J387" i="20"/>
  <c r="G387" i="20"/>
  <c r="J386" i="20"/>
  <c r="G386" i="20"/>
  <c r="O385" i="20"/>
  <c r="U385" i="20" s="1"/>
  <c r="J385" i="20"/>
  <c r="G385" i="20"/>
  <c r="J384" i="20"/>
  <c r="G384" i="20"/>
  <c r="J383" i="20"/>
  <c r="G383" i="20"/>
  <c r="U382" i="20"/>
  <c r="R382" i="20"/>
  <c r="Q382" i="20"/>
  <c r="O382" i="20"/>
  <c r="P382" i="20" s="1"/>
  <c r="J382" i="20"/>
  <c r="G382" i="20"/>
  <c r="T381" i="20"/>
  <c r="O381" i="20"/>
  <c r="J381" i="20"/>
  <c r="G381" i="20"/>
  <c r="T380" i="20"/>
  <c r="Q380" i="20"/>
  <c r="P380" i="20"/>
  <c r="O380" i="20"/>
  <c r="J380" i="20"/>
  <c r="G380" i="20"/>
  <c r="O379" i="20"/>
  <c r="P379" i="20" s="1"/>
  <c r="J379" i="20"/>
  <c r="G379" i="20"/>
  <c r="O378" i="20"/>
  <c r="J378" i="20"/>
  <c r="G378" i="20"/>
  <c r="J377" i="20"/>
  <c r="G377" i="20"/>
  <c r="J376" i="20"/>
  <c r="G376" i="20"/>
  <c r="U375" i="20"/>
  <c r="T375" i="20"/>
  <c r="S375" i="20"/>
  <c r="R375" i="20"/>
  <c r="Q375" i="20"/>
  <c r="P375" i="20"/>
  <c r="O375" i="20"/>
  <c r="J375" i="20"/>
  <c r="G375" i="20"/>
  <c r="J374" i="20"/>
  <c r="G374" i="20"/>
  <c r="O373" i="20"/>
  <c r="U373" i="20" s="1"/>
  <c r="J373" i="20"/>
  <c r="M373" i="20" s="1"/>
  <c r="N373" i="20" s="1"/>
  <c r="G373" i="20"/>
  <c r="J372" i="20"/>
  <c r="G372" i="20"/>
  <c r="J371" i="20"/>
  <c r="G371" i="20"/>
  <c r="J370" i="20"/>
  <c r="G370" i="20"/>
  <c r="J369" i="20"/>
  <c r="G369" i="20"/>
  <c r="S368" i="20"/>
  <c r="R368" i="20"/>
  <c r="Q368" i="20"/>
  <c r="P368" i="20"/>
  <c r="O368" i="20"/>
  <c r="J368" i="20"/>
  <c r="G368" i="20"/>
  <c r="J367" i="20"/>
  <c r="G367" i="20"/>
  <c r="Q366" i="20"/>
  <c r="O366" i="20"/>
  <c r="P366" i="20" s="1"/>
  <c r="J366" i="20"/>
  <c r="G366" i="20"/>
  <c r="O365" i="20"/>
  <c r="T365" i="20" s="1"/>
  <c r="J365" i="20"/>
  <c r="G365" i="20"/>
  <c r="J364" i="20"/>
  <c r="G364" i="20"/>
  <c r="J363" i="20"/>
  <c r="G363" i="20"/>
  <c r="J362" i="20"/>
  <c r="G362" i="20"/>
  <c r="U361" i="20"/>
  <c r="T361" i="20"/>
  <c r="S361" i="20"/>
  <c r="Q361" i="20"/>
  <c r="O361" i="20"/>
  <c r="P361" i="20" s="1"/>
  <c r="J361" i="20"/>
  <c r="G361" i="20"/>
  <c r="J360" i="20"/>
  <c r="G360" i="20"/>
  <c r="J359" i="20"/>
  <c r="G359" i="20"/>
  <c r="U358" i="20"/>
  <c r="T358" i="20"/>
  <c r="S358" i="20"/>
  <c r="R358" i="20"/>
  <c r="Q358" i="20"/>
  <c r="P358" i="20"/>
  <c r="J358" i="20"/>
  <c r="G358" i="20"/>
  <c r="O358" i="20" s="1"/>
  <c r="J357" i="20"/>
  <c r="G357" i="20"/>
  <c r="U356" i="20"/>
  <c r="T356" i="20"/>
  <c r="S356" i="20"/>
  <c r="R356" i="20"/>
  <c r="Q356" i="20"/>
  <c r="P356" i="20"/>
  <c r="J356" i="20"/>
  <c r="G356" i="20"/>
  <c r="O356" i="20" s="1"/>
  <c r="R355" i="20"/>
  <c r="O355" i="20"/>
  <c r="U355" i="20" s="1"/>
  <c r="J355" i="20"/>
  <c r="G355" i="20"/>
  <c r="U354" i="20"/>
  <c r="T354" i="20"/>
  <c r="S354" i="20"/>
  <c r="R354" i="20"/>
  <c r="Q354" i="20"/>
  <c r="P354" i="20"/>
  <c r="J354" i="20"/>
  <c r="G354" i="20"/>
  <c r="O354" i="20" s="1"/>
  <c r="O353" i="20"/>
  <c r="J353" i="20"/>
  <c r="G353" i="20"/>
  <c r="U352" i="20"/>
  <c r="T352" i="20"/>
  <c r="S352" i="20"/>
  <c r="R352" i="20"/>
  <c r="Q352" i="20"/>
  <c r="P352" i="20"/>
  <c r="O352" i="20"/>
  <c r="J352" i="20"/>
  <c r="G352" i="20"/>
  <c r="R351" i="20"/>
  <c r="P351" i="20"/>
  <c r="O351" i="20"/>
  <c r="J351" i="20"/>
  <c r="G351" i="20"/>
  <c r="J350" i="20"/>
  <c r="G350" i="20"/>
  <c r="J349" i="20"/>
  <c r="G349" i="20"/>
  <c r="O348" i="20"/>
  <c r="J348" i="20"/>
  <c r="G348" i="20"/>
  <c r="J347" i="20"/>
  <c r="G347" i="20"/>
  <c r="J346" i="20"/>
  <c r="G346" i="20"/>
  <c r="O345" i="20"/>
  <c r="R345" i="20" s="1"/>
  <c r="M345" i="20"/>
  <c r="N345" i="20" s="1"/>
  <c r="J345" i="20"/>
  <c r="G345" i="20"/>
  <c r="O344" i="20"/>
  <c r="S344" i="20" s="1"/>
  <c r="J344" i="20"/>
  <c r="G344" i="20"/>
  <c r="U343" i="20"/>
  <c r="R343" i="20"/>
  <c r="Q343" i="20"/>
  <c r="P343" i="20"/>
  <c r="O343" i="20"/>
  <c r="J343" i="20"/>
  <c r="G343" i="20"/>
  <c r="J342" i="20"/>
  <c r="G342" i="20"/>
  <c r="O341" i="20"/>
  <c r="M341" i="20"/>
  <c r="J341" i="20"/>
  <c r="G341" i="20"/>
  <c r="S340" i="20"/>
  <c r="R340" i="20"/>
  <c r="Q340" i="20"/>
  <c r="O340" i="20"/>
  <c r="J340" i="20"/>
  <c r="G340" i="20"/>
  <c r="O339" i="20"/>
  <c r="J339" i="20"/>
  <c r="M339" i="20" s="1"/>
  <c r="G339" i="20"/>
  <c r="O338" i="20"/>
  <c r="U338" i="20" s="1"/>
  <c r="J338" i="20"/>
  <c r="G338" i="20"/>
  <c r="U337" i="20"/>
  <c r="R337" i="20"/>
  <c r="O337" i="20"/>
  <c r="J337" i="20"/>
  <c r="G337" i="20"/>
  <c r="O336" i="20"/>
  <c r="P336" i="20" s="1"/>
  <c r="J336" i="20"/>
  <c r="G336" i="20"/>
  <c r="J335" i="20"/>
  <c r="G335" i="20"/>
  <c r="S334" i="20"/>
  <c r="Q334" i="20"/>
  <c r="O334" i="20"/>
  <c r="P334" i="20" s="1"/>
  <c r="J334" i="20"/>
  <c r="G334" i="20"/>
  <c r="J333" i="20"/>
  <c r="G333" i="20"/>
  <c r="O332" i="20"/>
  <c r="J332" i="20"/>
  <c r="G332" i="20"/>
  <c r="J331" i="20"/>
  <c r="G331" i="20"/>
  <c r="O330" i="20"/>
  <c r="U330" i="20" s="1"/>
  <c r="J330" i="20"/>
  <c r="G330" i="20"/>
  <c r="J329" i="20"/>
  <c r="G329" i="20"/>
  <c r="O328" i="20"/>
  <c r="U328" i="20" s="1"/>
  <c r="J328" i="20"/>
  <c r="G328" i="20"/>
  <c r="J327" i="20"/>
  <c r="G327" i="20"/>
  <c r="O326" i="20"/>
  <c r="U326" i="20" s="1"/>
  <c r="J326" i="20"/>
  <c r="G326" i="20"/>
  <c r="J325" i="20"/>
  <c r="G325" i="20"/>
  <c r="O324" i="20"/>
  <c r="J324" i="20"/>
  <c r="G324" i="20"/>
  <c r="J323" i="20"/>
  <c r="G323" i="20"/>
  <c r="O322" i="20"/>
  <c r="J322" i="20"/>
  <c r="G322" i="20"/>
  <c r="J321" i="20"/>
  <c r="G321" i="20"/>
  <c r="J320" i="20"/>
  <c r="G320" i="20"/>
  <c r="O319" i="20"/>
  <c r="J319" i="20"/>
  <c r="G319" i="20"/>
  <c r="J318" i="20"/>
  <c r="G318" i="20"/>
  <c r="O317" i="20"/>
  <c r="Q317" i="20" s="1"/>
  <c r="J317" i="20"/>
  <c r="G317" i="20"/>
  <c r="J316" i="20"/>
  <c r="G316" i="20"/>
  <c r="U315" i="20"/>
  <c r="T315" i="20"/>
  <c r="S315" i="20"/>
  <c r="R315" i="20"/>
  <c r="Q315" i="20"/>
  <c r="P315" i="20"/>
  <c r="O315" i="20"/>
  <c r="M315" i="20"/>
  <c r="J315" i="20"/>
  <c r="G315" i="20"/>
  <c r="M314" i="20"/>
  <c r="N314" i="20" s="1"/>
  <c r="J314" i="20"/>
  <c r="G314" i="20"/>
  <c r="U313" i="20"/>
  <c r="T313" i="20"/>
  <c r="S313" i="20"/>
  <c r="R313" i="20"/>
  <c r="Q313" i="20"/>
  <c r="P313" i="20"/>
  <c r="O313" i="20"/>
  <c r="J313" i="20"/>
  <c r="G313" i="20"/>
  <c r="O312" i="20"/>
  <c r="J312" i="20"/>
  <c r="G312" i="20"/>
  <c r="O311" i="20"/>
  <c r="U311" i="20" s="1"/>
  <c r="J311" i="20"/>
  <c r="G311" i="20"/>
  <c r="J310" i="20"/>
  <c r="G310" i="20"/>
  <c r="P309" i="20"/>
  <c r="O309" i="20"/>
  <c r="J309" i="20"/>
  <c r="G309" i="20"/>
  <c r="J308" i="20"/>
  <c r="G308" i="20"/>
  <c r="U307" i="20"/>
  <c r="T307" i="20"/>
  <c r="S307" i="20"/>
  <c r="P307" i="20"/>
  <c r="O307" i="20"/>
  <c r="J307" i="20"/>
  <c r="G307" i="20"/>
  <c r="O306" i="20"/>
  <c r="Q306" i="20" s="1"/>
  <c r="J306" i="20"/>
  <c r="G306" i="20"/>
  <c r="R305" i="20"/>
  <c r="Q305" i="20"/>
  <c r="P305" i="20"/>
  <c r="O305" i="20"/>
  <c r="J305" i="20"/>
  <c r="G305" i="20"/>
  <c r="T304" i="20"/>
  <c r="S304" i="20"/>
  <c r="O304" i="20"/>
  <c r="Q304" i="20" s="1"/>
  <c r="J304" i="20"/>
  <c r="G304" i="20"/>
  <c r="J303" i="20"/>
  <c r="G303" i="20"/>
  <c r="O302" i="20"/>
  <c r="J302" i="20"/>
  <c r="G302" i="20"/>
  <c r="O301" i="20"/>
  <c r="J301" i="20"/>
  <c r="G301" i="20"/>
  <c r="J300" i="20"/>
  <c r="G300" i="20"/>
  <c r="J299" i="20"/>
  <c r="G299" i="20"/>
  <c r="J298" i="20"/>
  <c r="G298" i="20"/>
  <c r="J297" i="20"/>
  <c r="G297" i="20"/>
  <c r="T296" i="20"/>
  <c r="S296" i="20"/>
  <c r="R296" i="20"/>
  <c r="Q296" i="20"/>
  <c r="O296" i="20"/>
  <c r="U296" i="20" s="1"/>
  <c r="J296" i="20"/>
  <c r="G296" i="20"/>
  <c r="J295" i="20"/>
  <c r="G295" i="20"/>
  <c r="J294" i="20"/>
  <c r="G294" i="20"/>
  <c r="U293" i="20"/>
  <c r="S293" i="20"/>
  <c r="R293" i="20"/>
  <c r="Q293" i="20"/>
  <c r="O293" i="20"/>
  <c r="T293" i="20" s="1"/>
  <c r="J293" i="20"/>
  <c r="G293" i="20"/>
  <c r="J292" i="20"/>
  <c r="G292" i="20"/>
  <c r="U291" i="20"/>
  <c r="S291" i="20"/>
  <c r="R291" i="20"/>
  <c r="Q291" i="20"/>
  <c r="P291" i="20"/>
  <c r="O291" i="20"/>
  <c r="T291" i="20" s="1"/>
  <c r="J291" i="20"/>
  <c r="G291" i="20"/>
  <c r="J290" i="20"/>
  <c r="G290" i="20"/>
  <c r="U289" i="20"/>
  <c r="S289" i="20"/>
  <c r="R289" i="20"/>
  <c r="Q289" i="20"/>
  <c r="P289" i="20"/>
  <c r="O289" i="20"/>
  <c r="T289" i="20" s="1"/>
  <c r="J289" i="20"/>
  <c r="G289" i="20"/>
  <c r="J288" i="20"/>
  <c r="G288" i="20"/>
  <c r="U287" i="20"/>
  <c r="O287" i="20"/>
  <c r="J287" i="20"/>
  <c r="G287" i="20"/>
  <c r="U286" i="20"/>
  <c r="O286" i="20"/>
  <c r="T286" i="20" s="1"/>
  <c r="J286" i="20"/>
  <c r="G286" i="20"/>
  <c r="O285" i="20"/>
  <c r="J285" i="20"/>
  <c r="G285" i="20"/>
  <c r="P284" i="20"/>
  <c r="O284" i="20"/>
  <c r="J284" i="20"/>
  <c r="G284" i="20"/>
  <c r="U283" i="20"/>
  <c r="R283" i="20"/>
  <c r="Q283" i="20"/>
  <c r="O283" i="20"/>
  <c r="J283" i="20"/>
  <c r="G283" i="20"/>
  <c r="U282" i="20"/>
  <c r="T282" i="20"/>
  <c r="O282" i="20"/>
  <c r="J282" i="20"/>
  <c r="G282" i="20"/>
  <c r="O281" i="20"/>
  <c r="S281" i="20" s="1"/>
  <c r="J281" i="20"/>
  <c r="G281" i="20"/>
  <c r="J280" i="20"/>
  <c r="G280" i="20"/>
  <c r="U279" i="20"/>
  <c r="T279" i="20"/>
  <c r="S279" i="20"/>
  <c r="R279" i="20"/>
  <c r="Q279" i="20"/>
  <c r="P279" i="20"/>
  <c r="O279" i="20"/>
  <c r="J279" i="20"/>
  <c r="G279" i="20"/>
  <c r="J278" i="20"/>
  <c r="G278" i="20"/>
  <c r="U277" i="20"/>
  <c r="T277" i="20"/>
  <c r="S277" i="20"/>
  <c r="R277" i="20"/>
  <c r="Q277" i="20"/>
  <c r="O277" i="20"/>
  <c r="P277" i="20" s="1"/>
  <c r="J277" i="20"/>
  <c r="G277" i="20"/>
  <c r="J276" i="20"/>
  <c r="G276" i="20"/>
  <c r="J275" i="20"/>
  <c r="G275" i="20"/>
  <c r="J274" i="20"/>
  <c r="G274" i="20"/>
  <c r="U273" i="20"/>
  <c r="T273" i="20"/>
  <c r="S273" i="20"/>
  <c r="P273" i="20"/>
  <c r="O273" i="20"/>
  <c r="M273" i="20"/>
  <c r="J273" i="20"/>
  <c r="G273" i="20"/>
  <c r="J272" i="20"/>
  <c r="G272" i="20"/>
  <c r="O271" i="20"/>
  <c r="J271" i="20"/>
  <c r="G271" i="20"/>
  <c r="J270" i="20"/>
  <c r="G270" i="20"/>
  <c r="P269" i="20"/>
  <c r="O269" i="20"/>
  <c r="J269" i="20"/>
  <c r="G269" i="20"/>
  <c r="U268" i="20"/>
  <c r="T268" i="20"/>
  <c r="S268" i="20"/>
  <c r="R268" i="20"/>
  <c r="Q268" i="20"/>
  <c r="O268" i="20"/>
  <c r="P268" i="20" s="1"/>
  <c r="J268" i="20"/>
  <c r="G268" i="20"/>
  <c r="O267" i="20"/>
  <c r="J267" i="20"/>
  <c r="G267" i="20"/>
  <c r="S266" i="20"/>
  <c r="O266" i="20"/>
  <c r="M266" i="20"/>
  <c r="J266" i="20"/>
  <c r="G266" i="20"/>
  <c r="J265" i="20"/>
  <c r="G265" i="20"/>
  <c r="J264" i="20"/>
  <c r="G264" i="20"/>
  <c r="O263" i="20"/>
  <c r="U263" i="20" s="1"/>
  <c r="J263" i="20"/>
  <c r="G263" i="20"/>
  <c r="J262" i="20"/>
  <c r="G262" i="20"/>
  <c r="J261" i="20"/>
  <c r="G261" i="20"/>
  <c r="J260" i="20"/>
  <c r="G260" i="20"/>
  <c r="J259" i="20"/>
  <c r="G259" i="20"/>
  <c r="O258" i="20"/>
  <c r="P258" i="20" s="1"/>
  <c r="J258" i="20"/>
  <c r="G258" i="20"/>
  <c r="O257" i="20"/>
  <c r="M257" i="20"/>
  <c r="N257" i="20" s="1"/>
  <c r="J257" i="20"/>
  <c r="G257" i="20"/>
  <c r="J256" i="20"/>
  <c r="G256" i="20"/>
  <c r="U255" i="20"/>
  <c r="T255" i="20"/>
  <c r="S255" i="20"/>
  <c r="Q255" i="20"/>
  <c r="P255" i="20"/>
  <c r="O255" i="20"/>
  <c r="M255" i="20"/>
  <c r="J255" i="20"/>
  <c r="G255" i="20"/>
  <c r="O254" i="20"/>
  <c r="U254" i="20" s="1"/>
  <c r="J254" i="20"/>
  <c r="G254" i="20"/>
  <c r="T253" i="20"/>
  <c r="S253" i="20"/>
  <c r="R253" i="20"/>
  <c r="P253" i="20"/>
  <c r="O253" i="20"/>
  <c r="J253" i="20"/>
  <c r="G253" i="20"/>
  <c r="O252" i="20"/>
  <c r="J252" i="20"/>
  <c r="G252" i="20"/>
  <c r="J251" i="20"/>
  <c r="G251" i="20"/>
  <c r="J250" i="20"/>
  <c r="G250" i="20"/>
  <c r="J249" i="20"/>
  <c r="G249" i="20"/>
  <c r="J248" i="20"/>
  <c r="G248" i="20"/>
  <c r="J247" i="20"/>
  <c r="G247" i="20"/>
  <c r="T246" i="20"/>
  <c r="S246" i="20"/>
  <c r="Q246" i="20"/>
  <c r="O246" i="20"/>
  <c r="U246" i="20" s="1"/>
  <c r="J246" i="20"/>
  <c r="G246" i="20"/>
  <c r="O245" i="20"/>
  <c r="J245" i="20"/>
  <c r="G245" i="20"/>
  <c r="O244" i="20"/>
  <c r="S244" i="20" s="1"/>
  <c r="J244" i="20"/>
  <c r="G244" i="20"/>
  <c r="J243" i="20"/>
  <c r="G243" i="20"/>
  <c r="J242" i="20"/>
  <c r="G242" i="20"/>
  <c r="O241" i="20"/>
  <c r="S241" i="20" s="1"/>
  <c r="J241" i="20"/>
  <c r="G241" i="20"/>
  <c r="U240" i="20"/>
  <c r="T240" i="20"/>
  <c r="S240" i="20"/>
  <c r="R240" i="20"/>
  <c r="Q240" i="20"/>
  <c r="P240" i="20"/>
  <c r="O240" i="20"/>
  <c r="J240" i="20"/>
  <c r="G240" i="20"/>
  <c r="J239" i="20"/>
  <c r="G239" i="20"/>
  <c r="O238" i="20"/>
  <c r="J238" i="20"/>
  <c r="G238" i="20"/>
  <c r="U237" i="20"/>
  <c r="T237" i="20"/>
  <c r="S237" i="20"/>
  <c r="R237" i="20"/>
  <c r="Q237" i="20"/>
  <c r="O237" i="20"/>
  <c r="J237" i="20"/>
  <c r="G237" i="20"/>
  <c r="O236" i="20"/>
  <c r="J236" i="20"/>
  <c r="G236" i="20"/>
  <c r="U235" i="20"/>
  <c r="T235" i="20"/>
  <c r="S235" i="20"/>
  <c r="Q235" i="20"/>
  <c r="P235" i="20"/>
  <c r="O235" i="20"/>
  <c r="J235" i="20"/>
  <c r="G235" i="20"/>
  <c r="O234" i="20"/>
  <c r="M234" i="20"/>
  <c r="N234" i="20" s="1"/>
  <c r="J234" i="20"/>
  <c r="G234" i="20"/>
  <c r="J233" i="20"/>
  <c r="G233" i="20"/>
  <c r="J232" i="20"/>
  <c r="G232" i="20"/>
  <c r="Q231" i="20"/>
  <c r="O231" i="20"/>
  <c r="J231" i="20"/>
  <c r="G231" i="20"/>
  <c r="O230" i="20"/>
  <c r="J230" i="20"/>
  <c r="G230" i="20"/>
  <c r="M229" i="20"/>
  <c r="N229" i="20" s="1"/>
  <c r="J229" i="20"/>
  <c r="G229" i="20"/>
  <c r="O228" i="20"/>
  <c r="J228" i="20"/>
  <c r="G228" i="20"/>
  <c r="J227" i="20"/>
  <c r="G227" i="20"/>
  <c r="J226" i="20"/>
  <c r="G226" i="20"/>
  <c r="P225" i="20"/>
  <c r="O225" i="20"/>
  <c r="J225" i="20"/>
  <c r="G225" i="20"/>
  <c r="J224" i="20"/>
  <c r="G224" i="20"/>
  <c r="S223" i="20"/>
  <c r="P223" i="20"/>
  <c r="O223" i="20"/>
  <c r="J223" i="20"/>
  <c r="G223" i="20"/>
  <c r="J222" i="20"/>
  <c r="G222" i="20"/>
  <c r="U221" i="20"/>
  <c r="T221" i="20"/>
  <c r="S221" i="20"/>
  <c r="R221" i="20"/>
  <c r="Q221" i="20"/>
  <c r="O221" i="20"/>
  <c r="P221" i="20" s="1"/>
  <c r="J221" i="20"/>
  <c r="G221" i="20"/>
  <c r="J220" i="20"/>
  <c r="G220" i="20"/>
  <c r="U219" i="20"/>
  <c r="T219" i="20"/>
  <c r="S219" i="20"/>
  <c r="R219" i="20"/>
  <c r="Q219" i="20"/>
  <c r="P219" i="20"/>
  <c r="O219" i="20"/>
  <c r="J219" i="20"/>
  <c r="G219" i="20"/>
  <c r="J218" i="20"/>
  <c r="G218" i="20"/>
  <c r="O217" i="20"/>
  <c r="Q217" i="20" s="1"/>
  <c r="J217" i="20"/>
  <c r="G217" i="20"/>
  <c r="J216" i="20"/>
  <c r="G216" i="20"/>
  <c r="O215" i="20"/>
  <c r="J215" i="20"/>
  <c r="G215" i="20"/>
  <c r="M214" i="20"/>
  <c r="N214" i="20" s="1"/>
  <c r="J214" i="20"/>
  <c r="G214" i="20"/>
  <c r="J213" i="20"/>
  <c r="G213" i="20"/>
  <c r="J212" i="20"/>
  <c r="G212" i="20"/>
  <c r="J211" i="20"/>
  <c r="G211" i="20"/>
  <c r="O210" i="20"/>
  <c r="S210" i="20" s="1"/>
  <c r="J210" i="20"/>
  <c r="G210" i="20"/>
  <c r="O209" i="20"/>
  <c r="J209" i="20"/>
  <c r="G209" i="20"/>
  <c r="J208" i="20"/>
  <c r="G208" i="20"/>
  <c r="J207" i="20"/>
  <c r="G207" i="20"/>
  <c r="J206" i="20"/>
  <c r="G206" i="20"/>
  <c r="J205" i="20"/>
  <c r="G205" i="20"/>
  <c r="J204" i="20"/>
  <c r="G204" i="20"/>
  <c r="O203" i="20"/>
  <c r="J203" i="20"/>
  <c r="G203" i="20"/>
  <c r="O202" i="20"/>
  <c r="M202" i="20"/>
  <c r="J202" i="20"/>
  <c r="G202" i="20"/>
  <c r="O201" i="20"/>
  <c r="T201" i="20" s="1"/>
  <c r="J201" i="20"/>
  <c r="G201" i="20"/>
  <c r="S200" i="20"/>
  <c r="Q200" i="20"/>
  <c r="O200" i="20"/>
  <c r="R200" i="20" s="1"/>
  <c r="M200" i="20"/>
  <c r="N200" i="20" s="1"/>
  <c r="J200" i="20"/>
  <c r="G200" i="20"/>
  <c r="J199" i="20"/>
  <c r="G199" i="20"/>
  <c r="O199" i="20" s="1"/>
  <c r="J198" i="20"/>
  <c r="G198" i="20"/>
  <c r="U197" i="20"/>
  <c r="O197" i="20"/>
  <c r="J197" i="20"/>
  <c r="G197" i="20"/>
  <c r="J196" i="20"/>
  <c r="G196" i="20"/>
  <c r="J195" i="20"/>
  <c r="G195" i="20"/>
  <c r="O194" i="20"/>
  <c r="S194" i="20" s="1"/>
  <c r="J194" i="20"/>
  <c r="G194" i="20"/>
  <c r="U193" i="20"/>
  <c r="T193" i="20"/>
  <c r="S193" i="20"/>
  <c r="P193" i="20"/>
  <c r="O193" i="20"/>
  <c r="J193" i="20"/>
  <c r="G193" i="20"/>
  <c r="O192" i="20"/>
  <c r="U192" i="20" s="1"/>
  <c r="J192" i="20"/>
  <c r="G192" i="20"/>
  <c r="J191" i="20"/>
  <c r="G191" i="20"/>
  <c r="J190" i="20"/>
  <c r="G190" i="20"/>
  <c r="U189" i="20"/>
  <c r="T189" i="20"/>
  <c r="S189" i="20"/>
  <c r="R189" i="20"/>
  <c r="Q189" i="20"/>
  <c r="P189" i="20"/>
  <c r="O189" i="20"/>
  <c r="J189" i="20"/>
  <c r="G189" i="20"/>
  <c r="J188" i="20"/>
  <c r="G188" i="20"/>
  <c r="J187" i="20"/>
  <c r="G187" i="20"/>
  <c r="O186" i="20"/>
  <c r="U186" i="20" s="1"/>
  <c r="J186" i="20"/>
  <c r="G186" i="20"/>
  <c r="O185" i="20"/>
  <c r="U185" i="20" s="1"/>
  <c r="J185" i="20"/>
  <c r="G185" i="20"/>
  <c r="T184" i="20"/>
  <c r="Q184" i="20"/>
  <c r="P184" i="20"/>
  <c r="O184" i="20"/>
  <c r="M184" i="20"/>
  <c r="N184" i="20" s="1"/>
  <c r="J184" i="20"/>
  <c r="G184" i="20"/>
  <c r="J183" i="20"/>
  <c r="G183" i="20"/>
  <c r="O182" i="20"/>
  <c r="U182" i="20" s="1"/>
  <c r="J182" i="20"/>
  <c r="G182" i="20"/>
  <c r="O181" i="20"/>
  <c r="J181" i="20"/>
  <c r="G181" i="20"/>
  <c r="J180" i="20"/>
  <c r="G180" i="20"/>
  <c r="J179" i="20"/>
  <c r="G179" i="20"/>
  <c r="J178" i="20"/>
  <c r="G178" i="20"/>
  <c r="O177" i="20"/>
  <c r="P177" i="20" s="1"/>
  <c r="M177" i="20"/>
  <c r="J177" i="20"/>
  <c r="G177" i="20"/>
  <c r="J176" i="20"/>
  <c r="G176" i="20"/>
  <c r="J175" i="20"/>
  <c r="G175" i="20"/>
  <c r="J174" i="20"/>
  <c r="G174" i="20"/>
  <c r="O173" i="20"/>
  <c r="M173" i="20"/>
  <c r="N173" i="20" s="1"/>
  <c r="J173" i="20"/>
  <c r="G173" i="20"/>
  <c r="O172" i="20"/>
  <c r="U172" i="20" s="1"/>
  <c r="J172" i="20"/>
  <c r="G172" i="20"/>
  <c r="O171" i="20"/>
  <c r="J171" i="20"/>
  <c r="G171" i="20"/>
  <c r="O170" i="20"/>
  <c r="J170" i="20"/>
  <c r="G170" i="20"/>
  <c r="O169" i="20"/>
  <c r="J169" i="20"/>
  <c r="G169" i="20"/>
  <c r="J168" i="20"/>
  <c r="G168" i="20"/>
  <c r="J167" i="20"/>
  <c r="G167" i="20"/>
  <c r="U166" i="20"/>
  <c r="T166" i="20"/>
  <c r="O166" i="20"/>
  <c r="J166" i="20"/>
  <c r="G166" i="20"/>
  <c r="J165" i="20"/>
  <c r="G165" i="20"/>
  <c r="U164" i="20"/>
  <c r="S164" i="20"/>
  <c r="R164" i="20"/>
  <c r="Q164" i="20"/>
  <c r="O164" i="20"/>
  <c r="P164" i="20" s="1"/>
  <c r="J164" i="20"/>
  <c r="G164" i="20"/>
  <c r="O163" i="20"/>
  <c r="M163" i="20"/>
  <c r="J163" i="20"/>
  <c r="G163" i="20"/>
  <c r="J162" i="20"/>
  <c r="G162" i="20"/>
  <c r="U161" i="20"/>
  <c r="T161" i="20"/>
  <c r="S161" i="20"/>
  <c r="R161" i="20"/>
  <c r="Q161" i="20"/>
  <c r="O161" i="20"/>
  <c r="P161" i="20" s="1"/>
  <c r="J161" i="20"/>
  <c r="G161" i="20"/>
  <c r="J160" i="20"/>
  <c r="G160" i="20"/>
  <c r="J159" i="20"/>
  <c r="G159" i="20"/>
  <c r="J158" i="20"/>
  <c r="G158" i="20"/>
  <c r="J157" i="20"/>
  <c r="G157" i="20"/>
  <c r="U156" i="20"/>
  <c r="T156" i="20"/>
  <c r="S156" i="20"/>
  <c r="O156" i="20"/>
  <c r="R156" i="20" s="1"/>
  <c r="M156" i="20"/>
  <c r="N156" i="20" s="1"/>
  <c r="J156" i="20"/>
  <c r="G156" i="20"/>
  <c r="M155" i="20"/>
  <c r="N155" i="20" s="1"/>
  <c r="J155" i="20"/>
  <c r="G155" i="20"/>
  <c r="O154" i="20"/>
  <c r="P154" i="20" s="1"/>
  <c r="J154" i="20"/>
  <c r="G154" i="20"/>
  <c r="J153" i="20"/>
  <c r="G153" i="20"/>
  <c r="J152" i="20"/>
  <c r="G152" i="20"/>
  <c r="O151" i="20"/>
  <c r="P151" i="20" s="1"/>
  <c r="J151" i="20"/>
  <c r="G151" i="20"/>
  <c r="J150" i="20"/>
  <c r="G150" i="20"/>
  <c r="J149" i="20"/>
  <c r="G149" i="20"/>
  <c r="O148" i="20"/>
  <c r="P148" i="20" s="1"/>
  <c r="J148" i="20"/>
  <c r="G148" i="20"/>
  <c r="J147" i="20"/>
  <c r="G147" i="20"/>
  <c r="M146" i="20"/>
  <c r="N146" i="20" s="1"/>
  <c r="J146" i="20"/>
  <c r="G146" i="20"/>
  <c r="O145" i="20"/>
  <c r="J145" i="20"/>
  <c r="G145" i="20"/>
  <c r="J144" i="20"/>
  <c r="G144" i="20"/>
  <c r="U143" i="20"/>
  <c r="T143" i="20"/>
  <c r="S143" i="20"/>
  <c r="O143" i="20"/>
  <c r="R143" i="20" s="1"/>
  <c r="J143" i="20"/>
  <c r="G143" i="20"/>
  <c r="O142" i="20"/>
  <c r="J142" i="20"/>
  <c r="G142" i="20"/>
  <c r="O141" i="20"/>
  <c r="J141" i="20"/>
  <c r="G141" i="20"/>
  <c r="O140" i="20"/>
  <c r="J140" i="20"/>
  <c r="G140" i="20"/>
  <c r="J139" i="20"/>
  <c r="G139" i="20"/>
  <c r="J138" i="20"/>
  <c r="G138" i="20"/>
  <c r="J137" i="20"/>
  <c r="G137" i="20"/>
  <c r="J136" i="20"/>
  <c r="G136" i="20"/>
  <c r="O136" i="20" s="1"/>
  <c r="S135" i="20"/>
  <c r="O135" i="20"/>
  <c r="J135" i="20"/>
  <c r="G135" i="20"/>
  <c r="J134" i="20"/>
  <c r="G134" i="20"/>
  <c r="U133" i="20"/>
  <c r="O133" i="20"/>
  <c r="T133" i="20" s="1"/>
  <c r="J133" i="20"/>
  <c r="G133" i="20"/>
  <c r="O132" i="20"/>
  <c r="Q132" i="20" s="1"/>
  <c r="J132" i="20"/>
  <c r="G132" i="20"/>
  <c r="J131" i="20"/>
  <c r="G131" i="20"/>
  <c r="J130" i="20"/>
  <c r="G130" i="20"/>
  <c r="O129" i="20"/>
  <c r="S129" i="20" s="1"/>
  <c r="J129" i="20"/>
  <c r="G129" i="20"/>
  <c r="J128" i="20"/>
  <c r="G128" i="20"/>
  <c r="O127" i="20"/>
  <c r="J127" i="20"/>
  <c r="G127" i="20"/>
  <c r="O126" i="20"/>
  <c r="P126" i="20" s="1"/>
  <c r="J126" i="20"/>
  <c r="G126" i="20"/>
  <c r="J125" i="20"/>
  <c r="G125" i="20"/>
  <c r="R124" i="20"/>
  <c r="Q124" i="20"/>
  <c r="P124" i="20"/>
  <c r="O124" i="20"/>
  <c r="J124" i="20"/>
  <c r="G124" i="20"/>
  <c r="O123" i="20"/>
  <c r="S123" i="20" s="1"/>
  <c r="J123" i="20"/>
  <c r="G123" i="20"/>
  <c r="O122" i="20"/>
  <c r="J122" i="20"/>
  <c r="I122" i="20"/>
  <c r="G122" i="20"/>
  <c r="O121" i="20"/>
  <c r="Q121" i="20" s="1"/>
  <c r="J121" i="20"/>
  <c r="I121" i="20"/>
  <c r="G121" i="20"/>
  <c r="J120" i="20"/>
  <c r="I120" i="20"/>
  <c r="G120" i="20"/>
  <c r="Q119" i="20"/>
  <c r="P119" i="20"/>
  <c r="O119" i="20"/>
  <c r="J119" i="20"/>
  <c r="I119" i="20"/>
  <c r="G119" i="20"/>
  <c r="J118" i="20"/>
  <c r="I118" i="20"/>
  <c r="G118" i="20"/>
  <c r="J117" i="20"/>
  <c r="I117" i="20"/>
  <c r="G117" i="20"/>
  <c r="U116" i="20"/>
  <c r="T116" i="20"/>
  <c r="S116" i="20"/>
  <c r="R116" i="20"/>
  <c r="Q116" i="20"/>
  <c r="O116" i="20"/>
  <c r="J116" i="20"/>
  <c r="I116" i="20"/>
  <c r="G116" i="20"/>
  <c r="J115" i="20"/>
  <c r="I115" i="20"/>
  <c r="G115" i="20"/>
  <c r="O114" i="20"/>
  <c r="P114" i="20" s="1"/>
  <c r="J114" i="20"/>
  <c r="I114" i="20"/>
  <c r="G114" i="20"/>
  <c r="J113" i="20"/>
  <c r="I113" i="20"/>
  <c r="G113" i="20"/>
  <c r="U112" i="20"/>
  <c r="R112" i="20"/>
  <c r="Q112" i="20"/>
  <c r="P112" i="20"/>
  <c r="O112" i="20"/>
  <c r="J112" i="20"/>
  <c r="I112" i="20"/>
  <c r="G112" i="20"/>
  <c r="J111" i="20"/>
  <c r="I111" i="20"/>
  <c r="G111" i="20"/>
  <c r="J110" i="20"/>
  <c r="I110" i="20"/>
  <c r="G110" i="20"/>
  <c r="O109" i="20"/>
  <c r="P109" i="20" s="1"/>
  <c r="J109" i="20"/>
  <c r="I109" i="20"/>
  <c r="G109" i="20"/>
  <c r="O108" i="20"/>
  <c r="U108" i="20" s="1"/>
  <c r="J108" i="20"/>
  <c r="I108" i="20"/>
  <c r="G108" i="20"/>
  <c r="J107" i="20"/>
  <c r="I107" i="20"/>
  <c r="G107" i="20"/>
  <c r="S106" i="20"/>
  <c r="R106" i="20"/>
  <c r="P106" i="20"/>
  <c r="O106" i="20"/>
  <c r="J106" i="20"/>
  <c r="I106" i="20"/>
  <c r="G106" i="20"/>
  <c r="J105" i="20"/>
  <c r="I105" i="20"/>
  <c r="G105" i="20"/>
  <c r="J104" i="20"/>
  <c r="I104" i="20"/>
  <c r="G104" i="20"/>
  <c r="J103" i="20"/>
  <c r="I103" i="20"/>
  <c r="G103" i="20"/>
  <c r="J102" i="20"/>
  <c r="I102" i="20"/>
  <c r="G102" i="20"/>
  <c r="J101" i="20"/>
  <c r="I101" i="20"/>
  <c r="G101" i="20"/>
  <c r="J100" i="20"/>
  <c r="I100" i="20"/>
  <c r="G100" i="20"/>
  <c r="O99" i="20"/>
  <c r="P99" i="20" s="1"/>
  <c r="J99" i="20"/>
  <c r="I99" i="20"/>
  <c r="G99" i="20"/>
  <c r="O98" i="20"/>
  <c r="J98" i="20"/>
  <c r="I98" i="20"/>
  <c r="G98" i="20"/>
  <c r="J97" i="20"/>
  <c r="I97" i="20"/>
  <c r="G97" i="20"/>
  <c r="J96" i="20"/>
  <c r="I96" i="20"/>
  <c r="G96" i="20"/>
  <c r="U95" i="20"/>
  <c r="T95" i="20"/>
  <c r="P95" i="20"/>
  <c r="O95" i="20"/>
  <c r="J95" i="20"/>
  <c r="I95" i="20"/>
  <c r="G95" i="20"/>
  <c r="J94" i="20"/>
  <c r="I94" i="20"/>
  <c r="G94" i="20"/>
  <c r="U93" i="20"/>
  <c r="Q93" i="20"/>
  <c r="P93" i="20"/>
  <c r="O93" i="20"/>
  <c r="J93" i="20"/>
  <c r="I93" i="20"/>
  <c r="G93" i="20"/>
  <c r="J92" i="20"/>
  <c r="I92" i="20"/>
  <c r="G92" i="20"/>
  <c r="O91" i="20"/>
  <c r="Q91" i="20" s="1"/>
  <c r="J91" i="20"/>
  <c r="I91" i="20"/>
  <c r="G91" i="20"/>
  <c r="J90" i="20"/>
  <c r="I90" i="20"/>
  <c r="M90" i="20" s="1"/>
  <c r="N90" i="20" s="1"/>
  <c r="G90" i="20"/>
  <c r="J89" i="20"/>
  <c r="I89" i="20"/>
  <c r="G89" i="20"/>
  <c r="J88" i="20"/>
  <c r="I88" i="20"/>
  <c r="G88" i="20"/>
  <c r="J87" i="20"/>
  <c r="I87" i="20"/>
  <c r="G87" i="20"/>
  <c r="J86" i="20"/>
  <c r="I86" i="20"/>
  <c r="G86" i="20"/>
  <c r="J85" i="20"/>
  <c r="I85" i="20"/>
  <c r="G85" i="20"/>
  <c r="J84" i="20"/>
  <c r="I84" i="20"/>
  <c r="G84" i="20"/>
  <c r="J83" i="20"/>
  <c r="I83" i="20"/>
  <c r="G83" i="20"/>
  <c r="O82" i="20"/>
  <c r="J82" i="20"/>
  <c r="I82" i="20"/>
  <c r="G82" i="20"/>
  <c r="U81" i="20"/>
  <c r="O81" i="20"/>
  <c r="T81" i="20" s="1"/>
  <c r="J81" i="20"/>
  <c r="I81" i="20"/>
  <c r="G81" i="20"/>
  <c r="J80" i="20"/>
  <c r="I80" i="20"/>
  <c r="G80" i="20"/>
  <c r="J79" i="20"/>
  <c r="I79" i="20"/>
  <c r="G79" i="20"/>
  <c r="J78" i="20"/>
  <c r="I78" i="20"/>
  <c r="G78" i="20"/>
  <c r="J77" i="20"/>
  <c r="I77" i="20"/>
  <c r="G77" i="20"/>
  <c r="J76" i="20"/>
  <c r="I76" i="20"/>
  <c r="G76" i="20"/>
  <c r="O75" i="20"/>
  <c r="J75" i="20"/>
  <c r="I75" i="20"/>
  <c r="G75" i="20"/>
  <c r="J74" i="20"/>
  <c r="I74" i="20"/>
  <c r="G74" i="20"/>
  <c r="O73" i="20"/>
  <c r="J73" i="20"/>
  <c r="I73" i="20"/>
  <c r="G73" i="20"/>
  <c r="J72" i="20"/>
  <c r="I72" i="20"/>
  <c r="G72" i="20"/>
  <c r="J71" i="20"/>
  <c r="I71" i="20"/>
  <c r="G71" i="20"/>
  <c r="J70" i="20"/>
  <c r="I70" i="20"/>
  <c r="G70" i="20"/>
  <c r="T69" i="20"/>
  <c r="R69" i="20"/>
  <c r="Q69" i="20"/>
  <c r="P69" i="20"/>
  <c r="O69" i="20"/>
  <c r="J69" i="20"/>
  <c r="I69" i="20"/>
  <c r="G69" i="20"/>
  <c r="J68" i="20"/>
  <c r="I68" i="20"/>
  <c r="G68" i="20"/>
  <c r="J67" i="20"/>
  <c r="I67" i="20"/>
  <c r="G67" i="20"/>
  <c r="J66" i="20"/>
  <c r="I66" i="20"/>
  <c r="G66" i="20"/>
  <c r="J65" i="20"/>
  <c r="I65" i="20"/>
  <c r="G65" i="20"/>
  <c r="U64" i="20"/>
  <c r="T64" i="20"/>
  <c r="S64" i="20"/>
  <c r="R64" i="20"/>
  <c r="P64" i="20"/>
  <c r="O64" i="20"/>
  <c r="J64" i="20"/>
  <c r="I64" i="20"/>
  <c r="G64" i="20"/>
  <c r="J63" i="20"/>
  <c r="I63" i="20"/>
  <c r="G63" i="20"/>
  <c r="O62" i="20"/>
  <c r="T62" i="20" s="1"/>
  <c r="J62" i="20"/>
  <c r="I62" i="20"/>
  <c r="G62" i="20"/>
  <c r="J61" i="20"/>
  <c r="I61" i="20"/>
  <c r="G61" i="20"/>
  <c r="O60" i="20"/>
  <c r="J60" i="20"/>
  <c r="I60" i="20"/>
  <c r="G60" i="20"/>
  <c r="J59" i="20"/>
  <c r="I59" i="20"/>
  <c r="G59" i="20"/>
  <c r="J58" i="20"/>
  <c r="I58" i="20"/>
  <c r="G58" i="20"/>
  <c r="O57" i="20"/>
  <c r="P57" i="20" s="1"/>
  <c r="J57" i="20"/>
  <c r="I57" i="20"/>
  <c r="G57" i="20"/>
  <c r="J56" i="20"/>
  <c r="I56" i="20"/>
  <c r="G56" i="20"/>
  <c r="J55" i="20"/>
  <c r="I55" i="20"/>
  <c r="G55" i="20"/>
  <c r="O54" i="20"/>
  <c r="S54" i="20" s="1"/>
  <c r="J54" i="20"/>
  <c r="I54" i="20"/>
  <c r="G54" i="20"/>
  <c r="J53" i="20"/>
  <c r="I53" i="20"/>
  <c r="G53" i="20"/>
  <c r="J52" i="20"/>
  <c r="I52" i="20"/>
  <c r="G52" i="20"/>
  <c r="O51" i="20"/>
  <c r="U51" i="20" s="1"/>
  <c r="J51" i="20"/>
  <c r="I51" i="20"/>
  <c r="G51" i="20"/>
  <c r="J50" i="20"/>
  <c r="I50" i="20"/>
  <c r="G50" i="20"/>
  <c r="O49" i="20"/>
  <c r="J49" i="20"/>
  <c r="I49" i="20"/>
  <c r="G49" i="20"/>
  <c r="J48" i="20"/>
  <c r="I48" i="20"/>
  <c r="G48" i="20"/>
  <c r="J47" i="20"/>
  <c r="I47" i="20"/>
  <c r="G47" i="20"/>
  <c r="T46" i="20"/>
  <c r="S46" i="20"/>
  <c r="R46" i="20"/>
  <c r="Q46" i="20"/>
  <c r="O46" i="20"/>
  <c r="P46" i="20" s="1"/>
  <c r="J46" i="20"/>
  <c r="I46" i="20"/>
  <c r="G46" i="20"/>
  <c r="O45" i="20"/>
  <c r="J45" i="20"/>
  <c r="I45" i="20"/>
  <c r="G45" i="20"/>
  <c r="J44" i="20"/>
  <c r="I44" i="20"/>
  <c r="G44" i="20"/>
  <c r="J43" i="20"/>
  <c r="I43" i="20"/>
  <c r="G43" i="20"/>
  <c r="J42" i="20"/>
  <c r="I42" i="20"/>
  <c r="G42" i="20"/>
  <c r="J41" i="20"/>
  <c r="I41" i="20"/>
  <c r="G41" i="20"/>
  <c r="J40" i="20"/>
  <c r="I40" i="20"/>
  <c r="G40" i="20"/>
  <c r="J39" i="20"/>
  <c r="I39" i="20"/>
  <c r="G39" i="20"/>
  <c r="J38" i="20"/>
  <c r="I38" i="20"/>
  <c r="G38" i="20"/>
  <c r="O37" i="20"/>
  <c r="M37" i="20"/>
  <c r="J37" i="20"/>
  <c r="I37" i="20"/>
  <c r="G37" i="20"/>
  <c r="U36" i="20"/>
  <c r="T36" i="20"/>
  <c r="S36" i="20"/>
  <c r="R36" i="20"/>
  <c r="P36" i="20"/>
  <c r="O36" i="20"/>
  <c r="J36" i="20"/>
  <c r="I36" i="20"/>
  <c r="G36" i="20"/>
  <c r="O35" i="20"/>
  <c r="P35" i="20" s="1"/>
  <c r="J35" i="20"/>
  <c r="I35" i="20"/>
  <c r="G35" i="20"/>
  <c r="J34" i="20"/>
  <c r="I34" i="20"/>
  <c r="G34" i="20"/>
  <c r="J33" i="20"/>
  <c r="I33" i="20"/>
  <c r="G33" i="20"/>
  <c r="T32" i="20"/>
  <c r="S32" i="20"/>
  <c r="R32" i="20"/>
  <c r="Q32" i="20"/>
  <c r="P32" i="20"/>
  <c r="O32" i="20"/>
  <c r="U32" i="20" s="1"/>
  <c r="J32" i="20"/>
  <c r="I32" i="20"/>
  <c r="G32" i="20"/>
  <c r="U31" i="20"/>
  <c r="T31" i="20"/>
  <c r="O31" i="20"/>
  <c r="R31" i="20" s="1"/>
  <c r="J31" i="20"/>
  <c r="I31" i="20"/>
  <c r="G31" i="20"/>
  <c r="J30" i="20"/>
  <c r="I30" i="20"/>
  <c r="G30" i="20"/>
  <c r="J29" i="20"/>
  <c r="I29" i="20"/>
  <c r="G29" i="20"/>
  <c r="J28" i="20"/>
  <c r="I28" i="20"/>
  <c r="G28" i="20"/>
  <c r="T27" i="20"/>
  <c r="S27" i="20"/>
  <c r="R27" i="20"/>
  <c r="Q27" i="20"/>
  <c r="O27" i="20"/>
  <c r="P27" i="20" s="1"/>
  <c r="J27" i="20"/>
  <c r="I27" i="20"/>
  <c r="G27" i="20"/>
  <c r="J26" i="20"/>
  <c r="I26" i="20"/>
  <c r="G26" i="20"/>
  <c r="U25" i="20"/>
  <c r="T25" i="20"/>
  <c r="S25" i="20"/>
  <c r="R25" i="20"/>
  <c r="Q25" i="20"/>
  <c r="O25" i="20"/>
  <c r="P25" i="20" s="1"/>
  <c r="M25" i="20"/>
  <c r="J25" i="20"/>
  <c r="I25" i="20"/>
  <c r="G25" i="20"/>
  <c r="O24" i="20"/>
  <c r="S24" i="20" s="1"/>
  <c r="J24" i="20"/>
  <c r="I24" i="20"/>
  <c r="G24" i="20"/>
  <c r="U23" i="20"/>
  <c r="T23" i="20"/>
  <c r="S23" i="20"/>
  <c r="R23" i="20"/>
  <c r="Q23" i="20"/>
  <c r="P23" i="20"/>
  <c r="O23" i="20"/>
  <c r="J23" i="20"/>
  <c r="I23" i="20"/>
  <c r="G23" i="20"/>
  <c r="J22" i="20"/>
  <c r="I22" i="20"/>
  <c r="G22" i="20"/>
  <c r="O22" i="20" s="1"/>
  <c r="J21" i="20"/>
  <c r="I21" i="20"/>
  <c r="G21" i="20"/>
  <c r="J20" i="20"/>
  <c r="I20" i="20"/>
  <c r="G20" i="20"/>
  <c r="U19" i="20"/>
  <c r="T19" i="20"/>
  <c r="S19" i="20"/>
  <c r="R19" i="20"/>
  <c r="Q19" i="20"/>
  <c r="P19" i="20"/>
  <c r="O19" i="20"/>
  <c r="J19" i="20"/>
  <c r="I19" i="20"/>
  <c r="G19" i="20"/>
  <c r="J18" i="20"/>
  <c r="I18" i="20"/>
  <c r="G18" i="20"/>
  <c r="U17" i="20"/>
  <c r="T17" i="20"/>
  <c r="S17" i="20"/>
  <c r="Q17" i="20"/>
  <c r="P17" i="20"/>
  <c r="O17" i="20"/>
  <c r="J17" i="20"/>
  <c r="I17" i="20"/>
  <c r="G17" i="20"/>
  <c r="J16" i="20"/>
  <c r="I16" i="20"/>
  <c r="G16" i="20"/>
  <c r="P15" i="20"/>
  <c r="O15" i="20"/>
  <c r="T15" i="20" s="1"/>
  <c r="J15" i="20"/>
  <c r="I15" i="20"/>
  <c r="G15" i="20"/>
  <c r="O14" i="20"/>
  <c r="J14" i="20"/>
  <c r="I14" i="20"/>
  <c r="G14" i="20"/>
  <c r="J13" i="20"/>
  <c r="I13" i="20"/>
  <c r="G13" i="20"/>
  <c r="J12" i="20"/>
  <c r="I12" i="20"/>
  <c r="G12" i="20"/>
  <c r="J11" i="20"/>
  <c r="I11" i="20"/>
  <c r="G11" i="20"/>
  <c r="J10" i="20"/>
  <c r="I10" i="20"/>
  <c r="G10" i="20"/>
  <c r="R9" i="20"/>
  <c r="Q9" i="20"/>
  <c r="P9" i="20"/>
  <c r="O9" i="20"/>
  <c r="J9" i="20"/>
  <c r="I9" i="20"/>
  <c r="G9" i="20"/>
  <c r="J8" i="20"/>
  <c r="I8" i="20"/>
  <c r="G8" i="20"/>
  <c r="J7" i="20"/>
  <c r="I7" i="20"/>
  <c r="G7" i="20"/>
  <c r="J6" i="20"/>
  <c r="I6" i="20"/>
  <c r="G6" i="20"/>
  <c r="S5" i="20"/>
  <c r="R5" i="20"/>
  <c r="O5" i="20"/>
  <c r="M5" i="20"/>
  <c r="J5" i="20"/>
  <c r="I5" i="20"/>
  <c r="G5" i="20"/>
  <c r="J4" i="20"/>
  <c r="I4" i="20"/>
  <c r="G4" i="20"/>
  <c r="T3" i="20"/>
  <c r="S3" i="20"/>
  <c r="R3" i="20"/>
  <c r="Q3" i="20"/>
  <c r="P3" i="20"/>
  <c r="O3" i="20"/>
  <c r="U3" i="20" s="1"/>
  <c r="M3" i="20"/>
  <c r="J3" i="20"/>
  <c r="I3" i="20"/>
  <c r="G3" i="20"/>
  <c r="J422" i="19"/>
  <c r="G422" i="19"/>
  <c r="O421" i="19"/>
  <c r="J421" i="19"/>
  <c r="G421" i="19"/>
  <c r="J420" i="19"/>
  <c r="G420" i="19"/>
  <c r="J419" i="19"/>
  <c r="G419" i="19"/>
  <c r="U418" i="19"/>
  <c r="O418" i="19"/>
  <c r="J418" i="19"/>
  <c r="G418" i="19"/>
  <c r="O417" i="19"/>
  <c r="J417" i="19"/>
  <c r="G417" i="19"/>
  <c r="J416" i="19"/>
  <c r="G416" i="19"/>
  <c r="J415" i="19"/>
  <c r="G415" i="19"/>
  <c r="O414" i="19"/>
  <c r="T414" i="19" s="1"/>
  <c r="J414" i="19"/>
  <c r="G414" i="19"/>
  <c r="J413" i="19"/>
  <c r="G413" i="19"/>
  <c r="R412" i="19"/>
  <c r="Q412" i="19"/>
  <c r="O412" i="19"/>
  <c r="J412" i="19"/>
  <c r="G412" i="19"/>
  <c r="J411" i="19"/>
  <c r="G411" i="19"/>
  <c r="J410" i="19"/>
  <c r="G410" i="19"/>
  <c r="S409" i="19"/>
  <c r="R409" i="19"/>
  <c r="Q409" i="19"/>
  <c r="P409" i="19"/>
  <c r="O409" i="19"/>
  <c r="J409" i="19"/>
  <c r="G409" i="19"/>
  <c r="U408" i="19"/>
  <c r="T408" i="19"/>
  <c r="O408" i="19"/>
  <c r="J408" i="19"/>
  <c r="G408" i="19"/>
  <c r="J407" i="19"/>
  <c r="G407" i="19"/>
  <c r="U406" i="19"/>
  <c r="T406" i="19"/>
  <c r="S406" i="19"/>
  <c r="R406" i="19"/>
  <c r="Q406" i="19"/>
  <c r="O406" i="19"/>
  <c r="P406" i="19" s="1"/>
  <c r="M406" i="19"/>
  <c r="J406" i="19"/>
  <c r="G406" i="19"/>
  <c r="U405" i="19"/>
  <c r="T405" i="19"/>
  <c r="O405" i="19"/>
  <c r="J405" i="19"/>
  <c r="G405" i="19"/>
  <c r="O404" i="19"/>
  <c r="J404" i="19"/>
  <c r="G404" i="19"/>
  <c r="J403" i="19"/>
  <c r="G403" i="19"/>
  <c r="J402" i="19"/>
  <c r="G402" i="19"/>
  <c r="M401" i="19"/>
  <c r="N401" i="19" s="1"/>
  <c r="J401" i="19"/>
  <c r="G401" i="19"/>
  <c r="J400" i="19"/>
  <c r="G400" i="19"/>
  <c r="J399" i="19"/>
  <c r="G399" i="19"/>
  <c r="S398" i="19"/>
  <c r="P398" i="19"/>
  <c r="O398" i="19"/>
  <c r="J398" i="19"/>
  <c r="G398" i="19"/>
  <c r="J397" i="19"/>
  <c r="G397" i="19"/>
  <c r="J396" i="19"/>
  <c r="G396" i="19"/>
  <c r="J395" i="19"/>
  <c r="G395" i="19"/>
  <c r="J394" i="19"/>
  <c r="G394" i="19"/>
  <c r="T393" i="19"/>
  <c r="S393" i="19"/>
  <c r="R393" i="19"/>
  <c r="Q393" i="19"/>
  <c r="O393" i="19"/>
  <c r="U393" i="19" s="1"/>
  <c r="J393" i="19"/>
  <c r="G393" i="19"/>
  <c r="J392" i="19"/>
  <c r="G392" i="19"/>
  <c r="O391" i="19"/>
  <c r="J391" i="19"/>
  <c r="G391" i="19"/>
  <c r="J390" i="19"/>
  <c r="G390" i="19"/>
  <c r="J389" i="19"/>
  <c r="G389" i="19"/>
  <c r="J388" i="19"/>
  <c r="G388" i="19"/>
  <c r="J387" i="19"/>
  <c r="G387" i="19"/>
  <c r="Q386" i="19"/>
  <c r="O386" i="19"/>
  <c r="J386" i="19"/>
  <c r="G386" i="19"/>
  <c r="J385" i="19"/>
  <c r="G385" i="19"/>
  <c r="O384" i="19"/>
  <c r="U384" i="19" s="1"/>
  <c r="J384" i="19"/>
  <c r="G384" i="19"/>
  <c r="J383" i="19"/>
  <c r="G383" i="19"/>
  <c r="M382" i="19"/>
  <c r="N382" i="19" s="1"/>
  <c r="J382" i="19"/>
  <c r="G382" i="19"/>
  <c r="R381" i="19"/>
  <c r="Q381" i="19"/>
  <c r="P381" i="19"/>
  <c r="O381" i="19"/>
  <c r="J381" i="19"/>
  <c r="G381" i="19"/>
  <c r="J380" i="19"/>
  <c r="G380" i="19"/>
  <c r="P379" i="19"/>
  <c r="O379" i="19"/>
  <c r="J379" i="19"/>
  <c r="G379" i="19"/>
  <c r="O378" i="19"/>
  <c r="J378" i="19"/>
  <c r="G378" i="19"/>
  <c r="U377" i="19"/>
  <c r="T377" i="19"/>
  <c r="Q377" i="19"/>
  <c r="O377" i="19"/>
  <c r="J377" i="19"/>
  <c r="G377" i="19"/>
  <c r="J376" i="19"/>
  <c r="G376" i="19"/>
  <c r="M375" i="19"/>
  <c r="N375" i="19" s="1"/>
  <c r="J375" i="19"/>
  <c r="G375" i="19"/>
  <c r="S374" i="19"/>
  <c r="R374" i="19"/>
  <c r="O374" i="19"/>
  <c r="J374" i="19"/>
  <c r="G374" i="19"/>
  <c r="J373" i="19"/>
  <c r="G373" i="19"/>
  <c r="M372" i="19"/>
  <c r="N372" i="19" s="1"/>
  <c r="J372" i="19"/>
  <c r="G372" i="19"/>
  <c r="P371" i="19"/>
  <c r="O371" i="19"/>
  <c r="R371" i="19" s="1"/>
  <c r="J371" i="19"/>
  <c r="G371" i="19"/>
  <c r="U370" i="19"/>
  <c r="T370" i="19"/>
  <c r="S370" i="19"/>
  <c r="P370" i="19"/>
  <c r="O370" i="19"/>
  <c r="J370" i="19"/>
  <c r="G370" i="19"/>
  <c r="T369" i="19"/>
  <c r="Q369" i="19"/>
  <c r="O369" i="19"/>
  <c r="M369" i="19"/>
  <c r="J369" i="19"/>
  <c r="G369" i="19"/>
  <c r="R368" i="19"/>
  <c r="Q368" i="19"/>
  <c r="O368" i="19"/>
  <c r="U368" i="19" s="1"/>
  <c r="J368" i="19"/>
  <c r="G368" i="19"/>
  <c r="O367" i="19"/>
  <c r="J367" i="19"/>
  <c r="G367" i="19"/>
  <c r="J366" i="19"/>
  <c r="G366" i="19"/>
  <c r="J365" i="19"/>
  <c r="G365" i="19"/>
  <c r="J364" i="19"/>
  <c r="G364" i="19"/>
  <c r="J363" i="19"/>
  <c r="G363" i="19"/>
  <c r="R362" i="19"/>
  <c r="P362" i="19"/>
  <c r="O362" i="19"/>
  <c r="S362" i="19" s="1"/>
  <c r="J362" i="19"/>
  <c r="G362" i="19"/>
  <c r="J361" i="19"/>
  <c r="G361" i="19"/>
  <c r="J360" i="19"/>
  <c r="G360" i="19"/>
  <c r="J359" i="19"/>
  <c r="G359" i="19"/>
  <c r="J358" i="19"/>
  <c r="G358" i="19"/>
  <c r="J357" i="19"/>
  <c r="G357" i="19"/>
  <c r="J356" i="19"/>
  <c r="G356" i="19"/>
  <c r="O355" i="19"/>
  <c r="J355" i="19"/>
  <c r="G355" i="19"/>
  <c r="J354" i="19"/>
  <c r="G354" i="19"/>
  <c r="O353" i="19"/>
  <c r="J353" i="19"/>
  <c r="G353" i="19"/>
  <c r="J352" i="19"/>
  <c r="G352" i="19"/>
  <c r="O351" i="19"/>
  <c r="T351" i="19" s="1"/>
  <c r="J351" i="19"/>
  <c r="G351" i="19"/>
  <c r="U350" i="19"/>
  <c r="T350" i="19"/>
  <c r="S350" i="19"/>
  <c r="R350" i="19"/>
  <c r="Q350" i="19"/>
  <c r="P350" i="19"/>
  <c r="O350" i="19"/>
  <c r="J350" i="19"/>
  <c r="G350" i="19"/>
  <c r="O349" i="19"/>
  <c r="U349" i="19" s="1"/>
  <c r="J349" i="19"/>
  <c r="G349" i="19"/>
  <c r="J348" i="19"/>
  <c r="G348" i="19"/>
  <c r="J347" i="19"/>
  <c r="G347" i="19"/>
  <c r="J346" i="19"/>
  <c r="G346" i="19"/>
  <c r="U345" i="19"/>
  <c r="S345" i="19"/>
  <c r="R345" i="19"/>
  <c r="P345" i="19"/>
  <c r="O345" i="19"/>
  <c r="J345" i="19"/>
  <c r="G345" i="19"/>
  <c r="J344" i="19"/>
  <c r="G344" i="19"/>
  <c r="P343" i="19"/>
  <c r="O343" i="19"/>
  <c r="J343" i="19"/>
  <c r="G343" i="19"/>
  <c r="U342" i="19"/>
  <c r="P342" i="19"/>
  <c r="O342" i="19"/>
  <c r="J342" i="19"/>
  <c r="M342" i="19" s="1"/>
  <c r="N342" i="19" s="1"/>
  <c r="G342" i="19"/>
  <c r="J341" i="19"/>
  <c r="G341" i="19"/>
  <c r="O340" i="19"/>
  <c r="M340" i="19"/>
  <c r="N340" i="19" s="1"/>
  <c r="J340" i="19"/>
  <c r="G340" i="19"/>
  <c r="M339" i="19"/>
  <c r="N339" i="19" s="1"/>
  <c r="J339" i="19"/>
  <c r="G339" i="19"/>
  <c r="P338" i="19"/>
  <c r="O338" i="19"/>
  <c r="J338" i="19"/>
  <c r="G338" i="19"/>
  <c r="U337" i="19"/>
  <c r="T337" i="19"/>
  <c r="S337" i="19"/>
  <c r="R337" i="19"/>
  <c r="O337" i="19"/>
  <c r="P337" i="19" s="1"/>
  <c r="J337" i="19"/>
  <c r="G337" i="19"/>
  <c r="J336" i="19"/>
  <c r="G336" i="19"/>
  <c r="O335" i="19"/>
  <c r="J335" i="19"/>
  <c r="G335" i="19"/>
  <c r="J334" i="19"/>
  <c r="G334" i="19"/>
  <c r="O333" i="19"/>
  <c r="J333" i="19"/>
  <c r="G333" i="19"/>
  <c r="J332" i="19"/>
  <c r="G332" i="19"/>
  <c r="R331" i="19"/>
  <c r="O331" i="19"/>
  <c r="J331" i="19"/>
  <c r="G331" i="19"/>
  <c r="J330" i="19"/>
  <c r="G330" i="19"/>
  <c r="Q329" i="19"/>
  <c r="O329" i="19"/>
  <c r="S329" i="19" s="1"/>
  <c r="J329" i="19"/>
  <c r="G329" i="19"/>
  <c r="U328" i="19"/>
  <c r="S328" i="19"/>
  <c r="O328" i="19"/>
  <c r="J328" i="19"/>
  <c r="G328" i="19"/>
  <c r="J327" i="19"/>
  <c r="G327" i="19"/>
  <c r="J326" i="19"/>
  <c r="G326" i="19"/>
  <c r="Q325" i="19"/>
  <c r="O325" i="19"/>
  <c r="J325" i="19"/>
  <c r="G325" i="19"/>
  <c r="J324" i="19"/>
  <c r="G324" i="19"/>
  <c r="J323" i="19"/>
  <c r="G323" i="19"/>
  <c r="T322" i="19"/>
  <c r="O322" i="19"/>
  <c r="J322" i="19"/>
  <c r="G322" i="19"/>
  <c r="J321" i="19"/>
  <c r="G321" i="19"/>
  <c r="U320" i="19"/>
  <c r="T320" i="19"/>
  <c r="S320" i="19"/>
  <c r="R320" i="19"/>
  <c r="Q320" i="19"/>
  <c r="P320" i="19"/>
  <c r="O320" i="19"/>
  <c r="J320" i="19"/>
  <c r="G320" i="19"/>
  <c r="J319" i="19"/>
  <c r="G319" i="19"/>
  <c r="O318" i="19"/>
  <c r="J318" i="19"/>
  <c r="G318" i="19"/>
  <c r="J317" i="19"/>
  <c r="G317" i="19"/>
  <c r="U316" i="19"/>
  <c r="T316" i="19"/>
  <c r="S316" i="19"/>
  <c r="R316" i="19"/>
  <c r="Q316" i="19"/>
  <c r="P316" i="19"/>
  <c r="M316" i="19"/>
  <c r="J316" i="19"/>
  <c r="G316" i="19"/>
  <c r="O316" i="19" s="1"/>
  <c r="U315" i="19"/>
  <c r="O315" i="19"/>
  <c r="J315" i="19"/>
  <c r="G315" i="19"/>
  <c r="U314" i="19"/>
  <c r="T314" i="19"/>
  <c r="S314" i="19"/>
  <c r="R314" i="19"/>
  <c r="P314" i="19"/>
  <c r="O314" i="19"/>
  <c r="Q314" i="19" s="1"/>
  <c r="J314" i="19"/>
  <c r="M314" i="19" s="1"/>
  <c r="G314" i="19"/>
  <c r="J313" i="19"/>
  <c r="G313" i="19"/>
  <c r="J312" i="19"/>
  <c r="G312" i="19"/>
  <c r="T311" i="19"/>
  <c r="S311" i="19"/>
  <c r="O311" i="19"/>
  <c r="R311" i="19" s="1"/>
  <c r="J311" i="19"/>
  <c r="G311" i="19"/>
  <c r="T310" i="19"/>
  <c r="S310" i="19"/>
  <c r="R310" i="19"/>
  <c r="Q310" i="19"/>
  <c r="P310" i="19"/>
  <c r="O310" i="19"/>
  <c r="J310" i="19"/>
  <c r="G310" i="19"/>
  <c r="O309" i="19"/>
  <c r="R309" i="19" s="1"/>
  <c r="J309" i="19"/>
  <c r="G309" i="19"/>
  <c r="J308" i="19"/>
  <c r="G308" i="19"/>
  <c r="O307" i="19"/>
  <c r="J307" i="19"/>
  <c r="G307" i="19"/>
  <c r="J306" i="19"/>
  <c r="G306" i="19"/>
  <c r="J305" i="19"/>
  <c r="G305" i="19"/>
  <c r="J304" i="19"/>
  <c r="G304" i="19"/>
  <c r="O303" i="19"/>
  <c r="J303" i="19"/>
  <c r="G303" i="19"/>
  <c r="T302" i="19"/>
  <c r="Q302" i="19"/>
  <c r="P302" i="19"/>
  <c r="O302" i="19"/>
  <c r="J302" i="19"/>
  <c r="G302" i="19"/>
  <c r="O301" i="19"/>
  <c r="J301" i="19"/>
  <c r="G301" i="19"/>
  <c r="J300" i="19"/>
  <c r="G300" i="19"/>
  <c r="J299" i="19"/>
  <c r="G299" i="19"/>
  <c r="Q298" i="19"/>
  <c r="O298" i="19"/>
  <c r="T298" i="19" s="1"/>
  <c r="J298" i="19"/>
  <c r="G298" i="19"/>
  <c r="U297" i="19"/>
  <c r="O297" i="19"/>
  <c r="J297" i="19"/>
  <c r="G297" i="19"/>
  <c r="J296" i="19"/>
  <c r="G296" i="19"/>
  <c r="T295" i="19"/>
  <c r="O295" i="19"/>
  <c r="R295" i="19" s="1"/>
  <c r="J295" i="19"/>
  <c r="G295" i="19"/>
  <c r="S294" i="19"/>
  <c r="R294" i="19"/>
  <c r="Q294" i="19"/>
  <c r="P294" i="19"/>
  <c r="O294" i="19"/>
  <c r="J294" i="19"/>
  <c r="G294" i="19"/>
  <c r="J293" i="19"/>
  <c r="G293" i="19"/>
  <c r="M292" i="19"/>
  <c r="N292" i="19" s="1"/>
  <c r="J292" i="19"/>
  <c r="G292" i="19"/>
  <c r="J291" i="19"/>
  <c r="G291" i="19"/>
  <c r="O290" i="19"/>
  <c r="Q290" i="19" s="1"/>
  <c r="J290" i="19"/>
  <c r="G290" i="19"/>
  <c r="O289" i="19"/>
  <c r="J289" i="19"/>
  <c r="G289" i="19"/>
  <c r="J288" i="19"/>
  <c r="G288" i="19"/>
  <c r="O287" i="19"/>
  <c r="P287" i="19" s="1"/>
  <c r="J287" i="19"/>
  <c r="G287" i="19"/>
  <c r="T286" i="19"/>
  <c r="S286" i="19"/>
  <c r="O286" i="19"/>
  <c r="J286" i="19"/>
  <c r="G286" i="19"/>
  <c r="T285" i="19"/>
  <c r="S285" i="19"/>
  <c r="Q285" i="19"/>
  <c r="O285" i="19"/>
  <c r="R285" i="19" s="1"/>
  <c r="J285" i="19"/>
  <c r="G285" i="19"/>
  <c r="O284" i="19"/>
  <c r="M284" i="19"/>
  <c r="J284" i="19"/>
  <c r="G284" i="19"/>
  <c r="J283" i="19"/>
  <c r="G283" i="19"/>
  <c r="O282" i="19"/>
  <c r="S282" i="19" s="1"/>
  <c r="J282" i="19"/>
  <c r="G282" i="19"/>
  <c r="T281" i="19"/>
  <c r="O281" i="19"/>
  <c r="U281" i="19" s="1"/>
  <c r="J281" i="19"/>
  <c r="G281" i="19"/>
  <c r="J280" i="19"/>
  <c r="G280" i="19"/>
  <c r="J279" i="19"/>
  <c r="G279" i="19"/>
  <c r="J278" i="19"/>
  <c r="G278" i="19"/>
  <c r="O277" i="19"/>
  <c r="S277" i="19" s="1"/>
  <c r="J277" i="19"/>
  <c r="G277" i="19"/>
  <c r="O276" i="19"/>
  <c r="J276" i="19"/>
  <c r="G276" i="19"/>
  <c r="O275" i="19"/>
  <c r="J275" i="19"/>
  <c r="G275" i="19"/>
  <c r="T274" i="19"/>
  <c r="O274" i="19"/>
  <c r="S274" i="19" s="1"/>
  <c r="J274" i="19"/>
  <c r="G274" i="19"/>
  <c r="O273" i="19"/>
  <c r="J273" i="19"/>
  <c r="G273" i="19"/>
  <c r="J272" i="19"/>
  <c r="G272" i="19"/>
  <c r="O271" i="19"/>
  <c r="S271" i="19" s="1"/>
  <c r="J271" i="19"/>
  <c r="G271" i="19"/>
  <c r="J270" i="19"/>
  <c r="G270" i="19"/>
  <c r="U269" i="19"/>
  <c r="T269" i="19"/>
  <c r="S269" i="19"/>
  <c r="R269" i="19"/>
  <c r="O269" i="19"/>
  <c r="J269" i="19"/>
  <c r="G269" i="19"/>
  <c r="J268" i="19"/>
  <c r="G268" i="19"/>
  <c r="J267" i="19"/>
  <c r="G267" i="19"/>
  <c r="O266" i="19"/>
  <c r="M266" i="19"/>
  <c r="N266" i="19" s="1"/>
  <c r="J266" i="19"/>
  <c r="G266" i="19"/>
  <c r="O265" i="19"/>
  <c r="J265" i="19"/>
  <c r="G265" i="19"/>
  <c r="J264" i="19"/>
  <c r="G264" i="19"/>
  <c r="J263" i="19"/>
  <c r="G263" i="19"/>
  <c r="J262" i="19"/>
  <c r="G262" i="19"/>
  <c r="J261" i="19"/>
  <c r="G261" i="19"/>
  <c r="O260" i="19"/>
  <c r="U260" i="19" s="1"/>
  <c r="J260" i="19"/>
  <c r="G260" i="19"/>
  <c r="J259" i="19"/>
  <c r="G259" i="19"/>
  <c r="J258" i="19"/>
  <c r="G258" i="19"/>
  <c r="J257" i="19"/>
  <c r="G257" i="19"/>
  <c r="J256" i="19"/>
  <c r="G256" i="19"/>
  <c r="U255" i="19"/>
  <c r="T255" i="19"/>
  <c r="S255" i="19"/>
  <c r="Q255" i="19"/>
  <c r="O255" i="19"/>
  <c r="R255" i="19" s="1"/>
  <c r="M255" i="19"/>
  <c r="N255" i="19" s="1"/>
  <c r="J255" i="19"/>
  <c r="G255" i="19"/>
  <c r="O254" i="19"/>
  <c r="S254" i="19" s="1"/>
  <c r="J254" i="19"/>
  <c r="G254" i="19"/>
  <c r="U253" i="19"/>
  <c r="S253" i="19"/>
  <c r="O253" i="19"/>
  <c r="J253" i="19"/>
  <c r="G253" i="19"/>
  <c r="O252" i="19"/>
  <c r="J252" i="19"/>
  <c r="G252" i="19"/>
  <c r="U251" i="19"/>
  <c r="T251" i="19"/>
  <c r="Q251" i="19"/>
  <c r="O251" i="19"/>
  <c r="R251" i="19" s="1"/>
  <c r="J251" i="19"/>
  <c r="G251" i="19"/>
  <c r="O250" i="19"/>
  <c r="J250" i="19"/>
  <c r="G250" i="19"/>
  <c r="O249" i="19"/>
  <c r="S249" i="19" s="1"/>
  <c r="J249" i="19"/>
  <c r="G249" i="19"/>
  <c r="J248" i="19"/>
  <c r="G248" i="19"/>
  <c r="T247" i="19"/>
  <c r="S247" i="19"/>
  <c r="R247" i="19"/>
  <c r="Q247" i="19"/>
  <c r="O247" i="19"/>
  <c r="J247" i="19"/>
  <c r="G247" i="19"/>
  <c r="O246" i="19"/>
  <c r="J246" i="19"/>
  <c r="G246" i="19"/>
  <c r="O245" i="19"/>
  <c r="J245" i="19"/>
  <c r="G245" i="19"/>
  <c r="J244" i="19"/>
  <c r="G244" i="19"/>
  <c r="J243" i="19"/>
  <c r="G243" i="19"/>
  <c r="U242" i="19"/>
  <c r="T242" i="19"/>
  <c r="S242" i="19"/>
  <c r="R242" i="19"/>
  <c r="Q242" i="19"/>
  <c r="P242" i="19"/>
  <c r="O242" i="19"/>
  <c r="J242" i="19"/>
  <c r="G242" i="19"/>
  <c r="U241" i="19"/>
  <c r="T241" i="19"/>
  <c r="S241" i="19"/>
  <c r="R241" i="19"/>
  <c r="Q241" i="19"/>
  <c r="O241" i="19"/>
  <c r="P241" i="19" s="1"/>
  <c r="J241" i="19"/>
  <c r="G241" i="19"/>
  <c r="U240" i="19"/>
  <c r="O240" i="19"/>
  <c r="J240" i="19"/>
  <c r="G240" i="19"/>
  <c r="J239" i="19"/>
  <c r="G239" i="19"/>
  <c r="O238" i="19"/>
  <c r="T238" i="19" s="1"/>
  <c r="J238" i="19"/>
  <c r="G238" i="19"/>
  <c r="O237" i="19"/>
  <c r="J237" i="19"/>
  <c r="G237" i="19"/>
  <c r="O236" i="19"/>
  <c r="J236" i="19"/>
  <c r="G236" i="19"/>
  <c r="J235" i="19"/>
  <c r="G235" i="19"/>
  <c r="M234" i="19"/>
  <c r="N234" i="19" s="1"/>
  <c r="J234" i="19"/>
  <c r="G234" i="19"/>
  <c r="J233" i="19"/>
  <c r="G233" i="19"/>
  <c r="O232" i="19"/>
  <c r="M232" i="19"/>
  <c r="N232" i="19" s="1"/>
  <c r="J232" i="19"/>
  <c r="G232" i="19"/>
  <c r="U231" i="19"/>
  <c r="T231" i="19"/>
  <c r="O231" i="19"/>
  <c r="S231" i="19" s="1"/>
  <c r="J231" i="19"/>
  <c r="G231" i="19"/>
  <c r="O230" i="19"/>
  <c r="U230" i="19" s="1"/>
  <c r="M230" i="19"/>
  <c r="J230" i="19"/>
  <c r="G230" i="19"/>
  <c r="U229" i="19"/>
  <c r="T229" i="19"/>
  <c r="S229" i="19"/>
  <c r="R229" i="19"/>
  <c r="Q229" i="19"/>
  <c r="P229" i="19"/>
  <c r="O229" i="19"/>
  <c r="J229" i="19"/>
  <c r="G229" i="19"/>
  <c r="T228" i="19"/>
  <c r="S228" i="19"/>
  <c r="P228" i="19"/>
  <c r="O228" i="19"/>
  <c r="J228" i="19"/>
  <c r="G228" i="19"/>
  <c r="J227" i="19"/>
  <c r="G227" i="19"/>
  <c r="O226" i="19"/>
  <c r="U226" i="19" s="1"/>
  <c r="J226" i="19"/>
  <c r="G226" i="19"/>
  <c r="P225" i="19"/>
  <c r="O225" i="19"/>
  <c r="J225" i="19"/>
  <c r="G225" i="19"/>
  <c r="J224" i="19"/>
  <c r="G224" i="19"/>
  <c r="J223" i="19"/>
  <c r="G223" i="19"/>
  <c r="J222" i="19"/>
  <c r="G222" i="19"/>
  <c r="O221" i="19"/>
  <c r="J221" i="19"/>
  <c r="G221" i="19"/>
  <c r="J220" i="19"/>
  <c r="G220" i="19"/>
  <c r="U219" i="19"/>
  <c r="R219" i="19"/>
  <c r="Q219" i="19"/>
  <c r="P219" i="19"/>
  <c r="O219" i="19"/>
  <c r="J219" i="19"/>
  <c r="G219" i="19"/>
  <c r="S218" i="19"/>
  <c r="R218" i="19"/>
  <c r="Q218" i="19"/>
  <c r="O218" i="19"/>
  <c r="J218" i="19"/>
  <c r="G218" i="19"/>
  <c r="O217" i="19"/>
  <c r="J217" i="19"/>
  <c r="G217" i="19"/>
  <c r="U216" i="19"/>
  <c r="S216" i="19"/>
  <c r="R216" i="19"/>
  <c r="Q216" i="19"/>
  <c r="P216" i="19"/>
  <c r="O216" i="19"/>
  <c r="T216" i="19" s="1"/>
  <c r="J216" i="19"/>
  <c r="G216" i="19"/>
  <c r="J215" i="19"/>
  <c r="G215" i="19"/>
  <c r="O214" i="19"/>
  <c r="J214" i="19"/>
  <c r="G214" i="19"/>
  <c r="J213" i="19"/>
  <c r="G213" i="19"/>
  <c r="U212" i="19"/>
  <c r="O212" i="19"/>
  <c r="P212" i="19" s="1"/>
  <c r="J212" i="19"/>
  <c r="G212" i="19"/>
  <c r="O211" i="19"/>
  <c r="P211" i="19" s="1"/>
  <c r="J211" i="19"/>
  <c r="G211" i="19"/>
  <c r="J210" i="19"/>
  <c r="G210" i="19"/>
  <c r="Q209" i="19"/>
  <c r="O209" i="19"/>
  <c r="J209" i="19"/>
  <c r="G209" i="19"/>
  <c r="J208" i="19"/>
  <c r="G208" i="19"/>
  <c r="M208" i="19" s="1"/>
  <c r="N208" i="19" s="1"/>
  <c r="S207" i="19"/>
  <c r="R207" i="19"/>
  <c r="Q207" i="19"/>
  <c r="O207" i="19"/>
  <c r="P207" i="19" s="1"/>
  <c r="J207" i="19"/>
  <c r="G207" i="19"/>
  <c r="O206" i="19"/>
  <c r="J206" i="19"/>
  <c r="G206" i="19"/>
  <c r="O205" i="19"/>
  <c r="J205" i="19"/>
  <c r="G205" i="19"/>
  <c r="O204" i="19"/>
  <c r="P204" i="19" s="1"/>
  <c r="J204" i="19"/>
  <c r="G204" i="19"/>
  <c r="J203" i="19"/>
  <c r="G203" i="19"/>
  <c r="J202" i="19"/>
  <c r="G202" i="19"/>
  <c r="U201" i="19"/>
  <c r="T201" i="19"/>
  <c r="S201" i="19"/>
  <c r="R201" i="19"/>
  <c r="Q201" i="19"/>
  <c r="P201" i="19"/>
  <c r="O201" i="19"/>
  <c r="M201" i="19"/>
  <c r="N201" i="19" s="1"/>
  <c r="J201" i="19"/>
  <c r="G201" i="19"/>
  <c r="U200" i="19"/>
  <c r="R200" i="19"/>
  <c r="P200" i="19"/>
  <c r="O200" i="19"/>
  <c r="J200" i="19"/>
  <c r="G200" i="19"/>
  <c r="J199" i="19"/>
  <c r="G199" i="19"/>
  <c r="U198" i="19"/>
  <c r="T198" i="19"/>
  <c r="S198" i="19"/>
  <c r="R198" i="19"/>
  <c r="Q198" i="19"/>
  <c r="P198" i="19"/>
  <c r="O198" i="19"/>
  <c r="J198" i="19"/>
  <c r="G198" i="19"/>
  <c r="U197" i="19"/>
  <c r="T197" i="19"/>
  <c r="S197" i="19"/>
  <c r="P197" i="19"/>
  <c r="O197" i="19"/>
  <c r="J197" i="19"/>
  <c r="G197" i="19"/>
  <c r="J196" i="19"/>
  <c r="G196" i="19"/>
  <c r="J195" i="19"/>
  <c r="G195" i="19"/>
  <c r="O194" i="19"/>
  <c r="U194" i="19" s="1"/>
  <c r="J194" i="19"/>
  <c r="G194" i="19"/>
  <c r="O193" i="19"/>
  <c r="J193" i="19"/>
  <c r="G193" i="19"/>
  <c r="J192" i="19"/>
  <c r="G192" i="19"/>
  <c r="O191" i="19"/>
  <c r="J191" i="19"/>
  <c r="G191" i="19"/>
  <c r="O190" i="19"/>
  <c r="J190" i="19"/>
  <c r="G190" i="19"/>
  <c r="P189" i="19"/>
  <c r="O189" i="19"/>
  <c r="J189" i="19"/>
  <c r="G189" i="19"/>
  <c r="O188" i="19"/>
  <c r="J188" i="19"/>
  <c r="G188" i="19"/>
  <c r="U187" i="19"/>
  <c r="T187" i="19"/>
  <c r="R187" i="19"/>
  <c r="Q187" i="19"/>
  <c r="O187" i="19"/>
  <c r="S187" i="19" s="1"/>
  <c r="J187" i="19"/>
  <c r="G187" i="19"/>
  <c r="U186" i="19"/>
  <c r="S186" i="19"/>
  <c r="O186" i="19"/>
  <c r="P186" i="19" s="1"/>
  <c r="J186" i="19"/>
  <c r="G186" i="19"/>
  <c r="J185" i="19"/>
  <c r="G185" i="19"/>
  <c r="J184" i="19"/>
  <c r="G184" i="19"/>
  <c r="J183" i="19"/>
  <c r="G183" i="19"/>
  <c r="O182" i="19"/>
  <c r="J182" i="19"/>
  <c r="G182" i="19"/>
  <c r="J181" i="19"/>
  <c r="G181" i="19"/>
  <c r="J180" i="19"/>
  <c r="G180" i="19"/>
  <c r="J179" i="19"/>
  <c r="G179" i="19"/>
  <c r="U178" i="19"/>
  <c r="T178" i="19"/>
  <c r="S178" i="19"/>
  <c r="P178" i="19"/>
  <c r="O178" i="19"/>
  <c r="M178" i="19"/>
  <c r="N178" i="19" s="1"/>
  <c r="J178" i="19"/>
  <c r="G178" i="19"/>
  <c r="T177" i="19"/>
  <c r="R177" i="19"/>
  <c r="Q177" i="19"/>
  <c r="O177" i="19"/>
  <c r="U177" i="19" s="1"/>
  <c r="J177" i="19"/>
  <c r="G177" i="19"/>
  <c r="J176" i="19"/>
  <c r="G176" i="19"/>
  <c r="M176" i="19" s="1"/>
  <c r="N176" i="19" s="1"/>
  <c r="J175" i="19"/>
  <c r="G175" i="19"/>
  <c r="J174" i="19"/>
  <c r="G174" i="19"/>
  <c r="M173" i="19"/>
  <c r="N173" i="19" s="1"/>
  <c r="J173" i="19"/>
  <c r="G173" i="19"/>
  <c r="J172" i="19"/>
  <c r="G172" i="19"/>
  <c r="O171" i="19"/>
  <c r="P171" i="19" s="1"/>
  <c r="M171" i="19"/>
  <c r="J171" i="19"/>
  <c r="G171" i="19"/>
  <c r="J170" i="19"/>
  <c r="G170" i="19"/>
  <c r="J169" i="19"/>
  <c r="G169" i="19"/>
  <c r="J168" i="19"/>
  <c r="G168" i="19"/>
  <c r="J167" i="19"/>
  <c r="G167" i="19"/>
  <c r="J166" i="19"/>
  <c r="G166" i="19"/>
  <c r="S165" i="19"/>
  <c r="O165" i="19"/>
  <c r="J165" i="19"/>
  <c r="G165" i="19"/>
  <c r="U164" i="19"/>
  <c r="T164" i="19"/>
  <c r="O164" i="19"/>
  <c r="J164" i="19"/>
  <c r="G164" i="19"/>
  <c r="U163" i="19"/>
  <c r="T163" i="19"/>
  <c r="S163" i="19"/>
  <c r="R163" i="19"/>
  <c r="Q163" i="19"/>
  <c r="P163" i="19"/>
  <c r="O163" i="19"/>
  <c r="J163" i="19"/>
  <c r="G163" i="19"/>
  <c r="U162" i="19"/>
  <c r="S162" i="19"/>
  <c r="R162" i="19"/>
  <c r="Q162" i="19"/>
  <c r="O162" i="19"/>
  <c r="P162" i="19" s="1"/>
  <c r="J162" i="19"/>
  <c r="G162" i="19"/>
  <c r="U161" i="19"/>
  <c r="T161" i="19"/>
  <c r="S161" i="19"/>
  <c r="R161" i="19"/>
  <c r="Q161" i="19"/>
  <c r="P161" i="19"/>
  <c r="O161" i="19"/>
  <c r="J161" i="19"/>
  <c r="G161" i="19"/>
  <c r="U160" i="19"/>
  <c r="T160" i="19"/>
  <c r="S160" i="19"/>
  <c r="R160" i="19"/>
  <c r="Q160" i="19"/>
  <c r="P160" i="19"/>
  <c r="O160" i="19"/>
  <c r="M160" i="19"/>
  <c r="N160" i="19" s="1"/>
  <c r="J160" i="19"/>
  <c r="G160" i="19"/>
  <c r="O159" i="19"/>
  <c r="J159" i="19"/>
  <c r="G159" i="19"/>
  <c r="U158" i="19"/>
  <c r="R158" i="19"/>
  <c r="Q158" i="19"/>
  <c r="P158" i="19"/>
  <c r="J158" i="19"/>
  <c r="G158" i="19"/>
  <c r="O158" i="19" s="1"/>
  <c r="O157" i="19"/>
  <c r="J157" i="19"/>
  <c r="G157" i="19"/>
  <c r="T156" i="19"/>
  <c r="O156" i="19"/>
  <c r="J156" i="19"/>
  <c r="G156" i="19"/>
  <c r="J155" i="19"/>
  <c r="G155" i="19"/>
  <c r="U154" i="19"/>
  <c r="S154" i="19"/>
  <c r="O154" i="19"/>
  <c r="R154" i="19" s="1"/>
  <c r="J154" i="19"/>
  <c r="G154" i="19"/>
  <c r="J153" i="19"/>
  <c r="G153" i="19"/>
  <c r="J152" i="19"/>
  <c r="G152" i="19"/>
  <c r="J151" i="19"/>
  <c r="G151" i="19"/>
  <c r="Q150" i="19"/>
  <c r="P150" i="19"/>
  <c r="O150" i="19"/>
  <c r="J150" i="19"/>
  <c r="G150" i="19"/>
  <c r="J149" i="19"/>
  <c r="G149" i="19"/>
  <c r="O148" i="19"/>
  <c r="J148" i="19"/>
  <c r="G148" i="19"/>
  <c r="J147" i="19"/>
  <c r="G147" i="19"/>
  <c r="J146" i="19"/>
  <c r="G146" i="19"/>
  <c r="J145" i="19"/>
  <c r="G145" i="19"/>
  <c r="O144" i="19"/>
  <c r="U144" i="19" s="1"/>
  <c r="J144" i="19"/>
  <c r="G144" i="19"/>
  <c r="J143" i="19"/>
  <c r="G143" i="19"/>
  <c r="J142" i="19"/>
  <c r="G142" i="19"/>
  <c r="J141" i="19"/>
  <c r="G141" i="19"/>
  <c r="T140" i="19"/>
  <c r="O140" i="19"/>
  <c r="J140" i="19"/>
  <c r="G140" i="19"/>
  <c r="O139" i="19"/>
  <c r="J139" i="19"/>
  <c r="G139" i="19"/>
  <c r="J138" i="19"/>
  <c r="G138" i="19"/>
  <c r="O137" i="19"/>
  <c r="S137" i="19" s="1"/>
  <c r="J137" i="19"/>
  <c r="G137" i="19"/>
  <c r="O136" i="19"/>
  <c r="Q136" i="19" s="1"/>
  <c r="J136" i="19"/>
  <c r="G136" i="19"/>
  <c r="O135" i="19"/>
  <c r="J135" i="19"/>
  <c r="G135" i="19"/>
  <c r="U134" i="19"/>
  <c r="S134" i="19"/>
  <c r="P134" i="19"/>
  <c r="O134" i="19"/>
  <c r="J134" i="19"/>
  <c r="G134" i="19"/>
  <c r="U133" i="19"/>
  <c r="O133" i="19"/>
  <c r="J133" i="19"/>
  <c r="G133" i="19"/>
  <c r="J132" i="19"/>
  <c r="G132" i="19"/>
  <c r="U131" i="19"/>
  <c r="T131" i="19"/>
  <c r="S131" i="19"/>
  <c r="R131" i="19"/>
  <c r="Q131" i="19"/>
  <c r="P131" i="19"/>
  <c r="O131" i="19"/>
  <c r="J131" i="19"/>
  <c r="G131" i="19"/>
  <c r="O130" i="19"/>
  <c r="J130" i="19"/>
  <c r="G130" i="19"/>
  <c r="T129" i="19"/>
  <c r="P129" i="19"/>
  <c r="O129" i="19"/>
  <c r="R129" i="19" s="1"/>
  <c r="J129" i="19"/>
  <c r="G129" i="19"/>
  <c r="U128" i="19"/>
  <c r="T128" i="19"/>
  <c r="S128" i="19"/>
  <c r="O128" i="19"/>
  <c r="J128" i="19"/>
  <c r="G128" i="19"/>
  <c r="J127" i="19"/>
  <c r="G127" i="19"/>
  <c r="O126" i="19"/>
  <c r="J126" i="19"/>
  <c r="G126" i="19"/>
  <c r="J125" i="19"/>
  <c r="G125" i="19"/>
  <c r="M125" i="19" s="1"/>
  <c r="N125" i="19" s="1"/>
  <c r="T124" i="19"/>
  <c r="S124" i="19"/>
  <c r="R124" i="19"/>
  <c r="Q124" i="19"/>
  <c r="P124" i="19"/>
  <c r="O124" i="19"/>
  <c r="U124" i="19" s="1"/>
  <c r="J124" i="19"/>
  <c r="G124" i="19"/>
  <c r="J123" i="19"/>
  <c r="G123" i="19"/>
  <c r="O122" i="19"/>
  <c r="T122" i="19" s="1"/>
  <c r="J122" i="19"/>
  <c r="I122" i="19"/>
  <c r="G122" i="19"/>
  <c r="J121" i="19"/>
  <c r="I121" i="19"/>
  <c r="O121" i="19" s="1"/>
  <c r="G121" i="19"/>
  <c r="T120" i="19"/>
  <c r="O120" i="19"/>
  <c r="J120" i="19"/>
  <c r="I120" i="19"/>
  <c r="G120" i="19"/>
  <c r="J119" i="19"/>
  <c r="I119" i="19"/>
  <c r="G119" i="19"/>
  <c r="O118" i="19"/>
  <c r="J118" i="19"/>
  <c r="I118" i="19"/>
  <c r="G118" i="19"/>
  <c r="U117" i="19"/>
  <c r="R117" i="19"/>
  <c r="Q117" i="19"/>
  <c r="O117" i="19"/>
  <c r="J117" i="19"/>
  <c r="I117" i="19"/>
  <c r="G117" i="19"/>
  <c r="J116" i="19"/>
  <c r="I116" i="19"/>
  <c r="G116" i="19"/>
  <c r="J115" i="19"/>
  <c r="I115" i="19"/>
  <c r="G115" i="19"/>
  <c r="J114" i="19"/>
  <c r="I114" i="19"/>
  <c r="G114" i="19"/>
  <c r="S113" i="19"/>
  <c r="R113" i="19"/>
  <c r="O113" i="19"/>
  <c r="J113" i="19"/>
  <c r="I113" i="19"/>
  <c r="G113" i="19"/>
  <c r="U112" i="19"/>
  <c r="T112" i="19"/>
  <c r="S112" i="19"/>
  <c r="R112" i="19"/>
  <c r="Q112" i="19"/>
  <c r="P112" i="19"/>
  <c r="O112" i="19"/>
  <c r="J112" i="19"/>
  <c r="I112" i="19"/>
  <c r="G112" i="19"/>
  <c r="S111" i="19"/>
  <c r="R111" i="19"/>
  <c r="O111" i="19"/>
  <c r="J111" i="19"/>
  <c r="I111" i="19"/>
  <c r="G111" i="19"/>
  <c r="J110" i="19"/>
  <c r="I110" i="19"/>
  <c r="G110" i="19"/>
  <c r="J109" i="19"/>
  <c r="I109" i="19"/>
  <c r="G109" i="19"/>
  <c r="J108" i="19"/>
  <c r="I108" i="19"/>
  <c r="G108" i="19"/>
  <c r="J107" i="19"/>
  <c r="I107" i="19"/>
  <c r="G107" i="19"/>
  <c r="T106" i="19"/>
  <c r="S106" i="19"/>
  <c r="R106" i="19"/>
  <c r="Q106" i="19"/>
  <c r="O106" i="19"/>
  <c r="U106" i="19" s="1"/>
  <c r="J106" i="19"/>
  <c r="I106" i="19"/>
  <c r="G106" i="19"/>
  <c r="J105" i="19"/>
  <c r="I105" i="19"/>
  <c r="G105" i="19"/>
  <c r="S104" i="19"/>
  <c r="R104" i="19"/>
  <c r="Q104" i="19"/>
  <c r="P104" i="19"/>
  <c r="J104" i="19"/>
  <c r="I104" i="19"/>
  <c r="G104" i="19"/>
  <c r="O104" i="19" s="1"/>
  <c r="J103" i="19"/>
  <c r="I103" i="19"/>
  <c r="G103" i="19"/>
  <c r="J102" i="19"/>
  <c r="I102" i="19"/>
  <c r="G102" i="19"/>
  <c r="J101" i="19"/>
  <c r="I101" i="19"/>
  <c r="G101" i="19"/>
  <c r="U100" i="19"/>
  <c r="S100" i="19"/>
  <c r="O100" i="19"/>
  <c r="J100" i="19"/>
  <c r="I100" i="19"/>
  <c r="G100" i="19"/>
  <c r="J99" i="19"/>
  <c r="I99" i="19"/>
  <c r="G99" i="19"/>
  <c r="O98" i="19"/>
  <c r="J98" i="19"/>
  <c r="I98" i="19"/>
  <c r="G98" i="19"/>
  <c r="J97" i="19"/>
  <c r="I97" i="19"/>
  <c r="G97" i="19"/>
  <c r="T96" i="19"/>
  <c r="J96" i="19"/>
  <c r="I96" i="19"/>
  <c r="O96" i="19" s="1"/>
  <c r="G96" i="19"/>
  <c r="O95" i="19"/>
  <c r="J95" i="19"/>
  <c r="I95" i="19"/>
  <c r="G95" i="19"/>
  <c r="O94" i="19"/>
  <c r="U94" i="19" s="1"/>
  <c r="J94" i="19"/>
  <c r="I94" i="19"/>
  <c r="G94" i="19"/>
  <c r="S93" i="19"/>
  <c r="R93" i="19"/>
  <c r="O93" i="19"/>
  <c r="Q93" i="19" s="1"/>
  <c r="J93" i="19"/>
  <c r="I93" i="19"/>
  <c r="G93" i="19"/>
  <c r="O92" i="19"/>
  <c r="J92" i="19"/>
  <c r="I92" i="19"/>
  <c r="G92" i="19"/>
  <c r="J91" i="19"/>
  <c r="I91" i="19"/>
  <c r="G91" i="19"/>
  <c r="M90" i="19"/>
  <c r="N90" i="19" s="1"/>
  <c r="J90" i="19"/>
  <c r="I90" i="19"/>
  <c r="G90" i="19"/>
  <c r="J89" i="19"/>
  <c r="I89" i="19"/>
  <c r="G89" i="19"/>
  <c r="J88" i="19"/>
  <c r="I88" i="19"/>
  <c r="G88" i="19"/>
  <c r="J87" i="19"/>
  <c r="I87" i="19"/>
  <c r="G87" i="19"/>
  <c r="J86" i="19"/>
  <c r="I86" i="19"/>
  <c r="G86" i="19"/>
  <c r="J85" i="19"/>
  <c r="I85" i="19"/>
  <c r="G85" i="19"/>
  <c r="O84" i="19"/>
  <c r="U84" i="19" s="1"/>
  <c r="J84" i="19"/>
  <c r="I84" i="19"/>
  <c r="G84" i="19"/>
  <c r="U83" i="19"/>
  <c r="T83" i="19"/>
  <c r="S83" i="19"/>
  <c r="R83" i="19"/>
  <c r="O83" i="19"/>
  <c r="J83" i="19"/>
  <c r="I83" i="19"/>
  <c r="G83" i="19"/>
  <c r="U82" i="19"/>
  <c r="T82" i="19"/>
  <c r="S82" i="19"/>
  <c r="O82" i="19"/>
  <c r="R82" i="19" s="1"/>
  <c r="J82" i="19"/>
  <c r="I82" i="19"/>
  <c r="G82" i="19"/>
  <c r="O81" i="19"/>
  <c r="Q81" i="19" s="1"/>
  <c r="J81" i="19"/>
  <c r="I81" i="19"/>
  <c r="G81" i="19"/>
  <c r="J80" i="19"/>
  <c r="I80" i="19"/>
  <c r="G80" i="19"/>
  <c r="Q79" i="19"/>
  <c r="O79" i="19"/>
  <c r="P79" i="19" s="1"/>
  <c r="J79" i="19"/>
  <c r="I79" i="19"/>
  <c r="G79" i="19"/>
  <c r="P78" i="19"/>
  <c r="J78" i="19"/>
  <c r="I78" i="19"/>
  <c r="O78" i="19" s="1"/>
  <c r="G78" i="19"/>
  <c r="J77" i="19"/>
  <c r="I77" i="19"/>
  <c r="G77" i="19"/>
  <c r="J76" i="19"/>
  <c r="I76" i="19"/>
  <c r="O76" i="19" s="1"/>
  <c r="G76" i="19"/>
  <c r="J75" i="19"/>
  <c r="I75" i="19"/>
  <c r="G75" i="19"/>
  <c r="O74" i="19"/>
  <c r="M74" i="19"/>
  <c r="N74" i="19" s="1"/>
  <c r="J74" i="19"/>
  <c r="I74" i="19"/>
  <c r="G74" i="19"/>
  <c r="J73" i="19"/>
  <c r="I73" i="19"/>
  <c r="G73" i="19"/>
  <c r="J72" i="19"/>
  <c r="I72" i="19"/>
  <c r="G72" i="19"/>
  <c r="T71" i="19"/>
  <c r="Q71" i="19"/>
  <c r="O71" i="19"/>
  <c r="J71" i="19"/>
  <c r="M71" i="19" s="1"/>
  <c r="I71" i="19"/>
  <c r="G71" i="19"/>
  <c r="J70" i="19"/>
  <c r="I70" i="19"/>
  <c r="G70" i="19"/>
  <c r="J69" i="19"/>
  <c r="I69" i="19"/>
  <c r="G69" i="19"/>
  <c r="O68" i="19"/>
  <c r="U68" i="19" s="1"/>
  <c r="M68" i="19"/>
  <c r="J68" i="19"/>
  <c r="I68" i="19"/>
  <c r="G68" i="19"/>
  <c r="J67" i="19"/>
  <c r="I67" i="19"/>
  <c r="G67" i="19"/>
  <c r="J66" i="19"/>
  <c r="I66" i="19"/>
  <c r="G66" i="19"/>
  <c r="J65" i="19"/>
  <c r="I65" i="19"/>
  <c r="G65" i="19"/>
  <c r="J64" i="19"/>
  <c r="I64" i="19"/>
  <c r="G64" i="19"/>
  <c r="J63" i="19"/>
  <c r="I63" i="19"/>
  <c r="G63" i="19"/>
  <c r="U62" i="19"/>
  <c r="S62" i="19"/>
  <c r="P62" i="19"/>
  <c r="O62" i="19"/>
  <c r="J62" i="19"/>
  <c r="I62" i="19"/>
  <c r="G62" i="19"/>
  <c r="T61" i="19"/>
  <c r="S61" i="19"/>
  <c r="P61" i="19"/>
  <c r="J61" i="19"/>
  <c r="I61" i="19"/>
  <c r="O61" i="19" s="1"/>
  <c r="U61" i="19" s="1"/>
  <c r="G61" i="19"/>
  <c r="J60" i="19"/>
  <c r="I60" i="19"/>
  <c r="G60" i="19"/>
  <c r="U59" i="19"/>
  <c r="T59" i="19"/>
  <c r="S59" i="19"/>
  <c r="R59" i="19"/>
  <c r="Q59" i="19"/>
  <c r="P59" i="19"/>
  <c r="O59" i="19"/>
  <c r="J59" i="19"/>
  <c r="I59" i="19"/>
  <c r="G59" i="19"/>
  <c r="J58" i="19"/>
  <c r="I58" i="19"/>
  <c r="G58" i="19"/>
  <c r="J57" i="19"/>
  <c r="I57" i="19"/>
  <c r="G57" i="19"/>
  <c r="J56" i="19"/>
  <c r="I56" i="19"/>
  <c r="G56" i="19"/>
  <c r="J55" i="19"/>
  <c r="I55" i="19"/>
  <c r="G55" i="19"/>
  <c r="J54" i="19"/>
  <c r="I54" i="19"/>
  <c r="O54" i="19" s="1"/>
  <c r="G54" i="19"/>
  <c r="O53" i="19"/>
  <c r="J53" i="19"/>
  <c r="I53" i="19"/>
  <c r="G53" i="19"/>
  <c r="J52" i="19"/>
  <c r="I52" i="19"/>
  <c r="G52" i="19"/>
  <c r="J51" i="19"/>
  <c r="I51" i="19"/>
  <c r="G51" i="19"/>
  <c r="O50" i="19"/>
  <c r="U50" i="19" s="1"/>
  <c r="J50" i="19"/>
  <c r="I50" i="19"/>
  <c r="G50" i="19"/>
  <c r="J49" i="19"/>
  <c r="I49" i="19"/>
  <c r="G49" i="19"/>
  <c r="O48" i="19"/>
  <c r="P48" i="19" s="1"/>
  <c r="J48" i="19"/>
  <c r="I48" i="19"/>
  <c r="G48" i="19"/>
  <c r="J47" i="19"/>
  <c r="I47" i="19"/>
  <c r="O47" i="19" s="1"/>
  <c r="G47" i="19"/>
  <c r="J46" i="19"/>
  <c r="I46" i="19"/>
  <c r="G46" i="19"/>
  <c r="J45" i="19"/>
  <c r="I45" i="19"/>
  <c r="G45" i="19"/>
  <c r="J44" i="19"/>
  <c r="I44" i="19"/>
  <c r="G44" i="19"/>
  <c r="J43" i="19"/>
  <c r="I43" i="19"/>
  <c r="G43" i="19"/>
  <c r="J42" i="19"/>
  <c r="I42" i="19"/>
  <c r="G42" i="19"/>
  <c r="U41" i="19"/>
  <c r="S41" i="19"/>
  <c r="R41" i="19"/>
  <c r="Q41" i="19"/>
  <c r="P41" i="19"/>
  <c r="O41" i="19"/>
  <c r="J41" i="19"/>
  <c r="I41" i="19"/>
  <c r="G41" i="19"/>
  <c r="J40" i="19"/>
  <c r="I40" i="19"/>
  <c r="G40" i="19"/>
  <c r="J39" i="19"/>
  <c r="I39" i="19"/>
  <c r="G39" i="19"/>
  <c r="J38" i="19"/>
  <c r="I38" i="19"/>
  <c r="G38" i="19"/>
  <c r="J37" i="19"/>
  <c r="I37" i="19"/>
  <c r="G37" i="19"/>
  <c r="J36" i="19"/>
  <c r="I36" i="19"/>
  <c r="G36" i="19"/>
  <c r="U35" i="19"/>
  <c r="T35" i="19"/>
  <c r="Q35" i="19"/>
  <c r="P35" i="19"/>
  <c r="O35" i="19"/>
  <c r="M35" i="19"/>
  <c r="N35" i="19" s="1"/>
  <c r="J35" i="19"/>
  <c r="I35" i="19"/>
  <c r="G35" i="19"/>
  <c r="S34" i="19"/>
  <c r="R34" i="19"/>
  <c r="O34" i="19"/>
  <c r="U34" i="19" s="1"/>
  <c r="J34" i="19"/>
  <c r="I34" i="19"/>
  <c r="G34" i="19"/>
  <c r="O33" i="19"/>
  <c r="J33" i="19"/>
  <c r="I33" i="19"/>
  <c r="G33" i="19"/>
  <c r="O32" i="19"/>
  <c r="P32" i="19" s="1"/>
  <c r="M32" i="19"/>
  <c r="N32" i="19" s="1"/>
  <c r="J32" i="19"/>
  <c r="I32" i="19"/>
  <c r="G32" i="19"/>
  <c r="J31" i="19"/>
  <c r="I31" i="19"/>
  <c r="G31" i="19"/>
  <c r="O30" i="19"/>
  <c r="J30" i="19"/>
  <c r="I30" i="19"/>
  <c r="G30" i="19"/>
  <c r="J29" i="19"/>
  <c r="I29" i="19"/>
  <c r="G29" i="19"/>
  <c r="J28" i="19"/>
  <c r="I28" i="19"/>
  <c r="G28" i="19"/>
  <c r="J27" i="19"/>
  <c r="I27" i="19"/>
  <c r="G27" i="19"/>
  <c r="U26" i="19"/>
  <c r="O26" i="19"/>
  <c r="J26" i="19"/>
  <c r="I26" i="19"/>
  <c r="G26" i="19"/>
  <c r="J25" i="19"/>
  <c r="I25" i="19"/>
  <c r="G25" i="19"/>
  <c r="U24" i="19"/>
  <c r="O24" i="19"/>
  <c r="T24" i="19" s="1"/>
  <c r="J24" i="19"/>
  <c r="I24" i="19"/>
  <c r="G24" i="19"/>
  <c r="O23" i="19"/>
  <c r="J23" i="19"/>
  <c r="I23" i="19"/>
  <c r="G23" i="19"/>
  <c r="J22" i="19"/>
  <c r="I22" i="19"/>
  <c r="G22" i="19"/>
  <c r="O21" i="19"/>
  <c r="U21" i="19" s="1"/>
  <c r="J21" i="19"/>
  <c r="I21" i="19"/>
  <c r="G21" i="19"/>
  <c r="J20" i="19"/>
  <c r="I20" i="19"/>
  <c r="G20" i="19"/>
  <c r="U19" i="19"/>
  <c r="T19" i="19"/>
  <c r="S19" i="19"/>
  <c r="R19" i="19"/>
  <c r="J19" i="19"/>
  <c r="I19" i="19"/>
  <c r="O19" i="19" s="1"/>
  <c r="G19" i="19"/>
  <c r="J18" i="19"/>
  <c r="I18" i="19"/>
  <c r="G18" i="19"/>
  <c r="J17" i="19"/>
  <c r="I17" i="19"/>
  <c r="G17" i="19"/>
  <c r="S16" i="19"/>
  <c r="R16" i="19"/>
  <c r="Q16" i="19"/>
  <c r="P16" i="19"/>
  <c r="O16" i="19"/>
  <c r="J16" i="19"/>
  <c r="I16" i="19"/>
  <c r="G16" i="19"/>
  <c r="O15" i="19"/>
  <c r="R15" i="19" s="1"/>
  <c r="J15" i="19"/>
  <c r="I15" i="19"/>
  <c r="G15" i="19"/>
  <c r="J14" i="19"/>
  <c r="I14" i="19"/>
  <c r="G14" i="19"/>
  <c r="J13" i="19"/>
  <c r="I13" i="19"/>
  <c r="G13" i="19"/>
  <c r="O12" i="19"/>
  <c r="Q12" i="19" s="1"/>
  <c r="J12" i="19"/>
  <c r="I12" i="19"/>
  <c r="G12" i="19"/>
  <c r="U11" i="19"/>
  <c r="R11" i="19"/>
  <c r="Q11" i="19"/>
  <c r="O11" i="19"/>
  <c r="M11" i="19"/>
  <c r="N11" i="19" s="1"/>
  <c r="J11" i="19"/>
  <c r="I11" i="19"/>
  <c r="G11" i="19"/>
  <c r="J10" i="19"/>
  <c r="I10" i="19"/>
  <c r="G10" i="19"/>
  <c r="O9" i="19"/>
  <c r="R9" i="19" s="1"/>
  <c r="J9" i="19"/>
  <c r="I9" i="19"/>
  <c r="G9" i="19"/>
  <c r="O8" i="19"/>
  <c r="J8" i="19"/>
  <c r="I8" i="19"/>
  <c r="G8" i="19"/>
  <c r="Q7" i="19"/>
  <c r="O7" i="19"/>
  <c r="J7" i="19"/>
  <c r="I7" i="19"/>
  <c r="G7" i="19"/>
  <c r="J6" i="19"/>
  <c r="I6" i="19"/>
  <c r="G6" i="19"/>
  <c r="U5" i="19"/>
  <c r="O5" i="19"/>
  <c r="M5" i="19"/>
  <c r="N5" i="19" s="1"/>
  <c r="J5" i="19"/>
  <c r="I5" i="19"/>
  <c r="G5" i="19"/>
  <c r="O4" i="19"/>
  <c r="T4" i="19" s="1"/>
  <c r="J4" i="19"/>
  <c r="I4" i="19"/>
  <c r="G4" i="19"/>
  <c r="J3" i="19"/>
  <c r="I3" i="19"/>
  <c r="G3" i="19"/>
  <c r="I4" i="9"/>
  <c r="J4" i="9"/>
  <c r="K4" i="9"/>
  <c r="L4" i="9"/>
  <c r="M4" i="9"/>
  <c r="V4" i="9" s="1"/>
  <c r="W4" i="9" s="1"/>
  <c r="N4" i="9"/>
  <c r="O4" i="9"/>
  <c r="P4" i="9"/>
  <c r="Q4" i="9"/>
  <c r="I5" i="9"/>
  <c r="J5" i="9"/>
  <c r="K5" i="9"/>
  <c r="L5" i="9"/>
  <c r="M5" i="9"/>
  <c r="N5" i="9"/>
  <c r="O5" i="9"/>
  <c r="P5" i="9"/>
  <c r="Q5" i="9"/>
  <c r="R5" i="9"/>
  <c r="S5" i="9"/>
  <c r="T5" i="9"/>
  <c r="U5" i="9"/>
  <c r="V5" i="9"/>
  <c r="W5" i="9" s="1"/>
  <c r="I6" i="9"/>
  <c r="J6" i="9"/>
  <c r="O6" i="9"/>
  <c r="I7" i="9"/>
  <c r="J7" i="9"/>
  <c r="K7" i="9"/>
  <c r="L7" i="9"/>
  <c r="M7" i="9"/>
  <c r="V7" i="9" s="1"/>
  <c r="W7" i="9" s="1"/>
  <c r="N7" i="9"/>
  <c r="O7" i="9"/>
  <c r="U7" i="9" s="1"/>
  <c r="P7" i="9"/>
  <c r="Q7" i="9"/>
  <c r="R7" i="9"/>
  <c r="S7" i="9"/>
  <c r="T7" i="9"/>
  <c r="I8" i="9"/>
  <c r="J8" i="9"/>
  <c r="I9" i="9"/>
  <c r="O9" i="9" s="1"/>
  <c r="S9" i="9" s="1"/>
  <c r="J9" i="9"/>
  <c r="P9" i="9"/>
  <c r="Q9" i="9"/>
  <c r="R9" i="9"/>
  <c r="T9" i="9"/>
  <c r="U9" i="9"/>
  <c r="I10" i="9"/>
  <c r="J10" i="9"/>
  <c r="O10" i="9"/>
  <c r="S10" i="9"/>
  <c r="T10" i="9"/>
  <c r="I11" i="9"/>
  <c r="J11" i="9"/>
  <c r="K11" i="9"/>
  <c r="L11" i="9"/>
  <c r="M11" i="9"/>
  <c r="V11" i="9" s="1"/>
  <c r="N11" i="9"/>
  <c r="O11" i="9"/>
  <c r="U11" i="9"/>
  <c r="W11" i="9"/>
  <c r="I12" i="9"/>
  <c r="J12" i="9"/>
  <c r="L12" i="9"/>
  <c r="I13" i="9"/>
  <c r="O13" i="9" s="1"/>
  <c r="S13" i="9" s="1"/>
  <c r="J13" i="9"/>
  <c r="L13" i="9" s="1"/>
  <c r="P13" i="9"/>
  <c r="Q13" i="9"/>
  <c r="R13" i="9"/>
  <c r="I14" i="9"/>
  <c r="J14" i="9"/>
  <c r="K14" i="9" s="1"/>
  <c r="L14" i="9"/>
  <c r="O14" i="9"/>
  <c r="S14" i="9" s="1"/>
  <c r="P14" i="9"/>
  <c r="Q14" i="9"/>
  <c r="R14" i="9"/>
  <c r="T14" i="9"/>
  <c r="U14" i="9"/>
  <c r="I15" i="9"/>
  <c r="J15" i="9"/>
  <c r="O15" i="9"/>
  <c r="R15" i="9"/>
  <c r="S15" i="9"/>
  <c r="T15" i="9"/>
  <c r="I16" i="9"/>
  <c r="O16" i="9" s="1"/>
  <c r="J16" i="9"/>
  <c r="K16" i="9"/>
  <c r="M16" i="9" s="1"/>
  <c r="L16" i="9"/>
  <c r="P16" i="9"/>
  <c r="Q16" i="9"/>
  <c r="R16" i="9"/>
  <c r="S16" i="9"/>
  <c r="T16" i="9"/>
  <c r="U16" i="9"/>
  <c r="I17" i="9"/>
  <c r="J17" i="9"/>
  <c r="L17" i="9"/>
  <c r="O17" i="9"/>
  <c r="P17" i="9"/>
  <c r="Q17" i="9"/>
  <c r="R17" i="9"/>
  <c r="I18" i="9"/>
  <c r="J18" i="9"/>
  <c r="O18" i="9"/>
  <c r="Q18" i="9"/>
  <c r="R18" i="9"/>
  <c r="S18" i="9"/>
  <c r="I19" i="9"/>
  <c r="J19" i="9"/>
  <c r="K19" i="9"/>
  <c r="L19" i="9"/>
  <c r="M19" i="9"/>
  <c r="V19" i="9" s="1"/>
  <c r="W19" i="9" s="1"/>
  <c r="N19" i="9"/>
  <c r="O19" i="9"/>
  <c r="P19" i="9"/>
  <c r="S19" i="9"/>
  <c r="T19" i="9"/>
  <c r="U19" i="9"/>
  <c r="I20" i="9"/>
  <c r="J20" i="9"/>
  <c r="I21" i="9"/>
  <c r="J21" i="9"/>
  <c r="I22" i="9"/>
  <c r="O22" i="9" s="1"/>
  <c r="J22" i="9"/>
  <c r="K22" i="9"/>
  <c r="L22" i="9"/>
  <c r="M22" i="9"/>
  <c r="P22" i="9"/>
  <c r="R22" i="9"/>
  <c r="S22" i="9"/>
  <c r="I23" i="9"/>
  <c r="J23" i="9"/>
  <c r="K23" i="9"/>
  <c r="O23" i="9"/>
  <c r="T23" i="9" s="1"/>
  <c r="P23" i="9"/>
  <c r="Q23" i="9"/>
  <c r="R23" i="9"/>
  <c r="S23" i="9"/>
  <c r="U23" i="9"/>
  <c r="I24" i="9"/>
  <c r="J24" i="9"/>
  <c r="O24" i="9"/>
  <c r="P24" i="9"/>
  <c r="I25" i="9"/>
  <c r="J25" i="9"/>
  <c r="I26" i="9"/>
  <c r="J26" i="9"/>
  <c r="O26" i="9"/>
  <c r="Q26" i="9"/>
  <c r="I27" i="9"/>
  <c r="J27" i="9"/>
  <c r="K27" i="9"/>
  <c r="L27" i="9"/>
  <c r="M27" i="9"/>
  <c r="O27" i="9"/>
  <c r="P27" i="9" s="1"/>
  <c r="Q27" i="9"/>
  <c r="R27" i="9"/>
  <c r="I28" i="9"/>
  <c r="J28" i="9"/>
  <c r="K28" i="9"/>
  <c r="L28" i="9"/>
  <c r="O28" i="9"/>
  <c r="I29" i="9"/>
  <c r="J29" i="9"/>
  <c r="L29" i="9"/>
  <c r="I30" i="9"/>
  <c r="J30" i="9"/>
  <c r="K30" i="9" s="1"/>
  <c r="I31" i="9"/>
  <c r="J31" i="9"/>
  <c r="I32" i="9"/>
  <c r="J32" i="9"/>
  <c r="I33" i="9"/>
  <c r="J33" i="9"/>
  <c r="K33" i="9"/>
  <c r="I34" i="9"/>
  <c r="J34" i="9"/>
  <c r="K34" i="9"/>
  <c r="O34" i="9"/>
  <c r="R34" i="9"/>
  <c r="T34" i="9"/>
  <c r="U34" i="9"/>
  <c r="I35" i="9"/>
  <c r="J35" i="9"/>
  <c r="I36" i="9"/>
  <c r="O36" i="9" s="1"/>
  <c r="R36" i="9" s="1"/>
  <c r="J36" i="9"/>
  <c r="K36" i="9" s="1"/>
  <c r="M36" i="9" s="1"/>
  <c r="L36" i="9"/>
  <c r="P36" i="9"/>
  <c r="Q36" i="9"/>
  <c r="T36" i="9"/>
  <c r="U36" i="9"/>
  <c r="I37" i="9"/>
  <c r="J37" i="9"/>
  <c r="K37" i="9" s="1"/>
  <c r="L37" i="9"/>
  <c r="M37" i="9"/>
  <c r="N37" i="9"/>
  <c r="O37" i="9"/>
  <c r="P37" i="9"/>
  <c r="Q37" i="9"/>
  <c r="T37" i="9"/>
  <c r="I38" i="9"/>
  <c r="J38" i="9"/>
  <c r="O38" i="9"/>
  <c r="P38" i="9" s="1"/>
  <c r="I39" i="9"/>
  <c r="J39" i="9"/>
  <c r="I40" i="9"/>
  <c r="K40" i="9" s="1"/>
  <c r="J40" i="9"/>
  <c r="L40" i="9"/>
  <c r="M40" i="9" s="1"/>
  <c r="O40" i="9"/>
  <c r="P40" i="9"/>
  <c r="Q40" i="9"/>
  <c r="R40" i="9"/>
  <c r="S40" i="9"/>
  <c r="T40" i="9"/>
  <c r="U40" i="9"/>
  <c r="I41" i="9"/>
  <c r="O41" i="9" s="1"/>
  <c r="R41" i="9" s="1"/>
  <c r="J41" i="9"/>
  <c r="K41" i="9"/>
  <c r="M41" i="9" s="1"/>
  <c r="L41" i="9"/>
  <c r="P41" i="9"/>
  <c r="Q41" i="9"/>
  <c r="U41" i="9"/>
  <c r="I42" i="9"/>
  <c r="J42" i="9"/>
  <c r="O42" i="9"/>
  <c r="Q42" i="9" s="1"/>
  <c r="R42" i="9"/>
  <c r="U42" i="9"/>
  <c r="I43" i="9"/>
  <c r="J43" i="9"/>
  <c r="K43" i="9"/>
  <c r="L43" i="9"/>
  <c r="O43" i="9"/>
  <c r="I44" i="9"/>
  <c r="J44" i="9"/>
  <c r="K44" i="9"/>
  <c r="O44" i="9"/>
  <c r="P44" i="9"/>
  <c r="U44" i="9"/>
  <c r="I45" i="9"/>
  <c r="J45" i="9"/>
  <c r="I46" i="9"/>
  <c r="J46" i="9"/>
  <c r="K46" i="9"/>
  <c r="L46" i="9"/>
  <c r="O46" i="9"/>
  <c r="R46" i="9"/>
  <c r="S46" i="9"/>
  <c r="I47" i="9"/>
  <c r="J47" i="9"/>
  <c r="L47" i="9" s="1"/>
  <c r="K47" i="9"/>
  <c r="M47" i="9"/>
  <c r="O47" i="9"/>
  <c r="I48" i="9"/>
  <c r="O48" i="9" s="1"/>
  <c r="J48" i="9"/>
  <c r="K48" i="9"/>
  <c r="L48" i="9"/>
  <c r="M48" i="9"/>
  <c r="N48" i="9"/>
  <c r="T48" i="9"/>
  <c r="U48" i="9"/>
  <c r="I49" i="9"/>
  <c r="J49" i="9"/>
  <c r="K49" i="9"/>
  <c r="I50" i="9"/>
  <c r="J50" i="9"/>
  <c r="O50" i="9"/>
  <c r="P50" i="9"/>
  <c r="Q50" i="9"/>
  <c r="R50" i="9"/>
  <c r="S50" i="9"/>
  <c r="I51" i="9"/>
  <c r="J51" i="9"/>
  <c r="K51" i="9"/>
  <c r="I52" i="9"/>
  <c r="J52" i="9"/>
  <c r="O52" i="9"/>
  <c r="P52" i="9"/>
  <c r="T52" i="9"/>
  <c r="U52" i="9"/>
  <c r="I53" i="9"/>
  <c r="J53" i="9"/>
  <c r="O53" i="9"/>
  <c r="Q53" i="9" s="1"/>
  <c r="R53" i="9"/>
  <c r="S53" i="9"/>
  <c r="T53" i="9"/>
  <c r="U53" i="9"/>
  <c r="I54" i="9"/>
  <c r="K54" i="9" s="1"/>
  <c r="J54" i="9"/>
  <c r="L54" i="9"/>
  <c r="O54" i="9"/>
  <c r="P54" i="9" s="1"/>
  <c r="Q54" i="9"/>
  <c r="R54" i="9"/>
  <c r="S54" i="9"/>
  <c r="T54" i="9"/>
  <c r="I55" i="9"/>
  <c r="J55" i="9"/>
  <c r="K55" i="9"/>
  <c r="L55" i="9"/>
  <c r="M55" i="9"/>
  <c r="N55" i="9"/>
  <c r="O55" i="9"/>
  <c r="Q55" i="9"/>
  <c r="T55" i="9"/>
  <c r="U55" i="9"/>
  <c r="I56" i="9"/>
  <c r="J56" i="9"/>
  <c r="K56" i="9"/>
  <c r="L56" i="9"/>
  <c r="M56" i="9" s="1"/>
  <c r="O56" i="9"/>
  <c r="P56" i="9"/>
  <c r="Q56" i="9"/>
  <c r="R56" i="9"/>
  <c r="S56" i="9"/>
  <c r="T56" i="9"/>
  <c r="U56" i="9"/>
  <c r="I57" i="9"/>
  <c r="K57" i="9" s="1"/>
  <c r="J57" i="9"/>
  <c r="L57" i="9"/>
  <c r="O57" i="9"/>
  <c r="P57" i="9"/>
  <c r="I58" i="9"/>
  <c r="J58" i="9"/>
  <c r="I59" i="9"/>
  <c r="O59" i="9" s="1"/>
  <c r="J59" i="9"/>
  <c r="I60" i="9"/>
  <c r="J60" i="9"/>
  <c r="K60" i="9"/>
  <c r="I61" i="9"/>
  <c r="J61" i="9"/>
  <c r="K61" i="9"/>
  <c r="L61" i="9"/>
  <c r="O61" i="9"/>
  <c r="I62" i="9"/>
  <c r="J62" i="9"/>
  <c r="K62" i="9"/>
  <c r="O62" i="9"/>
  <c r="R62" i="9"/>
  <c r="S62" i="9"/>
  <c r="I63" i="9"/>
  <c r="J63" i="9"/>
  <c r="L63" i="9"/>
  <c r="O63" i="9"/>
  <c r="P63" i="9"/>
  <c r="Q63" i="9"/>
  <c r="R63" i="9"/>
  <c r="I64" i="9"/>
  <c r="O64" i="9" s="1"/>
  <c r="P64" i="9" s="1"/>
  <c r="J64" i="9"/>
  <c r="K64" i="9"/>
  <c r="M64" i="9" s="1"/>
  <c r="L64" i="9"/>
  <c r="Q64" i="9"/>
  <c r="R64" i="9"/>
  <c r="S64" i="9"/>
  <c r="T64" i="9"/>
  <c r="U64" i="9"/>
  <c r="I65" i="9"/>
  <c r="O65" i="9" s="1"/>
  <c r="J65" i="9"/>
  <c r="K65" i="9"/>
  <c r="L65" i="9"/>
  <c r="M65" i="9"/>
  <c r="N65" i="9" s="1"/>
  <c r="R65" i="9"/>
  <c r="T65" i="9"/>
  <c r="I66" i="9"/>
  <c r="J66" i="9"/>
  <c r="O66" i="9"/>
  <c r="P66" i="9"/>
  <c r="U66" i="9"/>
  <c r="I67" i="9"/>
  <c r="J67" i="9"/>
  <c r="L67" i="9"/>
  <c r="I68" i="9"/>
  <c r="J68" i="9"/>
  <c r="L68" i="9"/>
  <c r="I69" i="9"/>
  <c r="O69" i="9" s="1"/>
  <c r="S69" i="9" s="1"/>
  <c r="J69" i="9"/>
  <c r="P69" i="9"/>
  <c r="Q69" i="9"/>
  <c r="R69" i="9"/>
  <c r="U69" i="9"/>
  <c r="I70" i="9"/>
  <c r="J70" i="9"/>
  <c r="L70" i="9" s="1"/>
  <c r="O70" i="9"/>
  <c r="P70" i="9"/>
  <c r="T70" i="9"/>
  <c r="I71" i="9"/>
  <c r="J71" i="9"/>
  <c r="K71" i="9"/>
  <c r="L71" i="9"/>
  <c r="O71" i="9"/>
  <c r="Q71" i="9"/>
  <c r="I72" i="9"/>
  <c r="J72" i="9"/>
  <c r="L72" i="9" s="1"/>
  <c r="K72" i="9"/>
  <c r="M72" i="9" s="1"/>
  <c r="N72" i="9"/>
  <c r="O72" i="9"/>
  <c r="Q72" i="9"/>
  <c r="U72" i="9"/>
  <c r="I73" i="9"/>
  <c r="J73" i="9"/>
  <c r="L73" i="9"/>
  <c r="O73" i="9"/>
  <c r="P73" i="9"/>
  <c r="Q73" i="9"/>
  <c r="R73" i="9"/>
  <c r="U73" i="9"/>
  <c r="I74" i="9"/>
  <c r="J74" i="9"/>
  <c r="K74" i="9"/>
  <c r="M74" i="9" s="1"/>
  <c r="L74" i="9"/>
  <c r="O74" i="9"/>
  <c r="I75" i="9"/>
  <c r="J75" i="9"/>
  <c r="K75" i="9"/>
  <c r="L75" i="9"/>
  <c r="M75" i="9"/>
  <c r="N75" i="9"/>
  <c r="O75" i="9"/>
  <c r="U75" i="9"/>
  <c r="I76" i="9"/>
  <c r="J76" i="9"/>
  <c r="I77" i="9"/>
  <c r="O77" i="9" s="1"/>
  <c r="P77" i="9" s="1"/>
  <c r="J77" i="9"/>
  <c r="K77" i="9" s="1"/>
  <c r="L77" i="9"/>
  <c r="M77" i="9"/>
  <c r="N77" i="9"/>
  <c r="Q77" i="9"/>
  <c r="R77" i="9"/>
  <c r="S77" i="9"/>
  <c r="T77" i="9"/>
  <c r="U77" i="9"/>
  <c r="I78" i="9"/>
  <c r="J78" i="9"/>
  <c r="L78" i="9"/>
  <c r="O78" i="9"/>
  <c r="P78" i="9"/>
  <c r="R78" i="9"/>
  <c r="S78" i="9"/>
  <c r="I79" i="9"/>
  <c r="J79" i="9"/>
  <c r="L79" i="9" s="1"/>
  <c r="K79" i="9"/>
  <c r="M79" i="9" s="1"/>
  <c r="O79" i="9"/>
  <c r="S79" i="9"/>
  <c r="I80" i="9"/>
  <c r="J80" i="9"/>
  <c r="K80" i="9" s="1"/>
  <c r="O80" i="9"/>
  <c r="P80" i="9"/>
  <c r="I81" i="9"/>
  <c r="J81" i="9"/>
  <c r="O81" i="9"/>
  <c r="U81" i="9"/>
  <c r="I82" i="9"/>
  <c r="J82" i="9"/>
  <c r="I83" i="9"/>
  <c r="J83" i="9"/>
  <c r="K83" i="9"/>
  <c r="M83" i="9" s="1"/>
  <c r="N83" i="9" s="1"/>
  <c r="L83" i="9"/>
  <c r="O83" i="9"/>
  <c r="P83" i="9"/>
  <c r="Q83" i="9"/>
  <c r="S83" i="9"/>
  <c r="U83" i="9"/>
  <c r="I84" i="9"/>
  <c r="J84" i="9"/>
  <c r="O84" i="9"/>
  <c r="T84" i="9" s="1"/>
  <c r="S84" i="9"/>
  <c r="I85" i="9"/>
  <c r="O85" i="9" s="1"/>
  <c r="T85" i="9" s="1"/>
  <c r="J85" i="9"/>
  <c r="K85" i="9"/>
  <c r="L85" i="9"/>
  <c r="M85" i="9"/>
  <c r="P85" i="9"/>
  <c r="Q85" i="9"/>
  <c r="R85" i="9"/>
  <c r="S85" i="9"/>
  <c r="U85" i="9"/>
  <c r="I86" i="9"/>
  <c r="J86" i="9"/>
  <c r="K86" i="9"/>
  <c r="O86" i="9"/>
  <c r="P86" i="9"/>
  <c r="S86" i="9"/>
  <c r="I87" i="9"/>
  <c r="L87" i="9" s="1"/>
  <c r="J87" i="9"/>
  <c r="K87" i="9"/>
  <c r="M87" i="9" s="1"/>
  <c r="N87" i="9" s="1"/>
  <c r="O87" i="9"/>
  <c r="R87" i="9"/>
  <c r="U87" i="9"/>
  <c r="I88" i="9"/>
  <c r="L88" i="9" s="1"/>
  <c r="J88" i="9"/>
  <c r="I89" i="9"/>
  <c r="J89" i="9"/>
  <c r="K89" i="9"/>
  <c r="L89" i="9"/>
  <c r="M89" i="9"/>
  <c r="N89" i="9" s="1"/>
  <c r="O89" i="9"/>
  <c r="P89" i="9"/>
  <c r="S89" i="9"/>
  <c r="T89" i="9"/>
  <c r="U89" i="9"/>
  <c r="I90" i="9"/>
  <c r="J90" i="9"/>
  <c r="L90" i="9"/>
  <c r="I91" i="9"/>
  <c r="J91" i="9"/>
  <c r="I92" i="9"/>
  <c r="O92" i="9" s="1"/>
  <c r="J92" i="9"/>
  <c r="K92" i="9"/>
  <c r="L92" i="9"/>
  <c r="M92" i="9"/>
  <c r="S92" i="9"/>
  <c r="T92" i="9"/>
  <c r="I93" i="9"/>
  <c r="J93" i="9"/>
  <c r="K93" i="9" s="1"/>
  <c r="L93" i="9"/>
  <c r="O93" i="9"/>
  <c r="P93" i="9"/>
  <c r="Q93" i="9"/>
  <c r="I94" i="9"/>
  <c r="J94" i="9"/>
  <c r="K94" i="9"/>
  <c r="O94" i="9"/>
  <c r="P94" i="9"/>
  <c r="U94" i="9"/>
  <c r="I95" i="9"/>
  <c r="J95" i="9"/>
  <c r="L95" i="9"/>
  <c r="I96" i="9"/>
  <c r="K96" i="9" s="1"/>
  <c r="J96" i="9"/>
  <c r="L96" i="9"/>
  <c r="M96" i="9" s="1"/>
  <c r="O96" i="9"/>
  <c r="S96" i="9" s="1"/>
  <c r="Q96" i="9"/>
  <c r="R96" i="9"/>
  <c r="T96" i="9"/>
  <c r="U96" i="9"/>
  <c r="I97" i="9"/>
  <c r="J97" i="9"/>
  <c r="K97" i="9"/>
  <c r="I98" i="9"/>
  <c r="J98" i="9"/>
  <c r="O98" i="9"/>
  <c r="P98" i="9"/>
  <c r="Q98" i="9"/>
  <c r="U98" i="9"/>
  <c r="I99" i="9"/>
  <c r="J99" i="9"/>
  <c r="K99" i="9"/>
  <c r="L99" i="9"/>
  <c r="O99" i="9"/>
  <c r="Q99" i="9"/>
  <c r="S99" i="9"/>
  <c r="I100" i="9"/>
  <c r="J100" i="9"/>
  <c r="I101" i="9"/>
  <c r="J101" i="9"/>
  <c r="I102" i="9"/>
  <c r="O102" i="9" s="1"/>
  <c r="J102" i="9"/>
  <c r="K102" i="9"/>
  <c r="L102" i="9"/>
  <c r="M102" i="9"/>
  <c r="N102" i="9"/>
  <c r="Q102" i="9"/>
  <c r="R102" i="9"/>
  <c r="S102" i="9"/>
  <c r="T102" i="9"/>
  <c r="I103" i="9"/>
  <c r="J103" i="9"/>
  <c r="O103" i="9"/>
  <c r="P103" i="9"/>
  <c r="S103" i="9"/>
  <c r="T103" i="9"/>
  <c r="U103" i="9"/>
  <c r="I104" i="9"/>
  <c r="L104" i="9" s="1"/>
  <c r="J104" i="9"/>
  <c r="K104" i="9"/>
  <c r="M104" i="9"/>
  <c r="N104" i="9"/>
  <c r="O104" i="9"/>
  <c r="R104" i="9"/>
  <c r="S104" i="9"/>
  <c r="T104" i="9"/>
  <c r="I105" i="9"/>
  <c r="J105" i="9"/>
  <c r="L105" i="9"/>
  <c r="I106" i="9"/>
  <c r="J106" i="9"/>
  <c r="K106" i="9"/>
  <c r="L106" i="9"/>
  <c r="M106" i="9"/>
  <c r="O106" i="9"/>
  <c r="Q106" i="9"/>
  <c r="U106" i="9"/>
  <c r="I107" i="9"/>
  <c r="J107" i="9"/>
  <c r="K107" i="9"/>
  <c r="L107" i="9"/>
  <c r="O107" i="9"/>
  <c r="P107" i="9"/>
  <c r="I108" i="9"/>
  <c r="J108" i="9"/>
  <c r="K108" i="9"/>
  <c r="L108" i="9"/>
  <c r="O108" i="9"/>
  <c r="P108" i="9"/>
  <c r="I109" i="9"/>
  <c r="J109" i="9"/>
  <c r="O109" i="9"/>
  <c r="P109" i="9"/>
  <c r="Q109" i="9"/>
  <c r="U109" i="9"/>
  <c r="I110" i="9"/>
  <c r="J110" i="9"/>
  <c r="K110" i="9"/>
  <c r="L110" i="9"/>
  <c r="M110" i="9" s="1"/>
  <c r="O110" i="9"/>
  <c r="Q110" i="9"/>
  <c r="I111" i="9"/>
  <c r="J111" i="9"/>
  <c r="K111" i="9"/>
  <c r="L111" i="9"/>
  <c r="M111" i="9"/>
  <c r="N111" i="9"/>
  <c r="O111" i="9"/>
  <c r="P111" i="9"/>
  <c r="Q111" i="9"/>
  <c r="R111" i="9"/>
  <c r="I112" i="9"/>
  <c r="J112" i="9"/>
  <c r="K112" i="9"/>
  <c r="L112" i="9"/>
  <c r="M112" i="9"/>
  <c r="O112" i="9"/>
  <c r="P112" i="9"/>
  <c r="I113" i="9"/>
  <c r="J113" i="9"/>
  <c r="L113" i="9" s="1"/>
  <c r="O113" i="9"/>
  <c r="P113" i="9"/>
  <c r="Q113" i="9"/>
  <c r="I114" i="9"/>
  <c r="J114" i="9"/>
  <c r="K114" i="9"/>
  <c r="I115" i="9"/>
  <c r="J115" i="9"/>
  <c r="I116" i="9"/>
  <c r="J116" i="9"/>
  <c r="I117" i="9"/>
  <c r="J117" i="9"/>
  <c r="O117" i="9"/>
  <c r="I118" i="9"/>
  <c r="J118" i="9"/>
  <c r="I119" i="9"/>
  <c r="O119" i="9" s="1"/>
  <c r="J119" i="9"/>
  <c r="Q119" i="9"/>
  <c r="R119" i="9"/>
  <c r="S119" i="9"/>
  <c r="I120" i="9"/>
  <c r="J120" i="9"/>
  <c r="K120" i="9"/>
  <c r="I121" i="9"/>
  <c r="J121" i="9"/>
  <c r="K121" i="9"/>
  <c r="L121" i="9"/>
  <c r="M121" i="9" s="1"/>
  <c r="O121" i="9"/>
  <c r="U121" i="9"/>
  <c r="I122" i="9"/>
  <c r="J122" i="9"/>
  <c r="O122" i="9"/>
  <c r="O123" i="9"/>
  <c r="J123" i="9"/>
  <c r="K123" i="9"/>
  <c r="L123" i="9"/>
  <c r="M123" i="9"/>
  <c r="N123" i="9" s="1"/>
  <c r="P123" i="9"/>
  <c r="R123" i="9"/>
  <c r="U123" i="9"/>
  <c r="J124" i="9"/>
  <c r="L124" i="9"/>
  <c r="J125" i="9"/>
  <c r="J126" i="9"/>
  <c r="O126" i="9"/>
  <c r="P126" i="9" s="1"/>
  <c r="R126" i="9"/>
  <c r="U126" i="9"/>
  <c r="J127" i="9"/>
  <c r="K127" i="9"/>
  <c r="L127" i="9"/>
  <c r="O127" i="9"/>
  <c r="S127" i="9"/>
  <c r="T127" i="9"/>
  <c r="J128" i="9"/>
  <c r="K128" i="9" s="1"/>
  <c r="L128" i="9"/>
  <c r="O128" i="9"/>
  <c r="P128" i="9"/>
  <c r="Q128" i="9"/>
  <c r="R128" i="9"/>
  <c r="S128" i="9"/>
  <c r="T128" i="9"/>
  <c r="U128" i="9"/>
  <c r="K129" i="9"/>
  <c r="M129" i="9" s="1"/>
  <c r="J129" i="9"/>
  <c r="L129" i="9"/>
  <c r="O129" i="9"/>
  <c r="U129" i="9" s="1"/>
  <c r="K130" i="9"/>
  <c r="J130" i="9"/>
  <c r="L130" i="9"/>
  <c r="O130" i="9"/>
  <c r="P130" i="9" s="1"/>
  <c r="U130" i="9"/>
  <c r="J131" i="9"/>
  <c r="K131" i="9" s="1"/>
  <c r="L131" i="9"/>
  <c r="O131" i="9"/>
  <c r="P131" i="9"/>
  <c r="T131" i="9"/>
  <c r="U131" i="9"/>
  <c r="J132" i="9"/>
  <c r="O133" i="9"/>
  <c r="R133" i="9" s="1"/>
  <c r="J133" i="9"/>
  <c r="K133" i="9"/>
  <c r="L133" i="9"/>
  <c r="M133" i="9"/>
  <c r="V133" i="9" s="1"/>
  <c r="W133" i="9" s="1"/>
  <c r="J134" i="9"/>
  <c r="K134" i="9"/>
  <c r="L134" i="9"/>
  <c r="O134" i="9"/>
  <c r="P134" i="9" s="1"/>
  <c r="J135" i="9"/>
  <c r="O136" i="9"/>
  <c r="R136" i="9" s="1"/>
  <c r="J136" i="9"/>
  <c r="K136" i="9" s="1"/>
  <c r="M136" i="9" s="1"/>
  <c r="L136" i="9"/>
  <c r="P136" i="9"/>
  <c r="Q136" i="9"/>
  <c r="S136" i="9"/>
  <c r="T136" i="9"/>
  <c r="U136" i="9"/>
  <c r="J137" i="9"/>
  <c r="J138" i="9"/>
  <c r="J139" i="9"/>
  <c r="K139" i="9"/>
  <c r="L139" i="9"/>
  <c r="M139" i="9"/>
  <c r="N139" i="9" s="1"/>
  <c r="O139" i="9"/>
  <c r="U139" i="9" s="1"/>
  <c r="P139" i="9"/>
  <c r="J140" i="9"/>
  <c r="J141" i="9"/>
  <c r="K141" i="9"/>
  <c r="M141" i="9" s="1"/>
  <c r="L141" i="9"/>
  <c r="O141" i="9"/>
  <c r="P141" i="9" s="1"/>
  <c r="J142" i="9"/>
  <c r="K142" i="9"/>
  <c r="J143" i="9"/>
  <c r="K143" i="9"/>
  <c r="K144" i="9"/>
  <c r="J144" i="9"/>
  <c r="L144" i="9"/>
  <c r="M144" i="9"/>
  <c r="V144" i="9" s="1"/>
  <c r="W144" i="9" s="1"/>
  <c r="N144" i="9"/>
  <c r="O144" i="9"/>
  <c r="P144" i="9"/>
  <c r="J145" i="9"/>
  <c r="K145" i="9"/>
  <c r="L145" i="9"/>
  <c r="M145" i="9"/>
  <c r="N145" i="9" s="1"/>
  <c r="O145" i="9"/>
  <c r="J146" i="9"/>
  <c r="L146" i="9" s="1"/>
  <c r="K146" i="9"/>
  <c r="M146" i="9" s="1"/>
  <c r="N146" i="9" s="1"/>
  <c r="O146" i="9"/>
  <c r="R146" i="9"/>
  <c r="S146" i="9"/>
  <c r="T146" i="9"/>
  <c r="J147" i="9"/>
  <c r="O147" i="9"/>
  <c r="U147" i="9" s="1"/>
  <c r="P147" i="9"/>
  <c r="Q147" i="9"/>
  <c r="R147" i="9"/>
  <c r="S147" i="9"/>
  <c r="J148" i="9"/>
  <c r="J149" i="9"/>
  <c r="K149" i="9"/>
  <c r="L149" i="9"/>
  <c r="O149" i="9"/>
  <c r="J150" i="9"/>
  <c r="J151" i="9"/>
  <c r="K151" i="9" s="1"/>
  <c r="O151" i="9"/>
  <c r="Q151" i="9" s="1"/>
  <c r="P151" i="9"/>
  <c r="R151" i="9"/>
  <c r="S151" i="9"/>
  <c r="T151" i="9"/>
  <c r="J152" i="9"/>
  <c r="O152" i="9"/>
  <c r="Q152" i="9" s="1"/>
  <c r="J153" i="9"/>
  <c r="J154" i="9"/>
  <c r="O154" i="9"/>
  <c r="O155" i="9"/>
  <c r="P155" i="9" s="1"/>
  <c r="J155" i="9"/>
  <c r="K155" i="9"/>
  <c r="L155" i="9"/>
  <c r="J156" i="9"/>
  <c r="K156" i="9"/>
  <c r="K157" i="9"/>
  <c r="J157" i="9"/>
  <c r="L157" i="9"/>
  <c r="O157" i="9"/>
  <c r="P157" i="9"/>
  <c r="U157" i="9"/>
  <c r="J158" i="9"/>
  <c r="L158" i="9"/>
  <c r="J159" i="9"/>
  <c r="K159" i="9" s="1"/>
  <c r="L159" i="9"/>
  <c r="M159" i="9"/>
  <c r="N159" i="9" s="1"/>
  <c r="O159" i="9"/>
  <c r="S159" i="9" s="1"/>
  <c r="P159" i="9"/>
  <c r="O160" i="9"/>
  <c r="P160" i="9" s="1"/>
  <c r="J160" i="9"/>
  <c r="K160" i="9"/>
  <c r="L160" i="9"/>
  <c r="Q160" i="9"/>
  <c r="R160" i="9"/>
  <c r="S160" i="9"/>
  <c r="T160" i="9"/>
  <c r="O161" i="9"/>
  <c r="J161" i="9"/>
  <c r="K161" i="9"/>
  <c r="L161" i="9"/>
  <c r="M161" i="9"/>
  <c r="N161" i="9"/>
  <c r="Q161" i="9"/>
  <c r="R161" i="9"/>
  <c r="J162" i="9"/>
  <c r="J163" i="9"/>
  <c r="K163" i="9"/>
  <c r="J164" i="9"/>
  <c r="L164" i="9" s="1"/>
  <c r="K164" i="9"/>
  <c r="M164" i="9" s="1"/>
  <c r="O164" i="9"/>
  <c r="P164" i="9"/>
  <c r="J165" i="9"/>
  <c r="O165" i="9"/>
  <c r="P165" i="9" s="1"/>
  <c r="J166" i="9"/>
  <c r="L166" i="9"/>
  <c r="J167" i="9"/>
  <c r="K167" i="9"/>
  <c r="L167" i="9"/>
  <c r="O167" i="9"/>
  <c r="J168" i="9"/>
  <c r="J169" i="9"/>
  <c r="K169" i="9"/>
  <c r="L169" i="9"/>
  <c r="O169" i="9"/>
  <c r="P169" i="9"/>
  <c r="Q169" i="9"/>
  <c r="T169" i="9"/>
  <c r="U169" i="9"/>
  <c r="J170" i="9"/>
  <c r="K170" i="9"/>
  <c r="O170" i="9"/>
  <c r="P170" i="9"/>
  <c r="Q170" i="9"/>
  <c r="R170" i="9"/>
  <c r="J171" i="9"/>
  <c r="K171" i="9"/>
  <c r="L171" i="9"/>
  <c r="O171" i="9"/>
  <c r="P171" i="9"/>
  <c r="Q171" i="9"/>
  <c r="R171" i="9"/>
  <c r="S171" i="9"/>
  <c r="T171" i="9"/>
  <c r="U171" i="9"/>
  <c r="J172" i="9"/>
  <c r="L172" i="9"/>
  <c r="J173" i="9"/>
  <c r="O174" i="9"/>
  <c r="J174" i="9"/>
  <c r="J175" i="9"/>
  <c r="O176" i="9"/>
  <c r="J176" i="9"/>
  <c r="K176" i="9"/>
  <c r="L176" i="9"/>
  <c r="M176" i="9"/>
  <c r="N176" i="9" s="1"/>
  <c r="P176" i="9"/>
  <c r="Q176" i="9"/>
  <c r="T176" i="9"/>
  <c r="J177" i="9"/>
  <c r="J178" i="9"/>
  <c r="K178" i="9"/>
  <c r="J179" i="9"/>
  <c r="K179" i="9"/>
  <c r="L179" i="9"/>
  <c r="M179" i="9"/>
  <c r="N179" i="9" s="1"/>
  <c r="O179" i="9"/>
  <c r="P179" i="9" s="1"/>
  <c r="K180" i="9"/>
  <c r="J180" i="9"/>
  <c r="L180" i="9"/>
  <c r="O180" i="9"/>
  <c r="O181" i="9"/>
  <c r="P181" i="9" s="1"/>
  <c r="J181" i="9"/>
  <c r="L181" i="9" s="1"/>
  <c r="K181" i="9"/>
  <c r="Q181" i="9"/>
  <c r="R181" i="9"/>
  <c r="S181" i="9"/>
  <c r="T181" i="9"/>
  <c r="U181" i="9"/>
  <c r="J182" i="9"/>
  <c r="L182" i="9" s="1"/>
  <c r="K182" i="9"/>
  <c r="M182" i="9" s="1"/>
  <c r="O182" i="9"/>
  <c r="U182" i="9"/>
  <c r="J183" i="9"/>
  <c r="K183" i="9"/>
  <c r="L183" i="9"/>
  <c r="O183" i="9"/>
  <c r="U183" i="9" s="1"/>
  <c r="J184" i="9"/>
  <c r="L184" i="9" s="1"/>
  <c r="K184" i="9"/>
  <c r="M184" i="9" s="1"/>
  <c r="O184" i="9"/>
  <c r="U184" i="9" s="1"/>
  <c r="R184" i="9"/>
  <c r="S184" i="9"/>
  <c r="T184" i="9"/>
  <c r="J185" i="9"/>
  <c r="L185" i="9"/>
  <c r="O185" i="9"/>
  <c r="P185" i="9"/>
  <c r="S185" i="9"/>
  <c r="J186" i="9"/>
  <c r="K186" i="9"/>
  <c r="L186" i="9"/>
  <c r="M186" i="9"/>
  <c r="N186" i="9"/>
  <c r="O186" i="9"/>
  <c r="J187" i="9"/>
  <c r="L187" i="9" s="1"/>
  <c r="K187" i="9"/>
  <c r="M187" i="9" s="1"/>
  <c r="O187" i="9"/>
  <c r="P187" i="9"/>
  <c r="J188" i="9"/>
  <c r="K188" i="9"/>
  <c r="L188" i="9"/>
  <c r="O188" i="9"/>
  <c r="U188" i="9" s="1"/>
  <c r="P188" i="9"/>
  <c r="Q188" i="9"/>
  <c r="R188" i="9"/>
  <c r="S188" i="9"/>
  <c r="T188" i="9"/>
  <c r="J189" i="9"/>
  <c r="J190" i="9"/>
  <c r="L190" i="9" s="1"/>
  <c r="K190" i="9"/>
  <c r="O190" i="9"/>
  <c r="P190" i="9" s="1"/>
  <c r="Q190" i="9"/>
  <c r="R190" i="9"/>
  <c r="J191" i="9"/>
  <c r="O191" i="9"/>
  <c r="P191" i="9"/>
  <c r="Q191" i="9"/>
  <c r="J192" i="9"/>
  <c r="K192" i="9"/>
  <c r="L192" i="9"/>
  <c r="M192" i="9"/>
  <c r="N192" i="9"/>
  <c r="O192" i="9"/>
  <c r="S192" i="9"/>
  <c r="J193" i="9"/>
  <c r="O193" i="9"/>
  <c r="O194" i="9"/>
  <c r="S194" i="9" s="1"/>
  <c r="J194" i="9"/>
  <c r="J195" i="9"/>
  <c r="K195" i="9"/>
  <c r="L195" i="9"/>
  <c r="O195" i="9"/>
  <c r="S195" i="9" s="1"/>
  <c r="R195" i="9"/>
  <c r="T195" i="9"/>
  <c r="U195" i="9"/>
  <c r="J196" i="9"/>
  <c r="O196" i="9"/>
  <c r="R196" i="9" s="1"/>
  <c r="P196" i="9"/>
  <c r="Q196" i="9"/>
  <c r="S196" i="9"/>
  <c r="T196" i="9"/>
  <c r="U196" i="9"/>
  <c r="K197" i="9"/>
  <c r="J197" i="9"/>
  <c r="L197" i="9"/>
  <c r="M197" i="9"/>
  <c r="O197" i="9"/>
  <c r="P197" i="9"/>
  <c r="J198" i="9"/>
  <c r="L198" i="9"/>
  <c r="O198" i="9"/>
  <c r="P198" i="9" s="1"/>
  <c r="T198" i="9"/>
  <c r="J199" i="9"/>
  <c r="J200" i="9"/>
  <c r="K200" i="9"/>
  <c r="M200" i="9" s="1"/>
  <c r="N200" i="9" s="1"/>
  <c r="L200" i="9"/>
  <c r="O200" i="9"/>
  <c r="P200" i="9"/>
  <c r="Q200" i="9"/>
  <c r="R200" i="9"/>
  <c r="S200" i="9"/>
  <c r="T200" i="9"/>
  <c r="U200" i="9"/>
  <c r="J201" i="9"/>
  <c r="K201" i="9"/>
  <c r="O201" i="9"/>
  <c r="R201" i="9" s="1"/>
  <c r="P201" i="9"/>
  <c r="Q201" i="9"/>
  <c r="J202" i="9"/>
  <c r="O202" i="9"/>
  <c r="U202" i="9" s="1"/>
  <c r="J203" i="9"/>
  <c r="K203" i="9"/>
  <c r="L203" i="9"/>
  <c r="M203" i="9" s="1"/>
  <c r="N203" i="9" s="1"/>
  <c r="O203" i="9"/>
  <c r="J204" i="9"/>
  <c r="L204" i="9"/>
  <c r="J205" i="9"/>
  <c r="J206" i="9"/>
  <c r="O206" i="9"/>
  <c r="R206" i="9"/>
  <c r="J207" i="9"/>
  <c r="K207" i="9"/>
  <c r="O207" i="9"/>
  <c r="J208" i="9"/>
  <c r="L208" i="9"/>
  <c r="O208" i="9"/>
  <c r="P208" i="9"/>
  <c r="U208" i="9"/>
  <c r="J209" i="9"/>
  <c r="K209" i="9"/>
  <c r="L209" i="9"/>
  <c r="M209" i="9"/>
  <c r="O209" i="9"/>
  <c r="U209" i="9" s="1"/>
  <c r="P209" i="9"/>
  <c r="Q209" i="9"/>
  <c r="J210" i="9"/>
  <c r="O210" i="9"/>
  <c r="P210" i="9" s="1"/>
  <c r="U210" i="9"/>
  <c r="J211" i="9"/>
  <c r="K211" i="9"/>
  <c r="M211" i="9" s="1"/>
  <c r="N211" i="9" s="1"/>
  <c r="L211" i="9"/>
  <c r="O211" i="9"/>
  <c r="T211" i="9"/>
  <c r="J212" i="9"/>
  <c r="L212" i="9"/>
  <c r="J213" i="9"/>
  <c r="J214" i="9"/>
  <c r="K214" i="9"/>
  <c r="O214" i="9"/>
  <c r="O215" i="9"/>
  <c r="U215" i="9" s="1"/>
  <c r="J215" i="9"/>
  <c r="K215" i="9"/>
  <c r="M215" i="9" s="1"/>
  <c r="L215" i="9"/>
  <c r="J216" i="9"/>
  <c r="K216" i="9"/>
  <c r="O216" i="9"/>
  <c r="P216" i="9" s="1"/>
  <c r="Q216" i="9"/>
  <c r="R216" i="9"/>
  <c r="O217" i="9"/>
  <c r="Q217" i="9" s="1"/>
  <c r="J217" i="9"/>
  <c r="K217" i="9"/>
  <c r="M217" i="9" s="1"/>
  <c r="N217" i="9" s="1"/>
  <c r="L217" i="9"/>
  <c r="P217" i="9"/>
  <c r="R217" i="9"/>
  <c r="S217" i="9"/>
  <c r="T217" i="9"/>
  <c r="U217" i="9"/>
  <c r="J218" i="9"/>
  <c r="K218" i="9"/>
  <c r="O218" i="9"/>
  <c r="Q218" i="9"/>
  <c r="J219" i="9"/>
  <c r="K219" i="9"/>
  <c r="J220" i="9"/>
  <c r="K220" i="9"/>
  <c r="O220" i="9"/>
  <c r="U220" i="9" s="1"/>
  <c r="J221" i="9"/>
  <c r="L221" i="9"/>
  <c r="O221" i="9"/>
  <c r="P221" i="9" s="1"/>
  <c r="T221" i="9"/>
  <c r="U221" i="9"/>
  <c r="J222" i="9"/>
  <c r="O222" i="9"/>
  <c r="J223" i="9"/>
  <c r="K223" i="9" s="1"/>
  <c r="L223" i="9"/>
  <c r="O223" i="9"/>
  <c r="Q223" i="9"/>
  <c r="T223" i="9"/>
  <c r="U223" i="9"/>
  <c r="J224" i="9"/>
  <c r="K224" i="9"/>
  <c r="O224" i="9"/>
  <c r="P224" i="9"/>
  <c r="Q224" i="9"/>
  <c r="R224" i="9"/>
  <c r="S224" i="9"/>
  <c r="J225" i="9"/>
  <c r="L225" i="9" s="1"/>
  <c r="K225" i="9"/>
  <c r="O225" i="9"/>
  <c r="P225" i="9"/>
  <c r="J226" i="9"/>
  <c r="O226" i="9"/>
  <c r="P226" i="9" s="1"/>
  <c r="Q226" i="9"/>
  <c r="R226" i="9"/>
  <c r="J227" i="9"/>
  <c r="K227" i="9"/>
  <c r="L227" i="9"/>
  <c r="M227" i="9" s="1"/>
  <c r="N227" i="9" s="1"/>
  <c r="O227" i="9"/>
  <c r="P227" i="9" s="1"/>
  <c r="Q227" i="9"/>
  <c r="O228" i="9"/>
  <c r="J228" i="9"/>
  <c r="K228" i="9"/>
  <c r="L228" i="9"/>
  <c r="M228" i="9"/>
  <c r="Q228" i="9"/>
  <c r="S228" i="9"/>
  <c r="J229" i="9"/>
  <c r="O229" i="9"/>
  <c r="U229" i="9" s="1"/>
  <c r="P229" i="9"/>
  <c r="Q229" i="9"/>
  <c r="R229" i="9"/>
  <c r="J230" i="9"/>
  <c r="K230" i="9" s="1"/>
  <c r="M230" i="9" s="1"/>
  <c r="N230" i="9" s="1"/>
  <c r="L230" i="9"/>
  <c r="O230" i="9"/>
  <c r="Q230" i="9" s="1"/>
  <c r="J231" i="9"/>
  <c r="K231" i="9"/>
  <c r="L231" i="9"/>
  <c r="M231" i="9" s="1"/>
  <c r="N231" i="9" s="1"/>
  <c r="O231" i="9"/>
  <c r="P231" i="9" s="1"/>
  <c r="T231" i="9"/>
  <c r="U231" i="9"/>
  <c r="K232" i="9"/>
  <c r="J232" i="9"/>
  <c r="L232" i="9"/>
  <c r="M232" i="9"/>
  <c r="O232" i="9"/>
  <c r="T232" i="9"/>
  <c r="J233" i="9"/>
  <c r="K233" i="9"/>
  <c r="L233" i="9"/>
  <c r="M233" i="9"/>
  <c r="N233" i="9" s="1"/>
  <c r="O233" i="9"/>
  <c r="P233" i="9" s="1"/>
  <c r="J234" i="9"/>
  <c r="K235" i="9"/>
  <c r="M235" i="9" s="1"/>
  <c r="N235" i="9" s="1"/>
  <c r="J235" i="9"/>
  <c r="L235" i="9"/>
  <c r="O235" i="9"/>
  <c r="P235" i="9" s="1"/>
  <c r="J236" i="9"/>
  <c r="K236" i="9"/>
  <c r="J237" i="9"/>
  <c r="J238" i="9"/>
  <c r="K238" i="9"/>
  <c r="L238" i="9"/>
  <c r="M238" i="9"/>
  <c r="N238" i="9"/>
  <c r="O238" i="9"/>
  <c r="U238" i="9"/>
  <c r="J239" i="9"/>
  <c r="K239" i="9"/>
  <c r="O239" i="9"/>
  <c r="S239" i="9"/>
  <c r="J240" i="9"/>
  <c r="K240" i="9"/>
  <c r="M240" i="9" s="1"/>
  <c r="N240" i="9" s="1"/>
  <c r="L240" i="9"/>
  <c r="O240" i="9"/>
  <c r="Q240" i="9"/>
  <c r="U240" i="9"/>
  <c r="J241" i="9"/>
  <c r="J242" i="9"/>
  <c r="O243" i="9"/>
  <c r="J243" i="9"/>
  <c r="K243" i="9"/>
  <c r="M243" i="9" s="1"/>
  <c r="L243" i="9"/>
  <c r="P243" i="9"/>
  <c r="R243" i="9"/>
  <c r="T243" i="9"/>
  <c r="U243" i="9"/>
  <c r="J244" i="9"/>
  <c r="J245" i="9"/>
  <c r="J246" i="9"/>
  <c r="K246" i="9"/>
  <c r="L246" i="9"/>
  <c r="M246" i="9"/>
  <c r="O246" i="9"/>
  <c r="T246" i="9" s="1"/>
  <c r="P246" i="9"/>
  <c r="Q246" i="9"/>
  <c r="J247" i="9"/>
  <c r="K247" i="9"/>
  <c r="L247" i="9"/>
  <c r="O247" i="9"/>
  <c r="J248" i="9"/>
  <c r="J249" i="9"/>
  <c r="J250" i="9"/>
  <c r="J251" i="9"/>
  <c r="K251" i="9"/>
  <c r="L251" i="9"/>
  <c r="M251" i="9" s="1"/>
  <c r="O251" i="9"/>
  <c r="P251" i="9" s="1"/>
  <c r="R251" i="9"/>
  <c r="S251" i="9"/>
  <c r="T251" i="9"/>
  <c r="U251" i="9"/>
  <c r="J252" i="9"/>
  <c r="O253" i="9"/>
  <c r="P253" i="9" s="1"/>
  <c r="J253" i="9"/>
  <c r="K253" i="9"/>
  <c r="L253" i="9"/>
  <c r="M253" i="9"/>
  <c r="N253" i="9"/>
  <c r="J254" i="9"/>
  <c r="K254" i="9" s="1"/>
  <c r="L254" i="9"/>
  <c r="O254" i="9"/>
  <c r="P254" i="9"/>
  <c r="J255" i="9"/>
  <c r="J256" i="9"/>
  <c r="O256" i="9"/>
  <c r="P256" i="9"/>
  <c r="Q256" i="9"/>
  <c r="O257" i="9"/>
  <c r="P257" i="9" s="1"/>
  <c r="J257" i="9"/>
  <c r="K257" i="9"/>
  <c r="L257" i="9"/>
  <c r="M257" i="9"/>
  <c r="N257" i="9"/>
  <c r="Q257" i="9"/>
  <c r="R257" i="9"/>
  <c r="S257" i="9"/>
  <c r="T257" i="9"/>
  <c r="U257" i="9"/>
  <c r="V257" i="9"/>
  <c r="W257" i="9"/>
  <c r="J258" i="9"/>
  <c r="L258" i="9"/>
  <c r="O259" i="9"/>
  <c r="J259" i="9"/>
  <c r="K259" i="9" s="1"/>
  <c r="L259" i="9"/>
  <c r="J260" i="9"/>
  <c r="O260" i="9"/>
  <c r="P260" i="9"/>
  <c r="Q260" i="9"/>
  <c r="R260" i="9"/>
  <c r="S260" i="9"/>
  <c r="O261" i="9"/>
  <c r="J261" i="9"/>
  <c r="K261" i="9"/>
  <c r="M261" i="9" s="1"/>
  <c r="N261" i="9" s="1"/>
  <c r="L261" i="9"/>
  <c r="J262" i="9"/>
  <c r="K262" i="9"/>
  <c r="O262" i="9"/>
  <c r="P262" i="9"/>
  <c r="Q262" i="9"/>
  <c r="K263" i="9"/>
  <c r="J263" i="9"/>
  <c r="L263" i="9"/>
  <c r="O263" i="9"/>
  <c r="U263" i="9" s="1"/>
  <c r="P263" i="9"/>
  <c r="Q263" i="9"/>
  <c r="R263" i="9"/>
  <c r="S263" i="9"/>
  <c r="T263" i="9"/>
  <c r="J264" i="9"/>
  <c r="K264" i="9"/>
  <c r="J265" i="9"/>
  <c r="J266" i="9"/>
  <c r="L266" i="9"/>
  <c r="O266" i="9"/>
  <c r="P266" i="9" s="1"/>
  <c r="Q266" i="9"/>
  <c r="J267" i="9"/>
  <c r="O268" i="9"/>
  <c r="J268" i="9"/>
  <c r="K268" i="9"/>
  <c r="M268" i="9" s="1"/>
  <c r="N268" i="9" s="1"/>
  <c r="L268" i="9"/>
  <c r="P268" i="9"/>
  <c r="Q268" i="9"/>
  <c r="T268" i="9"/>
  <c r="U268" i="9"/>
  <c r="J269" i="9"/>
  <c r="K269" i="9"/>
  <c r="O269" i="9"/>
  <c r="P269" i="9"/>
  <c r="R269" i="9"/>
  <c r="U269" i="9"/>
  <c r="J270" i="9"/>
  <c r="L270" i="9"/>
  <c r="J271" i="9"/>
  <c r="K271" i="9"/>
  <c r="O271" i="9"/>
  <c r="T271" i="9" s="1"/>
  <c r="P271" i="9"/>
  <c r="R271" i="9"/>
  <c r="O272" i="9"/>
  <c r="P272" i="9" s="1"/>
  <c r="J272" i="9"/>
  <c r="K272" i="9"/>
  <c r="M272" i="9" s="1"/>
  <c r="L272" i="9"/>
  <c r="J273" i="9"/>
  <c r="K273" i="9"/>
  <c r="J274" i="9"/>
  <c r="K274" i="9"/>
  <c r="L274" i="9"/>
  <c r="M274" i="9"/>
  <c r="O274" i="9"/>
  <c r="Q274" i="9"/>
  <c r="J275" i="9"/>
  <c r="K275" i="9"/>
  <c r="O275" i="9"/>
  <c r="P275" i="9" s="1"/>
  <c r="J276" i="9"/>
  <c r="K276" i="9"/>
  <c r="L276" i="9"/>
  <c r="M276" i="9"/>
  <c r="V276" i="9" s="1"/>
  <c r="W276" i="9" s="1"/>
  <c r="N276" i="9"/>
  <c r="O276" i="9"/>
  <c r="K277" i="9"/>
  <c r="J277" i="9"/>
  <c r="L277" i="9"/>
  <c r="O277" i="9"/>
  <c r="P277" i="9" s="1"/>
  <c r="Q277" i="9"/>
  <c r="J278" i="9"/>
  <c r="K278" i="9"/>
  <c r="L278" i="9"/>
  <c r="M278" i="9" s="1"/>
  <c r="N278" i="9" s="1"/>
  <c r="O278" i="9"/>
  <c r="P278" i="9"/>
  <c r="Q278" i="9"/>
  <c r="T278" i="9"/>
  <c r="U278" i="9"/>
  <c r="V278" i="9"/>
  <c r="W278" i="9" s="1"/>
  <c r="J279" i="9"/>
  <c r="L279" i="9" s="1"/>
  <c r="K279" i="9"/>
  <c r="M279" i="9" s="1"/>
  <c r="N279" i="9" s="1"/>
  <c r="O279" i="9"/>
  <c r="R279" i="9" s="1"/>
  <c r="J280" i="9"/>
  <c r="L281" i="9"/>
  <c r="J281" i="9"/>
  <c r="K281" i="9"/>
  <c r="M281" i="9" s="1"/>
  <c r="N281" i="9" s="1"/>
  <c r="O281" i="9"/>
  <c r="R281" i="9" s="1"/>
  <c r="P281" i="9"/>
  <c r="Q281" i="9"/>
  <c r="J282" i="9"/>
  <c r="L282" i="9"/>
  <c r="O282" i="9"/>
  <c r="P282" i="9"/>
  <c r="S282" i="9"/>
  <c r="U282" i="9"/>
  <c r="J283" i="9"/>
  <c r="K283" i="9"/>
  <c r="O283" i="9"/>
  <c r="P283" i="9"/>
  <c r="Q283" i="9"/>
  <c r="R283" i="9"/>
  <c r="S283" i="9"/>
  <c r="J284" i="9"/>
  <c r="K284" i="9"/>
  <c r="L284" i="9"/>
  <c r="O284" i="9"/>
  <c r="T284" i="9"/>
  <c r="J285" i="9"/>
  <c r="L285" i="9"/>
  <c r="O285" i="9"/>
  <c r="P285" i="9"/>
  <c r="T285" i="9"/>
  <c r="U285" i="9"/>
  <c r="K286" i="9"/>
  <c r="J286" i="9"/>
  <c r="J287" i="9"/>
  <c r="J288" i="9"/>
  <c r="K288" i="9"/>
  <c r="L288" i="9"/>
  <c r="O288" i="9"/>
  <c r="J289" i="9"/>
  <c r="O289" i="9"/>
  <c r="P289" i="9"/>
  <c r="Q289" i="9"/>
  <c r="R289" i="9"/>
  <c r="S289" i="9"/>
  <c r="T289" i="9"/>
  <c r="U289" i="9"/>
  <c r="J290" i="9"/>
  <c r="K290" i="9"/>
  <c r="J291" i="9"/>
  <c r="O291" i="9"/>
  <c r="P291" i="9" s="1"/>
  <c r="Q291" i="9"/>
  <c r="R291" i="9"/>
  <c r="O292" i="9"/>
  <c r="T292" i="9" s="1"/>
  <c r="J292" i="9"/>
  <c r="K292" i="9"/>
  <c r="L292" i="9"/>
  <c r="M292" i="9"/>
  <c r="V292" i="9" s="1"/>
  <c r="W292" i="9" s="1"/>
  <c r="Q292" i="9"/>
  <c r="R292" i="9"/>
  <c r="S292" i="9"/>
  <c r="J293" i="9"/>
  <c r="O293" i="9"/>
  <c r="U293" i="9" s="1"/>
  <c r="Q293" i="9"/>
  <c r="R293" i="9"/>
  <c r="S293" i="9"/>
  <c r="T293" i="9"/>
  <c r="O294" i="9"/>
  <c r="S294" i="9" s="1"/>
  <c r="J294" i="9"/>
  <c r="K294" i="9"/>
  <c r="L294" i="9"/>
  <c r="M294" i="9"/>
  <c r="V294" i="9" s="1"/>
  <c r="W294" i="9" s="1"/>
  <c r="N294" i="9"/>
  <c r="R294" i="9"/>
  <c r="J295" i="9"/>
  <c r="L295" i="9"/>
  <c r="O296" i="9"/>
  <c r="J296" i="9"/>
  <c r="K296" i="9"/>
  <c r="L296" i="9"/>
  <c r="M296" i="9"/>
  <c r="N296" i="9"/>
  <c r="Q296" i="9"/>
  <c r="R296" i="9"/>
  <c r="T296" i="9"/>
  <c r="U296" i="9"/>
  <c r="V296" i="9"/>
  <c r="W296" i="9" s="1"/>
  <c r="J297" i="9"/>
  <c r="O298" i="9"/>
  <c r="T298" i="9" s="1"/>
  <c r="J298" i="9"/>
  <c r="K298" i="9"/>
  <c r="L298" i="9"/>
  <c r="Q298" i="9"/>
  <c r="S298" i="9"/>
  <c r="J299" i="9"/>
  <c r="L299" i="9"/>
  <c r="J300" i="9"/>
  <c r="K300" i="9"/>
  <c r="J301" i="9"/>
  <c r="L301" i="9"/>
  <c r="J302" i="9"/>
  <c r="L302" i="9"/>
  <c r="K303" i="9"/>
  <c r="J303" i="9"/>
  <c r="L303" i="9"/>
  <c r="O303" i="9"/>
  <c r="P303" i="9"/>
  <c r="J304" i="9"/>
  <c r="J305" i="9"/>
  <c r="J306" i="9"/>
  <c r="J307" i="9"/>
  <c r="K307" i="9" s="1"/>
  <c r="L307" i="9"/>
  <c r="O307" i="9"/>
  <c r="P307" i="9"/>
  <c r="Q307" i="9"/>
  <c r="U307" i="9"/>
  <c r="J308" i="9"/>
  <c r="K308" i="9"/>
  <c r="J309" i="9"/>
  <c r="J310" i="9"/>
  <c r="L310" i="9"/>
  <c r="O311" i="9"/>
  <c r="J311" i="9"/>
  <c r="O312" i="9"/>
  <c r="T312" i="9" s="1"/>
  <c r="J312" i="9"/>
  <c r="K312" i="9"/>
  <c r="L312" i="9"/>
  <c r="M312" i="9"/>
  <c r="J313" i="9"/>
  <c r="K313" i="9"/>
  <c r="L313" i="9"/>
  <c r="O313" i="9"/>
  <c r="U313" i="9" s="1"/>
  <c r="P313" i="9"/>
  <c r="Q313" i="9"/>
  <c r="R313" i="9"/>
  <c r="S313" i="9"/>
  <c r="T313" i="9"/>
  <c r="J314" i="9"/>
  <c r="L314" i="9" s="1"/>
  <c r="K314" i="9"/>
  <c r="M314" i="9" s="1"/>
  <c r="O314" i="9"/>
  <c r="Q314" i="9"/>
  <c r="R314" i="9"/>
  <c r="S314" i="9"/>
  <c r="J315" i="9"/>
  <c r="K315" i="9"/>
  <c r="L315" i="9"/>
  <c r="O315" i="9"/>
  <c r="P315" i="9"/>
  <c r="Q315" i="9"/>
  <c r="R315" i="9"/>
  <c r="S315" i="9"/>
  <c r="T315" i="9"/>
  <c r="U315" i="9"/>
  <c r="O316" i="9"/>
  <c r="S316" i="9" s="1"/>
  <c r="J316" i="9"/>
  <c r="L316" i="9" s="1"/>
  <c r="K316" i="9"/>
  <c r="M316" i="9" s="1"/>
  <c r="N316" i="9" s="1"/>
  <c r="P316" i="9"/>
  <c r="Q316" i="9"/>
  <c r="R316" i="9"/>
  <c r="J317" i="9"/>
  <c r="K317" i="9"/>
  <c r="L317" i="9"/>
  <c r="M317" i="9"/>
  <c r="N317" i="9"/>
  <c r="O317" i="9"/>
  <c r="P317" i="9"/>
  <c r="S317" i="9"/>
  <c r="J318" i="9"/>
  <c r="K318" i="9"/>
  <c r="J319" i="9"/>
  <c r="K319" i="9"/>
  <c r="L319" i="9"/>
  <c r="M319" i="9"/>
  <c r="N319" i="9"/>
  <c r="O319" i="9"/>
  <c r="J320" i="9"/>
  <c r="K320" i="9"/>
  <c r="L320" i="9"/>
  <c r="O320" i="9"/>
  <c r="P320" i="9"/>
  <c r="R320" i="9"/>
  <c r="J321" i="9"/>
  <c r="K321" i="9"/>
  <c r="L321" i="9"/>
  <c r="O321" i="9"/>
  <c r="S321" i="9" s="1"/>
  <c r="L322" i="9"/>
  <c r="J322" i="9"/>
  <c r="K322" i="9"/>
  <c r="M322" i="9" s="1"/>
  <c r="N322" i="9"/>
  <c r="O322" i="9"/>
  <c r="P322" i="9" s="1"/>
  <c r="Q322" i="9"/>
  <c r="R322" i="9"/>
  <c r="S322" i="9"/>
  <c r="J323" i="9"/>
  <c r="J324" i="9"/>
  <c r="J325" i="9"/>
  <c r="K325" i="9"/>
  <c r="K326" i="9"/>
  <c r="J326" i="9"/>
  <c r="L326" i="9"/>
  <c r="M326" i="9"/>
  <c r="N326" i="9"/>
  <c r="O326" i="9"/>
  <c r="R326" i="9"/>
  <c r="U326" i="9"/>
  <c r="J327" i="9"/>
  <c r="K327" i="9"/>
  <c r="O327" i="9"/>
  <c r="U327" i="9" s="1"/>
  <c r="P327" i="9"/>
  <c r="Q327" i="9"/>
  <c r="R327" i="9"/>
  <c r="S327" i="9"/>
  <c r="J328" i="9"/>
  <c r="K328" i="9"/>
  <c r="L328" i="9"/>
  <c r="O328" i="9"/>
  <c r="J329" i="9"/>
  <c r="J330" i="9"/>
  <c r="K330" i="9"/>
  <c r="L330" i="9"/>
  <c r="O330" i="9"/>
  <c r="P330" i="9" s="1"/>
  <c r="S330" i="9"/>
  <c r="J331" i="9"/>
  <c r="K331" i="9"/>
  <c r="M331" i="9" s="1"/>
  <c r="L331" i="9"/>
  <c r="O331" i="9"/>
  <c r="U331" i="9" s="1"/>
  <c r="P331" i="9"/>
  <c r="Q331" i="9"/>
  <c r="R331" i="9"/>
  <c r="S331" i="9"/>
  <c r="T331" i="9"/>
  <c r="J332" i="9"/>
  <c r="K332" i="9"/>
  <c r="J333" i="9"/>
  <c r="K333" i="9"/>
  <c r="L333" i="9"/>
  <c r="M333" i="9"/>
  <c r="N333" i="9"/>
  <c r="O333" i="9"/>
  <c r="P333" i="9"/>
  <c r="O334" i="9"/>
  <c r="T334" i="9" s="1"/>
  <c r="J334" i="9"/>
  <c r="K334" i="9"/>
  <c r="L334" i="9"/>
  <c r="M334" i="9"/>
  <c r="N334" i="9" s="1"/>
  <c r="P334" i="9"/>
  <c r="Q334" i="9"/>
  <c r="R334" i="9"/>
  <c r="S334" i="9"/>
  <c r="U334" i="9"/>
  <c r="J335" i="9"/>
  <c r="K335" i="9"/>
  <c r="O335" i="9"/>
  <c r="O336" i="9"/>
  <c r="T336" i="9" s="1"/>
  <c r="J336" i="9"/>
  <c r="K336" i="9"/>
  <c r="L336" i="9"/>
  <c r="S336" i="9"/>
  <c r="O337" i="9"/>
  <c r="Q337" i="9" s="1"/>
  <c r="J337" i="9"/>
  <c r="K337" i="9"/>
  <c r="L337" i="9"/>
  <c r="M337" i="9"/>
  <c r="N337" i="9"/>
  <c r="J338" i="9"/>
  <c r="O338" i="9"/>
  <c r="J339" i="9"/>
  <c r="L339" i="9" s="1"/>
  <c r="K339" i="9"/>
  <c r="M339" i="9" s="1"/>
  <c r="O339" i="9"/>
  <c r="P339" i="9"/>
  <c r="S339" i="9"/>
  <c r="J340" i="9"/>
  <c r="O340" i="9"/>
  <c r="J341" i="9"/>
  <c r="J342" i="9"/>
  <c r="O342" i="9"/>
  <c r="S342" i="9" s="1"/>
  <c r="P342" i="9"/>
  <c r="Q342" i="9"/>
  <c r="R342" i="9"/>
  <c r="T342" i="9"/>
  <c r="U342" i="9"/>
  <c r="O343" i="9"/>
  <c r="J343" i="9"/>
  <c r="K343" i="9"/>
  <c r="L343" i="9"/>
  <c r="M343" i="9"/>
  <c r="N343" i="9"/>
  <c r="Q343" i="9"/>
  <c r="R343" i="9"/>
  <c r="J344" i="9"/>
  <c r="K344" i="9"/>
  <c r="L344" i="9"/>
  <c r="M344" i="9"/>
  <c r="N344" i="9"/>
  <c r="O344" i="9"/>
  <c r="P344" i="9" s="1"/>
  <c r="J345" i="9"/>
  <c r="K345" i="9"/>
  <c r="L345" i="9"/>
  <c r="O345" i="9"/>
  <c r="R345" i="9" s="1"/>
  <c r="P345" i="9"/>
  <c r="Q345" i="9"/>
  <c r="J346" i="9"/>
  <c r="L346" i="9" s="1"/>
  <c r="K346" i="9"/>
  <c r="M346" i="9" s="1"/>
  <c r="N346" i="9"/>
  <c r="O346" i="9"/>
  <c r="J347" i="9"/>
  <c r="O348" i="9"/>
  <c r="J348" i="9"/>
  <c r="K348" i="9"/>
  <c r="L348" i="9"/>
  <c r="R348" i="9"/>
  <c r="S348" i="9"/>
  <c r="T348" i="9"/>
  <c r="U348" i="9"/>
  <c r="J349" i="9"/>
  <c r="O349" i="9"/>
  <c r="P349" i="9"/>
  <c r="Q349" i="9"/>
  <c r="R349" i="9"/>
  <c r="T349" i="9"/>
  <c r="J350" i="9"/>
  <c r="K350" i="9"/>
  <c r="L350" i="9"/>
  <c r="M350" i="9"/>
  <c r="N350" i="9"/>
  <c r="O350" i="9"/>
  <c r="Q350" i="9" s="1"/>
  <c r="P350" i="9"/>
  <c r="K351" i="9"/>
  <c r="J351" i="9"/>
  <c r="L351" i="9"/>
  <c r="O351" i="9"/>
  <c r="P351" i="9"/>
  <c r="R351" i="9"/>
  <c r="S351" i="9"/>
  <c r="J352" i="9"/>
  <c r="K352" i="9"/>
  <c r="L352" i="9"/>
  <c r="M352" i="9"/>
  <c r="N352" i="9" s="1"/>
  <c r="O352" i="9"/>
  <c r="P352" i="9"/>
  <c r="Q352" i="9"/>
  <c r="O353" i="9"/>
  <c r="R353" i="9" s="1"/>
  <c r="J353" i="9"/>
  <c r="K353" i="9"/>
  <c r="L353" i="9"/>
  <c r="M353" i="9"/>
  <c r="J354" i="9"/>
  <c r="K354" i="9"/>
  <c r="J355" i="9"/>
  <c r="K355" i="9"/>
  <c r="L355" i="9"/>
  <c r="O355" i="9"/>
  <c r="P355" i="9"/>
  <c r="Q355" i="9"/>
  <c r="T355" i="9"/>
  <c r="U355" i="9"/>
  <c r="O356" i="9"/>
  <c r="J356" i="9"/>
  <c r="K356" i="9"/>
  <c r="L356" i="9"/>
  <c r="M356" i="9"/>
  <c r="N356" i="9"/>
  <c r="J357" i="9"/>
  <c r="L357" i="9"/>
  <c r="O357" i="9"/>
  <c r="P357" i="9"/>
  <c r="J358" i="9"/>
  <c r="K358" i="9"/>
  <c r="L358" i="9"/>
  <c r="M358" i="9"/>
  <c r="N358" i="9"/>
  <c r="O358" i="9"/>
  <c r="P358" i="9"/>
  <c r="Q358" i="9"/>
  <c r="J359" i="9"/>
  <c r="O359" i="9"/>
  <c r="P359" i="9" s="1"/>
  <c r="J360" i="9"/>
  <c r="K360" i="9"/>
  <c r="L360" i="9"/>
  <c r="M360" i="9"/>
  <c r="N360" i="9"/>
  <c r="O360" i="9"/>
  <c r="P360" i="9"/>
  <c r="Q360" i="9"/>
  <c r="R360" i="9"/>
  <c r="U360" i="9"/>
  <c r="J361" i="9"/>
  <c r="J362" i="9"/>
  <c r="K362" i="9"/>
  <c r="L362" i="9"/>
  <c r="M362" i="9"/>
  <c r="N362" i="9" s="1"/>
  <c r="O362" i="9"/>
  <c r="P362" i="9"/>
  <c r="Q362" i="9"/>
  <c r="U362" i="9"/>
  <c r="J363" i="9"/>
  <c r="K363" i="9"/>
  <c r="L363" i="9"/>
  <c r="O363" i="9"/>
  <c r="P363" i="9" s="1"/>
  <c r="L364" i="9"/>
  <c r="J364" i="9"/>
  <c r="K364" i="9"/>
  <c r="M364" i="9"/>
  <c r="N364" i="9"/>
  <c r="O364" i="9"/>
  <c r="J365" i="9"/>
  <c r="K365" i="9"/>
  <c r="O365" i="9"/>
  <c r="O366" i="9"/>
  <c r="S366" i="9" s="1"/>
  <c r="J366" i="9"/>
  <c r="K366" i="9"/>
  <c r="M366" i="9" s="1"/>
  <c r="N366" i="9" s="1"/>
  <c r="L366" i="9"/>
  <c r="J367" i="9"/>
  <c r="J368" i="9"/>
  <c r="K368" i="9"/>
  <c r="L368" i="9"/>
  <c r="M368" i="9"/>
  <c r="N368" i="9" s="1"/>
  <c r="O368" i="9"/>
  <c r="S368" i="9" s="1"/>
  <c r="R368" i="9"/>
  <c r="K369" i="9"/>
  <c r="J369" i="9"/>
  <c r="L369" i="9"/>
  <c r="M369" i="9"/>
  <c r="N369" i="9"/>
  <c r="O369" i="9"/>
  <c r="P369" i="9"/>
  <c r="Q369" i="9"/>
  <c r="R369" i="9"/>
  <c r="J370" i="9"/>
  <c r="J371" i="9"/>
  <c r="K371" i="9"/>
  <c r="L371" i="9"/>
  <c r="M371" i="9"/>
  <c r="N371" i="9" s="1"/>
  <c r="O371" i="9"/>
  <c r="U371" i="9" s="1"/>
  <c r="P371" i="9"/>
  <c r="Q371" i="9"/>
  <c r="R371" i="9"/>
  <c r="S371" i="9"/>
  <c r="T371" i="9"/>
  <c r="J372" i="9"/>
  <c r="K372" i="9"/>
  <c r="O373" i="9"/>
  <c r="T373" i="9" s="1"/>
  <c r="J373" i="9"/>
  <c r="K373" i="9"/>
  <c r="M373" i="9" s="1"/>
  <c r="N373" i="9" s="1"/>
  <c r="L373" i="9"/>
  <c r="J374" i="9"/>
  <c r="K374" i="9"/>
  <c r="O375" i="9"/>
  <c r="J375" i="9"/>
  <c r="K375" i="9"/>
  <c r="L375" i="9"/>
  <c r="T375" i="9"/>
  <c r="J376" i="9"/>
  <c r="O377" i="9"/>
  <c r="J377" i="9"/>
  <c r="K378" i="9"/>
  <c r="M378" i="9" s="1"/>
  <c r="N378" i="9" s="1"/>
  <c r="J378" i="9"/>
  <c r="L378" i="9"/>
  <c r="O378" i="9"/>
  <c r="P378" i="9"/>
  <c r="R378" i="9"/>
  <c r="U378" i="9"/>
  <c r="J379" i="9"/>
  <c r="K379" i="9"/>
  <c r="L379" i="9"/>
  <c r="O379" i="9"/>
  <c r="T379" i="9" s="1"/>
  <c r="P379" i="9"/>
  <c r="R379" i="9"/>
  <c r="J380" i="9"/>
  <c r="K380" i="9"/>
  <c r="L380" i="9"/>
  <c r="M380" i="9"/>
  <c r="N380" i="9"/>
  <c r="O380" i="9"/>
  <c r="P380" i="9" s="1"/>
  <c r="Q380" i="9"/>
  <c r="T380" i="9"/>
  <c r="J381" i="9"/>
  <c r="L381" i="9"/>
  <c r="J382" i="9"/>
  <c r="K382" i="9"/>
  <c r="L382" i="9"/>
  <c r="M382" i="9"/>
  <c r="N382" i="9" s="1"/>
  <c r="O382" i="9"/>
  <c r="P382" i="9"/>
  <c r="S382" i="9"/>
  <c r="T382" i="9"/>
  <c r="U382" i="9"/>
  <c r="J383" i="9"/>
  <c r="J384" i="9"/>
  <c r="K384" i="9"/>
  <c r="L384" i="9"/>
  <c r="M384" i="9"/>
  <c r="N384" i="9"/>
  <c r="O384" i="9"/>
  <c r="R384" i="9" s="1"/>
  <c r="T384" i="9"/>
  <c r="U384" i="9"/>
  <c r="J385" i="9"/>
  <c r="J386" i="9"/>
  <c r="K386" i="9"/>
  <c r="J387" i="9"/>
  <c r="K387" i="9"/>
  <c r="L387" i="9"/>
  <c r="O387" i="9"/>
  <c r="P387" i="9"/>
  <c r="Q387" i="9"/>
  <c r="J388" i="9"/>
  <c r="K388" i="9"/>
  <c r="L388" i="9"/>
  <c r="O388" i="9"/>
  <c r="J389" i="9"/>
  <c r="K389" i="9"/>
  <c r="L389" i="9"/>
  <c r="O389" i="9"/>
  <c r="P389" i="9"/>
  <c r="Q389" i="9"/>
  <c r="T389" i="9"/>
  <c r="U389" i="9"/>
  <c r="J390" i="9"/>
  <c r="K390" i="9"/>
  <c r="O390" i="9"/>
  <c r="U390" i="9" s="1"/>
  <c r="T390" i="9"/>
  <c r="L391" i="9"/>
  <c r="J391" i="9"/>
  <c r="K391" i="9"/>
  <c r="M391" i="9" s="1"/>
  <c r="N391" i="9" s="1"/>
  <c r="O391" i="9"/>
  <c r="R391" i="9"/>
  <c r="S391" i="9"/>
  <c r="T391" i="9"/>
  <c r="U391" i="9"/>
  <c r="J392" i="9"/>
  <c r="O392" i="9"/>
  <c r="R392" i="9" s="1"/>
  <c r="P392" i="9"/>
  <c r="Q392" i="9"/>
  <c r="O393" i="9"/>
  <c r="J393" i="9"/>
  <c r="K393" i="9"/>
  <c r="L393" i="9"/>
  <c r="M393" i="9"/>
  <c r="P393" i="9"/>
  <c r="T393" i="9"/>
  <c r="J394" i="9"/>
  <c r="L394" i="9" s="1"/>
  <c r="K394" i="9"/>
  <c r="M394" i="9" s="1"/>
  <c r="N394" i="9"/>
  <c r="O394" i="9"/>
  <c r="P394" i="9" s="1"/>
  <c r="L395" i="9"/>
  <c r="J395" i="9"/>
  <c r="K395" i="9"/>
  <c r="M395" i="9" s="1"/>
  <c r="N395" i="9"/>
  <c r="O395" i="9"/>
  <c r="O396" i="9"/>
  <c r="T396" i="9" s="1"/>
  <c r="J396" i="9"/>
  <c r="K396" i="9"/>
  <c r="L396" i="9"/>
  <c r="P396" i="9"/>
  <c r="Q396" i="9"/>
  <c r="R396" i="9"/>
  <c r="S396" i="9"/>
  <c r="J397" i="9"/>
  <c r="K398" i="9"/>
  <c r="J398" i="9"/>
  <c r="J399" i="9"/>
  <c r="K399" i="9"/>
  <c r="L399" i="9"/>
  <c r="M399" i="9"/>
  <c r="N399" i="9"/>
  <c r="O399" i="9"/>
  <c r="S399" i="9" s="1"/>
  <c r="P399" i="9"/>
  <c r="O400" i="9"/>
  <c r="J400" i="9"/>
  <c r="K400" i="9"/>
  <c r="L400" i="9"/>
  <c r="M400" i="9"/>
  <c r="N400" i="9"/>
  <c r="S400" i="9"/>
  <c r="T400" i="9"/>
  <c r="J401" i="9"/>
  <c r="K401" i="9"/>
  <c r="J402" i="9"/>
  <c r="L402" i="9"/>
  <c r="J403" i="9"/>
  <c r="K403" i="9"/>
  <c r="L403" i="9"/>
  <c r="O403" i="9"/>
  <c r="P403" i="9" s="1"/>
  <c r="Q403" i="9"/>
  <c r="R403" i="9"/>
  <c r="S403" i="9"/>
  <c r="T403" i="9"/>
  <c r="U403" i="9"/>
  <c r="J404" i="9"/>
  <c r="J405" i="9"/>
  <c r="O405" i="9"/>
  <c r="S405" i="9"/>
  <c r="T405" i="9"/>
  <c r="U405" i="9"/>
  <c r="O406" i="9"/>
  <c r="J406" i="9"/>
  <c r="K406" i="9"/>
  <c r="L406" i="9"/>
  <c r="M406" i="9"/>
  <c r="N406" i="9" s="1"/>
  <c r="Q406" i="9"/>
  <c r="R406" i="9"/>
  <c r="S406" i="9"/>
  <c r="J407" i="9"/>
  <c r="K407" i="9"/>
  <c r="L407" i="9"/>
  <c r="M407" i="9"/>
  <c r="N407" i="9"/>
  <c r="O407" i="9"/>
  <c r="P407" i="9"/>
  <c r="U407" i="9"/>
  <c r="J408" i="9"/>
  <c r="K408" i="9"/>
  <c r="L408" i="9"/>
  <c r="O408" i="9"/>
  <c r="P408" i="9"/>
  <c r="J409" i="9"/>
  <c r="J410" i="9"/>
  <c r="O410" i="9"/>
  <c r="P410" i="9"/>
  <c r="Q410" i="9"/>
  <c r="R410" i="9"/>
  <c r="S410" i="9"/>
  <c r="J411" i="9"/>
  <c r="K411" i="9"/>
  <c r="L411" i="9"/>
  <c r="O411" i="9"/>
  <c r="P411" i="9"/>
  <c r="Q411" i="9"/>
  <c r="S411" i="9"/>
  <c r="T411" i="9"/>
  <c r="J412" i="9"/>
  <c r="K412" i="9"/>
  <c r="L412" i="9"/>
  <c r="O412" i="9"/>
  <c r="J413" i="9"/>
  <c r="K413" i="9"/>
  <c r="L413" i="9"/>
  <c r="O413" i="9"/>
  <c r="U413" i="9" s="1"/>
  <c r="J414" i="9"/>
  <c r="K414" i="9"/>
  <c r="L414" i="9"/>
  <c r="M414" i="9"/>
  <c r="N414" i="9"/>
  <c r="O414" i="9"/>
  <c r="R414" i="9" s="1"/>
  <c r="U414" i="9"/>
  <c r="J415" i="9"/>
  <c r="J416" i="9"/>
  <c r="L416" i="9"/>
  <c r="J417" i="9"/>
  <c r="K417" i="9"/>
  <c r="L417" i="9"/>
  <c r="M417" i="9"/>
  <c r="N417" i="9"/>
  <c r="O417" i="9"/>
  <c r="P417" i="9"/>
  <c r="U417" i="9"/>
  <c r="J418" i="9"/>
  <c r="K418" i="9"/>
  <c r="O419" i="9"/>
  <c r="J419" i="9"/>
  <c r="K419" i="9"/>
  <c r="L419" i="9"/>
  <c r="M419" i="9"/>
  <c r="R419" i="9"/>
  <c r="K420" i="9"/>
  <c r="M420" i="9" s="1"/>
  <c r="J420" i="9"/>
  <c r="L420" i="9"/>
  <c r="O420" i="9"/>
  <c r="Q420" i="9"/>
  <c r="O421" i="9"/>
  <c r="T421" i="9" s="1"/>
  <c r="J421" i="9"/>
  <c r="K421" i="9" s="1"/>
  <c r="P421" i="9"/>
  <c r="Q421" i="9"/>
  <c r="R421" i="9"/>
  <c r="S421" i="9"/>
  <c r="J422" i="9"/>
  <c r="K422" i="9"/>
  <c r="L422" i="9"/>
  <c r="O422" i="9"/>
  <c r="Q422" i="9" s="1"/>
  <c r="P422" i="9"/>
  <c r="R422" i="9"/>
  <c r="S422" i="9"/>
  <c r="T422" i="9"/>
  <c r="U422" i="9"/>
  <c r="W3" i="9"/>
  <c r="V3" i="9"/>
  <c r="U3" i="9"/>
  <c r="T3" i="9"/>
  <c r="S3" i="9"/>
  <c r="R3" i="9"/>
  <c r="Q3" i="9"/>
  <c r="P3" i="9"/>
  <c r="O3" i="9"/>
  <c r="M3" i="9"/>
  <c r="G11" i="14"/>
  <c r="G15" i="14"/>
  <c r="G17" i="14"/>
  <c r="G19" i="14"/>
  <c r="G20" i="14"/>
  <c r="G25" i="14"/>
  <c r="G31" i="14"/>
  <c r="G36" i="14"/>
  <c r="G37" i="14"/>
  <c r="G39" i="14"/>
  <c r="G43" i="14"/>
  <c r="G47" i="14"/>
  <c r="G48" i="14"/>
  <c r="J48" i="14" s="1"/>
  <c r="G50" i="14"/>
  <c r="G51" i="14"/>
  <c r="G53" i="14"/>
  <c r="J53" i="14" s="1"/>
  <c r="G54" i="14"/>
  <c r="G56" i="14"/>
  <c r="G59" i="14"/>
  <c r="G63" i="14"/>
  <c r="G79" i="14"/>
  <c r="J79" i="14" s="1"/>
  <c r="L79" i="14" s="1"/>
  <c r="G84" i="14"/>
  <c r="G92" i="14"/>
  <c r="G93" i="14"/>
  <c r="G101" i="14"/>
  <c r="G106" i="14"/>
  <c r="G109" i="14"/>
  <c r="G110" i="14"/>
  <c r="G112" i="14"/>
  <c r="G123" i="14"/>
  <c r="G124" i="14"/>
  <c r="K124" i="14" s="1"/>
  <c r="G125" i="14"/>
  <c r="G127" i="14"/>
  <c r="J127" i="14" s="1"/>
  <c r="M127" i="14" s="1"/>
  <c r="G129" i="14"/>
  <c r="G131" i="14"/>
  <c r="J131" i="14" s="1"/>
  <c r="G149" i="14"/>
  <c r="G151" i="14"/>
  <c r="J151" i="14" s="1"/>
  <c r="O151" i="14" s="1"/>
  <c r="G152" i="14"/>
  <c r="J152" i="14" s="1"/>
  <c r="P152" i="14" s="1"/>
  <c r="G157" i="14"/>
  <c r="G158" i="14"/>
  <c r="J158" i="14" s="1"/>
  <c r="K158" i="14" s="1"/>
  <c r="G159" i="14"/>
  <c r="G169" i="14"/>
  <c r="G171" i="14"/>
  <c r="J171" i="14" s="1"/>
  <c r="O171" i="14" s="1"/>
  <c r="G179" i="14"/>
  <c r="J179" i="14" s="1"/>
  <c r="L179" i="14" s="1"/>
  <c r="G180" i="14"/>
  <c r="G183" i="14"/>
  <c r="G185" i="14"/>
  <c r="J185" i="14" s="1"/>
  <c r="O185" i="14" s="1"/>
  <c r="G188" i="14"/>
  <c r="J188" i="14" s="1"/>
  <c r="N188" i="14" s="1"/>
  <c r="G193" i="14"/>
  <c r="J193" i="14" s="1"/>
  <c r="K193" i="14" s="1"/>
  <c r="G194" i="14"/>
  <c r="J194" i="14" s="1"/>
  <c r="G196" i="14"/>
  <c r="G211" i="14"/>
  <c r="G213" i="14"/>
  <c r="J213" i="14" s="1"/>
  <c r="K213" i="14" s="1"/>
  <c r="G216" i="14"/>
  <c r="G220" i="14"/>
  <c r="J220" i="14" s="1"/>
  <c r="P220" i="14" s="1"/>
  <c r="G221" i="14"/>
  <c r="G227" i="14"/>
  <c r="G232" i="14"/>
  <c r="J232" i="14" s="1"/>
  <c r="K232" i="14" s="1"/>
  <c r="G235" i="14"/>
  <c r="J235" i="14" s="1"/>
  <c r="L235" i="14" s="1"/>
  <c r="G239" i="14"/>
  <c r="G241" i="14"/>
  <c r="G244" i="14"/>
  <c r="J244" i="14" s="1"/>
  <c r="M244" i="14" s="1"/>
  <c r="G249" i="14"/>
  <c r="G252" i="14"/>
  <c r="G261" i="14"/>
  <c r="G269" i="14"/>
  <c r="G288" i="14"/>
  <c r="J288" i="14" s="1"/>
  <c r="G289" i="14"/>
  <c r="T289" i="14" s="1"/>
  <c r="G292" i="14"/>
  <c r="J292" i="14" s="1"/>
  <c r="O292" i="14" s="1"/>
  <c r="G305" i="14"/>
  <c r="G306" i="14"/>
  <c r="G308" i="14"/>
  <c r="P308" i="14" s="1"/>
  <c r="G310" i="14"/>
  <c r="J310" i="14" s="1"/>
  <c r="G311" i="14"/>
  <c r="J311" i="14" s="1"/>
  <c r="G315" i="14"/>
  <c r="J315" i="14" s="1"/>
  <c r="G316" i="14"/>
  <c r="J316" i="14" s="1"/>
  <c r="G323" i="14"/>
  <c r="J323" i="14" s="1"/>
  <c r="O323" i="14" s="1"/>
  <c r="G324" i="14"/>
  <c r="J324" i="14" s="1"/>
  <c r="G325" i="14"/>
  <c r="J325" i="14" s="1"/>
  <c r="G326" i="14"/>
  <c r="G327" i="14"/>
  <c r="J327" i="14" s="1"/>
  <c r="G328" i="14"/>
  <c r="G345" i="14"/>
  <c r="G347" i="14"/>
  <c r="J347" i="14" s="1"/>
  <c r="G348" i="14"/>
  <c r="G349" i="14"/>
  <c r="G362" i="14"/>
  <c r="G364" i="14"/>
  <c r="P364" i="14" s="1"/>
  <c r="G365" i="14"/>
  <c r="G367" i="14"/>
  <c r="J367" i="14" s="1"/>
  <c r="G372" i="14"/>
  <c r="J372" i="14" s="1"/>
  <c r="N372" i="14" s="1"/>
  <c r="G379" i="14"/>
  <c r="G381" i="14"/>
  <c r="J381" i="14" s="1"/>
  <c r="L381" i="14" s="1"/>
  <c r="G383" i="14"/>
  <c r="G384" i="14"/>
  <c r="G392" i="14"/>
  <c r="G393" i="14"/>
  <c r="G395" i="14"/>
  <c r="G403" i="14"/>
  <c r="G407" i="14"/>
  <c r="J407" i="14" s="1"/>
  <c r="G408" i="14"/>
  <c r="G409" i="14"/>
  <c r="G412" i="14"/>
  <c r="G417" i="14"/>
  <c r="J417" i="14" s="1"/>
  <c r="M417" i="14" s="1"/>
  <c r="G418" i="14"/>
  <c r="J418" i="14" s="1"/>
  <c r="G420" i="14"/>
  <c r="G23" i="13"/>
  <c r="G29" i="13"/>
  <c r="G30" i="13"/>
  <c r="G40" i="13"/>
  <c r="G44" i="13"/>
  <c r="G45" i="13"/>
  <c r="G46" i="13"/>
  <c r="O46" i="13" s="1"/>
  <c r="G50" i="13"/>
  <c r="G53" i="13"/>
  <c r="O53" i="13" s="1"/>
  <c r="G58" i="13"/>
  <c r="G64" i="13"/>
  <c r="G69" i="13"/>
  <c r="G73" i="13"/>
  <c r="G75" i="13"/>
  <c r="G76" i="13"/>
  <c r="G79" i="13"/>
  <c r="G92" i="13"/>
  <c r="G104" i="13"/>
  <c r="G115" i="13"/>
  <c r="G117" i="13"/>
  <c r="G120" i="13"/>
  <c r="G125" i="13"/>
  <c r="G129" i="13"/>
  <c r="G131" i="13"/>
  <c r="G132" i="13"/>
  <c r="G134" i="13"/>
  <c r="G136" i="13"/>
  <c r="G137" i="13"/>
  <c r="G145" i="13"/>
  <c r="O145" i="13" s="1"/>
  <c r="P145" i="13" s="1"/>
  <c r="G146" i="13"/>
  <c r="G147" i="13"/>
  <c r="O147" i="13" s="1"/>
  <c r="G148" i="13"/>
  <c r="J148" i="13" s="1"/>
  <c r="K148" i="13" s="1"/>
  <c r="G152" i="13"/>
  <c r="O152" i="13" s="1"/>
  <c r="Q152" i="13" s="1"/>
  <c r="G156" i="13"/>
  <c r="G171" i="13"/>
  <c r="G198" i="13"/>
  <c r="G199" i="13"/>
  <c r="G204" i="13"/>
  <c r="O204" i="13" s="1"/>
  <c r="G208" i="13"/>
  <c r="G210" i="13"/>
  <c r="O210" i="13" s="1"/>
  <c r="G212" i="13"/>
  <c r="O212" i="13" s="1"/>
  <c r="G221" i="13"/>
  <c r="G232" i="13"/>
  <c r="G237" i="13"/>
  <c r="G238" i="13"/>
  <c r="O238" i="13" s="1"/>
  <c r="G246" i="13"/>
  <c r="G247" i="13"/>
  <c r="G264" i="13"/>
  <c r="O264" i="13" s="1"/>
  <c r="G265" i="13"/>
  <c r="O265" i="13" s="1"/>
  <c r="G266" i="13"/>
  <c r="G272" i="13"/>
  <c r="O272" i="13" s="1"/>
  <c r="G275" i="13"/>
  <c r="G276" i="13"/>
  <c r="G280" i="13"/>
  <c r="G285" i="13"/>
  <c r="G296" i="13"/>
  <c r="O296" i="13" s="1"/>
  <c r="G297" i="13"/>
  <c r="O297" i="13" s="1"/>
  <c r="G298" i="13"/>
  <c r="O298" i="13" s="1"/>
  <c r="G299" i="13"/>
  <c r="G300" i="13"/>
  <c r="O300" i="13" s="1"/>
  <c r="G305" i="13"/>
  <c r="G310" i="13"/>
  <c r="O310" i="13" s="1"/>
  <c r="G311" i="13"/>
  <c r="G322" i="13"/>
  <c r="G324" i="13"/>
  <c r="G328" i="13"/>
  <c r="G331" i="13"/>
  <c r="O331" i="13" s="1"/>
  <c r="T331" i="13" s="1"/>
  <c r="G333" i="13"/>
  <c r="O333" i="13" s="1"/>
  <c r="G344" i="13"/>
  <c r="O344" i="13" s="1"/>
  <c r="G348" i="13"/>
  <c r="G350" i="13"/>
  <c r="G365" i="13"/>
  <c r="G372" i="13"/>
  <c r="G377" i="13"/>
  <c r="G380" i="13"/>
  <c r="G386" i="13"/>
  <c r="G389" i="13"/>
  <c r="G391" i="13"/>
  <c r="G392" i="13"/>
  <c r="G393" i="13"/>
  <c r="O393" i="13" s="1"/>
  <c r="G394" i="13"/>
  <c r="O394" i="13" s="1"/>
  <c r="U394" i="13" s="1"/>
  <c r="G397" i="13"/>
  <c r="G400" i="13"/>
  <c r="G404" i="13"/>
  <c r="O404" i="13" s="1"/>
  <c r="G406" i="13"/>
  <c r="G422" i="13"/>
  <c r="O422" i="13" s="1"/>
  <c r="G423" i="13"/>
  <c r="G428" i="13"/>
  <c r="G432" i="13"/>
  <c r="O432" i="13" s="1"/>
  <c r="P432" i="13" s="1"/>
  <c r="G433" i="13"/>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B6" i="16"/>
  <c r="F3" i="18"/>
  <c r="E3" i="18"/>
  <c r="B9" i="16"/>
  <c r="B8" i="16"/>
  <c r="B7" i="16"/>
  <c r="B52" i="15"/>
  <c r="B51" i="15"/>
  <c r="B50" i="15"/>
  <c r="B49" i="15"/>
  <c r="B48" i="15"/>
  <c r="B28" i="15"/>
  <c r="B27" i="15"/>
  <c r="B26" i="15"/>
  <c r="B25" i="15"/>
  <c r="B24" i="15"/>
  <c r="B23" i="15"/>
  <c r="B18" i="15"/>
  <c r="B17" i="15"/>
  <c r="B16" i="15"/>
  <c r="B5" i="15"/>
  <c r="F429" i="14"/>
  <c r="G429" i="14" s="1"/>
  <c r="E429" i="14"/>
  <c r="D429" i="14"/>
  <c r="C429" i="14"/>
  <c r="I429" i="14" s="1"/>
  <c r="B429" i="14"/>
  <c r="F428" i="14"/>
  <c r="G428" i="14" s="1"/>
  <c r="E428" i="14"/>
  <c r="D428" i="14"/>
  <c r="C428" i="14"/>
  <c r="I428" i="14" s="1"/>
  <c r="B428" i="14"/>
  <c r="F427" i="14"/>
  <c r="G427" i="14" s="1"/>
  <c r="J427" i="14" s="1"/>
  <c r="E427" i="14"/>
  <c r="D427" i="14"/>
  <c r="C427" i="14"/>
  <c r="I427" i="14" s="1"/>
  <c r="B427" i="14"/>
  <c r="F426" i="14"/>
  <c r="G426" i="14" s="1"/>
  <c r="E426" i="14"/>
  <c r="D426" i="14"/>
  <c r="C426" i="14"/>
  <c r="I426" i="14" s="1"/>
  <c r="B426" i="14"/>
  <c r="F425" i="14"/>
  <c r="G425" i="14" s="1"/>
  <c r="E425" i="14"/>
  <c r="D425" i="14"/>
  <c r="C425" i="14"/>
  <c r="I425" i="14" s="1"/>
  <c r="B425" i="14"/>
  <c r="F424" i="14"/>
  <c r="G424" i="14" s="1"/>
  <c r="T424" i="14" s="1"/>
  <c r="U424" i="14" s="1"/>
  <c r="E424" i="14"/>
  <c r="D424" i="14"/>
  <c r="C424" i="14"/>
  <c r="B424" i="14"/>
  <c r="F423" i="14"/>
  <c r="G423" i="14" s="1"/>
  <c r="E423" i="14"/>
  <c r="D423" i="14"/>
  <c r="C423" i="14"/>
  <c r="B423" i="14"/>
  <c r="F422" i="14"/>
  <c r="G422" i="14" s="1"/>
  <c r="E422" i="14"/>
  <c r="D422" i="14"/>
  <c r="C422" i="14"/>
  <c r="B422" i="14"/>
  <c r="F421" i="14"/>
  <c r="G421" i="14" s="1"/>
  <c r="E421" i="14"/>
  <c r="D421" i="14"/>
  <c r="C421" i="14"/>
  <c r="B421" i="14"/>
  <c r="F420" i="14"/>
  <c r="E420" i="14"/>
  <c r="D420" i="14"/>
  <c r="C420" i="14"/>
  <c r="B420" i="14"/>
  <c r="F419" i="14"/>
  <c r="G419" i="14" s="1"/>
  <c r="T419" i="14" s="1"/>
  <c r="U419" i="14" s="1"/>
  <c r="E419" i="14"/>
  <c r="D419" i="14"/>
  <c r="C419" i="14"/>
  <c r="I419" i="14" s="1"/>
  <c r="B419" i="14"/>
  <c r="F418" i="14"/>
  <c r="E418" i="14"/>
  <c r="D418" i="14"/>
  <c r="C418" i="14"/>
  <c r="B418" i="14"/>
  <c r="F417" i="14"/>
  <c r="E417" i="14"/>
  <c r="D417" i="14"/>
  <c r="C417" i="14"/>
  <c r="B417" i="14"/>
  <c r="F416" i="14"/>
  <c r="G416" i="14" s="1"/>
  <c r="E416" i="14"/>
  <c r="D416" i="14"/>
  <c r="C416" i="14"/>
  <c r="B416" i="14"/>
  <c r="F415" i="14"/>
  <c r="G415" i="14" s="1"/>
  <c r="J415" i="14" s="1"/>
  <c r="E415" i="14"/>
  <c r="D415" i="14"/>
  <c r="C415" i="14"/>
  <c r="B415" i="14"/>
  <c r="F414" i="14"/>
  <c r="G414" i="14" s="1"/>
  <c r="E414" i="14"/>
  <c r="D414" i="14"/>
  <c r="C414" i="14"/>
  <c r="I414" i="14" s="1"/>
  <c r="B414" i="14"/>
  <c r="F413" i="14"/>
  <c r="G413" i="14" s="1"/>
  <c r="E413" i="14"/>
  <c r="D413" i="14"/>
  <c r="C413" i="14"/>
  <c r="I413" i="14" s="1"/>
  <c r="B413" i="14"/>
  <c r="F412" i="14"/>
  <c r="E412" i="14"/>
  <c r="D412" i="14"/>
  <c r="C412" i="14"/>
  <c r="I412" i="14" s="1"/>
  <c r="B412" i="14"/>
  <c r="F411" i="14"/>
  <c r="G411" i="14" s="1"/>
  <c r="E411" i="14"/>
  <c r="D411" i="14"/>
  <c r="C411" i="14"/>
  <c r="B411" i="14"/>
  <c r="F410" i="14"/>
  <c r="G410" i="14" s="1"/>
  <c r="E410" i="14"/>
  <c r="D410" i="14"/>
  <c r="C410" i="14"/>
  <c r="B410" i="14"/>
  <c r="F409" i="14"/>
  <c r="E409" i="14"/>
  <c r="D409" i="14"/>
  <c r="C409" i="14"/>
  <c r="B409" i="14"/>
  <c r="F408" i="14"/>
  <c r="E408" i="14"/>
  <c r="D408" i="14"/>
  <c r="C408" i="14"/>
  <c r="I408" i="14" s="1"/>
  <c r="B408" i="14"/>
  <c r="F407" i="14"/>
  <c r="E407" i="14"/>
  <c r="D407" i="14"/>
  <c r="C407" i="14"/>
  <c r="I407" i="14" s="1"/>
  <c r="B407" i="14"/>
  <c r="F406" i="14"/>
  <c r="G406" i="14" s="1"/>
  <c r="E406" i="14"/>
  <c r="D406" i="14"/>
  <c r="C406" i="14"/>
  <c r="B406" i="14"/>
  <c r="F405" i="14"/>
  <c r="G405" i="14" s="1"/>
  <c r="J405" i="14" s="1"/>
  <c r="P405" i="14" s="1"/>
  <c r="E405" i="14"/>
  <c r="D405" i="14"/>
  <c r="C405" i="14"/>
  <c r="I405" i="14" s="1"/>
  <c r="T405" i="14" s="1"/>
  <c r="U405" i="14" s="1"/>
  <c r="B405" i="14"/>
  <c r="F404" i="14"/>
  <c r="G404" i="14" s="1"/>
  <c r="E404" i="14"/>
  <c r="D404" i="14"/>
  <c r="C404" i="14"/>
  <c r="B404" i="14"/>
  <c r="F403" i="14"/>
  <c r="E403" i="14"/>
  <c r="D403" i="14"/>
  <c r="C403" i="14"/>
  <c r="I403" i="14" s="1"/>
  <c r="B403" i="14"/>
  <c r="F402" i="14"/>
  <c r="G402" i="14" s="1"/>
  <c r="J402" i="14" s="1"/>
  <c r="M402" i="14" s="1"/>
  <c r="E402" i="14"/>
  <c r="D402" i="14"/>
  <c r="C402" i="14"/>
  <c r="I402" i="14" s="1"/>
  <c r="B402" i="14"/>
  <c r="F401" i="14"/>
  <c r="G401" i="14" s="1"/>
  <c r="J401" i="14" s="1"/>
  <c r="K401" i="14" s="1"/>
  <c r="E401" i="14"/>
  <c r="D401" i="14"/>
  <c r="C401" i="14"/>
  <c r="B401" i="14"/>
  <c r="F400" i="14"/>
  <c r="G400" i="14" s="1"/>
  <c r="E400" i="14"/>
  <c r="D400" i="14"/>
  <c r="C400" i="14"/>
  <c r="B400" i="14"/>
  <c r="F399" i="14"/>
  <c r="G399" i="14" s="1"/>
  <c r="E399" i="14"/>
  <c r="D399" i="14"/>
  <c r="C399" i="14"/>
  <c r="B399" i="14"/>
  <c r="F398" i="14"/>
  <c r="G398" i="14" s="1"/>
  <c r="J398" i="14" s="1"/>
  <c r="K398" i="14" s="1"/>
  <c r="E398" i="14"/>
  <c r="D398" i="14"/>
  <c r="C398" i="14"/>
  <c r="B398" i="14"/>
  <c r="F397" i="14"/>
  <c r="G397" i="14" s="1"/>
  <c r="E397" i="14"/>
  <c r="D397" i="14"/>
  <c r="C397" i="14"/>
  <c r="I397" i="14" s="1"/>
  <c r="B397" i="14"/>
  <c r="F396" i="14"/>
  <c r="G396" i="14" s="1"/>
  <c r="J396" i="14" s="1"/>
  <c r="E396" i="14"/>
  <c r="D396" i="14"/>
  <c r="C396" i="14"/>
  <c r="B396" i="14"/>
  <c r="F395" i="14"/>
  <c r="E395" i="14"/>
  <c r="D395" i="14"/>
  <c r="C395" i="14"/>
  <c r="I395" i="14" s="1"/>
  <c r="B395" i="14"/>
  <c r="F394" i="14"/>
  <c r="G394" i="14" s="1"/>
  <c r="J394" i="14" s="1"/>
  <c r="K394" i="14" s="1"/>
  <c r="E394" i="14"/>
  <c r="D394" i="14"/>
  <c r="C394" i="14"/>
  <c r="I394" i="14" s="1"/>
  <c r="T394" i="14" s="1"/>
  <c r="B394" i="14"/>
  <c r="F393" i="14"/>
  <c r="E393" i="14"/>
  <c r="D393" i="14"/>
  <c r="C393" i="14"/>
  <c r="I393" i="14" s="1"/>
  <c r="B393" i="14"/>
  <c r="F392" i="14"/>
  <c r="E392" i="14"/>
  <c r="D392" i="14"/>
  <c r="C392" i="14"/>
  <c r="I392" i="14" s="1"/>
  <c r="B392" i="14"/>
  <c r="F391" i="14"/>
  <c r="G391" i="14" s="1"/>
  <c r="J391" i="14" s="1"/>
  <c r="P391" i="14" s="1"/>
  <c r="E391" i="14"/>
  <c r="D391" i="14"/>
  <c r="C391" i="14"/>
  <c r="I391" i="14" s="1"/>
  <c r="B391" i="14"/>
  <c r="F390" i="14"/>
  <c r="G390" i="14" s="1"/>
  <c r="J390" i="14" s="1"/>
  <c r="P390" i="14" s="1"/>
  <c r="E390" i="14"/>
  <c r="D390" i="14"/>
  <c r="C390" i="14"/>
  <c r="I390" i="14" s="1"/>
  <c r="B390" i="14"/>
  <c r="F389" i="14"/>
  <c r="G389" i="14" s="1"/>
  <c r="J389" i="14" s="1"/>
  <c r="K389" i="14" s="1"/>
  <c r="E389" i="14"/>
  <c r="D389" i="14"/>
  <c r="C389" i="14"/>
  <c r="B389" i="14"/>
  <c r="F388" i="14"/>
  <c r="G388" i="14" s="1"/>
  <c r="E388" i="14"/>
  <c r="D388" i="14"/>
  <c r="C388" i="14"/>
  <c r="B388" i="14"/>
  <c r="F387" i="14"/>
  <c r="G387" i="14" s="1"/>
  <c r="E387" i="14"/>
  <c r="D387" i="14"/>
  <c r="C387" i="14"/>
  <c r="B387" i="14"/>
  <c r="F386" i="14"/>
  <c r="G386" i="14" s="1"/>
  <c r="E386" i="14"/>
  <c r="D386" i="14"/>
  <c r="C386" i="14"/>
  <c r="I386" i="14" s="1"/>
  <c r="T386" i="14" s="1"/>
  <c r="U386" i="14" s="1"/>
  <c r="B386" i="14"/>
  <c r="F385" i="14"/>
  <c r="G385" i="14" s="1"/>
  <c r="J385" i="14" s="1"/>
  <c r="E385" i="14"/>
  <c r="D385" i="14"/>
  <c r="C385" i="14"/>
  <c r="B385" i="14"/>
  <c r="F384" i="14"/>
  <c r="E384" i="14"/>
  <c r="D384" i="14"/>
  <c r="C384" i="14"/>
  <c r="I384" i="14" s="1"/>
  <c r="B384" i="14"/>
  <c r="F383" i="14"/>
  <c r="E383" i="14"/>
  <c r="D383" i="14"/>
  <c r="C383" i="14"/>
  <c r="I383" i="14" s="1"/>
  <c r="B383" i="14"/>
  <c r="F382" i="14"/>
  <c r="G382" i="14" s="1"/>
  <c r="J382" i="14" s="1"/>
  <c r="L382" i="14" s="1"/>
  <c r="E382" i="14"/>
  <c r="D382" i="14"/>
  <c r="C382" i="14"/>
  <c r="B382" i="14"/>
  <c r="F381" i="14"/>
  <c r="E381" i="14"/>
  <c r="D381" i="14"/>
  <c r="C381" i="14"/>
  <c r="B381" i="14"/>
  <c r="F380" i="14"/>
  <c r="G380" i="14" s="1"/>
  <c r="E380" i="14"/>
  <c r="D380" i="14"/>
  <c r="C380" i="14"/>
  <c r="I380" i="14" s="1"/>
  <c r="B380" i="14"/>
  <c r="F379" i="14"/>
  <c r="E379" i="14"/>
  <c r="D379" i="14"/>
  <c r="C379" i="14"/>
  <c r="I379" i="14" s="1"/>
  <c r="B379" i="14"/>
  <c r="F378" i="14"/>
  <c r="G378" i="14" s="1"/>
  <c r="E378" i="14"/>
  <c r="D378" i="14"/>
  <c r="C378" i="14"/>
  <c r="I378" i="14" s="1"/>
  <c r="B378" i="14"/>
  <c r="F377" i="14"/>
  <c r="G377" i="14" s="1"/>
  <c r="E377" i="14"/>
  <c r="D377" i="14"/>
  <c r="C377" i="14"/>
  <c r="B377" i="14"/>
  <c r="F376" i="14"/>
  <c r="G376" i="14" s="1"/>
  <c r="E376" i="14"/>
  <c r="D376" i="14"/>
  <c r="C376" i="14"/>
  <c r="B376" i="14"/>
  <c r="F375" i="14"/>
  <c r="G375" i="14" s="1"/>
  <c r="E375" i="14"/>
  <c r="D375" i="14"/>
  <c r="C375" i="14"/>
  <c r="I375" i="14" s="1"/>
  <c r="B375" i="14"/>
  <c r="F374" i="14"/>
  <c r="G374" i="14" s="1"/>
  <c r="E374" i="14"/>
  <c r="D374" i="14"/>
  <c r="C374" i="14"/>
  <c r="B374" i="14"/>
  <c r="F373" i="14"/>
  <c r="G373" i="14" s="1"/>
  <c r="J373" i="14" s="1"/>
  <c r="E373" i="14"/>
  <c r="D373" i="14"/>
  <c r="C373" i="14"/>
  <c r="B373" i="14"/>
  <c r="F372" i="14"/>
  <c r="E372" i="14"/>
  <c r="D372" i="14"/>
  <c r="C372" i="14"/>
  <c r="I372" i="14" s="1"/>
  <c r="B372" i="14"/>
  <c r="F371" i="14"/>
  <c r="G371" i="14" s="1"/>
  <c r="E371" i="14"/>
  <c r="D371" i="14"/>
  <c r="C371" i="14"/>
  <c r="I371" i="14" s="1"/>
  <c r="B371" i="14"/>
  <c r="F370" i="14"/>
  <c r="G370" i="14" s="1"/>
  <c r="E370" i="14"/>
  <c r="D370" i="14"/>
  <c r="C370" i="14"/>
  <c r="I370" i="14" s="1"/>
  <c r="B370" i="14"/>
  <c r="F369" i="14"/>
  <c r="G369" i="14" s="1"/>
  <c r="J369" i="14" s="1"/>
  <c r="E369" i="14"/>
  <c r="D369" i="14"/>
  <c r="C369" i="14"/>
  <c r="I369" i="14" s="1"/>
  <c r="B369" i="14"/>
  <c r="F368" i="14"/>
  <c r="G368" i="14" s="1"/>
  <c r="J368" i="14" s="1"/>
  <c r="K368" i="14" s="1"/>
  <c r="E368" i="14"/>
  <c r="D368" i="14"/>
  <c r="C368" i="14"/>
  <c r="B368" i="14"/>
  <c r="F367" i="14"/>
  <c r="E367" i="14"/>
  <c r="D367" i="14"/>
  <c r="C367" i="14"/>
  <c r="I367" i="14" s="1"/>
  <c r="B367" i="14"/>
  <c r="F366" i="14"/>
  <c r="G366" i="14" s="1"/>
  <c r="E366" i="14"/>
  <c r="D366" i="14"/>
  <c r="C366" i="14"/>
  <c r="I366" i="14" s="1"/>
  <c r="B366" i="14"/>
  <c r="F365" i="14"/>
  <c r="E365" i="14"/>
  <c r="D365" i="14"/>
  <c r="C365" i="14"/>
  <c r="B365" i="14"/>
  <c r="F364" i="14"/>
  <c r="E364" i="14"/>
  <c r="D364" i="14"/>
  <c r="C364" i="14"/>
  <c r="B364" i="14"/>
  <c r="F363" i="14"/>
  <c r="G363" i="14" s="1"/>
  <c r="E363" i="14"/>
  <c r="D363" i="14"/>
  <c r="C363" i="14"/>
  <c r="I363" i="14" s="1"/>
  <c r="B363" i="14"/>
  <c r="F362" i="14"/>
  <c r="E362" i="14"/>
  <c r="D362" i="14"/>
  <c r="C362" i="14"/>
  <c r="B362" i="14"/>
  <c r="F361" i="14"/>
  <c r="G361" i="14" s="1"/>
  <c r="E361" i="14"/>
  <c r="D361" i="14"/>
  <c r="C361" i="14"/>
  <c r="B361" i="14"/>
  <c r="F360" i="14"/>
  <c r="G360" i="14" s="1"/>
  <c r="E360" i="14"/>
  <c r="D360" i="14"/>
  <c r="C360" i="14"/>
  <c r="B360" i="14"/>
  <c r="F359" i="14"/>
  <c r="G359" i="14" s="1"/>
  <c r="E359" i="14"/>
  <c r="D359" i="14"/>
  <c r="C359" i="14"/>
  <c r="B359" i="14"/>
  <c r="F358" i="14"/>
  <c r="G358" i="14" s="1"/>
  <c r="J358" i="14" s="1"/>
  <c r="N358" i="14" s="1"/>
  <c r="E358" i="14"/>
  <c r="D358" i="14"/>
  <c r="C358" i="14"/>
  <c r="I358" i="14" s="1"/>
  <c r="B358" i="14"/>
  <c r="F357" i="14"/>
  <c r="G357" i="14" s="1"/>
  <c r="E357" i="14"/>
  <c r="D357" i="14"/>
  <c r="C357" i="14"/>
  <c r="B357" i="14"/>
  <c r="F356" i="14"/>
  <c r="G356" i="14" s="1"/>
  <c r="J356" i="14" s="1"/>
  <c r="L356" i="14" s="1"/>
  <c r="E356" i="14"/>
  <c r="D356" i="14"/>
  <c r="C356" i="14"/>
  <c r="B356" i="14"/>
  <c r="F355" i="14"/>
  <c r="G355" i="14" s="1"/>
  <c r="E355" i="14"/>
  <c r="D355" i="14"/>
  <c r="C355" i="14"/>
  <c r="I355" i="14" s="1"/>
  <c r="B355" i="14"/>
  <c r="F354" i="14"/>
  <c r="G354" i="14" s="1"/>
  <c r="E354" i="14"/>
  <c r="D354" i="14"/>
  <c r="C354" i="14"/>
  <c r="I354" i="14" s="1"/>
  <c r="B354" i="14"/>
  <c r="F353" i="14"/>
  <c r="G353" i="14" s="1"/>
  <c r="J353" i="14" s="1"/>
  <c r="E353" i="14"/>
  <c r="D353" i="14"/>
  <c r="C353" i="14"/>
  <c r="I353" i="14" s="1"/>
  <c r="T353" i="14" s="1"/>
  <c r="U353" i="14" s="1"/>
  <c r="B353" i="14"/>
  <c r="F352" i="14"/>
  <c r="G352" i="14" s="1"/>
  <c r="E352" i="14"/>
  <c r="D352" i="14"/>
  <c r="C352" i="14"/>
  <c r="I352" i="14" s="1"/>
  <c r="B352" i="14"/>
  <c r="F351" i="14"/>
  <c r="G351" i="14" s="1"/>
  <c r="E351" i="14"/>
  <c r="D351" i="14"/>
  <c r="C351" i="14"/>
  <c r="I351" i="14" s="1"/>
  <c r="B351" i="14"/>
  <c r="F350" i="14"/>
  <c r="G350" i="14" s="1"/>
  <c r="E350" i="14"/>
  <c r="D350" i="14"/>
  <c r="C350" i="14"/>
  <c r="B350" i="14"/>
  <c r="F349" i="14"/>
  <c r="E349" i="14"/>
  <c r="D349" i="14"/>
  <c r="C349" i="14"/>
  <c r="I349" i="14" s="1"/>
  <c r="B349" i="14"/>
  <c r="F348" i="14"/>
  <c r="E348" i="14"/>
  <c r="D348" i="14"/>
  <c r="C348" i="14"/>
  <c r="B348" i="14"/>
  <c r="F347" i="14"/>
  <c r="E347" i="14"/>
  <c r="D347" i="14"/>
  <c r="C347" i="14"/>
  <c r="I347" i="14" s="1"/>
  <c r="B347" i="14"/>
  <c r="F346" i="14"/>
  <c r="G346" i="14" s="1"/>
  <c r="E346" i="14"/>
  <c r="D346" i="14"/>
  <c r="C346" i="14"/>
  <c r="B346" i="14"/>
  <c r="F345" i="14"/>
  <c r="E345" i="14"/>
  <c r="D345" i="14"/>
  <c r="C345" i="14"/>
  <c r="B345" i="14"/>
  <c r="F344" i="14"/>
  <c r="G344" i="14" s="1"/>
  <c r="E344" i="14"/>
  <c r="D344" i="14"/>
  <c r="C344" i="14"/>
  <c r="I344" i="14" s="1"/>
  <c r="B344" i="14"/>
  <c r="F343" i="14"/>
  <c r="G343" i="14" s="1"/>
  <c r="E343" i="14"/>
  <c r="D343" i="14"/>
  <c r="C343" i="14"/>
  <c r="B343" i="14"/>
  <c r="F342" i="14"/>
  <c r="G342" i="14" s="1"/>
  <c r="E342" i="14"/>
  <c r="D342" i="14"/>
  <c r="C342" i="14"/>
  <c r="B342" i="14"/>
  <c r="F341" i="14"/>
  <c r="G341" i="14" s="1"/>
  <c r="E341" i="14"/>
  <c r="D341" i="14"/>
  <c r="C341" i="14"/>
  <c r="I341" i="14" s="1"/>
  <c r="B341" i="14"/>
  <c r="F340" i="14"/>
  <c r="G340" i="14" s="1"/>
  <c r="E340" i="14"/>
  <c r="D340" i="14"/>
  <c r="C340" i="14"/>
  <c r="B340" i="14"/>
  <c r="F339" i="14"/>
  <c r="G339" i="14" s="1"/>
  <c r="J339" i="14" s="1"/>
  <c r="E339" i="14"/>
  <c r="D339" i="14"/>
  <c r="C339" i="14"/>
  <c r="B339" i="14"/>
  <c r="F338" i="14"/>
  <c r="G338" i="14" s="1"/>
  <c r="E338" i="14"/>
  <c r="D338" i="14"/>
  <c r="C338" i="14"/>
  <c r="I338" i="14" s="1"/>
  <c r="B338" i="14"/>
  <c r="F337" i="14"/>
  <c r="G337" i="14" s="1"/>
  <c r="E337" i="14"/>
  <c r="D337" i="14"/>
  <c r="C337" i="14"/>
  <c r="B337" i="14"/>
  <c r="F336" i="14"/>
  <c r="G336" i="14" s="1"/>
  <c r="J336" i="14" s="1"/>
  <c r="K336" i="14" s="1"/>
  <c r="E336" i="14"/>
  <c r="D336" i="14"/>
  <c r="C336" i="14"/>
  <c r="I336" i="14" s="1"/>
  <c r="T336" i="14" s="1"/>
  <c r="B336" i="14"/>
  <c r="F335" i="14"/>
  <c r="G335" i="14" s="1"/>
  <c r="J335" i="14" s="1"/>
  <c r="N335" i="14" s="1"/>
  <c r="E335" i="14"/>
  <c r="D335" i="14"/>
  <c r="C335" i="14"/>
  <c r="I335" i="14" s="1"/>
  <c r="B335" i="14"/>
  <c r="F334" i="14"/>
  <c r="G334" i="14" s="1"/>
  <c r="E334" i="14"/>
  <c r="D334" i="14"/>
  <c r="C334" i="14"/>
  <c r="B334" i="14"/>
  <c r="F333" i="14"/>
  <c r="G333" i="14" s="1"/>
  <c r="E333" i="14"/>
  <c r="D333" i="14"/>
  <c r="C333" i="14"/>
  <c r="I333" i="14" s="1"/>
  <c r="T333" i="14" s="1"/>
  <c r="B333" i="14"/>
  <c r="F332" i="14"/>
  <c r="G332" i="14" s="1"/>
  <c r="E332" i="14"/>
  <c r="D332" i="14"/>
  <c r="C332" i="14"/>
  <c r="I332" i="14" s="1"/>
  <c r="B332" i="14"/>
  <c r="F331" i="14"/>
  <c r="G331" i="14" s="1"/>
  <c r="J331" i="14" s="1"/>
  <c r="K331" i="14" s="1"/>
  <c r="E331" i="14"/>
  <c r="D331" i="14"/>
  <c r="C331" i="14"/>
  <c r="B331" i="14"/>
  <c r="F330" i="14"/>
  <c r="G330" i="14" s="1"/>
  <c r="E330" i="14"/>
  <c r="D330" i="14"/>
  <c r="C330" i="14"/>
  <c r="B330" i="14"/>
  <c r="F329" i="14"/>
  <c r="G329" i="14" s="1"/>
  <c r="J329" i="14" s="1"/>
  <c r="P329" i="14" s="1"/>
  <c r="E329" i="14"/>
  <c r="D329" i="14"/>
  <c r="C329" i="14"/>
  <c r="B329" i="14"/>
  <c r="F328" i="14"/>
  <c r="E328" i="14"/>
  <c r="D328" i="14"/>
  <c r="C328" i="14"/>
  <c r="I328" i="14" s="1"/>
  <c r="B328" i="14"/>
  <c r="F327" i="14"/>
  <c r="E327" i="14"/>
  <c r="D327" i="14"/>
  <c r="C327" i="14"/>
  <c r="I327" i="14" s="1"/>
  <c r="B327" i="14"/>
  <c r="F326" i="14"/>
  <c r="E326" i="14"/>
  <c r="D326" i="14"/>
  <c r="C326" i="14"/>
  <c r="I326" i="14" s="1"/>
  <c r="B326" i="14"/>
  <c r="F325" i="14"/>
  <c r="E325" i="14"/>
  <c r="D325" i="14"/>
  <c r="C325" i="14"/>
  <c r="I325" i="14" s="1"/>
  <c r="B325" i="14"/>
  <c r="F324" i="14"/>
  <c r="E324" i="14"/>
  <c r="D324" i="14"/>
  <c r="C324" i="14"/>
  <c r="I324" i="14" s="1"/>
  <c r="B324" i="14"/>
  <c r="F323" i="14"/>
  <c r="E323" i="14"/>
  <c r="D323" i="14"/>
  <c r="C323" i="14"/>
  <c r="B323" i="14"/>
  <c r="F322" i="14"/>
  <c r="G322" i="14" s="1"/>
  <c r="E322" i="14"/>
  <c r="D322" i="14"/>
  <c r="C322" i="14"/>
  <c r="B322" i="14"/>
  <c r="F321" i="14"/>
  <c r="G321" i="14" s="1"/>
  <c r="E321" i="14"/>
  <c r="D321" i="14"/>
  <c r="C321" i="14"/>
  <c r="B321" i="14"/>
  <c r="F320" i="14"/>
  <c r="G320" i="14" s="1"/>
  <c r="E320" i="14"/>
  <c r="D320" i="14"/>
  <c r="C320" i="14"/>
  <c r="B320" i="14"/>
  <c r="F319" i="14"/>
  <c r="G319" i="14" s="1"/>
  <c r="J319" i="14" s="1"/>
  <c r="N319" i="14" s="1"/>
  <c r="E319" i="14"/>
  <c r="D319" i="14"/>
  <c r="C319" i="14"/>
  <c r="I319" i="14" s="1"/>
  <c r="T319" i="14" s="1"/>
  <c r="B319" i="14"/>
  <c r="F318" i="14"/>
  <c r="G318" i="14" s="1"/>
  <c r="E318" i="14"/>
  <c r="D318" i="14"/>
  <c r="C318" i="14"/>
  <c r="B318" i="14"/>
  <c r="F317" i="14"/>
  <c r="G317" i="14" s="1"/>
  <c r="J317" i="14" s="1"/>
  <c r="O317" i="14" s="1"/>
  <c r="E317" i="14"/>
  <c r="D317" i="14"/>
  <c r="C317" i="14"/>
  <c r="I317" i="14" s="1"/>
  <c r="B317" i="14"/>
  <c r="F316" i="14"/>
  <c r="E316" i="14"/>
  <c r="D316" i="14"/>
  <c r="C316" i="14"/>
  <c r="B316" i="14"/>
  <c r="F315" i="14"/>
  <c r="E315" i="14"/>
  <c r="D315" i="14"/>
  <c r="C315" i="14"/>
  <c r="I315" i="14" s="1"/>
  <c r="B315" i="14"/>
  <c r="F314" i="14"/>
  <c r="G314" i="14" s="1"/>
  <c r="E314" i="14"/>
  <c r="D314" i="14"/>
  <c r="C314" i="14"/>
  <c r="B314" i="14"/>
  <c r="F313" i="14"/>
  <c r="G313" i="14" s="1"/>
  <c r="J313" i="14" s="1"/>
  <c r="E313" i="14"/>
  <c r="D313" i="14"/>
  <c r="C313" i="14"/>
  <c r="I313" i="14" s="1"/>
  <c r="B313" i="14"/>
  <c r="F312" i="14"/>
  <c r="G312" i="14" s="1"/>
  <c r="J312" i="14" s="1"/>
  <c r="K312" i="14" s="1"/>
  <c r="E312" i="14"/>
  <c r="D312" i="14"/>
  <c r="C312" i="14"/>
  <c r="I312" i="14" s="1"/>
  <c r="B312" i="14"/>
  <c r="F311" i="14"/>
  <c r="E311" i="14"/>
  <c r="D311" i="14"/>
  <c r="C311" i="14"/>
  <c r="I311" i="14" s="1"/>
  <c r="B311" i="14"/>
  <c r="F310" i="14"/>
  <c r="E310" i="14"/>
  <c r="D310" i="14"/>
  <c r="C310" i="14"/>
  <c r="I310" i="14" s="1"/>
  <c r="B310" i="14"/>
  <c r="F309" i="14"/>
  <c r="G309" i="14" s="1"/>
  <c r="E309" i="14"/>
  <c r="D309" i="14"/>
  <c r="C309" i="14"/>
  <c r="B309" i="14"/>
  <c r="F308" i="14"/>
  <c r="E308" i="14"/>
  <c r="D308" i="14"/>
  <c r="C308" i="14"/>
  <c r="B308" i="14"/>
  <c r="F307" i="14"/>
  <c r="G307" i="14" s="1"/>
  <c r="J307" i="14" s="1"/>
  <c r="L307" i="14" s="1"/>
  <c r="E307" i="14"/>
  <c r="D307" i="14"/>
  <c r="C307" i="14"/>
  <c r="I307" i="14" s="1"/>
  <c r="B307" i="14"/>
  <c r="F306" i="14"/>
  <c r="E306" i="14"/>
  <c r="D306" i="14"/>
  <c r="C306" i="14"/>
  <c r="B306" i="14"/>
  <c r="F305" i="14"/>
  <c r="E305" i="14"/>
  <c r="D305" i="14"/>
  <c r="C305" i="14"/>
  <c r="B305" i="14"/>
  <c r="F304" i="14"/>
  <c r="G304" i="14" s="1"/>
  <c r="E304" i="14"/>
  <c r="D304" i="14"/>
  <c r="C304" i="14"/>
  <c r="B304" i="14"/>
  <c r="F303" i="14"/>
  <c r="G303" i="14" s="1"/>
  <c r="E303" i="14"/>
  <c r="D303" i="14"/>
  <c r="C303" i="14"/>
  <c r="I303" i="14" s="1"/>
  <c r="B303" i="14"/>
  <c r="F302" i="14"/>
  <c r="G302" i="14" s="1"/>
  <c r="N302" i="14" s="1"/>
  <c r="E302" i="14"/>
  <c r="D302" i="14"/>
  <c r="C302" i="14"/>
  <c r="I302" i="14" s="1"/>
  <c r="T302" i="14" s="1"/>
  <c r="B302" i="14"/>
  <c r="F301" i="14"/>
  <c r="G301" i="14" s="1"/>
  <c r="E301" i="14"/>
  <c r="D301" i="14"/>
  <c r="C301" i="14"/>
  <c r="B301" i="14"/>
  <c r="F300" i="14"/>
  <c r="G300" i="14" s="1"/>
  <c r="J300" i="14" s="1"/>
  <c r="M300" i="14" s="1"/>
  <c r="E300" i="14"/>
  <c r="D300" i="14"/>
  <c r="C300" i="14"/>
  <c r="B300" i="14"/>
  <c r="F299" i="14"/>
  <c r="G299" i="14" s="1"/>
  <c r="E299" i="14"/>
  <c r="D299" i="14"/>
  <c r="C299" i="14"/>
  <c r="B299" i="14"/>
  <c r="F298" i="14"/>
  <c r="G298" i="14" s="1"/>
  <c r="E298" i="14"/>
  <c r="D298" i="14"/>
  <c r="C298" i="14"/>
  <c r="I298" i="14" s="1"/>
  <c r="B298" i="14"/>
  <c r="F297" i="14"/>
  <c r="G297" i="14" s="1"/>
  <c r="J297" i="14" s="1"/>
  <c r="L297" i="14" s="1"/>
  <c r="E297" i="14"/>
  <c r="D297" i="14"/>
  <c r="C297" i="14"/>
  <c r="B297" i="14"/>
  <c r="F296" i="14"/>
  <c r="G296" i="14" s="1"/>
  <c r="E296" i="14"/>
  <c r="D296" i="14"/>
  <c r="C296" i="14"/>
  <c r="I296" i="14" s="1"/>
  <c r="B296" i="14"/>
  <c r="F295" i="14"/>
  <c r="G295" i="14" s="1"/>
  <c r="E295" i="14"/>
  <c r="D295" i="14"/>
  <c r="C295" i="14"/>
  <c r="B295" i="14"/>
  <c r="F294" i="14"/>
  <c r="G294" i="14" s="1"/>
  <c r="E294" i="14"/>
  <c r="D294" i="14"/>
  <c r="C294" i="14"/>
  <c r="I294" i="14" s="1"/>
  <c r="T294" i="14" s="1"/>
  <c r="B294" i="14"/>
  <c r="F293" i="14"/>
  <c r="G293" i="14" s="1"/>
  <c r="E293" i="14"/>
  <c r="D293" i="14"/>
  <c r="C293" i="14"/>
  <c r="I293" i="14" s="1"/>
  <c r="B293" i="14"/>
  <c r="F292" i="14"/>
  <c r="E292" i="14"/>
  <c r="D292" i="14"/>
  <c r="C292" i="14"/>
  <c r="B292" i="14"/>
  <c r="F291" i="14"/>
  <c r="G291" i="14" s="1"/>
  <c r="J291" i="14" s="1"/>
  <c r="E291" i="14"/>
  <c r="D291" i="14"/>
  <c r="C291" i="14"/>
  <c r="I291" i="14" s="1"/>
  <c r="B291" i="14"/>
  <c r="F290" i="14"/>
  <c r="G290" i="14" s="1"/>
  <c r="J290" i="14" s="1"/>
  <c r="L290" i="14" s="1"/>
  <c r="E290" i="14"/>
  <c r="D290" i="14"/>
  <c r="C290" i="14"/>
  <c r="B290" i="14"/>
  <c r="F289" i="14"/>
  <c r="E289" i="14"/>
  <c r="D289" i="14"/>
  <c r="C289" i="14"/>
  <c r="B289" i="14"/>
  <c r="F288" i="14"/>
  <c r="E288" i="14"/>
  <c r="D288" i="14"/>
  <c r="C288" i="14"/>
  <c r="B288" i="14"/>
  <c r="F287" i="14"/>
  <c r="G287" i="14" s="1"/>
  <c r="J287" i="14" s="1"/>
  <c r="K287" i="14" s="1"/>
  <c r="E287" i="14"/>
  <c r="D287" i="14"/>
  <c r="C287" i="14"/>
  <c r="I287" i="14" s="1"/>
  <c r="B287" i="14"/>
  <c r="F286" i="14"/>
  <c r="G286" i="14" s="1"/>
  <c r="E286" i="14"/>
  <c r="D286" i="14"/>
  <c r="C286" i="14"/>
  <c r="I286" i="14" s="1"/>
  <c r="B286" i="14"/>
  <c r="F285" i="14"/>
  <c r="G285" i="14" s="1"/>
  <c r="J285" i="14" s="1"/>
  <c r="K285" i="14" s="1"/>
  <c r="E285" i="14"/>
  <c r="D285" i="14"/>
  <c r="C285" i="14"/>
  <c r="I285" i="14" s="1"/>
  <c r="T285" i="14" s="1"/>
  <c r="B285" i="14"/>
  <c r="F284" i="14"/>
  <c r="G284" i="14" s="1"/>
  <c r="E284" i="14"/>
  <c r="D284" i="14"/>
  <c r="C284" i="14"/>
  <c r="B284" i="14"/>
  <c r="F283" i="14"/>
  <c r="G283" i="14" s="1"/>
  <c r="J283" i="14" s="1"/>
  <c r="E283" i="14"/>
  <c r="D283" i="14"/>
  <c r="C283" i="14"/>
  <c r="I283" i="14" s="1"/>
  <c r="B283" i="14"/>
  <c r="F282" i="14"/>
  <c r="G282" i="14" s="1"/>
  <c r="E282" i="14"/>
  <c r="D282" i="14"/>
  <c r="C282" i="14"/>
  <c r="B282" i="14"/>
  <c r="F281" i="14"/>
  <c r="G281" i="14" s="1"/>
  <c r="E281" i="14"/>
  <c r="D281" i="14"/>
  <c r="C281" i="14"/>
  <c r="B281" i="14"/>
  <c r="F280" i="14"/>
  <c r="G280" i="14" s="1"/>
  <c r="E280" i="14"/>
  <c r="D280" i="14"/>
  <c r="C280" i="14"/>
  <c r="I280" i="14" s="1"/>
  <c r="T280" i="14" s="1"/>
  <c r="U280" i="14" s="1"/>
  <c r="B280" i="14"/>
  <c r="F279" i="14"/>
  <c r="G279" i="14" s="1"/>
  <c r="J279" i="14" s="1"/>
  <c r="E279" i="14"/>
  <c r="D279" i="14"/>
  <c r="C279" i="14"/>
  <c r="I279" i="14" s="1"/>
  <c r="B279" i="14"/>
  <c r="F278" i="14"/>
  <c r="G278" i="14" s="1"/>
  <c r="E278" i="14"/>
  <c r="D278" i="14"/>
  <c r="C278" i="14"/>
  <c r="I278" i="14" s="1"/>
  <c r="B278" i="14"/>
  <c r="F277" i="14"/>
  <c r="G277" i="14" s="1"/>
  <c r="E277" i="14"/>
  <c r="D277" i="14"/>
  <c r="C277" i="14"/>
  <c r="I277" i="14" s="1"/>
  <c r="B277" i="14"/>
  <c r="F276" i="14"/>
  <c r="G276" i="14" s="1"/>
  <c r="E276" i="14"/>
  <c r="D276" i="14"/>
  <c r="C276" i="14"/>
  <c r="B276" i="14"/>
  <c r="F275" i="14"/>
  <c r="G275" i="14" s="1"/>
  <c r="E275" i="14"/>
  <c r="D275" i="14"/>
  <c r="C275" i="14"/>
  <c r="I275" i="14" s="1"/>
  <c r="B275" i="14"/>
  <c r="F274" i="14"/>
  <c r="G274" i="14" s="1"/>
  <c r="J274" i="14" s="1"/>
  <c r="K274" i="14" s="1"/>
  <c r="E274" i="14"/>
  <c r="D274" i="14"/>
  <c r="C274" i="14"/>
  <c r="I274" i="14" s="1"/>
  <c r="T274" i="14" s="1"/>
  <c r="B274" i="14"/>
  <c r="F273" i="14"/>
  <c r="G273" i="14" s="1"/>
  <c r="J273" i="14" s="1"/>
  <c r="K273" i="14" s="1"/>
  <c r="E273" i="14"/>
  <c r="D273" i="14"/>
  <c r="C273" i="14"/>
  <c r="B273" i="14"/>
  <c r="F272" i="14"/>
  <c r="G272" i="14" s="1"/>
  <c r="E272" i="14"/>
  <c r="D272" i="14"/>
  <c r="C272" i="14"/>
  <c r="B272" i="14"/>
  <c r="F271" i="14"/>
  <c r="G271" i="14" s="1"/>
  <c r="E271" i="14"/>
  <c r="D271" i="14"/>
  <c r="C271" i="14"/>
  <c r="B271" i="14"/>
  <c r="F270" i="14"/>
  <c r="G270" i="14" s="1"/>
  <c r="E270" i="14"/>
  <c r="D270" i="14"/>
  <c r="C270" i="14"/>
  <c r="B270" i="14"/>
  <c r="F269" i="14"/>
  <c r="E269" i="14"/>
  <c r="D269" i="14"/>
  <c r="C269" i="14"/>
  <c r="I269" i="14" s="1"/>
  <c r="B269" i="14"/>
  <c r="F268" i="14"/>
  <c r="G268" i="14" s="1"/>
  <c r="E268" i="14"/>
  <c r="D268" i="14"/>
  <c r="C268" i="14"/>
  <c r="I268" i="14" s="1"/>
  <c r="B268" i="14"/>
  <c r="F267" i="14"/>
  <c r="G267" i="14" s="1"/>
  <c r="E267" i="14"/>
  <c r="D267" i="14"/>
  <c r="C267" i="14"/>
  <c r="I267" i="14" s="1"/>
  <c r="B267" i="14"/>
  <c r="F266" i="14"/>
  <c r="G266" i="14" s="1"/>
  <c r="E266" i="14"/>
  <c r="D266" i="14"/>
  <c r="C266" i="14"/>
  <c r="I266" i="14" s="1"/>
  <c r="B266" i="14"/>
  <c r="F265" i="14"/>
  <c r="G265" i="14" s="1"/>
  <c r="E265" i="14"/>
  <c r="D265" i="14"/>
  <c r="C265" i="14"/>
  <c r="B265" i="14"/>
  <c r="F264" i="14"/>
  <c r="G264" i="14" s="1"/>
  <c r="E264" i="14"/>
  <c r="D264" i="14"/>
  <c r="C264" i="14"/>
  <c r="B264" i="14"/>
  <c r="F263" i="14"/>
  <c r="G263" i="14" s="1"/>
  <c r="E263" i="14"/>
  <c r="D263" i="14"/>
  <c r="C263" i="14"/>
  <c r="I263" i="14" s="1"/>
  <c r="T263" i="14" s="1"/>
  <c r="B263" i="14"/>
  <c r="F262" i="14"/>
  <c r="G262" i="14" s="1"/>
  <c r="J262" i="14" s="1"/>
  <c r="E262" i="14"/>
  <c r="D262" i="14"/>
  <c r="C262" i="14"/>
  <c r="B262" i="14"/>
  <c r="F261" i="14"/>
  <c r="E261" i="14"/>
  <c r="D261" i="14"/>
  <c r="C261" i="14"/>
  <c r="I261" i="14" s="1"/>
  <c r="B261" i="14"/>
  <c r="F260" i="14"/>
  <c r="G260" i="14" s="1"/>
  <c r="E260" i="14"/>
  <c r="D260" i="14"/>
  <c r="C260" i="14"/>
  <c r="B260" i="14"/>
  <c r="F259" i="14"/>
  <c r="G259" i="14" s="1"/>
  <c r="J259" i="14" s="1"/>
  <c r="O259" i="14" s="1"/>
  <c r="E259" i="14"/>
  <c r="D259" i="14"/>
  <c r="C259" i="14"/>
  <c r="I259" i="14" s="1"/>
  <c r="B259" i="14"/>
  <c r="F258" i="14"/>
  <c r="G258" i="14" s="1"/>
  <c r="E258" i="14"/>
  <c r="D258" i="14"/>
  <c r="C258" i="14"/>
  <c r="B258" i="14"/>
  <c r="F257" i="14"/>
  <c r="G257" i="14" s="1"/>
  <c r="J257" i="14" s="1"/>
  <c r="M257" i="14" s="1"/>
  <c r="E257" i="14"/>
  <c r="D257" i="14"/>
  <c r="C257" i="14"/>
  <c r="I257" i="14" s="1"/>
  <c r="B257" i="14"/>
  <c r="F256" i="14"/>
  <c r="G256" i="14" s="1"/>
  <c r="E256" i="14"/>
  <c r="D256" i="14"/>
  <c r="C256" i="14"/>
  <c r="I256" i="14" s="1"/>
  <c r="B256" i="14"/>
  <c r="F255" i="14"/>
  <c r="G255" i="14" s="1"/>
  <c r="E255" i="14"/>
  <c r="D255" i="14"/>
  <c r="C255" i="14"/>
  <c r="I255" i="14" s="1"/>
  <c r="B255" i="14"/>
  <c r="F254" i="14"/>
  <c r="G254" i="14" s="1"/>
  <c r="E254" i="14"/>
  <c r="D254" i="14"/>
  <c r="C254" i="14"/>
  <c r="I254" i="14" s="1"/>
  <c r="B254" i="14"/>
  <c r="F253" i="14"/>
  <c r="G253" i="14" s="1"/>
  <c r="E253" i="14"/>
  <c r="D253" i="14"/>
  <c r="C253" i="14"/>
  <c r="B253" i="14"/>
  <c r="F252" i="14"/>
  <c r="E252" i="14"/>
  <c r="D252" i="14"/>
  <c r="C252" i="14"/>
  <c r="I252" i="14" s="1"/>
  <c r="B252" i="14"/>
  <c r="F251" i="14"/>
  <c r="G251" i="14" s="1"/>
  <c r="J251" i="14" s="1"/>
  <c r="E251" i="14"/>
  <c r="D251" i="14"/>
  <c r="C251" i="14"/>
  <c r="I251" i="14" s="1"/>
  <c r="B251" i="14"/>
  <c r="F250" i="14"/>
  <c r="G250" i="14" s="1"/>
  <c r="E250" i="14"/>
  <c r="D250" i="14"/>
  <c r="C250" i="14"/>
  <c r="I250" i="14" s="1"/>
  <c r="B250" i="14"/>
  <c r="F249" i="14"/>
  <c r="E249" i="14"/>
  <c r="D249" i="14"/>
  <c r="C249" i="14"/>
  <c r="B249" i="14"/>
  <c r="F248" i="14"/>
  <c r="G248" i="14" s="1"/>
  <c r="E248" i="14"/>
  <c r="D248" i="14"/>
  <c r="C248" i="14"/>
  <c r="B248" i="14"/>
  <c r="F247" i="14"/>
  <c r="G247" i="14" s="1"/>
  <c r="E247" i="14"/>
  <c r="D247" i="14"/>
  <c r="C247" i="14"/>
  <c r="B247" i="14"/>
  <c r="F246" i="14"/>
  <c r="G246" i="14" s="1"/>
  <c r="E246" i="14"/>
  <c r="D246" i="14"/>
  <c r="C246" i="14"/>
  <c r="I246" i="14" s="1"/>
  <c r="B246" i="14"/>
  <c r="F245" i="14"/>
  <c r="G245" i="14" s="1"/>
  <c r="J245" i="14" s="1"/>
  <c r="E245" i="14"/>
  <c r="D245" i="14"/>
  <c r="C245" i="14"/>
  <c r="I245" i="14" s="1"/>
  <c r="B245" i="14"/>
  <c r="F244" i="14"/>
  <c r="E244" i="14"/>
  <c r="D244" i="14"/>
  <c r="C244" i="14"/>
  <c r="I244" i="14" s="1"/>
  <c r="B244" i="14"/>
  <c r="F243" i="14"/>
  <c r="G243" i="14" s="1"/>
  <c r="E243" i="14"/>
  <c r="D243" i="14"/>
  <c r="C243" i="14"/>
  <c r="B243" i="14"/>
  <c r="F242" i="14"/>
  <c r="G242" i="14" s="1"/>
  <c r="E242" i="14"/>
  <c r="D242" i="14"/>
  <c r="C242" i="14"/>
  <c r="B242" i="14"/>
  <c r="F241" i="14"/>
  <c r="E241" i="14"/>
  <c r="D241" i="14"/>
  <c r="C241" i="14"/>
  <c r="B241" i="14"/>
  <c r="F240" i="14"/>
  <c r="G240" i="14" s="1"/>
  <c r="J240" i="14" s="1"/>
  <c r="N240" i="14" s="1"/>
  <c r="E240" i="14"/>
  <c r="D240" i="14"/>
  <c r="C240" i="14"/>
  <c r="I240" i="14" s="1"/>
  <c r="B240" i="14"/>
  <c r="F239" i="14"/>
  <c r="E239" i="14"/>
  <c r="D239" i="14"/>
  <c r="C239" i="14"/>
  <c r="B239" i="14"/>
  <c r="F238" i="14"/>
  <c r="G238" i="14" s="1"/>
  <c r="E238" i="14"/>
  <c r="D238" i="14"/>
  <c r="C238" i="14"/>
  <c r="I238" i="14" s="1"/>
  <c r="B238" i="14"/>
  <c r="F237" i="14"/>
  <c r="G237" i="14" s="1"/>
  <c r="J237" i="14" s="1"/>
  <c r="E237" i="14"/>
  <c r="D237" i="14"/>
  <c r="C237" i="14"/>
  <c r="I237" i="14" s="1"/>
  <c r="B237" i="14"/>
  <c r="F236" i="14"/>
  <c r="G236" i="14" s="1"/>
  <c r="E236" i="14"/>
  <c r="D236" i="14"/>
  <c r="C236" i="14"/>
  <c r="B236" i="14"/>
  <c r="F235" i="14"/>
  <c r="E235" i="14"/>
  <c r="D235" i="14"/>
  <c r="C235" i="14"/>
  <c r="I235" i="14" s="1"/>
  <c r="B235" i="14"/>
  <c r="F234" i="14"/>
  <c r="G234" i="14" s="1"/>
  <c r="E234" i="14"/>
  <c r="D234" i="14"/>
  <c r="C234" i="14"/>
  <c r="B234" i="14"/>
  <c r="F233" i="14"/>
  <c r="G233" i="14" s="1"/>
  <c r="E233" i="14"/>
  <c r="D233" i="14"/>
  <c r="C233" i="14"/>
  <c r="I233" i="14" s="1"/>
  <c r="B233" i="14"/>
  <c r="F232" i="14"/>
  <c r="E232" i="14"/>
  <c r="D232" i="14"/>
  <c r="C232" i="14"/>
  <c r="I232" i="14" s="1"/>
  <c r="B232" i="14"/>
  <c r="F231" i="14"/>
  <c r="G231" i="14" s="1"/>
  <c r="E231" i="14"/>
  <c r="D231" i="14"/>
  <c r="C231" i="14"/>
  <c r="B231" i="14"/>
  <c r="F230" i="14"/>
  <c r="G230" i="14" s="1"/>
  <c r="E230" i="14"/>
  <c r="D230" i="14"/>
  <c r="C230" i="14"/>
  <c r="B230" i="14"/>
  <c r="F229" i="14"/>
  <c r="G229" i="14" s="1"/>
  <c r="E229" i="14"/>
  <c r="D229" i="14"/>
  <c r="C229" i="14"/>
  <c r="I229" i="14" s="1"/>
  <c r="B229" i="14"/>
  <c r="F228" i="14"/>
  <c r="G228" i="14" s="1"/>
  <c r="J228" i="14" s="1"/>
  <c r="K228" i="14" s="1"/>
  <c r="E228" i="14"/>
  <c r="D228" i="14"/>
  <c r="C228" i="14"/>
  <c r="B228" i="14"/>
  <c r="F227" i="14"/>
  <c r="E227" i="14"/>
  <c r="D227" i="14"/>
  <c r="C227" i="14"/>
  <c r="B227" i="14"/>
  <c r="F226" i="14"/>
  <c r="G226" i="14" s="1"/>
  <c r="E226" i="14"/>
  <c r="D226" i="14"/>
  <c r="C226" i="14"/>
  <c r="B226" i="14"/>
  <c r="F225" i="14"/>
  <c r="G225" i="14" s="1"/>
  <c r="J225" i="14" s="1"/>
  <c r="E225" i="14"/>
  <c r="D225" i="14"/>
  <c r="C225" i="14"/>
  <c r="B225" i="14"/>
  <c r="F224" i="14"/>
  <c r="G224" i="14" s="1"/>
  <c r="E224" i="14"/>
  <c r="D224" i="14"/>
  <c r="C224" i="14"/>
  <c r="I224" i="14" s="1"/>
  <c r="B224" i="14"/>
  <c r="F223" i="14"/>
  <c r="G223" i="14" s="1"/>
  <c r="J223" i="14" s="1"/>
  <c r="N223" i="14" s="1"/>
  <c r="E223" i="14"/>
  <c r="D223" i="14"/>
  <c r="C223" i="14"/>
  <c r="I223" i="14" s="1"/>
  <c r="B223" i="14"/>
  <c r="F222" i="14"/>
  <c r="G222" i="14" s="1"/>
  <c r="E222" i="14"/>
  <c r="D222" i="14"/>
  <c r="C222" i="14"/>
  <c r="B222" i="14"/>
  <c r="F221" i="14"/>
  <c r="E221" i="14"/>
  <c r="D221" i="14"/>
  <c r="C221" i="14"/>
  <c r="B221" i="14"/>
  <c r="F220" i="14"/>
  <c r="E220" i="14"/>
  <c r="D220" i="14"/>
  <c r="C220" i="14"/>
  <c r="B220" i="14"/>
  <c r="F219" i="14"/>
  <c r="G219" i="14" s="1"/>
  <c r="E219" i="14"/>
  <c r="D219" i="14"/>
  <c r="C219" i="14"/>
  <c r="B219" i="14"/>
  <c r="F218" i="14"/>
  <c r="G218" i="14" s="1"/>
  <c r="E218" i="14"/>
  <c r="D218" i="14"/>
  <c r="C218" i="14"/>
  <c r="I218" i="14" s="1"/>
  <c r="B218" i="14"/>
  <c r="F217" i="14"/>
  <c r="G217" i="14" s="1"/>
  <c r="J217" i="14" s="1"/>
  <c r="M217" i="14" s="1"/>
  <c r="E217" i="14"/>
  <c r="D217" i="14"/>
  <c r="C217" i="14"/>
  <c r="I217" i="14" s="1"/>
  <c r="B217" i="14"/>
  <c r="F216" i="14"/>
  <c r="E216" i="14"/>
  <c r="D216" i="14"/>
  <c r="C216" i="14"/>
  <c r="I216" i="14" s="1"/>
  <c r="B216" i="14"/>
  <c r="F215" i="14"/>
  <c r="G215" i="14" s="1"/>
  <c r="E215" i="14"/>
  <c r="D215" i="14"/>
  <c r="C215" i="14"/>
  <c r="I215" i="14" s="1"/>
  <c r="B215" i="14"/>
  <c r="F214" i="14"/>
  <c r="G214" i="14" s="1"/>
  <c r="J214" i="14" s="1"/>
  <c r="L214" i="14" s="1"/>
  <c r="E214" i="14"/>
  <c r="D214" i="14"/>
  <c r="C214" i="14"/>
  <c r="I214" i="14" s="1"/>
  <c r="B214" i="14"/>
  <c r="F213" i="14"/>
  <c r="E213" i="14"/>
  <c r="D213" i="14"/>
  <c r="C213" i="14"/>
  <c r="B213" i="14"/>
  <c r="F212" i="14"/>
  <c r="G212" i="14" s="1"/>
  <c r="J212" i="14" s="1"/>
  <c r="E212" i="14"/>
  <c r="D212" i="14"/>
  <c r="C212" i="14"/>
  <c r="I212" i="14" s="1"/>
  <c r="B212" i="14"/>
  <c r="F211" i="14"/>
  <c r="E211" i="14"/>
  <c r="D211" i="14"/>
  <c r="C211" i="14"/>
  <c r="B211" i="14"/>
  <c r="F210" i="14"/>
  <c r="G210" i="14" s="1"/>
  <c r="E210" i="14"/>
  <c r="D210" i="14"/>
  <c r="C210" i="14"/>
  <c r="I210" i="14" s="1"/>
  <c r="B210" i="14"/>
  <c r="F209" i="14"/>
  <c r="G209" i="14" s="1"/>
  <c r="E209" i="14"/>
  <c r="D209" i="14"/>
  <c r="C209" i="14"/>
  <c r="I209" i="14" s="1"/>
  <c r="B209" i="14"/>
  <c r="F208" i="14"/>
  <c r="G208" i="14" s="1"/>
  <c r="E208" i="14"/>
  <c r="D208" i="14"/>
  <c r="C208" i="14"/>
  <c r="B208" i="14"/>
  <c r="F207" i="14"/>
  <c r="G207" i="14" s="1"/>
  <c r="L207" i="14" s="1"/>
  <c r="E207" i="14"/>
  <c r="D207" i="14"/>
  <c r="C207" i="14"/>
  <c r="I207" i="14" s="1"/>
  <c r="T207" i="14" s="1"/>
  <c r="U207" i="14" s="1"/>
  <c r="B207" i="14"/>
  <c r="F206" i="14"/>
  <c r="G206" i="14" s="1"/>
  <c r="E206" i="14"/>
  <c r="D206" i="14"/>
  <c r="C206" i="14"/>
  <c r="B206" i="14"/>
  <c r="F205" i="14"/>
  <c r="G205" i="14" s="1"/>
  <c r="J205" i="14" s="1"/>
  <c r="L205" i="14" s="1"/>
  <c r="E205" i="14"/>
  <c r="D205" i="14"/>
  <c r="C205" i="14"/>
  <c r="B205" i="14"/>
  <c r="F204" i="14"/>
  <c r="G204" i="14" s="1"/>
  <c r="J204" i="14" s="1"/>
  <c r="M204" i="14" s="1"/>
  <c r="E204" i="14"/>
  <c r="D204" i="14"/>
  <c r="C204" i="14"/>
  <c r="I204" i="14" s="1"/>
  <c r="B204" i="14"/>
  <c r="F203" i="14"/>
  <c r="G203" i="14" s="1"/>
  <c r="J203" i="14" s="1"/>
  <c r="K203" i="14" s="1"/>
  <c r="E203" i="14"/>
  <c r="D203" i="14"/>
  <c r="C203" i="14"/>
  <c r="I203" i="14" s="1"/>
  <c r="B203" i="14"/>
  <c r="F202" i="14"/>
  <c r="G202" i="14" s="1"/>
  <c r="E202" i="14"/>
  <c r="D202" i="14"/>
  <c r="C202" i="14"/>
  <c r="B202" i="14"/>
  <c r="F201" i="14"/>
  <c r="G201" i="14" s="1"/>
  <c r="J201" i="14" s="1"/>
  <c r="K201" i="14" s="1"/>
  <c r="E201" i="14"/>
  <c r="D201" i="14"/>
  <c r="C201" i="14"/>
  <c r="I201" i="14" s="1"/>
  <c r="B201" i="14"/>
  <c r="F200" i="14"/>
  <c r="G200" i="14" s="1"/>
  <c r="J200" i="14" s="1"/>
  <c r="E200" i="14"/>
  <c r="D200" i="14"/>
  <c r="C200" i="14"/>
  <c r="B200" i="14"/>
  <c r="F199" i="14"/>
  <c r="G199" i="14" s="1"/>
  <c r="J199" i="14" s="1"/>
  <c r="N199" i="14" s="1"/>
  <c r="E199" i="14"/>
  <c r="D199" i="14"/>
  <c r="C199" i="14"/>
  <c r="B199" i="14"/>
  <c r="F198" i="14"/>
  <c r="G198" i="14" s="1"/>
  <c r="J198" i="14" s="1"/>
  <c r="E198" i="14"/>
  <c r="D198" i="14"/>
  <c r="C198" i="14"/>
  <c r="I198" i="14" s="1"/>
  <c r="B198" i="14"/>
  <c r="F197" i="14"/>
  <c r="G197" i="14" s="1"/>
  <c r="E197" i="14"/>
  <c r="D197" i="14"/>
  <c r="C197" i="14"/>
  <c r="B197" i="14"/>
  <c r="F196" i="14"/>
  <c r="E196" i="14"/>
  <c r="D196" i="14"/>
  <c r="C196" i="14"/>
  <c r="I196" i="14" s="1"/>
  <c r="B196" i="14"/>
  <c r="F195" i="14"/>
  <c r="G195" i="14" s="1"/>
  <c r="E195" i="14"/>
  <c r="D195" i="14"/>
  <c r="C195" i="14"/>
  <c r="I195" i="14" s="1"/>
  <c r="B195" i="14"/>
  <c r="F194" i="14"/>
  <c r="E194" i="14"/>
  <c r="D194" i="14"/>
  <c r="C194" i="14"/>
  <c r="I194" i="14" s="1"/>
  <c r="B194" i="14"/>
  <c r="F193" i="14"/>
  <c r="E193" i="14"/>
  <c r="D193" i="14"/>
  <c r="C193" i="14"/>
  <c r="I193" i="14" s="1"/>
  <c r="B193" i="14"/>
  <c r="F192" i="14"/>
  <c r="G192" i="14" s="1"/>
  <c r="E192" i="14"/>
  <c r="D192" i="14"/>
  <c r="C192" i="14"/>
  <c r="B192" i="14"/>
  <c r="F191" i="14"/>
  <c r="G191" i="14" s="1"/>
  <c r="E191" i="14"/>
  <c r="D191" i="14"/>
  <c r="C191" i="14"/>
  <c r="B191" i="14"/>
  <c r="F190" i="14"/>
  <c r="G190" i="14" s="1"/>
  <c r="E190" i="14"/>
  <c r="D190" i="14"/>
  <c r="C190" i="14"/>
  <c r="I190" i="14" s="1"/>
  <c r="T190" i="14" s="1"/>
  <c r="B190" i="14"/>
  <c r="F189" i="14"/>
  <c r="G189" i="14" s="1"/>
  <c r="E189" i="14"/>
  <c r="D189" i="14"/>
  <c r="C189" i="14"/>
  <c r="I189" i="14" s="1"/>
  <c r="B189" i="14"/>
  <c r="F188" i="14"/>
  <c r="E188" i="14"/>
  <c r="D188" i="14"/>
  <c r="C188" i="14"/>
  <c r="I188" i="14" s="1"/>
  <c r="B188" i="14"/>
  <c r="F187" i="14"/>
  <c r="G187" i="14" s="1"/>
  <c r="E187" i="14"/>
  <c r="D187" i="14"/>
  <c r="C187" i="14"/>
  <c r="I187" i="14" s="1"/>
  <c r="B187" i="14"/>
  <c r="F186" i="14"/>
  <c r="G186" i="14" s="1"/>
  <c r="E186" i="14"/>
  <c r="D186" i="14"/>
  <c r="C186" i="14"/>
  <c r="I186" i="14" s="1"/>
  <c r="B186" i="14"/>
  <c r="F185" i="14"/>
  <c r="E185" i="14"/>
  <c r="D185" i="14"/>
  <c r="C185" i="14"/>
  <c r="B185" i="14"/>
  <c r="F184" i="14"/>
  <c r="G184" i="14" s="1"/>
  <c r="E184" i="14"/>
  <c r="D184" i="14"/>
  <c r="C184" i="14"/>
  <c r="I184" i="14" s="1"/>
  <c r="B184" i="14"/>
  <c r="F183" i="14"/>
  <c r="E183" i="14"/>
  <c r="D183" i="14"/>
  <c r="C183" i="14"/>
  <c r="B183" i="14"/>
  <c r="F182" i="14"/>
  <c r="G182" i="14" s="1"/>
  <c r="E182" i="14"/>
  <c r="D182" i="14"/>
  <c r="C182" i="14"/>
  <c r="B182" i="14"/>
  <c r="F181" i="14"/>
  <c r="G181" i="14" s="1"/>
  <c r="E181" i="14"/>
  <c r="D181" i="14"/>
  <c r="C181" i="14"/>
  <c r="B181" i="14"/>
  <c r="F180" i="14"/>
  <c r="E180" i="14"/>
  <c r="D180" i="14"/>
  <c r="C180" i="14"/>
  <c r="B180" i="14"/>
  <c r="F179" i="14"/>
  <c r="E179" i="14"/>
  <c r="D179" i="14"/>
  <c r="C179" i="14"/>
  <c r="I179" i="14" s="1"/>
  <c r="B179" i="14"/>
  <c r="F178" i="14"/>
  <c r="G178" i="14" s="1"/>
  <c r="E178" i="14"/>
  <c r="D178" i="14"/>
  <c r="C178" i="14"/>
  <c r="B178" i="14"/>
  <c r="F177" i="14"/>
  <c r="G177" i="14" s="1"/>
  <c r="E177" i="14"/>
  <c r="D177" i="14"/>
  <c r="C177" i="14"/>
  <c r="I177" i="14" s="1"/>
  <c r="B177" i="14"/>
  <c r="F176" i="14"/>
  <c r="G176" i="14" s="1"/>
  <c r="E176" i="14"/>
  <c r="D176" i="14"/>
  <c r="C176" i="14"/>
  <c r="I176" i="14" s="1"/>
  <c r="B176" i="14"/>
  <c r="F175" i="14"/>
  <c r="G175" i="14" s="1"/>
  <c r="J175" i="14" s="1"/>
  <c r="E175" i="14"/>
  <c r="D175" i="14"/>
  <c r="C175" i="14"/>
  <c r="I175" i="14" s="1"/>
  <c r="B175" i="14"/>
  <c r="F174" i="14"/>
  <c r="G174" i="14" s="1"/>
  <c r="E174" i="14"/>
  <c r="D174" i="14"/>
  <c r="C174" i="14"/>
  <c r="I174" i="14" s="1"/>
  <c r="B174" i="14"/>
  <c r="F173" i="14"/>
  <c r="G173" i="14" s="1"/>
  <c r="E173" i="14"/>
  <c r="D173" i="14"/>
  <c r="C173" i="14"/>
  <c r="I173" i="14" s="1"/>
  <c r="T173" i="14" s="1"/>
  <c r="U173" i="14" s="1"/>
  <c r="B173" i="14"/>
  <c r="F172" i="14"/>
  <c r="G172" i="14" s="1"/>
  <c r="E172" i="14"/>
  <c r="D172" i="14"/>
  <c r="C172" i="14"/>
  <c r="B172" i="14"/>
  <c r="F171" i="14"/>
  <c r="E171" i="14"/>
  <c r="D171" i="14"/>
  <c r="C171" i="14"/>
  <c r="B171" i="14"/>
  <c r="F170" i="14"/>
  <c r="G170" i="14" s="1"/>
  <c r="E170" i="14"/>
  <c r="D170" i="14"/>
  <c r="C170" i="14"/>
  <c r="I170" i="14" s="1"/>
  <c r="B170" i="14"/>
  <c r="F169" i="14"/>
  <c r="E169" i="14"/>
  <c r="D169" i="14"/>
  <c r="C169" i="14"/>
  <c r="B169" i="14"/>
  <c r="F168" i="14"/>
  <c r="G168" i="14" s="1"/>
  <c r="E168" i="14"/>
  <c r="D168" i="14"/>
  <c r="C168" i="14"/>
  <c r="B168" i="14"/>
  <c r="F167" i="14"/>
  <c r="G167" i="14" s="1"/>
  <c r="E167" i="14"/>
  <c r="D167" i="14"/>
  <c r="C167" i="14"/>
  <c r="B167" i="14"/>
  <c r="F166" i="14"/>
  <c r="G166" i="14" s="1"/>
  <c r="E166" i="14"/>
  <c r="D166" i="14"/>
  <c r="C166" i="14"/>
  <c r="B166" i="14"/>
  <c r="F165" i="14"/>
  <c r="G165" i="14" s="1"/>
  <c r="E165" i="14"/>
  <c r="D165" i="14"/>
  <c r="C165" i="14"/>
  <c r="I165" i="14" s="1"/>
  <c r="T165" i="14" s="1"/>
  <c r="B165" i="14"/>
  <c r="F164" i="14"/>
  <c r="G164" i="14" s="1"/>
  <c r="E164" i="14"/>
  <c r="D164" i="14"/>
  <c r="C164" i="14"/>
  <c r="I164" i="14" s="1"/>
  <c r="B164" i="14"/>
  <c r="F163" i="14"/>
  <c r="G163" i="14" s="1"/>
  <c r="E163" i="14"/>
  <c r="D163" i="14"/>
  <c r="C163" i="14"/>
  <c r="B163" i="14"/>
  <c r="F162" i="14"/>
  <c r="G162" i="14" s="1"/>
  <c r="E162" i="14"/>
  <c r="D162" i="14"/>
  <c r="C162" i="14"/>
  <c r="I162" i="14" s="1"/>
  <c r="T162" i="14" s="1"/>
  <c r="U162" i="14" s="1"/>
  <c r="B162" i="14"/>
  <c r="F161" i="14"/>
  <c r="G161" i="14" s="1"/>
  <c r="E161" i="14"/>
  <c r="D161" i="14"/>
  <c r="C161" i="14"/>
  <c r="B161" i="14"/>
  <c r="F160" i="14"/>
  <c r="G160" i="14" s="1"/>
  <c r="J160" i="14" s="1"/>
  <c r="K160" i="14" s="1"/>
  <c r="E160" i="14"/>
  <c r="D160" i="14"/>
  <c r="C160" i="14"/>
  <c r="I160" i="14" s="1"/>
  <c r="B160" i="14"/>
  <c r="F159" i="14"/>
  <c r="E159" i="14"/>
  <c r="D159" i="14"/>
  <c r="C159" i="14"/>
  <c r="I159" i="14" s="1"/>
  <c r="B159" i="14"/>
  <c r="F158" i="14"/>
  <c r="E158" i="14"/>
  <c r="D158" i="14"/>
  <c r="C158" i="14"/>
  <c r="I158" i="14" s="1"/>
  <c r="B158" i="14"/>
  <c r="F157" i="14"/>
  <c r="E157" i="14"/>
  <c r="D157" i="14"/>
  <c r="C157" i="14"/>
  <c r="I157" i="14" s="1"/>
  <c r="B157" i="14"/>
  <c r="F156" i="14"/>
  <c r="G156" i="14" s="1"/>
  <c r="J156" i="14" s="1"/>
  <c r="E156" i="14"/>
  <c r="D156" i="14"/>
  <c r="C156" i="14"/>
  <c r="I156" i="14" s="1"/>
  <c r="B156" i="14"/>
  <c r="F155" i="14"/>
  <c r="G155" i="14" s="1"/>
  <c r="E155" i="14"/>
  <c r="D155" i="14"/>
  <c r="C155" i="14"/>
  <c r="B155" i="14"/>
  <c r="F154" i="14"/>
  <c r="G154" i="14" s="1"/>
  <c r="J154" i="14" s="1"/>
  <c r="K154" i="14" s="1"/>
  <c r="E154" i="14"/>
  <c r="D154" i="14"/>
  <c r="C154" i="14"/>
  <c r="B154" i="14"/>
  <c r="F153" i="14"/>
  <c r="G153" i="14" s="1"/>
  <c r="E153" i="14"/>
  <c r="D153" i="14"/>
  <c r="C153" i="14"/>
  <c r="I153" i="14" s="1"/>
  <c r="B153" i="14"/>
  <c r="F152" i="14"/>
  <c r="E152" i="14"/>
  <c r="D152" i="14"/>
  <c r="C152" i="14"/>
  <c r="B152" i="14"/>
  <c r="F151" i="14"/>
  <c r="E151" i="14"/>
  <c r="D151" i="14"/>
  <c r="C151" i="14"/>
  <c r="I151" i="14" s="1"/>
  <c r="B151" i="14"/>
  <c r="F150" i="14"/>
  <c r="G150" i="14" s="1"/>
  <c r="J150" i="14" s="1"/>
  <c r="K150" i="14" s="1"/>
  <c r="E150" i="14"/>
  <c r="D150" i="14"/>
  <c r="C150" i="14"/>
  <c r="B150" i="14"/>
  <c r="F149" i="14"/>
  <c r="E149" i="14"/>
  <c r="D149" i="14"/>
  <c r="C149" i="14"/>
  <c r="I149" i="14" s="1"/>
  <c r="B149" i="14"/>
  <c r="F148" i="14"/>
  <c r="G148" i="14" s="1"/>
  <c r="E148" i="14"/>
  <c r="D148" i="14"/>
  <c r="C148" i="14"/>
  <c r="B148" i="14"/>
  <c r="F147" i="14"/>
  <c r="G147" i="14" s="1"/>
  <c r="E147" i="14"/>
  <c r="D147" i="14"/>
  <c r="C147" i="14"/>
  <c r="B147" i="14"/>
  <c r="F146" i="14"/>
  <c r="G146" i="14" s="1"/>
  <c r="J146" i="14" s="1"/>
  <c r="N146" i="14" s="1"/>
  <c r="E146" i="14"/>
  <c r="D146" i="14"/>
  <c r="C146" i="14"/>
  <c r="B146" i="14"/>
  <c r="F145" i="14"/>
  <c r="G145" i="14" s="1"/>
  <c r="E145" i="14"/>
  <c r="D145" i="14"/>
  <c r="C145" i="14"/>
  <c r="I145" i="14" s="1"/>
  <c r="B145" i="14"/>
  <c r="F144" i="14"/>
  <c r="G144" i="14" s="1"/>
  <c r="E144" i="14"/>
  <c r="D144" i="14"/>
  <c r="C144" i="14"/>
  <c r="I144" i="14" s="1"/>
  <c r="B144" i="14"/>
  <c r="F143" i="14"/>
  <c r="G143" i="14" s="1"/>
  <c r="E143" i="14"/>
  <c r="D143" i="14"/>
  <c r="C143" i="14"/>
  <c r="I143" i="14" s="1"/>
  <c r="B143" i="14"/>
  <c r="F142" i="14"/>
  <c r="G142" i="14" s="1"/>
  <c r="E142" i="14"/>
  <c r="D142" i="14"/>
  <c r="C142" i="14"/>
  <c r="B142" i="14"/>
  <c r="F141" i="14"/>
  <c r="G141" i="14" s="1"/>
  <c r="E141" i="14"/>
  <c r="D141" i="14"/>
  <c r="C141" i="14"/>
  <c r="B141" i="14"/>
  <c r="F140" i="14"/>
  <c r="G140" i="14" s="1"/>
  <c r="E140" i="14"/>
  <c r="D140" i="14"/>
  <c r="C140" i="14"/>
  <c r="I140" i="14" s="1"/>
  <c r="T140" i="14" s="1"/>
  <c r="U140" i="14" s="1"/>
  <c r="B140" i="14"/>
  <c r="F139" i="14"/>
  <c r="G139" i="14" s="1"/>
  <c r="J139" i="14" s="1"/>
  <c r="K139" i="14" s="1"/>
  <c r="E139" i="14"/>
  <c r="D139" i="14"/>
  <c r="C139" i="14"/>
  <c r="I139" i="14" s="1"/>
  <c r="B139" i="14"/>
  <c r="F138" i="14"/>
  <c r="G138" i="14" s="1"/>
  <c r="E138" i="14"/>
  <c r="D138" i="14"/>
  <c r="C138" i="14"/>
  <c r="B138" i="14"/>
  <c r="F137" i="14"/>
  <c r="G137" i="14" s="1"/>
  <c r="E137" i="14"/>
  <c r="D137" i="14"/>
  <c r="C137" i="14"/>
  <c r="B137" i="14"/>
  <c r="F136" i="14"/>
  <c r="G136" i="14" s="1"/>
  <c r="E136" i="14"/>
  <c r="D136" i="14"/>
  <c r="C136" i="14"/>
  <c r="B136" i="14"/>
  <c r="F135" i="14"/>
  <c r="G135" i="14" s="1"/>
  <c r="J135" i="14" s="1"/>
  <c r="N135" i="14" s="1"/>
  <c r="E135" i="14"/>
  <c r="D135" i="14"/>
  <c r="C135" i="14"/>
  <c r="B135" i="14"/>
  <c r="F134" i="14"/>
  <c r="G134" i="14" s="1"/>
  <c r="E134" i="14"/>
  <c r="D134" i="14"/>
  <c r="C134" i="14"/>
  <c r="I134" i="14" s="1"/>
  <c r="B134" i="14"/>
  <c r="F133" i="14"/>
  <c r="G133" i="14" s="1"/>
  <c r="E133" i="14"/>
  <c r="D133" i="14"/>
  <c r="C133" i="14"/>
  <c r="B133" i="14"/>
  <c r="F132" i="14"/>
  <c r="G132" i="14" s="1"/>
  <c r="E132" i="14"/>
  <c r="D132" i="14"/>
  <c r="C132" i="14"/>
  <c r="I132" i="14" s="1"/>
  <c r="B132" i="14"/>
  <c r="F131" i="14"/>
  <c r="E131" i="14"/>
  <c r="D131" i="14"/>
  <c r="C131" i="14"/>
  <c r="I131" i="14" s="1"/>
  <c r="B131" i="14"/>
  <c r="F130" i="14"/>
  <c r="G130" i="14" s="1"/>
  <c r="J130" i="14" s="1"/>
  <c r="E130" i="14"/>
  <c r="D130" i="14"/>
  <c r="C130" i="14"/>
  <c r="I130" i="14" s="1"/>
  <c r="B130" i="14"/>
  <c r="F129" i="14"/>
  <c r="E129" i="14"/>
  <c r="D129" i="14"/>
  <c r="C129" i="14"/>
  <c r="B129" i="14"/>
  <c r="F128" i="14"/>
  <c r="G128" i="14" s="1"/>
  <c r="E128" i="14"/>
  <c r="D128" i="14"/>
  <c r="C128" i="14"/>
  <c r="H128" i="14" s="1"/>
  <c r="B128" i="14"/>
  <c r="F127" i="14"/>
  <c r="E127" i="14"/>
  <c r="D127" i="14"/>
  <c r="C127" i="14"/>
  <c r="I127" i="14" s="1"/>
  <c r="B127" i="14"/>
  <c r="F126" i="14"/>
  <c r="G126" i="14" s="1"/>
  <c r="E126" i="14"/>
  <c r="D126" i="14"/>
  <c r="C126" i="14"/>
  <c r="B126" i="14"/>
  <c r="F125" i="14"/>
  <c r="E125" i="14"/>
  <c r="D125" i="14"/>
  <c r="C125" i="14"/>
  <c r="I125" i="14" s="1"/>
  <c r="B125" i="14"/>
  <c r="F124" i="14"/>
  <c r="E124" i="14"/>
  <c r="D124" i="14"/>
  <c r="C124" i="14"/>
  <c r="B124" i="14"/>
  <c r="F123" i="14"/>
  <c r="E123" i="14"/>
  <c r="D123" i="14"/>
  <c r="C123" i="14"/>
  <c r="B123" i="14"/>
  <c r="F122" i="14"/>
  <c r="G122" i="14" s="1"/>
  <c r="E122" i="14"/>
  <c r="D122" i="14"/>
  <c r="C122" i="14"/>
  <c r="B122" i="14"/>
  <c r="F121" i="14"/>
  <c r="G121" i="14" s="1"/>
  <c r="E121" i="14"/>
  <c r="D121" i="14"/>
  <c r="C121" i="14"/>
  <c r="B121" i="14"/>
  <c r="F120" i="14"/>
  <c r="G120" i="14" s="1"/>
  <c r="E120" i="14"/>
  <c r="D120" i="14"/>
  <c r="C120" i="14"/>
  <c r="H120" i="14" s="1"/>
  <c r="B120" i="14"/>
  <c r="F119" i="14"/>
  <c r="G119" i="14" s="1"/>
  <c r="E119" i="14"/>
  <c r="D119" i="14"/>
  <c r="C119" i="14"/>
  <c r="B119" i="14"/>
  <c r="F118" i="14"/>
  <c r="G118" i="14" s="1"/>
  <c r="E118" i="14"/>
  <c r="D118" i="14"/>
  <c r="C118" i="14"/>
  <c r="B118" i="14"/>
  <c r="F117" i="14"/>
  <c r="G117" i="14" s="1"/>
  <c r="E117" i="14"/>
  <c r="D117" i="14"/>
  <c r="C117" i="14"/>
  <c r="H117" i="14" s="1"/>
  <c r="B117" i="14"/>
  <c r="F116" i="14"/>
  <c r="G116" i="14" s="1"/>
  <c r="E116" i="14"/>
  <c r="D116" i="14"/>
  <c r="C116" i="14"/>
  <c r="I116" i="14" s="1"/>
  <c r="B116" i="14"/>
  <c r="F115" i="14"/>
  <c r="G115" i="14" s="1"/>
  <c r="E115" i="14"/>
  <c r="D115" i="14"/>
  <c r="C115" i="14"/>
  <c r="B115" i="14"/>
  <c r="F114" i="14"/>
  <c r="G114" i="14" s="1"/>
  <c r="E114" i="14"/>
  <c r="D114" i="14"/>
  <c r="C114" i="14"/>
  <c r="B114" i="14"/>
  <c r="F113" i="14"/>
  <c r="G113" i="14" s="1"/>
  <c r="E113" i="14"/>
  <c r="D113" i="14"/>
  <c r="C113" i="14"/>
  <c r="I113" i="14" s="1"/>
  <c r="B113" i="14"/>
  <c r="F112" i="14"/>
  <c r="E112" i="14"/>
  <c r="D112" i="14"/>
  <c r="C112" i="14"/>
  <c r="H112" i="14" s="1"/>
  <c r="B112" i="14"/>
  <c r="F111" i="14"/>
  <c r="G111" i="14" s="1"/>
  <c r="E111" i="14"/>
  <c r="D111" i="14"/>
  <c r="C111" i="14"/>
  <c r="H111" i="14" s="1"/>
  <c r="B111" i="14"/>
  <c r="F110" i="14"/>
  <c r="E110" i="14"/>
  <c r="D110" i="14"/>
  <c r="C110" i="14"/>
  <c r="H110" i="14" s="1"/>
  <c r="B110" i="14"/>
  <c r="F109" i="14"/>
  <c r="E109" i="14"/>
  <c r="D109" i="14"/>
  <c r="C109" i="14"/>
  <c r="B109" i="14"/>
  <c r="F108" i="14"/>
  <c r="G108" i="14" s="1"/>
  <c r="E108" i="14"/>
  <c r="D108" i="14"/>
  <c r="C108" i="14"/>
  <c r="B108" i="14"/>
  <c r="F107" i="14"/>
  <c r="G107" i="14" s="1"/>
  <c r="E107" i="14"/>
  <c r="D107" i="14"/>
  <c r="C107" i="14"/>
  <c r="B107" i="14"/>
  <c r="F106" i="14"/>
  <c r="E106" i="14"/>
  <c r="D106" i="14"/>
  <c r="C106" i="14"/>
  <c r="B106" i="14"/>
  <c r="F105" i="14"/>
  <c r="G105" i="14" s="1"/>
  <c r="T105" i="14" s="1"/>
  <c r="U105" i="14" s="1"/>
  <c r="E105" i="14"/>
  <c r="D105" i="14"/>
  <c r="C105" i="14"/>
  <c r="B105" i="14"/>
  <c r="F104" i="14"/>
  <c r="G104" i="14" s="1"/>
  <c r="E104" i="14"/>
  <c r="D104" i="14"/>
  <c r="C104" i="14"/>
  <c r="B104" i="14"/>
  <c r="F103" i="14"/>
  <c r="G103" i="14" s="1"/>
  <c r="E103" i="14"/>
  <c r="D103" i="14"/>
  <c r="C103" i="14"/>
  <c r="B103" i="14"/>
  <c r="F102" i="14"/>
  <c r="G102" i="14" s="1"/>
  <c r="E102" i="14"/>
  <c r="D102" i="14"/>
  <c r="C102" i="14"/>
  <c r="B102" i="14"/>
  <c r="F101" i="14"/>
  <c r="E101" i="14"/>
  <c r="D101" i="14"/>
  <c r="C101" i="14"/>
  <c r="H101" i="14" s="1"/>
  <c r="B101" i="14"/>
  <c r="F100" i="14"/>
  <c r="G100" i="14" s="1"/>
  <c r="E100" i="14"/>
  <c r="D100" i="14"/>
  <c r="C100" i="14"/>
  <c r="I100" i="14" s="1"/>
  <c r="B100" i="14"/>
  <c r="F99" i="14"/>
  <c r="G99" i="14" s="1"/>
  <c r="E99" i="14"/>
  <c r="D99" i="14"/>
  <c r="C99" i="14"/>
  <c r="B99" i="14"/>
  <c r="F98" i="14"/>
  <c r="G98" i="14" s="1"/>
  <c r="E98" i="14"/>
  <c r="D98" i="14"/>
  <c r="C98" i="14"/>
  <c r="H98" i="14" s="1"/>
  <c r="B98" i="14"/>
  <c r="F97" i="14"/>
  <c r="G97" i="14" s="1"/>
  <c r="E97" i="14"/>
  <c r="D97" i="14"/>
  <c r="C97" i="14"/>
  <c r="H97" i="14" s="1"/>
  <c r="J97" i="14" s="1"/>
  <c r="B97" i="14"/>
  <c r="F96" i="14"/>
  <c r="G96" i="14" s="1"/>
  <c r="J96" i="14" s="1"/>
  <c r="E96" i="14"/>
  <c r="D96" i="14"/>
  <c r="C96" i="14"/>
  <c r="B96" i="14"/>
  <c r="F95" i="14"/>
  <c r="G95" i="14" s="1"/>
  <c r="E95" i="14"/>
  <c r="D95" i="14"/>
  <c r="C95" i="14"/>
  <c r="H95" i="14" s="1"/>
  <c r="B95" i="14"/>
  <c r="F94" i="14"/>
  <c r="G94" i="14" s="1"/>
  <c r="E94" i="14"/>
  <c r="D94" i="14"/>
  <c r="C94" i="14"/>
  <c r="B94" i="14"/>
  <c r="F93" i="14"/>
  <c r="E93" i="14"/>
  <c r="D93" i="14"/>
  <c r="C93" i="14"/>
  <c r="I93" i="14" s="1"/>
  <c r="B93" i="14"/>
  <c r="F92" i="14"/>
  <c r="E92" i="14"/>
  <c r="D92" i="14"/>
  <c r="C92" i="14"/>
  <c r="I92" i="14" s="1"/>
  <c r="B92" i="14"/>
  <c r="F91" i="14"/>
  <c r="G91" i="14" s="1"/>
  <c r="E91" i="14"/>
  <c r="D91" i="14"/>
  <c r="C91" i="14"/>
  <c r="B91" i="14"/>
  <c r="F90" i="14"/>
  <c r="G90" i="14" s="1"/>
  <c r="E90" i="14"/>
  <c r="D90" i="14"/>
  <c r="C90" i="14"/>
  <c r="B90" i="14"/>
  <c r="F89" i="14"/>
  <c r="G89" i="14" s="1"/>
  <c r="E89" i="14"/>
  <c r="D89" i="14"/>
  <c r="C89" i="14"/>
  <c r="I89" i="14" s="1"/>
  <c r="B89" i="14"/>
  <c r="F88" i="14"/>
  <c r="G88" i="14" s="1"/>
  <c r="J88" i="14" s="1"/>
  <c r="E88" i="14"/>
  <c r="D88" i="14"/>
  <c r="C88" i="14"/>
  <c r="B88" i="14"/>
  <c r="F87" i="14"/>
  <c r="G87" i="14" s="1"/>
  <c r="E87" i="14"/>
  <c r="D87" i="14"/>
  <c r="C87" i="14"/>
  <c r="B87" i="14"/>
  <c r="F86" i="14"/>
  <c r="G86" i="14" s="1"/>
  <c r="E86" i="14"/>
  <c r="D86" i="14"/>
  <c r="C86" i="14"/>
  <c r="H86" i="14" s="1"/>
  <c r="B86" i="14"/>
  <c r="F85" i="14"/>
  <c r="G85" i="14" s="1"/>
  <c r="E85" i="14"/>
  <c r="D85" i="14"/>
  <c r="C85" i="14"/>
  <c r="B85" i="14"/>
  <c r="F84" i="14"/>
  <c r="E84" i="14"/>
  <c r="D84" i="14"/>
  <c r="C84" i="14"/>
  <c r="H84" i="14" s="1"/>
  <c r="B84" i="14"/>
  <c r="F83" i="14"/>
  <c r="G83" i="14" s="1"/>
  <c r="E83" i="14"/>
  <c r="D83" i="14"/>
  <c r="C83" i="14"/>
  <c r="H83" i="14" s="1"/>
  <c r="B83" i="14"/>
  <c r="F82" i="14"/>
  <c r="G82" i="14" s="1"/>
  <c r="E82" i="14"/>
  <c r="D82" i="14"/>
  <c r="C82" i="14"/>
  <c r="B82" i="14"/>
  <c r="F81" i="14"/>
  <c r="G81" i="14" s="1"/>
  <c r="E81" i="14"/>
  <c r="D81" i="14"/>
  <c r="C81" i="14"/>
  <c r="I81" i="14" s="1"/>
  <c r="B81" i="14"/>
  <c r="F80" i="14"/>
  <c r="G80" i="14" s="1"/>
  <c r="E80" i="14"/>
  <c r="D80" i="14"/>
  <c r="C80" i="14"/>
  <c r="B80" i="14"/>
  <c r="F79" i="14"/>
  <c r="E79" i="14"/>
  <c r="D79" i="14"/>
  <c r="C79" i="14"/>
  <c r="B79" i="14"/>
  <c r="F78" i="14"/>
  <c r="G78" i="14" s="1"/>
  <c r="E78" i="14"/>
  <c r="D78" i="14"/>
  <c r="C78" i="14"/>
  <c r="B78" i="14"/>
  <c r="F77" i="14"/>
  <c r="G77" i="14" s="1"/>
  <c r="E77" i="14"/>
  <c r="D77" i="14"/>
  <c r="C77" i="14"/>
  <c r="H77" i="14" s="1"/>
  <c r="B77" i="14"/>
  <c r="F76" i="14"/>
  <c r="G76" i="14" s="1"/>
  <c r="J76" i="14" s="1"/>
  <c r="K76" i="14" s="1"/>
  <c r="E76" i="14"/>
  <c r="D76" i="14"/>
  <c r="C76" i="14"/>
  <c r="I76" i="14" s="1"/>
  <c r="B76" i="14"/>
  <c r="F75" i="14"/>
  <c r="G75" i="14" s="1"/>
  <c r="E75" i="14"/>
  <c r="D75" i="14"/>
  <c r="C75" i="14"/>
  <c r="B75" i="14"/>
  <c r="F74" i="14"/>
  <c r="G74" i="14" s="1"/>
  <c r="E74" i="14"/>
  <c r="D74" i="14"/>
  <c r="C74" i="14"/>
  <c r="B74" i="14"/>
  <c r="F73" i="14"/>
  <c r="G73" i="14" s="1"/>
  <c r="E73" i="14"/>
  <c r="D73" i="14"/>
  <c r="C73" i="14"/>
  <c r="B73" i="14"/>
  <c r="F72" i="14"/>
  <c r="G72" i="14" s="1"/>
  <c r="E72" i="14"/>
  <c r="D72" i="14"/>
  <c r="C72" i="14"/>
  <c r="I72" i="14" s="1"/>
  <c r="B72" i="14"/>
  <c r="F71" i="14"/>
  <c r="G71" i="14" s="1"/>
  <c r="E71" i="14"/>
  <c r="D71" i="14"/>
  <c r="C71" i="14"/>
  <c r="B71" i="14"/>
  <c r="F70" i="14"/>
  <c r="G70" i="14" s="1"/>
  <c r="E70" i="14"/>
  <c r="D70" i="14"/>
  <c r="C70" i="14"/>
  <c r="H70" i="14" s="1"/>
  <c r="B70" i="14"/>
  <c r="F69" i="14"/>
  <c r="G69" i="14" s="1"/>
  <c r="E69" i="14"/>
  <c r="D69" i="14"/>
  <c r="C69" i="14"/>
  <c r="H69" i="14" s="1"/>
  <c r="B69" i="14"/>
  <c r="F68" i="14"/>
  <c r="G68" i="14" s="1"/>
  <c r="E68" i="14"/>
  <c r="D68" i="14"/>
  <c r="C68" i="14"/>
  <c r="I68" i="14" s="1"/>
  <c r="B68" i="14"/>
  <c r="F67" i="14"/>
  <c r="G67" i="14" s="1"/>
  <c r="E67" i="14"/>
  <c r="D67" i="14"/>
  <c r="C67" i="14"/>
  <c r="B67" i="14"/>
  <c r="F66" i="14"/>
  <c r="G66" i="14" s="1"/>
  <c r="E66" i="14"/>
  <c r="D66" i="14"/>
  <c r="C66" i="14"/>
  <c r="B66" i="14"/>
  <c r="F65" i="14"/>
  <c r="G65" i="14" s="1"/>
  <c r="E65" i="14"/>
  <c r="D65" i="14"/>
  <c r="C65" i="14"/>
  <c r="H65" i="14" s="1"/>
  <c r="B65" i="14"/>
  <c r="F64" i="14"/>
  <c r="G64" i="14" s="1"/>
  <c r="N64" i="14" s="1"/>
  <c r="E64" i="14"/>
  <c r="D64" i="14"/>
  <c r="C64" i="14"/>
  <c r="I64" i="14" s="1"/>
  <c r="T64" i="14" s="1"/>
  <c r="U64" i="14" s="1"/>
  <c r="B64" i="14"/>
  <c r="F63" i="14"/>
  <c r="E63" i="14"/>
  <c r="D63" i="14"/>
  <c r="C63" i="14"/>
  <c r="H63" i="14" s="1"/>
  <c r="B63" i="14"/>
  <c r="F62" i="14"/>
  <c r="G62" i="14" s="1"/>
  <c r="E62" i="14"/>
  <c r="D62" i="14"/>
  <c r="C62" i="14"/>
  <c r="B62" i="14"/>
  <c r="F61" i="14"/>
  <c r="G61" i="14" s="1"/>
  <c r="E61" i="14"/>
  <c r="D61" i="14"/>
  <c r="C61" i="14"/>
  <c r="H61" i="14" s="1"/>
  <c r="B61" i="14"/>
  <c r="F60" i="14"/>
  <c r="G60" i="14" s="1"/>
  <c r="E60" i="14"/>
  <c r="D60" i="14"/>
  <c r="C60" i="14"/>
  <c r="B60" i="14"/>
  <c r="F59" i="14"/>
  <c r="E59" i="14"/>
  <c r="D59" i="14"/>
  <c r="C59" i="14"/>
  <c r="B59" i="14"/>
  <c r="F58" i="14"/>
  <c r="G58" i="14" s="1"/>
  <c r="E58" i="14"/>
  <c r="D58" i="14"/>
  <c r="C58" i="14"/>
  <c r="B58" i="14"/>
  <c r="F57" i="14"/>
  <c r="G57" i="14" s="1"/>
  <c r="E57" i="14"/>
  <c r="D57" i="14"/>
  <c r="C57" i="14"/>
  <c r="B57" i="14"/>
  <c r="F56" i="14"/>
  <c r="E56" i="14"/>
  <c r="D56" i="14"/>
  <c r="C56" i="14"/>
  <c r="B56" i="14"/>
  <c r="F55" i="14"/>
  <c r="G55" i="14" s="1"/>
  <c r="E55" i="14"/>
  <c r="D55" i="14"/>
  <c r="C55" i="14"/>
  <c r="H55" i="14" s="1"/>
  <c r="B55" i="14"/>
  <c r="F54" i="14"/>
  <c r="E54" i="14"/>
  <c r="D54" i="14"/>
  <c r="C54" i="14"/>
  <c r="H54" i="14" s="1"/>
  <c r="B54" i="14"/>
  <c r="F53" i="14"/>
  <c r="E53" i="14"/>
  <c r="D53" i="14"/>
  <c r="C53" i="14"/>
  <c r="B53" i="14"/>
  <c r="F52" i="14"/>
  <c r="G52" i="14" s="1"/>
  <c r="E52" i="14"/>
  <c r="D52" i="14"/>
  <c r="C52" i="14"/>
  <c r="B52" i="14"/>
  <c r="F51" i="14"/>
  <c r="E51" i="14"/>
  <c r="D51" i="14"/>
  <c r="C51" i="14"/>
  <c r="B51" i="14"/>
  <c r="F50" i="14"/>
  <c r="E50" i="14"/>
  <c r="D50" i="14"/>
  <c r="C50" i="14"/>
  <c r="H50" i="14" s="1"/>
  <c r="B50" i="14"/>
  <c r="F49" i="14"/>
  <c r="G49" i="14" s="1"/>
  <c r="E49" i="14"/>
  <c r="D49" i="14"/>
  <c r="C49" i="14"/>
  <c r="H49" i="14" s="1"/>
  <c r="B49" i="14"/>
  <c r="F48" i="14"/>
  <c r="E48" i="14"/>
  <c r="D48" i="14"/>
  <c r="C48" i="14"/>
  <c r="B48" i="14"/>
  <c r="F47" i="14"/>
  <c r="E47" i="14"/>
  <c r="D47" i="14"/>
  <c r="C47" i="14"/>
  <c r="I47" i="14" s="1"/>
  <c r="B47" i="14"/>
  <c r="F46" i="14"/>
  <c r="G46" i="14" s="1"/>
  <c r="J46" i="14" s="1"/>
  <c r="E46" i="14"/>
  <c r="D46" i="14"/>
  <c r="C46" i="14"/>
  <c r="H46" i="14" s="1"/>
  <c r="B46" i="14"/>
  <c r="F45" i="14"/>
  <c r="G45" i="14" s="1"/>
  <c r="E45" i="14"/>
  <c r="D45" i="14"/>
  <c r="C45" i="14"/>
  <c r="I45" i="14" s="1"/>
  <c r="B45" i="14"/>
  <c r="F44" i="14"/>
  <c r="G44" i="14" s="1"/>
  <c r="E44" i="14"/>
  <c r="D44" i="14"/>
  <c r="C44" i="14"/>
  <c r="H44" i="14" s="1"/>
  <c r="B44" i="14"/>
  <c r="F43" i="14"/>
  <c r="E43" i="14"/>
  <c r="D43" i="14"/>
  <c r="C43" i="14"/>
  <c r="B43" i="14"/>
  <c r="F42" i="14"/>
  <c r="G42" i="14" s="1"/>
  <c r="E42" i="14"/>
  <c r="D42" i="14"/>
  <c r="C42" i="14"/>
  <c r="B42" i="14"/>
  <c r="F41" i="14"/>
  <c r="G41" i="14" s="1"/>
  <c r="E41" i="14"/>
  <c r="D41" i="14"/>
  <c r="C41" i="14"/>
  <c r="H41" i="14" s="1"/>
  <c r="B41" i="14"/>
  <c r="F40" i="14"/>
  <c r="G40" i="14" s="1"/>
  <c r="E40" i="14"/>
  <c r="D40" i="14"/>
  <c r="C40" i="14"/>
  <c r="B40" i="14"/>
  <c r="F39" i="14"/>
  <c r="E39" i="14"/>
  <c r="D39" i="14"/>
  <c r="C39" i="14"/>
  <c r="I39" i="14" s="1"/>
  <c r="B39" i="14"/>
  <c r="F38" i="14"/>
  <c r="G38" i="14" s="1"/>
  <c r="E38" i="14"/>
  <c r="D38" i="14"/>
  <c r="C38" i="14"/>
  <c r="B38" i="14"/>
  <c r="F37" i="14"/>
  <c r="E37" i="14"/>
  <c r="D37" i="14"/>
  <c r="C37" i="14"/>
  <c r="B37" i="14"/>
  <c r="F36" i="14"/>
  <c r="E36" i="14"/>
  <c r="D36" i="14"/>
  <c r="C36" i="14"/>
  <c r="I36" i="14" s="1"/>
  <c r="B36" i="14"/>
  <c r="F35" i="14"/>
  <c r="G35" i="14" s="1"/>
  <c r="E35" i="14"/>
  <c r="D35" i="14"/>
  <c r="C35" i="14"/>
  <c r="I35" i="14" s="1"/>
  <c r="B35" i="14"/>
  <c r="F34" i="14"/>
  <c r="G34" i="14" s="1"/>
  <c r="E34" i="14"/>
  <c r="D34" i="14"/>
  <c r="C34" i="14"/>
  <c r="B34" i="14"/>
  <c r="F33" i="14"/>
  <c r="G33" i="14" s="1"/>
  <c r="E33" i="14"/>
  <c r="D33" i="14"/>
  <c r="C33" i="14"/>
  <c r="I33" i="14" s="1"/>
  <c r="B33" i="14"/>
  <c r="F32" i="14"/>
  <c r="G32" i="14" s="1"/>
  <c r="J32" i="14" s="1"/>
  <c r="E32" i="14"/>
  <c r="D32" i="14"/>
  <c r="C32" i="14"/>
  <c r="B32" i="14"/>
  <c r="F31" i="14"/>
  <c r="E31" i="14"/>
  <c r="D31" i="14"/>
  <c r="C31" i="14"/>
  <c r="B31" i="14"/>
  <c r="F30" i="14"/>
  <c r="G30" i="14" s="1"/>
  <c r="E30" i="14"/>
  <c r="D30" i="14"/>
  <c r="C30" i="14"/>
  <c r="B30" i="14"/>
  <c r="F29" i="14"/>
  <c r="G29" i="14" s="1"/>
  <c r="E29" i="14"/>
  <c r="D29" i="14"/>
  <c r="C29" i="14"/>
  <c r="B29" i="14"/>
  <c r="F28" i="14"/>
  <c r="G28" i="14" s="1"/>
  <c r="E28" i="14"/>
  <c r="D28" i="14"/>
  <c r="C28" i="14"/>
  <c r="B28" i="14"/>
  <c r="F27" i="14"/>
  <c r="G27" i="14" s="1"/>
  <c r="L27" i="14" s="1"/>
  <c r="E27" i="14"/>
  <c r="D27" i="14"/>
  <c r="C27" i="14"/>
  <c r="H27" i="14" s="1"/>
  <c r="J27" i="14" s="1"/>
  <c r="B27" i="14"/>
  <c r="F26" i="14"/>
  <c r="G26" i="14" s="1"/>
  <c r="E26" i="14"/>
  <c r="D26" i="14"/>
  <c r="C26" i="14"/>
  <c r="H26" i="14" s="1"/>
  <c r="B26" i="14"/>
  <c r="F25" i="14"/>
  <c r="E25" i="14"/>
  <c r="D25" i="14"/>
  <c r="C25" i="14"/>
  <c r="B25" i="14"/>
  <c r="F24" i="14"/>
  <c r="G24" i="14" s="1"/>
  <c r="E24" i="14"/>
  <c r="D24" i="14"/>
  <c r="C24" i="14"/>
  <c r="I24" i="14" s="1"/>
  <c r="B24" i="14"/>
  <c r="F23" i="14"/>
  <c r="G23" i="14" s="1"/>
  <c r="E23" i="14"/>
  <c r="D23" i="14"/>
  <c r="C23" i="14"/>
  <c r="B23" i="14"/>
  <c r="F22" i="14"/>
  <c r="G22" i="14" s="1"/>
  <c r="E22" i="14"/>
  <c r="D22" i="14"/>
  <c r="C22" i="14"/>
  <c r="H22" i="14" s="1"/>
  <c r="B22" i="14"/>
  <c r="F21" i="14"/>
  <c r="G21" i="14" s="1"/>
  <c r="J21" i="14" s="1"/>
  <c r="K21" i="14" s="1"/>
  <c r="E21" i="14"/>
  <c r="D21" i="14"/>
  <c r="C21" i="14"/>
  <c r="B21" i="14"/>
  <c r="F20" i="14"/>
  <c r="E20" i="14"/>
  <c r="D20" i="14"/>
  <c r="C20" i="14"/>
  <c r="B20" i="14"/>
  <c r="F19" i="14"/>
  <c r="E19" i="14"/>
  <c r="D19" i="14"/>
  <c r="C19" i="14"/>
  <c r="B19" i="14"/>
  <c r="F18" i="14"/>
  <c r="G18" i="14" s="1"/>
  <c r="E18" i="14"/>
  <c r="D18" i="14"/>
  <c r="C18" i="14"/>
  <c r="B18" i="14"/>
  <c r="F17" i="14"/>
  <c r="E17" i="14"/>
  <c r="D17" i="14"/>
  <c r="C17" i="14"/>
  <c r="B17" i="14"/>
  <c r="F16" i="14"/>
  <c r="G16" i="14" s="1"/>
  <c r="E16" i="14"/>
  <c r="D16" i="14"/>
  <c r="C16" i="14"/>
  <c r="H16" i="14" s="1"/>
  <c r="B16" i="14"/>
  <c r="F15" i="14"/>
  <c r="E15" i="14"/>
  <c r="D15" i="14"/>
  <c r="C15" i="14"/>
  <c r="B15" i="14"/>
  <c r="F14" i="14"/>
  <c r="G14" i="14" s="1"/>
  <c r="J14" i="14" s="1"/>
  <c r="O14" i="14" s="1"/>
  <c r="E14" i="14"/>
  <c r="D14" i="14"/>
  <c r="C14" i="14"/>
  <c r="I14" i="14" s="1"/>
  <c r="B14" i="14"/>
  <c r="F13" i="14"/>
  <c r="G13" i="14" s="1"/>
  <c r="E13" i="14"/>
  <c r="D13" i="14"/>
  <c r="C13" i="14"/>
  <c r="H13" i="14" s="1"/>
  <c r="B13" i="14"/>
  <c r="F12" i="14"/>
  <c r="G12" i="14" s="1"/>
  <c r="E12" i="14"/>
  <c r="D12" i="14"/>
  <c r="C12" i="14"/>
  <c r="B12" i="14"/>
  <c r="F11" i="14"/>
  <c r="E11" i="14"/>
  <c r="D11" i="14"/>
  <c r="C11" i="14"/>
  <c r="I11" i="14" s="1"/>
  <c r="B11" i="14"/>
  <c r="F10" i="14"/>
  <c r="G10" i="14" s="1"/>
  <c r="E10" i="14"/>
  <c r="D10" i="14"/>
  <c r="C10" i="14"/>
  <c r="B10" i="14"/>
  <c r="F434" i="13"/>
  <c r="G434" i="13" s="1"/>
  <c r="E434" i="13"/>
  <c r="D434" i="13"/>
  <c r="C434" i="13"/>
  <c r="B434" i="13"/>
  <c r="F433" i="13"/>
  <c r="E433" i="13"/>
  <c r="D433" i="13"/>
  <c r="C433" i="13"/>
  <c r="I433" i="13" s="1"/>
  <c r="B433" i="13"/>
  <c r="F432" i="13"/>
  <c r="E432" i="13"/>
  <c r="D432" i="13"/>
  <c r="C432" i="13"/>
  <c r="I432" i="13" s="1"/>
  <c r="B432" i="13"/>
  <c r="F431" i="13"/>
  <c r="G431" i="13" s="1"/>
  <c r="E431" i="13"/>
  <c r="D431" i="13"/>
  <c r="C431" i="13"/>
  <c r="I431" i="13" s="1"/>
  <c r="B431" i="13"/>
  <c r="F430" i="13"/>
  <c r="G430" i="13" s="1"/>
  <c r="O430" i="13" s="1"/>
  <c r="E430" i="13"/>
  <c r="D430" i="13"/>
  <c r="C430" i="13"/>
  <c r="I430" i="13" s="1"/>
  <c r="B430" i="13"/>
  <c r="F429" i="13"/>
  <c r="G429" i="13" s="1"/>
  <c r="E429" i="13"/>
  <c r="D429" i="13"/>
  <c r="C429" i="13"/>
  <c r="I429" i="13" s="1"/>
  <c r="B429" i="13"/>
  <c r="F428" i="13"/>
  <c r="E428" i="13"/>
  <c r="D428" i="13"/>
  <c r="C428" i="13"/>
  <c r="B428" i="13"/>
  <c r="F427" i="13"/>
  <c r="G427" i="13" s="1"/>
  <c r="O427" i="13" s="1"/>
  <c r="E427" i="13"/>
  <c r="D427" i="13"/>
  <c r="C427" i="13"/>
  <c r="B427" i="13"/>
  <c r="F426" i="13"/>
  <c r="G426" i="13" s="1"/>
  <c r="O426" i="13" s="1"/>
  <c r="P426" i="13" s="1"/>
  <c r="E426" i="13"/>
  <c r="D426" i="13"/>
  <c r="C426" i="13"/>
  <c r="I426" i="13" s="1"/>
  <c r="B426" i="13"/>
  <c r="F425" i="13"/>
  <c r="G425" i="13" s="1"/>
  <c r="E425" i="13"/>
  <c r="D425" i="13"/>
  <c r="C425" i="13"/>
  <c r="I425" i="13" s="1"/>
  <c r="B425" i="13"/>
  <c r="F424" i="13"/>
  <c r="G424" i="13" s="1"/>
  <c r="O424" i="13" s="1"/>
  <c r="E424" i="13"/>
  <c r="D424" i="13"/>
  <c r="C424" i="13"/>
  <c r="B424" i="13"/>
  <c r="F423" i="13"/>
  <c r="E423" i="13"/>
  <c r="D423" i="13"/>
  <c r="C423" i="13"/>
  <c r="B423" i="13"/>
  <c r="F422" i="13"/>
  <c r="E422" i="13"/>
  <c r="D422" i="13"/>
  <c r="C422" i="13"/>
  <c r="B422" i="13"/>
  <c r="F421" i="13"/>
  <c r="G421" i="13" s="1"/>
  <c r="O421" i="13" s="1"/>
  <c r="U421" i="13" s="1"/>
  <c r="E421" i="13"/>
  <c r="D421" i="13"/>
  <c r="C421" i="13"/>
  <c r="I421" i="13" s="1"/>
  <c r="J421" i="13" s="1"/>
  <c r="K421" i="13" s="1"/>
  <c r="M421" i="13" s="1"/>
  <c r="N421" i="13" s="1"/>
  <c r="B421" i="13"/>
  <c r="F420" i="13"/>
  <c r="G420" i="13" s="1"/>
  <c r="E420" i="13"/>
  <c r="D420" i="13"/>
  <c r="C420" i="13"/>
  <c r="I420" i="13" s="1"/>
  <c r="B420" i="13"/>
  <c r="F419" i="13"/>
  <c r="G419" i="13" s="1"/>
  <c r="O419" i="13" s="1"/>
  <c r="E419" i="13"/>
  <c r="D419" i="13"/>
  <c r="C419" i="13"/>
  <c r="I419" i="13" s="1"/>
  <c r="J419" i="13" s="1"/>
  <c r="K419" i="13" s="1"/>
  <c r="B419" i="13"/>
  <c r="F418" i="13"/>
  <c r="G418" i="13" s="1"/>
  <c r="O418" i="13" s="1"/>
  <c r="E418" i="13"/>
  <c r="D418" i="13"/>
  <c r="C418" i="13"/>
  <c r="B418" i="13"/>
  <c r="F417" i="13"/>
  <c r="G417" i="13" s="1"/>
  <c r="E417" i="13"/>
  <c r="D417" i="13"/>
  <c r="C417" i="13"/>
  <c r="I417" i="13" s="1"/>
  <c r="B417" i="13"/>
  <c r="F416" i="13"/>
  <c r="G416" i="13" s="1"/>
  <c r="E416" i="13"/>
  <c r="D416" i="13"/>
  <c r="C416" i="13"/>
  <c r="I416" i="13" s="1"/>
  <c r="B416" i="13"/>
  <c r="F415" i="13"/>
  <c r="G415" i="13" s="1"/>
  <c r="E415" i="13"/>
  <c r="D415" i="13"/>
  <c r="C415" i="13"/>
  <c r="I415" i="13" s="1"/>
  <c r="B415" i="13"/>
  <c r="F414" i="13"/>
  <c r="G414" i="13" s="1"/>
  <c r="O414" i="13" s="1"/>
  <c r="P414" i="13" s="1"/>
  <c r="E414" i="13"/>
  <c r="D414" i="13"/>
  <c r="C414" i="13"/>
  <c r="I414" i="13" s="1"/>
  <c r="B414" i="13"/>
  <c r="F413" i="13"/>
  <c r="G413" i="13" s="1"/>
  <c r="O413" i="13" s="1"/>
  <c r="P413" i="13" s="1"/>
  <c r="E413" i="13"/>
  <c r="D413" i="13"/>
  <c r="C413" i="13"/>
  <c r="I413" i="13" s="1"/>
  <c r="B413" i="13"/>
  <c r="F412" i="13"/>
  <c r="G412" i="13" s="1"/>
  <c r="O412" i="13" s="1"/>
  <c r="E412" i="13"/>
  <c r="D412" i="13"/>
  <c r="C412" i="13"/>
  <c r="I412" i="13" s="1"/>
  <c r="J412" i="13" s="1"/>
  <c r="K412" i="13" s="1"/>
  <c r="B412" i="13"/>
  <c r="F411" i="13"/>
  <c r="G411" i="13" s="1"/>
  <c r="O411" i="13" s="1"/>
  <c r="P411" i="13" s="1"/>
  <c r="E411" i="13"/>
  <c r="D411" i="13"/>
  <c r="C411" i="13"/>
  <c r="B411" i="13"/>
  <c r="F410" i="13"/>
  <c r="G410" i="13" s="1"/>
  <c r="E410" i="13"/>
  <c r="D410" i="13"/>
  <c r="C410" i="13"/>
  <c r="B410" i="13"/>
  <c r="F409" i="13"/>
  <c r="G409" i="13" s="1"/>
  <c r="O409" i="13" s="1"/>
  <c r="E409" i="13"/>
  <c r="D409" i="13"/>
  <c r="C409" i="13"/>
  <c r="B409" i="13"/>
  <c r="F408" i="13"/>
  <c r="G408" i="13" s="1"/>
  <c r="E408" i="13"/>
  <c r="D408" i="13"/>
  <c r="C408" i="13"/>
  <c r="I408" i="13" s="1"/>
  <c r="B408" i="13"/>
  <c r="F407" i="13"/>
  <c r="G407" i="13" s="1"/>
  <c r="O407" i="13" s="1"/>
  <c r="E407" i="13"/>
  <c r="D407" i="13"/>
  <c r="C407" i="13"/>
  <c r="B407" i="13"/>
  <c r="F406" i="13"/>
  <c r="E406" i="13"/>
  <c r="D406" i="13"/>
  <c r="C406" i="13"/>
  <c r="I406" i="13" s="1"/>
  <c r="B406" i="13"/>
  <c r="F405" i="13"/>
  <c r="G405" i="13" s="1"/>
  <c r="E405" i="13"/>
  <c r="D405" i="13"/>
  <c r="C405" i="13"/>
  <c r="I405" i="13" s="1"/>
  <c r="B405" i="13"/>
  <c r="F404" i="13"/>
  <c r="E404" i="13"/>
  <c r="D404" i="13"/>
  <c r="C404" i="13"/>
  <c r="B404" i="13"/>
  <c r="F403" i="13"/>
  <c r="G403" i="13" s="1"/>
  <c r="E403" i="13"/>
  <c r="D403" i="13"/>
  <c r="C403" i="13"/>
  <c r="I403" i="13" s="1"/>
  <c r="B403" i="13"/>
  <c r="F402" i="13"/>
  <c r="G402" i="13" s="1"/>
  <c r="E402" i="13"/>
  <c r="D402" i="13"/>
  <c r="C402" i="13"/>
  <c r="I402" i="13" s="1"/>
  <c r="B402" i="13"/>
  <c r="F401" i="13"/>
  <c r="G401" i="13" s="1"/>
  <c r="E401" i="13"/>
  <c r="D401" i="13"/>
  <c r="C401" i="13"/>
  <c r="B401" i="13"/>
  <c r="F400" i="13"/>
  <c r="E400" i="13"/>
  <c r="D400" i="13"/>
  <c r="C400" i="13"/>
  <c r="B400" i="13"/>
  <c r="F399" i="13"/>
  <c r="G399" i="13" s="1"/>
  <c r="E399" i="13"/>
  <c r="D399" i="13"/>
  <c r="C399" i="13"/>
  <c r="B399" i="13"/>
  <c r="F398" i="13"/>
  <c r="G398" i="13" s="1"/>
  <c r="O398" i="13" s="1"/>
  <c r="E398" i="13"/>
  <c r="D398" i="13"/>
  <c r="C398" i="13"/>
  <c r="I398" i="13" s="1"/>
  <c r="B398" i="13"/>
  <c r="F397" i="13"/>
  <c r="E397" i="13"/>
  <c r="D397" i="13"/>
  <c r="C397" i="13"/>
  <c r="I397" i="13" s="1"/>
  <c r="B397" i="13"/>
  <c r="F396" i="13"/>
  <c r="G396" i="13" s="1"/>
  <c r="O396" i="13" s="1"/>
  <c r="E396" i="13"/>
  <c r="D396" i="13"/>
  <c r="C396" i="13"/>
  <c r="B396" i="13"/>
  <c r="F395" i="13"/>
  <c r="G395" i="13" s="1"/>
  <c r="E395" i="13"/>
  <c r="D395" i="13"/>
  <c r="C395" i="13"/>
  <c r="I395" i="13" s="1"/>
  <c r="B395" i="13"/>
  <c r="F394" i="13"/>
  <c r="E394" i="13"/>
  <c r="D394" i="13"/>
  <c r="C394" i="13"/>
  <c r="I394" i="13" s="1"/>
  <c r="B394" i="13"/>
  <c r="F393" i="13"/>
  <c r="E393" i="13"/>
  <c r="D393" i="13"/>
  <c r="C393" i="13"/>
  <c r="I393" i="13" s="1"/>
  <c r="B393" i="13"/>
  <c r="F392" i="13"/>
  <c r="E392" i="13"/>
  <c r="D392" i="13"/>
  <c r="C392" i="13"/>
  <c r="I392" i="13" s="1"/>
  <c r="B392" i="13"/>
  <c r="F391" i="13"/>
  <c r="E391" i="13"/>
  <c r="D391" i="13"/>
  <c r="C391" i="13"/>
  <c r="I391" i="13" s="1"/>
  <c r="B391" i="13"/>
  <c r="F390" i="13"/>
  <c r="G390" i="13" s="1"/>
  <c r="O390" i="13" s="1"/>
  <c r="R390" i="13" s="1"/>
  <c r="E390" i="13"/>
  <c r="D390" i="13"/>
  <c r="C390" i="13"/>
  <c r="B390" i="13"/>
  <c r="F389" i="13"/>
  <c r="E389" i="13"/>
  <c r="D389" i="13"/>
  <c r="C389" i="13"/>
  <c r="B389" i="13"/>
  <c r="F388" i="13"/>
  <c r="G388" i="13" s="1"/>
  <c r="O388" i="13" s="1"/>
  <c r="E388" i="13"/>
  <c r="D388" i="13"/>
  <c r="C388" i="13"/>
  <c r="B388" i="13"/>
  <c r="F387" i="13"/>
  <c r="G387" i="13" s="1"/>
  <c r="O387" i="13" s="1"/>
  <c r="E387" i="13"/>
  <c r="D387" i="13"/>
  <c r="C387" i="13"/>
  <c r="I387" i="13" s="1"/>
  <c r="B387" i="13"/>
  <c r="F386" i="13"/>
  <c r="E386" i="13"/>
  <c r="D386" i="13"/>
  <c r="C386" i="13"/>
  <c r="I386" i="13" s="1"/>
  <c r="B386" i="13"/>
  <c r="F385" i="13"/>
  <c r="G385" i="13" s="1"/>
  <c r="O385" i="13" s="1"/>
  <c r="E385" i="13"/>
  <c r="D385" i="13"/>
  <c r="C385" i="13"/>
  <c r="I385" i="13" s="1"/>
  <c r="B385" i="13"/>
  <c r="F384" i="13"/>
  <c r="G384" i="13" s="1"/>
  <c r="E384" i="13"/>
  <c r="D384" i="13"/>
  <c r="C384" i="13"/>
  <c r="I384" i="13" s="1"/>
  <c r="B384" i="13"/>
  <c r="F383" i="13"/>
  <c r="G383" i="13" s="1"/>
  <c r="E383" i="13"/>
  <c r="D383" i="13"/>
  <c r="C383" i="13"/>
  <c r="I383" i="13" s="1"/>
  <c r="B383" i="13"/>
  <c r="F382" i="13"/>
  <c r="G382" i="13" s="1"/>
  <c r="E382" i="13"/>
  <c r="D382" i="13"/>
  <c r="C382" i="13"/>
  <c r="B382" i="13"/>
  <c r="F381" i="13"/>
  <c r="G381" i="13" s="1"/>
  <c r="E381" i="13"/>
  <c r="D381" i="13"/>
  <c r="C381" i="13"/>
  <c r="I381" i="13" s="1"/>
  <c r="B381" i="13"/>
  <c r="F380" i="13"/>
  <c r="E380" i="13"/>
  <c r="D380" i="13"/>
  <c r="C380" i="13"/>
  <c r="I380" i="13" s="1"/>
  <c r="B380" i="13"/>
  <c r="F379" i="13"/>
  <c r="G379" i="13" s="1"/>
  <c r="E379" i="13"/>
  <c r="D379" i="13"/>
  <c r="C379" i="13"/>
  <c r="B379" i="13"/>
  <c r="F378" i="13"/>
  <c r="G378" i="13" s="1"/>
  <c r="E378" i="13"/>
  <c r="D378" i="13"/>
  <c r="C378" i="13"/>
  <c r="B378" i="13"/>
  <c r="F377" i="13"/>
  <c r="E377" i="13"/>
  <c r="D377" i="13"/>
  <c r="C377" i="13"/>
  <c r="B377" i="13"/>
  <c r="F376" i="13"/>
  <c r="G376" i="13" s="1"/>
  <c r="E376" i="13"/>
  <c r="D376" i="13"/>
  <c r="C376" i="13"/>
  <c r="B376" i="13"/>
  <c r="F375" i="13"/>
  <c r="G375" i="13" s="1"/>
  <c r="E375" i="13"/>
  <c r="D375" i="13"/>
  <c r="C375" i="13"/>
  <c r="B375" i="13"/>
  <c r="F374" i="13"/>
  <c r="G374" i="13" s="1"/>
  <c r="O374" i="13" s="1"/>
  <c r="E374" i="13"/>
  <c r="D374" i="13"/>
  <c r="C374" i="13"/>
  <c r="I374" i="13" s="1"/>
  <c r="B374" i="13"/>
  <c r="F373" i="13"/>
  <c r="G373" i="13" s="1"/>
  <c r="E373" i="13"/>
  <c r="D373" i="13"/>
  <c r="C373" i="13"/>
  <c r="I373" i="13" s="1"/>
  <c r="B373" i="13"/>
  <c r="F372" i="13"/>
  <c r="E372" i="13"/>
  <c r="D372" i="13"/>
  <c r="C372" i="13"/>
  <c r="B372" i="13"/>
  <c r="F371" i="13"/>
  <c r="G371" i="13" s="1"/>
  <c r="E371" i="13"/>
  <c r="D371" i="13"/>
  <c r="C371" i="13"/>
  <c r="B371" i="13"/>
  <c r="F370" i="13"/>
  <c r="G370" i="13" s="1"/>
  <c r="O370" i="13" s="1"/>
  <c r="P370" i="13" s="1"/>
  <c r="E370" i="13"/>
  <c r="D370" i="13"/>
  <c r="C370" i="13"/>
  <c r="B370" i="13"/>
  <c r="F369" i="13"/>
  <c r="G369" i="13" s="1"/>
  <c r="O369" i="13" s="1"/>
  <c r="E369" i="13"/>
  <c r="D369" i="13"/>
  <c r="C369" i="13"/>
  <c r="I369" i="13" s="1"/>
  <c r="B369" i="13"/>
  <c r="F368" i="13"/>
  <c r="G368" i="13" s="1"/>
  <c r="J368" i="13" s="1"/>
  <c r="K368" i="13" s="1"/>
  <c r="E368" i="13"/>
  <c r="D368" i="13"/>
  <c r="C368" i="13"/>
  <c r="B368" i="13"/>
  <c r="F367" i="13"/>
  <c r="G367" i="13" s="1"/>
  <c r="E367" i="13"/>
  <c r="D367" i="13"/>
  <c r="C367" i="13"/>
  <c r="I367" i="13" s="1"/>
  <c r="J367" i="13" s="1"/>
  <c r="K367" i="13" s="1"/>
  <c r="B367" i="13"/>
  <c r="F366" i="13"/>
  <c r="G366" i="13" s="1"/>
  <c r="E366" i="13"/>
  <c r="D366" i="13"/>
  <c r="C366" i="13"/>
  <c r="I366" i="13" s="1"/>
  <c r="B366" i="13"/>
  <c r="F365" i="13"/>
  <c r="E365" i="13"/>
  <c r="D365" i="13"/>
  <c r="C365" i="13"/>
  <c r="I365" i="13" s="1"/>
  <c r="B365" i="13"/>
  <c r="F364" i="13"/>
  <c r="G364" i="13" s="1"/>
  <c r="E364" i="13"/>
  <c r="D364" i="13"/>
  <c r="C364" i="13"/>
  <c r="I364" i="13" s="1"/>
  <c r="B364" i="13"/>
  <c r="F363" i="13"/>
  <c r="G363" i="13" s="1"/>
  <c r="O363" i="13" s="1"/>
  <c r="E363" i="13"/>
  <c r="D363" i="13"/>
  <c r="C363" i="13"/>
  <c r="I363" i="13" s="1"/>
  <c r="B363" i="13"/>
  <c r="F362" i="13"/>
  <c r="G362" i="13" s="1"/>
  <c r="E362" i="13"/>
  <c r="D362" i="13"/>
  <c r="C362" i="13"/>
  <c r="B362" i="13"/>
  <c r="F361" i="13"/>
  <c r="G361" i="13" s="1"/>
  <c r="O361" i="13" s="1"/>
  <c r="E361" i="13"/>
  <c r="D361" i="13"/>
  <c r="C361" i="13"/>
  <c r="B361" i="13"/>
  <c r="F360" i="13"/>
  <c r="G360" i="13" s="1"/>
  <c r="E360" i="13"/>
  <c r="D360" i="13"/>
  <c r="C360" i="13"/>
  <c r="B360" i="13"/>
  <c r="F359" i="13"/>
  <c r="G359" i="13" s="1"/>
  <c r="O359" i="13" s="1"/>
  <c r="E359" i="13"/>
  <c r="D359" i="13"/>
  <c r="C359" i="13"/>
  <c r="I359" i="13" s="1"/>
  <c r="B359" i="13"/>
  <c r="F358" i="13"/>
  <c r="G358" i="13" s="1"/>
  <c r="E358" i="13"/>
  <c r="D358" i="13"/>
  <c r="C358" i="13"/>
  <c r="I358" i="13" s="1"/>
  <c r="B358" i="13"/>
  <c r="F357" i="13"/>
  <c r="G357" i="13" s="1"/>
  <c r="O357" i="13" s="1"/>
  <c r="P357" i="13" s="1"/>
  <c r="E357" i="13"/>
  <c r="D357" i="13"/>
  <c r="C357" i="13"/>
  <c r="B357" i="13"/>
  <c r="F356" i="13"/>
  <c r="G356" i="13" s="1"/>
  <c r="E356" i="13"/>
  <c r="D356" i="13"/>
  <c r="C356" i="13"/>
  <c r="B356" i="13"/>
  <c r="F355" i="13"/>
  <c r="G355" i="13" s="1"/>
  <c r="O355" i="13" s="1"/>
  <c r="P355" i="13" s="1"/>
  <c r="E355" i="13"/>
  <c r="D355" i="13"/>
  <c r="C355" i="13"/>
  <c r="I355" i="13" s="1"/>
  <c r="J355" i="13" s="1"/>
  <c r="K355" i="13" s="1"/>
  <c r="B355" i="13"/>
  <c r="F354" i="13"/>
  <c r="G354" i="13" s="1"/>
  <c r="O354" i="13" s="1"/>
  <c r="R354" i="13" s="1"/>
  <c r="E354" i="13"/>
  <c r="D354" i="13"/>
  <c r="C354" i="13"/>
  <c r="I354" i="13" s="1"/>
  <c r="B354" i="13"/>
  <c r="F353" i="13"/>
  <c r="G353" i="13" s="1"/>
  <c r="E353" i="13"/>
  <c r="D353" i="13"/>
  <c r="C353" i="13"/>
  <c r="I353" i="13" s="1"/>
  <c r="B353" i="13"/>
  <c r="F352" i="13"/>
  <c r="G352" i="13" s="1"/>
  <c r="E352" i="13"/>
  <c r="D352" i="13"/>
  <c r="C352" i="13"/>
  <c r="I352" i="13" s="1"/>
  <c r="B352" i="13"/>
  <c r="F351" i="13"/>
  <c r="G351" i="13" s="1"/>
  <c r="J351" i="13" s="1"/>
  <c r="E351" i="13"/>
  <c r="D351" i="13"/>
  <c r="C351" i="13"/>
  <c r="B351" i="13"/>
  <c r="F350" i="13"/>
  <c r="E350" i="13"/>
  <c r="D350" i="13"/>
  <c r="C350" i="13"/>
  <c r="B350" i="13"/>
  <c r="F349" i="13"/>
  <c r="G349" i="13" s="1"/>
  <c r="O349" i="13" s="1"/>
  <c r="E349" i="13"/>
  <c r="D349" i="13"/>
  <c r="C349" i="13"/>
  <c r="I349" i="13" s="1"/>
  <c r="J349" i="13" s="1"/>
  <c r="B349" i="13"/>
  <c r="F348" i="13"/>
  <c r="E348" i="13"/>
  <c r="D348" i="13"/>
  <c r="C348" i="13"/>
  <c r="I348" i="13" s="1"/>
  <c r="B348" i="13"/>
  <c r="F347" i="13"/>
  <c r="G347" i="13" s="1"/>
  <c r="E347" i="13"/>
  <c r="D347" i="13"/>
  <c r="C347" i="13"/>
  <c r="I347" i="13" s="1"/>
  <c r="B347" i="13"/>
  <c r="F346" i="13"/>
  <c r="G346" i="13" s="1"/>
  <c r="O346" i="13" s="1"/>
  <c r="Q346" i="13" s="1"/>
  <c r="E346" i="13"/>
  <c r="D346" i="13"/>
  <c r="C346" i="13"/>
  <c r="I346" i="13" s="1"/>
  <c r="B346" i="13"/>
  <c r="F345" i="13"/>
  <c r="G345" i="13" s="1"/>
  <c r="E345" i="13"/>
  <c r="D345" i="13"/>
  <c r="C345" i="13"/>
  <c r="I345" i="13" s="1"/>
  <c r="J345" i="13" s="1"/>
  <c r="B345" i="13"/>
  <c r="F344" i="13"/>
  <c r="E344" i="13"/>
  <c r="D344" i="13"/>
  <c r="C344" i="13"/>
  <c r="I344" i="13" s="1"/>
  <c r="B344" i="13"/>
  <c r="F343" i="13"/>
  <c r="G343" i="13" s="1"/>
  <c r="O343" i="13" s="1"/>
  <c r="E343" i="13"/>
  <c r="D343" i="13"/>
  <c r="C343" i="13"/>
  <c r="I343" i="13" s="1"/>
  <c r="B343" i="13"/>
  <c r="F342" i="13"/>
  <c r="G342" i="13" s="1"/>
  <c r="E342" i="13"/>
  <c r="D342" i="13"/>
  <c r="C342" i="13"/>
  <c r="I342" i="13" s="1"/>
  <c r="B342" i="13"/>
  <c r="F341" i="13"/>
  <c r="G341" i="13" s="1"/>
  <c r="O341" i="13" s="1"/>
  <c r="E341" i="13"/>
  <c r="D341" i="13"/>
  <c r="C341" i="13"/>
  <c r="I341" i="13" s="1"/>
  <c r="B341" i="13"/>
  <c r="F340" i="13"/>
  <c r="G340" i="13" s="1"/>
  <c r="O340" i="13" s="1"/>
  <c r="E340" i="13"/>
  <c r="D340" i="13"/>
  <c r="C340" i="13"/>
  <c r="B340" i="13"/>
  <c r="F339" i="13"/>
  <c r="G339" i="13" s="1"/>
  <c r="O339" i="13" s="1"/>
  <c r="E339" i="13"/>
  <c r="D339" i="13"/>
  <c r="C339" i="13"/>
  <c r="B339" i="13"/>
  <c r="F338" i="13"/>
  <c r="G338" i="13" s="1"/>
  <c r="O338" i="13" s="1"/>
  <c r="P338" i="13" s="1"/>
  <c r="E338" i="13"/>
  <c r="D338" i="13"/>
  <c r="C338" i="13"/>
  <c r="I338" i="13" s="1"/>
  <c r="B338" i="13"/>
  <c r="F337" i="13"/>
  <c r="G337" i="13" s="1"/>
  <c r="O337" i="13" s="1"/>
  <c r="E337" i="13"/>
  <c r="D337" i="13"/>
  <c r="C337" i="13"/>
  <c r="I337" i="13" s="1"/>
  <c r="B337" i="13"/>
  <c r="F336" i="13"/>
  <c r="G336" i="13" s="1"/>
  <c r="E336" i="13"/>
  <c r="D336" i="13"/>
  <c r="C336" i="13"/>
  <c r="I336" i="13" s="1"/>
  <c r="B336" i="13"/>
  <c r="F335" i="13"/>
  <c r="G335" i="13" s="1"/>
  <c r="E335" i="13"/>
  <c r="D335" i="13"/>
  <c r="C335" i="13"/>
  <c r="I335" i="13" s="1"/>
  <c r="B335" i="13"/>
  <c r="F334" i="13"/>
  <c r="G334" i="13" s="1"/>
  <c r="E334" i="13"/>
  <c r="D334" i="13"/>
  <c r="C334" i="13"/>
  <c r="B334" i="13"/>
  <c r="F333" i="13"/>
  <c r="E333" i="13"/>
  <c r="D333" i="13"/>
  <c r="C333" i="13"/>
  <c r="I333" i="13" s="1"/>
  <c r="B333" i="13"/>
  <c r="F332" i="13"/>
  <c r="G332" i="13" s="1"/>
  <c r="O332" i="13" s="1"/>
  <c r="Q332" i="13" s="1"/>
  <c r="E332" i="13"/>
  <c r="D332" i="13"/>
  <c r="C332" i="13"/>
  <c r="I332" i="13" s="1"/>
  <c r="B332" i="13"/>
  <c r="F331" i="13"/>
  <c r="E331" i="13"/>
  <c r="D331" i="13"/>
  <c r="C331" i="13"/>
  <c r="B331" i="13"/>
  <c r="F330" i="13"/>
  <c r="G330" i="13" s="1"/>
  <c r="O330" i="13" s="1"/>
  <c r="E330" i="13"/>
  <c r="D330" i="13"/>
  <c r="C330" i="13"/>
  <c r="B330" i="13"/>
  <c r="F329" i="13"/>
  <c r="G329" i="13" s="1"/>
  <c r="E329" i="13"/>
  <c r="D329" i="13"/>
  <c r="C329" i="13"/>
  <c r="B329" i="13"/>
  <c r="F328" i="13"/>
  <c r="E328" i="13"/>
  <c r="D328" i="13"/>
  <c r="C328" i="13"/>
  <c r="B328" i="13"/>
  <c r="F327" i="13"/>
  <c r="G327" i="13" s="1"/>
  <c r="E327" i="13"/>
  <c r="D327" i="13"/>
  <c r="C327" i="13"/>
  <c r="B327" i="13"/>
  <c r="F326" i="13"/>
  <c r="G326" i="13" s="1"/>
  <c r="E326" i="13"/>
  <c r="D326" i="13"/>
  <c r="C326" i="13"/>
  <c r="B326" i="13"/>
  <c r="F325" i="13"/>
  <c r="G325" i="13" s="1"/>
  <c r="E325" i="13"/>
  <c r="D325" i="13"/>
  <c r="C325" i="13"/>
  <c r="B325" i="13"/>
  <c r="F324" i="13"/>
  <c r="E324" i="13"/>
  <c r="D324" i="13"/>
  <c r="C324" i="13"/>
  <c r="I324" i="13" s="1"/>
  <c r="B324" i="13"/>
  <c r="F323" i="13"/>
  <c r="G323" i="13" s="1"/>
  <c r="E323" i="13"/>
  <c r="D323" i="13"/>
  <c r="C323" i="13"/>
  <c r="B323" i="13"/>
  <c r="F322" i="13"/>
  <c r="E322" i="13"/>
  <c r="D322" i="13"/>
  <c r="C322" i="13"/>
  <c r="I322" i="13" s="1"/>
  <c r="B322" i="13"/>
  <c r="F321" i="13"/>
  <c r="G321" i="13" s="1"/>
  <c r="O321" i="13" s="1"/>
  <c r="E321" i="13"/>
  <c r="D321" i="13"/>
  <c r="C321" i="13"/>
  <c r="I321" i="13" s="1"/>
  <c r="B321" i="13"/>
  <c r="F320" i="13"/>
  <c r="G320" i="13" s="1"/>
  <c r="E320" i="13"/>
  <c r="D320" i="13"/>
  <c r="C320" i="13"/>
  <c r="I320" i="13" s="1"/>
  <c r="B320" i="13"/>
  <c r="F319" i="13"/>
  <c r="G319" i="13" s="1"/>
  <c r="E319" i="13"/>
  <c r="D319" i="13"/>
  <c r="C319" i="13"/>
  <c r="I319" i="13" s="1"/>
  <c r="B319" i="13"/>
  <c r="F318" i="13"/>
  <c r="G318" i="13" s="1"/>
  <c r="E318" i="13"/>
  <c r="D318" i="13"/>
  <c r="C318" i="13"/>
  <c r="I318" i="13" s="1"/>
  <c r="B318" i="13"/>
  <c r="F317" i="13"/>
  <c r="G317" i="13" s="1"/>
  <c r="E317" i="13"/>
  <c r="D317" i="13"/>
  <c r="C317" i="13"/>
  <c r="B317" i="13"/>
  <c r="F316" i="13"/>
  <c r="G316" i="13" s="1"/>
  <c r="O316" i="13" s="1"/>
  <c r="E316" i="13"/>
  <c r="D316" i="13"/>
  <c r="C316" i="13"/>
  <c r="I316" i="13" s="1"/>
  <c r="J316" i="13" s="1"/>
  <c r="K316" i="13" s="1"/>
  <c r="B316" i="13"/>
  <c r="F315" i="13"/>
  <c r="G315" i="13" s="1"/>
  <c r="O315" i="13" s="1"/>
  <c r="Q315" i="13" s="1"/>
  <c r="E315" i="13"/>
  <c r="D315" i="13"/>
  <c r="C315" i="13"/>
  <c r="B315" i="13"/>
  <c r="F314" i="13"/>
  <c r="G314" i="13" s="1"/>
  <c r="E314" i="13"/>
  <c r="D314" i="13"/>
  <c r="C314" i="13"/>
  <c r="I314" i="13" s="1"/>
  <c r="B314" i="13"/>
  <c r="F313" i="13"/>
  <c r="G313" i="13" s="1"/>
  <c r="E313" i="13"/>
  <c r="D313" i="13"/>
  <c r="C313" i="13"/>
  <c r="I313" i="13" s="1"/>
  <c r="B313" i="13"/>
  <c r="F312" i="13"/>
  <c r="G312" i="13" s="1"/>
  <c r="O312" i="13" s="1"/>
  <c r="E312" i="13"/>
  <c r="D312" i="13"/>
  <c r="C312" i="13"/>
  <c r="B312" i="13"/>
  <c r="F311" i="13"/>
  <c r="E311" i="13"/>
  <c r="D311" i="13"/>
  <c r="C311" i="13"/>
  <c r="B311" i="13"/>
  <c r="F310" i="13"/>
  <c r="E310" i="13"/>
  <c r="D310" i="13"/>
  <c r="C310" i="13"/>
  <c r="I310" i="13" s="1"/>
  <c r="B310" i="13"/>
  <c r="F309" i="13"/>
  <c r="G309" i="13" s="1"/>
  <c r="E309" i="13"/>
  <c r="D309" i="13"/>
  <c r="C309" i="13"/>
  <c r="I309" i="13" s="1"/>
  <c r="J309" i="13" s="1"/>
  <c r="K309" i="13" s="1"/>
  <c r="B309" i="13"/>
  <c r="F308" i="13"/>
  <c r="G308" i="13" s="1"/>
  <c r="E308" i="13"/>
  <c r="D308" i="13"/>
  <c r="C308" i="13"/>
  <c r="I308" i="13" s="1"/>
  <c r="B308" i="13"/>
  <c r="F307" i="13"/>
  <c r="G307" i="13" s="1"/>
  <c r="O307" i="13" s="1"/>
  <c r="P307" i="13" s="1"/>
  <c r="E307" i="13"/>
  <c r="D307" i="13"/>
  <c r="C307" i="13"/>
  <c r="I307" i="13" s="1"/>
  <c r="B307" i="13"/>
  <c r="F306" i="13"/>
  <c r="G306" i="13" s="1"/>
  <c r="O306" i="13" s="1"/>
  <c r="E306" i="13"/>
  <c r="D306" i="13"/>
  <c r="C306" i="13"/>
  <c r="B306" i="13"/>
  <c r="F305" i="13"/>
  <c r="E305" i="13"/>
  <c r="D305" i="13"/>
  <c r="C305" i="13"/>
  <c r="B305" i="13"/>
  <c r="F304" i="13"/>
  <c r="G304" i="13" s="1"/>
  <c r="J304" i="13" s="1"/>
  <c r="K304" i="13" s="1"/>
  <c r="L304" i="13" s="1"/>
  <c r="E304" i="13"/>
  <c r="D304" i="13"/>
  <c r="C304" i="13"/>
  <c r="I304" i="13" s="1"/>
  <c r="B304" i="13"/>
  <c r="F303" i="13"/>
  <c r="G303" i="13" s="1"/>
  <c r="E303" i="13"/>
  <c r="D303" i="13"/>
  <c r="C303" i="13"/>
  <c r="I303" i="13" s="1"/>
  <c r="B303" i="13"/>
  <c r="F302" i="13"/>
  <c r="G302" i="13" s="1"/>
  <c r="E302" i="13"/>
  <c r="D302" i="13"/>
  <c r="C302" i="13"/>
  <c r="I302" i="13" s="1"/>
  <c r="B302" i="13"/>
  <c r="F301" i="13"/>
  <c r="G301" i="13" s="1"/>
  <c r="O301" i="13" s="1"/>
  <c r="S301" i="13" s="1"/>
  <c r="E301" i="13"/>
  <c r="D301" i="13"/>
  <c r="C301" i="13"/>
  <c r="B301" i="13"/>
  <c r="F300" i="13"/>
  <c r="E300" i="13"/>
  <c r="D300" i="13"/>
  <c r="C300" i="13"/>
  <c r="B300" i="13"/>
  <c r="F299" i="13"/>
  <c r="E299" i="13"/>
  <c r="D299" i="13"/>
  <c r="C299" i="13"/>
  <c r="I299" i="13" s="1"/>
  <c r="B299" i="13"/>
  <c r="F298" i="13"/>
  <c r="E298" i="13"/>
  <c r="D298" i="13"/>
  <c r="C298" i="13"/>
  <c r="B298" i="13"/>
  <c r="F297" i="13"/>
  <c r="E297" i="13"/>
  <c r="D297" i="13"/>
  <c r="C297" i="13"/>
  <c r="B297" i="13"/>
  <c r="F296" i="13"/>
  <c r="E296" i="13"/>
  <c r="D296" i="13"/>
  <c r="C296" i="13"/>
  <c r="B296" i="13"/>
  <c r="F295" i="13"/>
  <c r="G295" i="13" s="1"/>
  <c r="O295" i="13" s="1"/>
  <c r="Q295" i="13" s="1"/>
  <c r="E295" i="13"/>
  <c r="D295" i="13"/>
  <c r="C295" i="13"/>
  <c r="B295" i="13"/>
  <c r="F294" i="13"/>
  <c r="G294" i="13" s="1"/>
  <c r="E294" i="13"/>
  <c r="D294" i="13"/>
  <c r="C294" i="13"/>
  <c r="B294" i="13"/>
  <c r="F293" i="13"/>
  <c r="G293" i="13" s="1"/>
  <c r="E293" i="13"/>
  <c r="D293" i="13"/>
  <c r="C293" i="13"/>
  <c r="I293" i="13" s="1"/>
  <c r="B293" i="13"/>
  <c r="F292" i="13"/>
  <c r="G292" i="13" s="1"/>
  <c r="E292" i="13"/>
  <c r="D292" i="13"/>
  <c r="C292" i="13"/>
  <c r="I292" i="13" s="1"/>
  <c r="J292" i="13" s="1"/>
  <c r="B292" i="13"/>
  <c r="F291" i="13"/>
  <c r="G291" i="13" s="1"/>
  <c r="E291" i="13"/>
  <c r="D291" i="13"/>
  <c r="C291" i="13"/>
  <c r="I291" i="13" s="1"/>
  <c r="B291" i="13"/>
  <c r="F290" i="13"/>
  <c r="G290" i="13" s="1"/>
  <c r="J290" i="13" s="1"/>
  <c r="K290" i="13" s="1"/>
  <c r="E290" i="13"/>
  <c r="D290" i="13"/>
  <c r="C290" i="13"/>
  <c r="I290" i="13" s="1"/>
  <c r="B290" i="13"/>
  <c r="F289" i="13"/>
  <c r="G289" i="13" s="1"/>
  <c r="E289" i="13"/>
  <c r="D289" i="13"/>
  <c r="C289" i="13"/>
  <c r="B289" i="13"/>
  <c r="F288" i="13"/>
  <c r="G288" i="13" s="1"/>
  <c r="O288" i="13" s="1"/>
  <c r="E288" i="13"/>
  <c r="D288" i="13"/>
  <c r="C288" i="13"/>
  <c r="I288" i="13" s="1"/>
  <c r="B288" i="13"/>
  <c r="F287" i="13"/>
  <c r="G287" i="13" s="1"/>
  <c r="O287" i="13" s="1"/>
  <c r="E287" i="13"/>
  <c r="D287" i="13"/>
  <c r="C287" i="13"/>
  <c r="B287" i="13"/>
  <c r="F286" i="13"/>
  <c r="G286" i="13" s="1"/>
  <c r="E286" i="13"/>
  <c r="D286" i="13"/>
  <c r="C286" i="13"/>
  <c r="I286" i="13" s="1"/>
  <c r="B286" i="13"/>
  <c r="F285" i="13"/>
  <c r="E285" i="13"/>
  <c r="D285" i="13"/>
  <c r="C285" i="13"/>
  <c r="I285" i="13" s="1"/>
  <c r="B285" i="13"/>
  <c r="F284" i="13"/>
  <c r="G284" i="13" s="1"/>
  <c r="O284" i="13" s="1"/>
  <c r="E284" i="13"/>
  <c r="D284" i="13"/>
  <c r="C284" i="13"/>
  <c r="B284" i="13"/>
  <c r="F283" i="13"/>
  <c r="G283" i="13" s="1"/>
  <c r="E283" i="13"/>
  <c r="D283" i="13"/>
  <c r="C283" i="13"/>
  <c r="I283" i="13" s="1"/>
  <c r="B283" i="13"/>
  <c r="F282" i="13"/>
  <c r="G282" i="13" s="1"/>
  <c r="E282" i="13"/>
  <c r="D282" i="13"/>
  <c r="C282" i="13"/>
  <c r="I282" i="13" s="1"/>
  <c r="B282" i="13"/>
  <c r="F281" i="13"/>
  <c r="G281" i="13" s="1"/>
  <c r="E281" i="13"/>
  <c r="D281" i="13"/>
  <c r="C281" i="13"/>
  <c r="I281" i="13" s="1"/>
  <c r="J281" i="13" s="1"/>
  <c r="K281" i="13" s="1"/>
  <c r="L281" i="13" s="1"/>
  <c r="B281" i="13"/>
  <c r="F280" i="13"/>
  <c r="E280" i="13"/>
  <c r="D280" i="13"/>
  <c r="C280" i="13"/>
  <c r="I280" i="13" s="1"/>
  <c r="B280" i="13"/>
  <c r="F279" i="13"/>
  <c r="G279" i="13" s="1"/>
  <c r="E279" i="13"/>
  <c r="D279" i="13"/>
  <c r="C279" i="13"/>
  <c r="I279" i="13" s="1"/>
  <c r="B279" i="13"/>
  <c r="F278" i="13"/>
  <c r="G278" i="13" s="1"/>
  <c r="E278" i="13"/>
  <c r="D278" i="13"/>
  <c r="C278" i="13"/>
  <c r="B278" i="13"/>
  <c r="F277" i="13"/>
  <c r="G277" i="13" s="1"/>
  <c r="E277" i="13"/>
  <c r="D277" i="13"/>
  <c r="C277" i="13"/>
  <c r="B277" i="13"/>
  <c r="F276" i="13"/>
  <c r="E276" i="13"/>
  <c r="D276" i="13"/>
  <c r="C276" i="13"/>
  <c r="B276" i="13"/>
  <c r="F275" i="13"/>
  <c r="E275" i="13"/>
  <c r="D275" i="13"/>
  <c r="C275" i="13"/>
  <c r="B275" i="13"/>
  <c r="F274" i="13"/>
  <c r="G274" i="13" s="1"/>
  <c r="O274" i="13" s="1"/>
  <c r="U274" i="13" s="1"/>
  <c r="E274" i="13"/>
  <c r="D274" i="13"/>
  <c r="C274" i="13"/>
  <c r="I274" i="13" s="1"/>
  <c r="B274" i="13"/>
  <c r="F273" i="13"/>
  <c r="G273" i="13" s="1"/>
  <c r="E273" i="13"/>
  <c r="D273" i="13"/>
  <c r="C273" i="13"/>
  <c r="B273" i="13"/>
  <c r="F272" i="13"/>
  <c r="E272" i="13"/>
  <c r="D272" i="13"/>
  <c r="C272" i="13"/>
  <c r="I272" i="13" s="1"/>
  <c r="B272" i="13"/>
  <c r="F271" i="13"/>
  <c r="G271" i="13" s="1"/>
  <c r="E271" i="13"/>
  <c r="D271" i="13"/>
  <c r="C271" i="13"/>
  <c r="I271" i="13" s="1"/>
  <c r="B271" i="13"/>
  <c r="F270" i="13"/>
  <c r="G270" i="13" s="1"/>
  <c r="O270" i="13" s="1"/>
  <c r="E270" i="13"/>
  <c r="D270" i="13"/>
  <c r="C270" i="13"/>
  <c r="I270" i="13" s="1"/>
  <c r="B270" i="13"/>
  <c r="F269" i="13"/>
  <c r="G269" i="13" s="1"/>
  <c r="E269" i="13"/>
  <c r="D269" i="13"/>
  <c r="C269" i="13"/>
  <c r="B269" i="13"/>
  <c r="F268" i="13"/>
  <c r="G268" i="13" s="1"/>
  <c r="E268" i="13"/>
  <c r="D268" i="13"/>
  <c r="C268" i="13"/>
  <c r="I268" i="13" s="1"/>
  <c r="B268" i="13"/>
  <c r="F267" i="13"/>
  <c r="G267" i="13" s="1"/>
  <c r="J267" i="13" s="1"/>
  <c r="K267" i="13" s="1"/>
  <c r="L267" i="13" s="1"/>
  <c r="E267" i="13"/>
  <c r="D267" i="13"/>
  <c r="C267" i="13"/>
  <c r="B267" i="13"/>
  <c r="F266" i="13"/>
  <c r="E266" i="13"/>
  <c r="D266" i="13"/>
  <c r="C266" i="13"/>
  <c r="B266" i="13"/>
  <c r="F265" i="13"/>
  <c r="E265" i="13"/>
  <c r="D265" i="13"/>
  <c r="C265" i="13"/>
  <c r="I265" i="13" s="1"/>
  <c r="B265" i="13"/>
  <c r="F264" i="13"/>
  <c r="E264" i="13"/>
  <c r="D264" i="13"/>
  <c r="C264" i="13"/>
  <c r="I264" i="13" s="1"/>
  <c r="B264" i="13"/>
  <c r="F263" i="13"/>
  <c r="G263" i="13" s="1"/>
  <c r="E263" i="13"/>
  <c r="D263" i="13"/>
  <c r="C263" i="13"/>
  <c r="I263" i="13" s="1"/>
  <c r="B263" i="13"/>
  <c r="F262" i="13"/>
  <c r="G262" i="13" s="1"/>
  <c r="E262" i="13"/>
  <c r="D262" i="13"/>
  <c r="C262" i="13"/>
  <c r="I262" i="13" s="1"/>
  <c r="B262" i="13"/>
  <c r="F261" i="13"/>
  <c r="G261" i="13" s="1"/>
  <c r="E261" i="13"/>
  <c r="D261" i="13"/>
  <c r="C261" i="13"/>
  <c r="B261" i="13"/>
  <c r="F260" i="13"/>
  <c r="G260" i="13" s="1"/>
  <c r="E260" i="13"/>
  <c r="D260" i="13"/>
  <c r="C260" i="13"/>
  <c r="I260" i="13" s="1"/>
  <c r="B260" i="13"/>
  <c r="F259" i="13"/>
  <c r="G259" i="13" s="1"/>
  <c r="E259" i="13"/>
  <c r="D259" i="13"/>
  <c r="C259" i="13"/>
  <c r="B259" i="13"/>
  <c r="F258" i="13"/>
  <c r="G258" i="13" s="1"/>
  <c r="J258" i="13" s="1"/>
  <c r="E258" i="13"/>
  <c r="D258" i="13"/>
  <c r="C258" i="13"/>
  <c r="I258" i="13" s="1"/>
  <c r="B258" i="13"/>
  <c r="F257" i="13"/>
  <c r="G257" i="13" s="1"/>
  <c r="E257" i="13"/>
  <c r="D257" i="13"/>
  <c r="C257" i="13"/>
  <c r="I257" i="13" s="1"/>
  <c r="B257" i="13"/>
  <c r="F256" i="13"/>
  <c r="G256" i="13" s="1"/>
  <c r="E256" i="13"/>
  <c r="D256" i="13"/>
  <c r="C256" i="13"/>
  <c r="B256" i="13"/>
  <c r="F255" i="13"/>
  <c r="G255" i="13" s="1"/>
  <c r="O255" i="13" s="1"/>
  <c r="E255" i="13"/>
  <c r="D255" i="13"/>
  <c r="C255" i="13"/>
  <c r="I255" i="13" s="1"/>
  <c r="B255" i="13"/>
  <c r="F254" i="13"/>
  <c r="G254" i="13" s="1"/>
  <c r="O254" i="13" s="1"/>
  <c r="E254" i="13"/>
  <c r="D254" i="13"/>
  <c r="C254" i="13"/>
  <c r="I254" i="13" s="1"/>
  <c r="B254" i="13"/>
  <c r="F253" i="13"/>
  <c r="G253" i="13" s="1"/>
  <c r="O253" i="13" s="1"/>
  <c r="E253" i="13"/>
  <c r="D253" i="13"/>
  <c r="C253" i="13"/>
  <c r="I253" i="13" s="1"/>
  <c r="B253" i="13"/>
  <c r="F252" i="13"/>
  <c r="G252" i="13" s="1"/>
  <c r="E252" i="13"/>
  <c r="D252" i="13"/>
  <c r="C252" i="13"/>
  <c r="I252" i="13" s="1"/>
  <c r="B252" i="13"/>
  <c r="F251" i="13"/>
  <c r="G251" i="13" s="1"/>
  <c r="E251" i="13"/>
  <c r="D251" i="13"/>
  <c r="C251" i="13"/>
  <c r="I251" i="13" s="1"/>
  <c r="B251" i="13"/>
  <c r="F250" i="13"/>
  <c r="G250" i="13" s="1"/>
  <c r="E250" i="13"/>
  <c r="D250" i="13"/>
  <c r="C250" i="13"/>
  <c r="B250" i="13"/>
  <c r="F249" i="13"/>
  <c r="G249" i="13" s="1"/>
  <c r="O249" i="13" s="1"/>
  <c r="Q249" i="13" s="1"/>
  <c r="E249" i="13"/>
  <c r="D249" i="13"/>
  <c r="C249" i="13"/>
  <c r="I249" i="13" s="1"/>
  <c r="B249" i="13"/>
  <c r="F248" i="13"/>
  <c r="G248" i="13" s="1"/>
  <c r="E248" i="13"/>
  <c r="D248" i="13"/>
  <c r="C248" i="13"/>
  <c r="B248" i="13"/>
  <c r="F247" i="13"/>
  <c r="E247" i="13"/>
  <c r="D247" i="13"/>
  <c r="C247" i="13"/>
  <c r="B247" i="13"/>
  <c r="F246" i="13"/>
  <c r="E246" i="13"/>
  <c r="D246" i="13"/>
  <c r="C246" i="13"/>
  <c r="B246" i="13"/>
  <c r="F245" i="13"/>
  <c r="G245" i="13" s="1"/>
  <c r="O245" i="13" s="1"/>
  <c r="U245" i="13" s="1"/>
  <c r="E245" i="13"/>
  <c r="D245" i="13"/>
  <c r="C245" i="13"/>
  <c r="B245" i="13"/>
  <c r="F244" i="13"/>
  <c r="G244" i="13" s="1"/>
  <c r="O244" i="13" s="1"/>
  <c r="E244" i="13"/>
  <c r="D244" i="13"/>
  <c r="C244" i="13"/>
  <c r="B244" i="13"/>
  <c r="F243" i="13"/>
  <c r="G243" i="13" s="1"/>
  <c r="E243" i="13"/>
  <c r="D243" i="13"/>
  <c r="C243" i="13"/>
  <c r="I243" i="13" s="1"/>
  <c r="B243" i="13"/>
  <c r="F242" i="13"/>
  <c r="G242" i="13" s="1"/>
  <c r="E242" i="13"/>
  <c r="D242" i="13"/>
  <c r="C242" i="13"/>
  <c r="B242" i="13"/>
  <c r="F241" i="13"/>
  <c r="G241" i="13" s="1"/>
  <c r="E241" i="13"/>
  <c r="D241" i="13"/>
  <c r="C241" i="13"/>
  <c r="I241" i="13" s="1"/>
  <c r="B241" i="13"/>
  <c r="F240" i="13"/>
  <c r="G240" i="13" s="1"/>
  <c r="E240" i="13"/>
  <c r="D240" i="13"/>
  <c r="C240" i="13"/>
  <c r="I240" i="13" s="1"/>
  <c r="B240" i="13"/>
  <c r="F239" i="13"/>
  <c r="G239" i="13" s="1"/>
  <c r="E239" i="13"/>
  <c r="D239" i="13"/>
  <c r="C239" i="13"/>
  <c r="I239" i="13" s="1"/>
  <c r="B239" i="13"/>
  <c r="F238" i="13"/>
  <c r="E238" i="13"/>
  <c r="D238" i="13"/>
  <c r="C238" i="13"/>
  <c r="I238" i="13" s="1"/>
  <c r="B238" i="13"/>
  <c r="F237" i="13"/>
  <c r="E237" i="13"/>
  <c r="D237" i="13"/>
  <c r="C237" i="13"/>
  <c r="I237" i="13" s="1"/>
  <c r="B237" i="13"/>
  <c r="F236" i="13"/>
  <c r="G236" i="13" s="1"/>
  <c r="E236" i="13"/>
  <c r="D236" i="13"/>
  <c r="C236" i="13"/>
  <c r="I236" i="13" s="1"/>
  <c r="J236" i="13" s="1"/>
  <c r="K236" i="13" s="1"/>
  <c r="B236" i="13"/>
  <c r="F235" i="13"/>
  <c r="G235" i="13" s="1"/>
  <c r="E235" i="13"/>
  <c r="D235" i="13"/>
  <c r="C235" i="13"/>
  <c r="I235" i="13" s="1"/>
  <c r="B235" i="13"/>
  <c r="F234" i="13"/>
  <c r="G234" i="13" s="1"/>
  <c r="E234" i="13"/>
  <c r="D234" i="13"/>
  <c r="C234" i="13"/>
  <c r="I234" i="13" s="1"/>
  <c r="J234" i="13" s="1"/>
  <c r="K234" i="13" s="1"/>
  <c r="B234" i="13"/>
  <c r="F233" i="13"/>
  <c r="G233" i="13" s="1"/>
  <c r="E233" i="13"/>
  <c r="D233" i="13"/>
  <c r="C233" i="13"/>
  <c r="B233" i="13"/>
  <c r="F232" i="13"/>
  <c r="E232" i="13"/>
  <c r="D232" i="13"/>
  <c r="C232" i="13"/>
  <c r="I232" i="13" s="1"/>
  <c r="B232" i="13"/>
  <c r="F231" i="13"/>
  <c r="G231" i="13" s="1"/>
  <c r="E231" i="13"/>
  <c r="D231" i="13"/>
  <c r="C231" i="13"/>
  <c r="B231" i="13"/>
  <c r="F230" i="13"/>
  <c r="G230" i="13" s="1"/>
  <c r="E230" i="13"/>
  <c r="D230" i="13"/>
  <c r="C230" i="13"/>
  <c r="I230" i="13" s="1"/>
  <c r="B230" i="13"/>
  <c r="F229" i="13"/>
  <c r="G229" i="13" s="1"/>
  <c r="E229" i="13"/>
  <c r="D229" i="13"/>
  <c r="C229" i="13"/>
  <c r="I229" i="13" s="1"/>
  <c r="B229" i="13"/>
  <c r="F228" i="13"/>
  <c r="G228" i="13" s="1"/>
  <c r="O228" i="13" s="1"/>
  <c r="E228" i="13"/>
  <c r="D228" i="13"/>
  <c r="C228" i="13"/>
  <c r="B228" i="13"/>
  <c r="F227" i="13"/>
  <c r="G227" i="13" s="1"/>
  <c r="E227" i="13"/>
  <c r="D227" i="13"/>
  <c r="C227" i="13"/>
  <c r="I227" i="13" s="1"/>
  <c r="B227" i="13"/>
  <c r="F226" i="13"/>
  <c r="G226" i="13" s="1"/>
  <c r="E226" i="13"/>
  <c r="D226" i="13"/>
  <c r="C226" i="13"/>
  <c r="I226" i="13" s="1"/>
  <c r="B226" i="13"/>
  <c r="F225" i="13"/>
  <c r="G225" i="13" s="1"/>
  <c r="R225" i="13" s="1"/>
  <c r="E225" i="13"/>
  <c r="D225" i="13"/>
  <c r="C225" i="13"/>
  <c r="B225" i="13"/>
  <c r="F224" i="13"/>
  <c r="G224" i="13" s="1"/>
  <c r="O224" i="13" s="1"/>
  <c r="E224" i="13"/>
  <c r="D224" i="13"/>
  <c r="C224" i="13"/>
  <c r="B224" i="13"/>
  <c r="F223" i="13"/>
  <c r="G223" i="13" s="1"/>
  <c r="O223" i="13" s="1"/>
  <c r="E223" i="13"/>
  <c r="D223" i="13"/>
  <c r="C223" i="13"/>
  <c r="I223" i="13" s="1"/>
  <c r="B223" i="13"/>
  <c r="F222" i="13"/>
  <c r="G222" i="13" s="1"/>
  <c r="E222" i="13"/>
  <c r="D222" i="13"/>
  <c r="C222" i="13"/>
  <c r="B222" i="13"/>
  <c r="F221" i="13"/>
  <c r="E221" i="13"/>
  <c r="D221" i="13"/>
  <c r="C221" i="13"/>
  <c r="B221" i="13"/>
  <c r="F220" i="13"/>
  <c r="G220" i="13" s="1"/>
  <c r="O220" i="13" s="1"/>
  <c r="E220" i="13"/>
  <c r="D220" i="13"/>
  <c r="C220" i="13"/>
  <c r="B220" i="13"/>
  <c r="F219" i="13"/>
  <c r="G219" i="13" s="1"/>
  <c r="O219" i="13" s="1"/>
  <c r="Q219" i="13" s="1"/>
  <c r="E219" i="13"/>
  <c r="D219" i="13"/>
  <c r="C219" i="13"/>
  <c r="I219" i="13" s="1"/>
  <c r="B219" i="13"/>
  <c r="F218" i="13"/>
  <c r="G218" i="13" s="1"/>
  <c r="E218" i="13"/>
  <c r="D218" i="13"/>
  <c r="C218" i="13"/>
  <c r="I218" i="13" s="1"/>
  <c r="J218" i="13" s="1"/>
  <c r="K218" i="13" s="1"/>
  <c r="M218" i="13" s="1"/>
  <c r="N218" i="13" s="1"/>
  <c r="B218" i="13"/>
  <c r="F217" i="13"/>
  <c r="G217" i="13" s="1"/>
  <c r="O217" i="13" s="1"/>
  <c r="E217" i="13"/>
  <c r="D217" i="13"/>
  <c r="C217" i="13"/>
  <c r="I217" i="13" s="1"/>
  <c r="B217" i="13"/>
  <c r="F216" i="13"/>
  <c r="G216" i="13" s="1"/>
  <c r="O216" i="13" s="1"/>
  <c r="E216" i="13"/>
  <c r="D216" i="13"/>
  <c r="C216" i="13"/>
  <c r="B216" i="13"/>
  <c r="F215" i="13"/>
  <c r="G215" i="13" s="1"/>
  <c r="O215" i="13" s="1"/>
  <c r="P215" i="13" s="1"/>
  <c r="E215" i="13"/>
  <c r="D215" i="13"/>
  <c r="C215" i="13"/>
  <c r="B215" i="13"/>
  <c r="F214" i="13"/>
  <c r="G214" i="13" s="1"/>
  <c r="E214" i="13"/>
  <c r="D214" i="13"/>
  <c r="C214" i="13"/>
  <c r="B214" i="13"/>
  <c r="F213" i="13"/>
  <c r="G213" i="13" s="1"/>
  <c r="O213" i="13" s="1"/>
  <c r="E213" i="13"/>
  <c r="D213" i="13"/>
  <c r="C213" i="13"/>
  <c r="B213" i="13"/>
  <c r="F212" i="13"/>
  <c r="E212" i="13"/>
  <c r="D212" i="13"/>
  <c r="C212" i="13"/>
  <c r="B212" i="13"/>
  <c r="F211" i="13"/>
  <c r="G211" i="13" s="1"/>
  <c r="E211" i="13"/>
  <c r="D211" i="13"/>
  <c r="C211" i="13"/>
  <c r="B211" i="13"/>
  <c r="F210" i="13"/>
  <c r="E210" i="13"/>
  <c r="D210" i="13"/>
  <c r="C210" i="13"/>
  <c r="B210" i="13"/>
  <c r="F209" i="13"/>
  <c r="G209" i="13" s="1"/>
  <c r="O209" i="13" s="1"/>
  <c r="E209" i="13"/>
  <c r="D209" i="13"/>
  <c r="C209" i="13"/>
  <c r="B209" i="13"/>
  <c r="F208" i="13"/>
  <c r="E208" i="13"/>
  <c r="D208" i="13"/>
  <c r="C208" i="13"/>
  <c r="B208" i="13"/>
  <c r="F207" i="13"/>
  <c r="G207" i="13" s="1"/>
  <c r="E207" i="13"/>
  <c r="D207" i="13"/>
  <c r="C207" i="13"/>
  <c r="I207" i="13" s="1"/>
  <c r="B207" i="13"/>
  <c r="F206" i="13"/>
  <c r="G206" i="13" s="1"/>
  <c r="O206" i="13" s="1"/>
  <c r="E206" i="13"/>
  <c r="D206" i="13"/>
  <c r="C206" i="13"/>
  <c r="I206" i="13" s="1"/>
  <c r="B206" i="13"/>
  <c r="F205" i="13"/>
  <c r="G205" i="13" s="1"/>
  <c r="E205" i="13"/>
  <c r="D205" i="13"/>
  <c r="C205" i="13"/>
  <c r="I205" i="13" s="1"/>
  <c r="J205" i="13" s="1"/>
  <c r="B205" i="13"/>
  <c r="F204" i="13"/>
  <c r="E204" i="13"/>
  <c r="D204" i="13"/>
  <c r="C204" i="13"/>
  <c r="I204" i="13" s="1"/>
  <c r="B204" i="13"/>
  <c r="F203" i="13"/>
  <c r="G203" i="13" s="1"/>
  <c r="O203" i="13" s="1"/>
  <c r="E203" i="13"/>
  <c r="D203" i="13"/>
  <c r="C203" i="13"/>
  <c r="B203" i="13"/>
  <c r="F202" i="13"/>
  <c r="G202" i="13" s="1"/>
  <c r="O202" i="13" s="1"/>
  <c r="E202" i="13"/>
  <c r="D202" i="13"/>
  <c r="C202" i="13"/>
  <c r="I202" i="13" s="1"/>
  <c r="B202" i="13"/>
  <c r="F201" i="13"/>
  <c r="G201" i="13" s="1"/>
  <c r="O201" i="13" s="1"/>
  <c r="E201" i="13"/>
  <c r="D201" i="13"/>
  <c r="C201" i="13"/>
  <c r="I201" i="13" s="1"/>
  <c r="B201" i="13"/>
  <c r="F200" i="13"/>
  <c r="G200" i="13" s="1"/>
  <c r="O200" i="13" s="1"/>
  <c r="E200" i="13"/>
  <c r="D200" i="13"/>
  <c r="C200" i="13"/>
  <c r="B200" i="13"/>
  <c r="F199" i="13"/>
  <c r="E199" i="13"/>
  <c r="D199" i="13"/>
  <c r="C199" i="13"/>
  <c r="I199" i="13" s="1"/>
  <c r="B199" i="13"/>
  <c r="F198" i="13"/>
  <c r="E198" i="13"/>
  <c r="D198" i="13"/>
  <c r="C198" i="13"/>
  <c r="I198" i="13" s="1"/>
  <c r="B198" i="13"/>
  <c r="F197" i="13"/>
  <c r="G197" i="13" s="1"/>
  <c r="E197" i="13"/>
  <c r="D197" i="13"/>
  <c r="C197" i="13"/>
  <c r="I197" i="13" s="1"/>
  <c r="B197" i="13"/>
  <c r="F196" i="13"/>
  <c r="G196" i="13" s="1"/>
  <c r="O196" i="13" s="1"/>
  <c r="E196" i="13"/>
  <c r="D196" i="13"/>
  <c r="C196" i="13"/>
  <c r="I196" i="13" s="1"/>
  <c r="B196" i="13"/>
  <c r="F195" i="13"/>
  <c r="G195" i="13" s="1"/>
  <c r="E195" i="13"/>
  <c r="D195" i="13"/>
  <c r="C195" i="13"/>
  <c r="I195" i="13" s="1"/>
  <c r="B195" i="13"/>
  <c r="F194" i="13"/>
  <c r="G194" i="13" s="1"/>
  <c r="E194" i="13"/>
  <c r="D194" i="13"/>
  <c r="C194" i="13"/>
  <c r="B194" i="13"/>
  <c r="F193" i="13"/>
  <c r="G193" i="13" s="1"/>
  <c r="E193" i="13"/>
  <c r="D193" i="13"/>
  <c r="C193" i="13"/>
  <c r="B193" i="13"/>
  <c r="F192" i="13"/>
  <c r="G192" i="13" s="1"/>
  <c r="E192" i="13"/>
  <c r="D192" i="13"/>
  <c r="C192" i="13"/>
  <c r="B192" i="13"/>
  <c r="F191" i="13"/>
  <c r="G191" i="13" s="1"/>
  <c r="O191" i="13" s="1"/>
  <c r="S191" i="13" s="1"/>
  <c r="E191" i="13"/>
  <c r="D191" i="13"/>
  <c r="C191" i="13"/>
  <c r="I191" i="13" s="1"/>
  <c r="B191" i="13"/>
  <c r="F190" i="13"/>
  <c r="G190" i="13" s="1"/>
  <c r="O190" i="13" s="1"/>
  <c r="E190" i="13"/>
  <c r="D190" i="13"/>
  <c r="C190" i="13"/>
  <c r="I190" i="13" s="1"/>
  <c r="J190" i="13" s="1"/>
  <c r="K190" i="13" s="1"/>
  <c r="B190" i="13"/>
  <c r="F189" i="13"/>
  <c r="G189" i="13" s="1"/>
  <c r="O189" i="13" s="1"/>
  <c r="S189" i="13" s="1"/>
  <c r="E189" i="13"/>
  <c r="D189" i="13"/>
  <c r="C189" i="13"/>
  <c r="I189" i="13" s="1"/>
  <c r="B189" i="13"/>
  <c r="F188" i="13"/>
  <c r="G188" i="13" s="1"/>
  <c r="O188" i="13" s="1"/>
  <c r="E188" i="13"/>
  <c r="D188" i="13"/>
  <c r="C188" i="13"/>
  <c r="I188" i="13" s="1"/>
  <c r="B188" i="13"/>
  <c r="F187" i="13"/>
  <c r="G187" i="13" s="1"/>
  <c r="O187" i="13" s="1"/>
  <c r="E187" i="13"/>
  <c r="D187" i="13"/>
  <c r="C187" i="13"/>
  <c r="I187" i="13" s="1"/>
  <c r="B187" i="13"/>
  <c r="F186" i="13"/>
  <c r="G186" i="13" s="1"/>
  <c r="E186" i="13"/>
  <c r="D186" i="13"/>
  <c r="C186" i="13"/>
  <c r="B186" i="13"/>
  <c r="F185" i="13"/>
  <c r="G185" i="13" s="1"/>
  <c r="E185" i="13"/>
  <c r="D185" i="13"/>
  <c r="C185" i="13"/>
  <c r="I185" i="13" s="1"/>
  <c r="B185" i="13"/>
  <c r="F184" i="13"/>
  <c r="G184" i="13" s="1"/>
  <c r="O184" i="13" s="1"/>
  <c r="E184" i="13"/>
  <c r="D184" i="13"/>
  <c r="C184" i="13"/>
  <c r="I184" i="13" s="1"/>
  <c r="B184" i="13"/>
  <c r="F183" i="13"/>
  <c r="G183" i="13" s="1"/>
  <c r="E183" i="13"/>
  <c r="D183" i="13"/>
  <c r="C183" i="13"/>
  <c r="B183" i="13"/>
  <c r="F182" i="13"/>
  <c r="G182" i="13" s="1"/>
  <c r="E182" i="13"/>
  <c r="D182" i="13"/>
  <c r="C182" i="13"/>
  <c r="B182" i="13"/>
  <c r="F181" i="13"/>
  <c r="G181" i="13" s="1"/>
  <c r="O181" i="13" s="1"/>
  <c r="U181" i="13" s="1"/>
  <c r="E181" i="13"/>
  <c r="D181" i="13"/>
  <c r="C181" i="13"/>
  <c r="I181" i="13" s="1"/>
  <c r="J181" i="13" s="1"/>
  <c r="K181" i="13" s="1"/>
  <c r="B181" i="13"/>
  <c r="F180" i="13"/>
  <c r="G180" i="13" s="1"/>
  <c r="E180" i="13"/>
  <c r="D180" i="13"/>
  <c r="C180" i="13"/>
  <c r="I180" i="13" s="1"/>
  <c r="B180" i="13"/>
  <c r="F179" i="13"/>
  <c r="G179" i="13" s="1"/>
  <c r="O179" i="13" s="1"/>
  <c r="E179" i="13"/>
  <c r="D179" i="13"/>
  <c r="C179" i="13"/>
  <c r="I179" i="13" s="1"/>
  <c r="B179" i="13"/>
  <c r="F178" i="13"/>
  <c r="G178" i="13" s="1"/>
  <c r="O178" i="13" s="1"/>
  <c r="P178" i="13" s="1"/>
  <c r="E178" i="13"/>
  <c r="D178" i="13"/>
  <c r="C178" i="13"/>
  <c r="I178" i="13" s="1"/>
  <c r="J178" i="13" s="1"/>
  <c r="K178" i="13" s="1"/>
  <c r="B178" i="13"/>
  <c r="F177" i="13"/>
  <c r="G177" i="13" s="1"/>
  <c r="E177" i="13"/>
  <c r="D177" i="13"/>
  <c r="C177" i="13"/>
  <c r="I177" i="13" s="1"/>
  <c r="J177" i="13" s="1"/>
  <c r="B177" i="13"/>
  <c r="F176" i="13"/>
  <c r="G176" i="13" s="1"/>
  <c r="E176" i="13"/>
  <c r="D176" i="13"/>
  <c r="C176" i="13"/>
  <c r="I176" i="13" s="1"/>
  <c r="B176" i="13"/>
  <c r="F175" i="13"/>
  <c r="G175" i="13" s="1"/>
  <c r="O175" i="13" s="1"/>
  <c r="E175" i="13"/>
  <c r="D175" i="13"/>
  <c r="C175" i="13"/>
  <c r="B175" i="13"/>
  <c r="F174" i="13"/>
  <c r="G174" i="13" s="1"/>
  <c r="J174" i="13" s="1"/>
  <c r="K174" i="13" s="1"/>
  <c r="L174" i="13" s="1"/>
  <c r="E174" i="13"/>
  <c r="D174" i="13"/>
  <c r="C174" i="13"/>
  <c r="I174" i="13" s="1"/>
  <c r="B174" i="13"/>
  <c r="F173" i="13"/>
  <c r="G173" i="13" s="1"/>
  <c r="E173" i="13"/>
  <c r="D173" i="13"/>
  <c r="C173" i="13"/>
  <c r="I173" i="13" s="1"/>
  <c r="B173" i="13"/>
  <c r="F172" i="13"/>
  <c r="G172" i="13" s="1"/>
  <c r="O172" i="13" s="1"/>
  <c r="E172" i="13"/>
  <c r="D172" i="13"/>
  <c r="C172" i="13"/>
  <c r="B172" i="13"/>
  <c r="F171" i="13"/>
  <c r="E171" i="13"/>
  <c r="D171" i="13"/>
  <c r="C171" i="13"/>
  <c r="B171" i="13"/>
  <c r="F170" i="13"/>
  <c r="G170" i="13" s="1"/>
  <c r="E170" i="13"/>
  <c r="D170" i="13"/>
  <c r="C170" i="13"/>
  <c r="B170" i="13"/>
  <c r="F169" i="13"/>
  <c r="G169" i="13" s="1"/>
  <c r="E169" i="13"/>
  <c r="D169" i="13"/>
  <c r="C169" i="13"/>
  <c r="I169" i="13" s="1"/>
  <c r="J169" i="13" s="1"/>
  <c r="K169" i="13" s="1"/>
  <c r="B169" i="13"/>
  <c r="F168" i="13"/>
  <c r="G168" i="13" s="1"/>
  <c r="O168" i="13" s="1"/>
  <c r="E168" i="13"/>
  <c r="D168" i="13"/>
  <c r="C168" i="13"/>
  <c r="I168" i="13" s="1"/>
  <c r="B168" i="13"/>
  <c r="F167" i="13"/>
  <c r="G167" i="13" s="1"/>
  <c r="O167" i="13" s="1"/>
  <c r="T167" i="13" s="1"/>
  <c r="E167" i="13"/>
  <c r="D167" i="13"/>
  <c r="C167" i="13"/>
  <c r="I167" i="13" s="1"/>
  <c r="B167" i="13"/>
  <c r="F166" i="13"/>
  <c r="G166" i="13" s="1"/>
  <c r="O166" i="13" s="1"/>
  <c r="E166" i="13"/>
  <c r="D166" i="13"/>
  <c r="C166" i="13"/>
  <c r="B166" i="13"/>
  <c r="F165" i="13"/>
  <c r="G165" i="13" s="1"/>
  <c r="O165" i="13" s="1"/>
  <c r="E165" i="13"/>
  <c r="D165" i="13"/>
  <c r="C165" i="13"/>
  <c r="B165" i="13"/>
  <c r="F164" i="13"/>
  <c r="G164" i="13" s="1"/>
  <c r="O164" i="13" s="1"/>
  <c r="E164" i="13"/>
  <c r="D164" i="13"/>
  <c r="C164" i="13"/>
  <c r="B164" i="13"/>
  <c r="F163" i="13"/>
  <c r="G163" i="13" s="1"/>
  <c r="E163" i="13"/>
  <c r="D163" i="13"/>
  <c r="C163" i="13"/>
  <c r="I163" i="13" s="1"/>
  <c r="B163" i="13"/>
  <c r="F162" i="13"/>
  <c r="G162" i="13" s="1"/>
  <c r="E162" i="13"/>
  <c r="D162" i="13"/>
  <c r="C162" i="13"/>
  <c r="I162" i="13" s="1"/>
  <c r="B162" i="13"/>
  <c r="F161" i="13"/>
  <c r="G161" i="13" s="1"/>
  <c r="E161" i="13"/>
  <c r="D161" i="13"/>
  <c r="C161" i="13"/>
  <c r="B161" i="13"/>
  <c r="F160" i="13"/>
  <c r="G160" i="13" s="1"/>
  <c r="O160" i="13" s="1"/>
  <c r="E160" i="13"/>
  <c r="D160" i="13"/>
  <c r="C160" i="13"/>
  <c r="I160" i="13" s="1"/>
  <c r="B160" i="13"/>
  <c r="F159" i="13"/>
  <c r="G159" i="13" s="1"/>
  <c r="E159" i="13"/>
  <c r="D159" i="13"/>
  <c r="C159" i="13"/>
  <c r="I159" i="13" s="1"/>
  <c r="B159" i="13"/>
  <c r="F158" i="13"/>
  <c r="G158" i="13" s="1"/>
  <c r="E158" i="13"/>
  <c r="D158" i="13"/>
  <c r="C158" i="13"/>
  <c r="I158" i="13" s="1"/>
  <c r="B158" i="13"/>
  <c r="F157" i="13"/>
  <c r="G157" i="13" s="1"/>
  <c r="E157" i="13"/>
  <c r="D157" i="13"/>
  <c r="C157" i="13"/>
  <c r="I157" i="13" s="1"/>
  <c r="B157" i="13"/>
  <c r="F156" i="13"/>
  <c r="E156" i="13"/>
  <c r="D156" i="13"/>
  <c r="C156" i="13"/>
  <c r="I156" i="13" s="1"/>
  <c r="B156" i="13"/>
  <c r="F155" i="13"/>
  <c r="G155" i="13" s="1"/>
  <c r="E155" i="13"/>
  <c r="D155" i="13"/>
  <c r="C155" i="13"/>
  <c r="B155" i="13"/>
  <c r="F154" i="13"/>
  <c r="G154" i="13" s="1"/>
  <c r="O154" i="13" s="1"/>
  <c r="E154" i="13"/>
  <c r="D154" i="13"/>
  <c r="C154" i="13"/>
  <c r="B154" i="13"/>
  <c r="F153" i="13"/>
  <c r="G153" i="13" s="1"/>
  <c r="O153" i="13" s="1"/>
  <c r="E153" i="13"/>
  <c r="D153" i="13"/>
  <c r="C153" i="13"/>
  <c r="I153" i="13" s="1"/>
  <c r="B153" i="13"/>
  <c r="F152" i="13"/>
  <c r="E152" i="13"/>
  <c r="D152" i="13"/>
  <c r="C152" i="13"/>
  <c r="I152" i="13" s="1"/>
  <c r="B152" i="13"/>
  <c r="F151" i="13"/>
  <c r="G151" i="13" s="1"/>
  <c r="O151" i="13" s="1"/>
  <c r="E151" i="13"/>
  <c r="D151" i="13"/>
  <c r="C151" i="13"/>
  <c r="I151" i="13" s="1"/>
  <c r="B151" i="13"/>
  <c r="F150" i="13"/>
  <c r="G150" i="13" s="1"/>
  <c r="E150" i="13"/>
  <c r="D150" i="13"/>
  <c r="C150" i="13"/>
  <c r="I150" i="13" s="1"/>
  <c r="B150" i="13"/>
  <c r="F149" i="13"/>
  <c r="G149" i="13" s="1"/>
  <c r="E149" i="13"/>
  <c r="D149" i="13"/>
  <c r="C149" i="13"/>
  <c r="I149" i="13" s="1"/>
  <c r="B149" i="13"/>
  <c r="F148" i="13"/>
  <c r="E148" i="13"/>
  <c r="D148" i="13"/>
  <c r="C148" i="13"/>
  <c r="I148" i="13" s="1"/>
  <c r="B148" i="13"/>
  <c r="F147" i="13"/>
  <c r="E147" i="13"/>
  <c r="D147" i="13"/>
  <c r="C147" i="13"/>
  <c r="B147" i="13"/>
  <c r="F146" i="13"/>
  <c r="E146" i="13"/>
  <c r="D146" i="13"/>
  <c r="C146" i="13"/>
  <c r="I146" i="13" s="1"/>
  <c r="B146" i="13"/>
  <c r="F145" i="13"/>
  <c r="E145" i="13"/>
  <c r="D145" i="13"/>
  <c r="C145" i="13"/>
  <c r="I145" i="13" s="1"/>
  <c r="B145" i="13"/>
  <c r="F144" i="13"/>
  <c r="G144" i="13" s="1"/>
  <c r="E144" i="13"/>
  <c r="D144" i="13"/>
  <c r="C144" i="13"/>
  <c r="B144" i="13"/>
  <c r="F143" i="13"/>
  <c r="G143" i="13" s="1"/>
  <c r="E143" i="13"/>
  <c r="D143" i="13"/>
  <c r="C143" i="13"/>
  <c r="B143" i="13"/>
  <c r="F142" i="13"/>
  <c r="G142" i="13" s="1"/>
  <c r="O142" i="13" s="1"/>
  <c r="E142" i="13"/>
  <c r="D142" i="13"/>
  <c r="C142" i="13"/>
  <c r="I142" i="13" s="1"/>
  <c r="J142" i="13" s="1"/>
  <c r="K142" i="13" s="1"/>
  <c r="L142" i="13" s="1"/>
  <c r="B142" i="13"/>
  <c r="F141" i="13"/>
  <c r="G141" i="13" s="1"/>
  <c r="O141" i="13" s="1"/>
  <c r="E141" i="13"/>
  <c r="D141" i="13"/>
  <c r="C141" i="13"/>
  <c r="I141" i="13" s="1"/>
  <c r="B141" i="13"/>
  <c r="F140" i="13"/>
  <c r="G140" i="13" s="1"/>
  <c r="E140" i="13"/>
  <c r="D140" i="13"/>
  <c r="C140" i="13"/>
  <c r="B140" i="13"/>
  <c r="F139" i="13"/>
  <c r="G139" i="13" s="1"/>
  <c r="O139" i="13" s="1"/>
  <c r="Q139" i="13" s="1"/>
  <c r="E139" i="13"/>
  <c r="D139" i="13"/>
  <c r="C139" i="13"/>
  <c r="I139" i="13" s="1"/>
  <c r="B139" i="13"/>
  <c r="F138" i="13"/>
  <c r="G138" i="13" s="1"/>
  <c r="E138" i="13"/>
  <c r="D138" i="13"/>
  <c r="C138" i="13"/>
  <c r="I138" i="13" s="1"/>
  <c r="B138" i="13"/>
  <c r="F137" i="13"/>
  <c r="E137" i="13"/>
  <c r="D137" i="13"/>
  <c r="C137" i="13"/>
  <c r="I137" i="13" s="1"/>
  <c r="B137" i="13"/>
  <c r="F136" i="13"/>
  <c r="E136" i="13"/>
  <c r="D136" i="13"/>
  <c r="C136" i="13"/>
  <c r="I136" i="13" s="1"/>
  <c r="B136" i="13"/>
  <c r="F135" i="13"/>
  <c r="G135" i="13" s="1"/>
  <c r="O135" i="13" s="1"/>
  <c r="E135" i="13"/>
  <c r="D135" i="13"/>
  <c r="C135" i="13"/>
  <c r="B135" i="13"/>
  <c r="F134" i="13"/>
  <c r="E134" i="13"/>
  <c r="D134" i="13"/>
  <c r="C134" i="13"/>
  <c r="B134" i="13"/>
  <c r="F133" i="13"/>
  <c r="G133" i="13" s="1"/>
  <c r="E133" i="13"/>
  <c r="D133" i="13"/>
  <c r="C133" i="13"/>
  <c r="B133" i="13"/>
  <c r="F132" i="13"/>
  <c r="E132" i="13"/>
  <c r="D132" i="13"/>
  <c r="C132" i="13"/>
  <c r="H132" i="13" s="1"/>
  <c r="B132" i="13"/>
  <c r="F131" i="13"/>
  <c r="E131" i="13"/>
  <c r="D131" i="13"/>
  <c r="C131" i="13"/>
  <c r="I131" i="13" s="1"/>
  <c r="B131" i="13"/>
  <c r="F130" i="13"/>
  <c r="G130" i="13" s="1"/>
  <c r="J130" i="13" s="1"/>
  <c r="K130" i="13" s="1"/>
  <c r="M130" i="13" s="1"/>
  <c r="N130" i="13" s="1"/>
  <c r="E130" i="13"/>
  <c r="D130" i="13"/>
  <c r="C130" i="13"/>
  <c r="B130" i="13"/>
  <c r="F129" i="13"/>
  <c r="E129" i="13"/>
  <c r="D129" i="13"/>
  <c r="C129" i="13"/>
  <c r="B129" i="13"/>
  <c r="F128" i="13"/>
  <c r="G128" i="13" s="1"/>
  <c r="E128" i="13"/>
  <c r="D128" i="13"/>
  <c r="C128" i="13"/>
  <c r="B128" i="13"/>
  <c r="F127" i="13"/>
  <c r="G127" i="13" s="1"/>
  <c r="E127" i="13"/>
  <c r="D127" i="13"/>
  <c r="C127" i="13"/>
  <c r="B127" i="13"/>
  <c r="F126" i="13"/>
  <c r="G126" i="13" s="1"/>
  <c r="E126" i="13"/>
  <c r="D126" i="13"/>
  <c r="C126" i="13"/>
  <c r="B126" i="13"/>
  <c r="F125" i="13"/>
  <c r="E125" i="13"/>
  <c r="D125" i="13"/>
  <c r="C125" i="13"/>
  <c r="B125" i="13"/>
  <c r="F124" i="13"/>
  <c r="G124" i="13" s="1"/>
  <c r="E124" i="13"/>
  <c r="D124" i="13"/>
  <c r="C124" i="13"/>
  <c r="B124" i="13"/>
  <c r="F123" i="13"/>
  <c r="G123" i="13" s="1"/>
  <c r="E123" i="13"/>
  <c r="D123" i="13"/>
  <c r="C123" i="13"/>
  <c r="B123" i="13"/>
  <c r="F122" i="13"/>
  <c r="G122" i="13" s="1"/>
  <c r="E122" i="13"/>
  <c r="D122" i="13"/>
  <c r="C122" i="13"/>
  <c r="B122" i="13"/>
  <c r="F121" i="13"/>
  <c r="G121" i="13" s="1"/>
  <c r="E121" i="13"/>
  <c r="D121" i="13"/>
  <c r="C121" i="13"/>
  <c r="B121" i="13"/>
  <c r="F120" i="13"/>
  <c r="E120" i="13"/>
  <c r="D120" i="13"/>
  <c r="C120" i="13"/>
  <c r="B120" i="13"/>
  <c r="F119" i="13"/>
  <c r="G119" i="13" s="1"/>
  <c r="O119" i="13" s="1"/>
  <c r="P119" i="13" s="1"/>
  <c r="E119" i="13"/>
  <c r="D119" i="13"/>
  <c r="C119" i="13"/>
  <c r="B119" i="13"/>
  <c r="F118" i="13"/>
  <c r="G118" i="13" s="1"/>
  <c r="E118" i="13"/>
  <c r="D118" i="13"/>
  <c r="C118" i="13"/>
  <c r="H118" i="13" s="1"/>
  <c r="B118" i="13"/>
  <c r="F117" i="13"/>
  <c r="E117" i="13"/>
  <c r="D117" i="13"/>
  <c r="C117" i="13"/>
  <c r="H117" i="13" s="1"/>
  <c r="O117" i="13" s="1"/>
  <c r="B117" i="13"/>
  <c r="F116" i="13"/>
  <c r="G116" i="13" s="1"/>
  <c r="J116" i="13" s="1"/>
  <c r="E116" i="13"/>
  <c r="D116" i="13"/>
  <c r="C116" i="13"/>
  <c r="B116" i="13"/>
  <c r="F115" i="13"/>
  <c r="E115" i="13"/>
  <c r="D115" i="13"/>
  <c r="C115" i="13"/>
  <c r="I115" i="13" s="1"/>
  <c r="B115" i="13"/>
  <c r="F114" i="13"/>
  <c r="G114" i="13" s="1"/>
  <c r="E114" i="13"/>
  <c r="D114" i="13"/>
  <c r="C114" i="13"/>
  <c r="B114" i="13"/>
  <c r="F113" i="13"/>
  <c r="G113" i="13" s="1"/>
  <c r="E113" i="13"/>
  <c r="D113" i="13"/>
  <c r="C113" i="13"/>
  <c r="B113" i="13"/>
  <c r="F112" i="13"/>
  <c r="G112" i="13" s="1"/>
  <c r="E112" i="13"/>
  <c r="D112" i="13"/>
  <c r="C112" i="13"/>
  <c r="B112" i="13"/>
  <c r="F111" i="13"/>
  <c r="G111" i="13" s="1"/>
  <c r="E111" i="13"/>
  <c r="D111" i="13"/>
  <c r="C111" i="13"/>
  <c r="B111" i="13"/>
  <c r="F110" i="13"/>
  <c r="G110" i="13" s="1"/>
  <c r="E110" i="13"/>
  <c r="D110" i="13"/>
  <c r="C110" i="13"/>
  <c r="I110" i="13" s="1"/>
  <c r="B110" i="13"/>
  <c r="F109" i="13"/>
  <c r="G109" i="13" s="1"/>
  <c r="E109" i="13"/>
  <c r="D109" i="13"/>
  <c r="C109" i="13"/>
  <c r="I109" i="13" s="1"/>
  <c r="B109" i="13"/>
  <c r="F108" i="13"/>
  <c r="G108" i="13" s="1"/>
  <c r="O108" i="13" s="1"/>
  <c r="E108" i="13"/>
  <c r="D108" i="13"/>
  <c r="C108" i="13"/>
  <c r="H108" i="13" s="1"/>
  <c r="B108" i="13"/>
  <c r="F107" i="13"/>
  <c r="G107" i="13" s="1"/>
  <c r="E107" i="13"/>
  <c r="D107" i="13"/>
  <c r="C107" i="13"/>
  <c r="B107" i="13"/>
  <c r="F106" i="13"/>
  <c r="G106" i="13" s="1"/>
  <c r="E106" i="13"/>
  <c r="D106" i="13"/>
  <c r="C106" i="13"/>
  <c r="B106" i="13"/>
  <c r="F105" i="13"/>
  <c r="G105" i="13" s="1"/>
  <c r="J105" i="13" s="1"/>
  <c r="E105" i="13"/>
  <c r="D105" i="13"/>
  <c r="C105" i="13"/>
  <c r="B105" i="13"/>
  <c r="F104" i="13"/>
  <c r="E104" i="13"/>
  <c r="D104" i="13"/>
  <c r="C104" i="13"/>
  <c r="B104" i="13"/>
  <c r="F103" i="13"/>
  <c r="G103" i="13" s="1"/>
  <c r="E103" i="13"/>
  <c r="D103" i="13"/>
  <c r="C103" i="13"/>
  <c r="I103" i="13" s="1"/>
  <c r="B103" i="13"/>
  <c r="F102" i="13"/>
  <c r="G102" i="13" s="1"/>
  <c r="E102" i="13"/>
  <c r="D102" i="13"/>
  <c r="C102" i="13"/>
  <c r="B102" i="13"/>
  <c r="F101" i="13"/>
  <c r="G101" i="13" s="1"/>
  <c r="E101" i="13"/>
  <c r="D101" i="13"/>
  <c r="C101" i="13"/>
  <c r="H101" i="13" s="1"/>
  <c r="B101" i="13"/>
  <c r="F100" i="13"/>
  <c r="G100" i="13" s="1"/>
  <c r="E100" i="13"/>
  <c r="D100" i="13"/>
  <c r="C100" i="13"/>
  <c r="H100" i="13" s="1"/>
  <c r="B100" i="13"/>
  <c r="F99" i="13"/>
  <c r="G99" i="13" s="1"/>
  <c r="E99" i="13"/>
  <c r="D99" i="13"/>
  <c r="C99" i="13"/>
  <c r="B99" i="13"/>
  <c r="F98" i="13"/>
  <c r="G98" i="13" s="1"/>
  <c r="E98" i="13"/>
  <c r="D98" i="13"/>
  <c r="C98" i="13"/>
  <c r="B98" i="13"/>
  <c r="F97" i="13"/>
  <c r="G97" i="13" s="1"/>
  <c r="E97" i="13"/>
  <c r="D97" i="13"/>
  <c r="C97" i="13"/>
  <c r="B97" i="13"/>
  <c r="F96" i="13"/>
  <c r="G96" i="13" s="1"/>
  <c r="E96" i="13"/>
  <c r="D96" i="13"/>
  <c r="C96" i="13"/>
  <c r="H96" i="13" s="1"/>
  <c r="B96" i="13"/>
  <c r="F95" i="13"/>
  <c r="G95" i="13" s="1"/>
  <c r="E95" i="13"/>
  <c r="D95" i="13"/>
  <c r="C95" i="13"/>
  <c r="B95" i="13"/>
  <c r="F94" i="13"/>
  <c r="G94" i="13" s="1"/>
  <c r="E94" i="13"/>
  <c r="D94" i="13"/>
  <c r="C94" i="13"/>
  <c r="B94" i="13"/>
  <c r="F93" i="13"/>
  <c r="G93" i="13" s="1"/>
  <c r="E93" i="13"/>
  <c r="D93" i="13"/>
  <c r="C93" i="13"/>
  <c r="H93" i="13" s="1"/>
  <c r="B93" i="13"/>
  <c r="F92" i="13"/>
  <c r="E92" i="13"/>
  <c r="D92" i="13"/>
  <c r="C92" i="13"/>
  <c r="I92" i="13" s="1"/>
  <c r="B92" i="13"/>
  <c r="F91" i="13"/>
  <c r="G91" i="13" s="1"/>
  <c r="E91" i="13"/>
  <c r="D91" i="13"/>
  <c r="C91" i="13"/>
  <c r="B91" i="13"/>
  <c r="F90" i="13"/>
  <c r="G90" i="13" s="1"/>
  <c r="E90" i="13"/>
  <c r="D90" i="13"/>
  <c r="C90" i="13"/>
  <c r="B90" i="13"/>
  <c r="F89" i="13"/>
  <c r="G89" i="13" s="1"/>
  <c r="E89" i="13"/>
  <c r="D89" i="13"/>
  <c r="C89" i="13"/>
  <c r="I89" i="13" s="1"/>
  <c r="B89" i="13"/>
  <c r="F88" i="13"/>
  <c r="G88" i="13" s="1"/>
  <c r="E88" i="13"/>
  <c r="D88" i="13"/>
  <c r="C88" i="13"/>
  <c r="B88" i="13"/>
  <c r="F87" i="13"/>
  <c r="G87" i="13" s="1"/>
  <c r="E87" i="13"/>
  <c r="D87" i="13"/>
  <c r="C87" i="13"/>
  <c r="B87" i="13"/>
  <c r="F86" i="13"/>
  <c r="G86" i="13" s="1"/>
  <c r="E86" i="13"/>
  <c r="D86" i="13"/>
  <c r="C86" i="13"/>
  <c r="B86" i="13"/>
  <c r="F85" i="13"/>
  <c r="G85" i="13" s="1"/>
  <c r="E85" i="13"/>
  <c r="D85" i="13"/>
  <c r="C85" i="13"/>
  <c r="B85" i="13"/>
  <c r="F84" i="13"/>
  <c r="G84" i="13" s="1"/>
  <c r="E84" i="13"/>
  <c r="D84" i="13"/>
  <c r="C84" i="13"/>
  <c r="H84" i="13" s="1"/>
  <c r="B84" i="13"/>
  <c r="F83" i="13"/>
  <c r="G83" i="13" s="1"/>
  <c r="E83" i="13"/>
  <c r="D83" i="13"/>
  <c r="C83" i="13"/>
  <c r="I83" i="13" s="1"/>
  <c r="B83" i="13"/>
  <c r="F82" i="13"/>
  <c r="G82" i="13" s="1"/>
  <c r="E82" i="13"/>
  <c r="D82" i="13"/>
  <c r="C82" i="13"/>
  <c r="B82" i="13"/>
  <c r="F81" i="13"/>
  <c r="G81" i="13" s="1"/>
  <c r="E81" i="13"/>
  <c r="D81" i="13"/>
  <c r="C81" i="13"/>
  <c r="H81" i="13" s="1"/>
  <c r="B81" i="13"/>
  <c r="F80" i="13"/>
  <c r="G80" i="13" s="1"/>
  <c r="E80" i="13"/>
  <c r="D80" i="13"/>
  <c r="C80" i="13"/>
  <c r="H80" i="13" s="1"/>
  <c r="B80" i="13"/>
  <c r="F79" i="13"/>
  <c r="E79" i="13"/>
  <c r="D79" i="13"/>
  <c r="C79" i="13"/>
  <c r="B79" i="13"/>
  <c r="F78" i="13"/>
  <c r="G78" i="13" s="1"/>
  <c r="E78" i="13"/>
  <c r="D78" i="13"/>
  <c r="C78" i="13"/>
  <c r="B78" i="13"/>
  <c r="F77" i="13"/>
  <c r="G77" i="13" s="1"/>
  <c r="O77" i="13" s="1"/>
  <c r="P77" i="13" s="1"/>
  <c r="E77" i="13"/>
  <c r="D77" i="13"/>
  <c r="C77" i="13"/>
  <c r="B77" i="13"/>
  <c r="F76" i="13"/>
  <c r="E76" i="13"/>
  <c r="D76" i="13"/>
  <c r="C76" i="13"/>
  <c r="B76" i="13"/>
  <c r="F75" i="13"/>
  <c r="E75" i="13"/>
  <c r="D75" i="13"/>
  <c r="C75" i="13"/>
  <c r="I75" i="13" s="1"/>
  <c r="B75" i="13"/>
  <c r="F74" i="13"/>
  <c r="G74" i="13" s="1"/>
  <c r="O74" i="13" s="1"/>
  <c r="E74" i="13"/>
  <c r="D74" i="13"/>
  <c r="C74" i="13"/>
  <c r="B74" i="13"/>
  <c r="F73" i="13"/>
  <c r="E73" i="13"/>
  <c r="D73" i="13"/>
  <c r="C73" i="13"/>
  <c r="B73" i="13"/>
  <c r="F72" i="13"/>
  <c r="G72" i="13" s="1"/>
  <c r="E72" i="13"/>
  <c r="D72" i="13"/>
  <c r="C72" i="13"/>
  <c r="I72" i="13" s="1"/>
  <c r="B72" i="13"/>
  <c r="F71" i="13"/>
  <c r="G71" i="13" s="1"/>
  <c r="E71" i="13"/>
  <c r="D71" i="13"/>
  <c r="C71" i="13"/>
  <c r="B71" i="13"/>
  <c r="F70" i="13"/>
  <c r="G70" i="13" s="1"/>
  <c r="E70" i="13"/>
  <c r="D70" i="13"/>
  <c r="C70" i="13"/>
  <c r="B70" i="13"/>
  <c r="F69" i="13"/>
  <c r="E69" i="13"/>
  <c r="D69" i="13"/>
  <c r="C69" i="13"/>
  <c r="H69" i="13" s="1"/>
  <c r="B69" i="13"/>
  <c r="F68" i="13"/>
  <c r="G68" i="13" s="1"/>
  <c r="E68" i="13"/>
  <c r="D68" i="13"/>
  <c r="C68" i="13"/>
  <c r="H68" i="13" s="1"/>
  <c r="B68" i="13"/>
  <c r="F67" i="13"/>
  <c r="G67" i="13" s="1"/>
  <c r="E67" i="13"/>
  <c r="D67" i="13"/>
  <c r="C67" i="13"/>
  <c r="H67" i="13" s="1"/>
  <c r="B67" i="13"/>
  <c r="F66" i="13"/>
  <c r="G66" i="13" s="1"/>
  <c r="E66" i="13"/>
  <c r="D66" i="13"/>
  <c r="C66" i="13"/>
  <c r="B66" i="13"/>
  <c r="F65" i="13"/>
  <c r="G65" i="13" s="1"/>
  <c r="E65" i="13"/>
  <c r="D65" i="13"/>
  <c r="C65" i="13"/>
  <c r="I65" i="13" s="1"/>
  <c r="B65" i="13"/>
  <c r="F64" i="13"/>
  <c r="E64" i="13"/>
  <c r="D64" i="13"/>
  <c r="C64" i="13"/>
  <c r="B64" i="13"/>
  <c r="F63" i="13"/>
  <c r="G63" i="13" s="1"/>
  <c r="J63" i="13" s="1"/>
  <c r="E63" i="13"/>
  <c r="D63" i="13"/>
  <c r="C63" i="13"/>
  <c r="B63" i="13"/>
  <c r="F62" i="13"/>
  <c r="G62" i="13" s="1"/>
  <c r="E62" i="13"/>
  <c r="D62" i="13"/>
  <c r="C62" i="13"/>
  <c r="B62" i="13"/>
  <c r="F61" i="13"/>
  <c r="G61" i="13" s="1"/>
  <c r="E61" i="13"/>
  <c r="D61" i="13"/>
  <c r="C61" i="13"/>
  <c r="B61" i="13"/>
  <c r="F60" i="13"/>
  <c r="G60" i="13" s="1"/>
  <c r="E60" i="13"/>
  <c r="D60" i="13"/>
  <c r="C60" i="13"/>
  <c r="I60" i="13" s="1"/>
  <c r="B60" i="13"/>
  <c r="F59" i="13"/>
  <c r="G59" i="13" s="1"/>
  <c r="E59" i="13"/>
  <c r="D59" i="13"/>
  <c r="C59" i="13"/>
  <c r="H59" i="13" s="1"/>
  <c r="B59" i="13"/>
  <c r="F58" i="13"/>
  <c r="E58" i="13"/>
  <c r="D58" i="13"/>
  <c r="C58" i="13"/>
  <c r="I58" i="13" s="1"/>
  <c r="B58" i="13"/>
  <c r="F57" i="13"/>
  <c r="G57" i="13" s="1"/>
  <c r="E57" i="13"/>
  <c r="D57" i="13"/>
  <c r="C57" i="13"/>
  <c r="B57" i="13"/>
  <c r="F56" i="13"/>
  <c r="G56" i="13" s="1"/>
  <c r="E56" i="13"/>
  <c r="D56" i="13"/>
  <c r="C56" i="13"/>
  <c r="B56" i="13"/>
  <c r="F55" i="13"/>
  <c r="G55" i="13" s="1"/>
  <c r="E55" i="13"/>
  <c r="D55" i="13"/>
  <c r="C55" i="13"/>
  <c r="H55" i="13" s="1"/>
  <c r="B55" i="13"/>
  <c r="F54" i="13"/>
  <c r="G54" i="13" s="1"/>
  <c r="E54" i="13"/>
  <c r="D54" i="13"/>
  <c r="C54" i="13"/>
  <c r="I54" i="13" s="1"/>
  <c r="B54" i="13"/>
  <c r="F53" i="13"/>
  <c r="E53" i="13"/>
  <c r="D53" i="13"/>
  <c r="C53" i="13"/>
  <c r="B53" i="13"/>
  <c r="F52" i="13"/>
  <c r="G52" i="13" s="1"/>
  <c r="O52" i="13" s="1"/>
  <c r="E52" i="13"/>
  <c r="D52" i="13"/>
  <c r="C52" i="13"/>
  <c r="B52" i="13"/>
  <c r="F51" i="13"/>
  <c r="G51" i="13" s="1"/>
  <c r="E51" i="13"/>
  <c r="D51" i="13"/>
  <c r="C51" i="13"/>
  <c r="B51" i="13"/>
  <c r="F50" i="13"/>
  <c r="E50" i="13"/>
  <c r="D50" i="13"/>
  <c r="C50" i="13"/>
  <c r="H50" i="13" s="1"/>
  <c r="B50" i="13"/>
  <c r="F49" i="13"/>
  <c r="G49" i="13" s="1"/>
  <c r="E49" i="13"/>
  <c r="D49" i="13"/>
  <c r="C49" i="13"/>
  <c r="B49" i="13"/>
  <c r="F48" i="13"/>
  <c r="G48" i="13" s="1"/>
  <c r="E48" i="13"/>
  <c r="D48" i="13"/>
  <c r="C48" i="13"/>
  <c r="B48" i="13"/>
  <c r="F47" i="13"/>
  <c r="G47" i="13" s="1"/>
  <c r="E47" i="13"/>
  <c r="D47" i="13"/>
  <c r="C47" i="13"/>
  <c r="B47" i="13"/>
  <c r="F46" i="13"/>
  <c r="E46" i="13"/>
  <c r="D46" i="13"/>
  <c r="C46" i="13"/>
  <c r="B46" i="13"/>
  <c r="F45" i="13"/>
  <c r="E45" i="13"/>
  <c r="D45" i="13"/>
  <c r="C45" i="13"/>
  <c r="B45" i="13"/>
  <c r="F44" i="13"/>
  <c r="E44" i="13"/>
  <c r="D44" i="13"/>
  <c r="C44" i="13"/>
  <c r="B44" i="13"/>
  <c r="F43" i="13"/>
  <c r="G43" i="13" s="1"/>
  <c r="O43" i="13" s="1"/>
  <c r="E43" i="13"/>
  <c r="D43" i="13"/>
  <c r="C43" i="13"/>
  <c r="B43" i="13"/>
  <c r="F42" i="13"/>
  <c r="G42" i="13" s="1"/>
  <c r="E42" i="13"/>
  <c r="D42" i="13"/>
  <c r="C42" i="13"/>
  <c r="I42" i="13" s="1"/>
  <c r="B42" i="13"/>
  <c r="F41" i="13"/>
  <c r="G41" i="13" s="1"/>
  <c r="E41" i="13"/>
  <c r="D41" i="13"/>
  <c r="C41" i="13"/>
  <c r="B41" i="13"/>
  <c r="F40" i="13"/>
  <c r="E40" i="13"/>
  <c r="D40" i="13"/>
  <c r="C40" i="13"/>
  <c r="I40" i="13" s="1"/>
  <c r="B40" i="13"/>
  <c r="F39" i="13"/>
  <c r="G39" i="13" s="1"/>
  <c r="E39" i="13"/>
  <c r="D39" i="13"/>
  <c r="C39" i="13"/>
  <c r="H39" i="13" s="1"/>
  <c r="B39" i="13"/>
  <c r="F38" i="13"/>
  <c r="G38" i="13" s="1"/>
  <c r="E38" i="13"/>
  <c r="D38" i="13"/>
  <c r="C38" i="13"/>
  <c r="I38" i="13" s="1"/>
  <c r="B38" i="13"/>
  <c r="F37" i="13"/>
  <c r="G37" i="13" s="1"/>
  <c r="E37" i="13"/>
  <c r="D37" i="13"/>
  <c r="C37" i="13"/>
  <c r="B37" i="13"/>
  <c r="F36" i="13"/>
  <c r="G36" i="13" s="1"/>
  <c r="E36" i="13"/>
  <c r="D36" i="13"/>
  <c r="C36" i="13"/>
  <c r="B36" i="13"/>
  <c r="F35" i="13"/>
  <c r="G35" i="13" s="1"/>
  <c r="O35" i="13" s="1"/>
  <c r="P35" i="13" s="1"/>
  <c r="E35" i="13"/>
  <c r="D35" i="13"/>
  <c r="C35" i="13"/>
  <c r="B35" i="13"/>
  <c r="F34" i="13"/>
  <c r="G34" i="13" s="1"/>
  <c r="O34" i="13" s="1"/>
  <c r="E34" i="13"/>
  <c r="D34" i="13"/>
  <c r="C34" i="13"/>
  <c r="H34" i="13" s="1"/>
  <c r="B34" i="13"/>
  <c r="F33" i="13"/>
  <c r="G33" i="13" s="1"/>
  <c r="E33" i="13"/>
  <c r="D33" i="13"/>
  <c r="C33" i="13"/>
  <c r="I33" i="13" s="1"/>
  <c r="B33" i="13"/>
  <c r="F32" i="13"/>
  <c r="G32" i="13" s="1"/>
  <c r="J32" i="13" s="1"/>
  <c r="E32" i="13"/>
  <c r="D32" i="13"/>
  <c r="C32" i="13"/>
  <c r="B32" i="13"/>
  <c r="F31" i="13"/>
  <c r="G31" i="13" s="1"/>
  <c r="E31" i="13"/>
  <c r="D31" i="13"/>
  <c r="C31" i="13"/>
  <c r="H31" i="13" s="1"/>
  <c r="O31" i="13" s="1"/>
  <c r="P31" i="13" s="1"/>
  <c r="B31" i="13"/>
  <c r="F30" i="13"/>
  <c r="E30" i="13"/>
  <c r="D30" i="13"/>
  <c r="C30" i="13"/>
  <c r="B30" i="13"/>
  <c r="F29" i="13"/>
  <c r="E29" i="13"/>
  <c r="D29" i="13"/>
  <c r="C29" i="13"/>
  <c r="B29" i="13"/>
  <c r="F28" i="13"/>
  <c r="G28" i="13" s="1"/>
  <c r="E28" i="13"/>
  <c r="D28" i="13"/>
  <c r="C28" i="13"/>
  <c r="B28" i="13"/>
  <c r="F27" i="13"/>
  <c r="G27" i="13" s="1"/>
  <c r="E27" i="13"/>
  <c r="D27" i="13"/>
  <c r="C27" i="13"/>
  <c r="B27" i="13"/>
  <c r="F26" i="13"/>
  <c r="G26" i="13" s="1"/>
  <c r="E26" i="13"/>
  <c r="D26" i="13"/>
  <c r="C26" i="13"/>
  <c r="B26" i="13"/>
  <c r="F25" i="13"/>
  <c r="G25" i="13" s="1"/>
  <c r="E25" i="13"/>
  <c r="D25" i="13"/>
  <c r="C25" i="13"/>
  <c r="B25" i="13"/>
  <c r="F24" i="13"/>
  <c r="G24" i="13" s="1"/>
  <c r="E24" i="13"/>
  <c r="D24" i="13"/>
  <c r="C24" i="13"/>
  <c r="B24" i="13"/>
  <c r="F23" i="13"/>
  <c r="E23" i="13"/>
  <c r="D23" i="13"/>
  <c r="C23" i="13"/>
  <c r="B23" i="13"/>
  <c r="F22" i="13"/>
  <c r="G22" i="13" s="1"/>
  <c r="E22" i="13"/>
  <c r="D22" i="13"/>
  <c r="C22" i="13"/>
  <c r="H22" i="13" s="1"/>
  <c r="B22" i="13"/>
  <c r="F21" i="13"/>
  <c r="G21" i="13" s="1"/>
  <c r="E21" i="13"/>
  <c r="D21" i="13"/>
  <c r="C21" i="13"/>
  <c r="B21" i="13"/>
  <c r="F20" i="13"/>
  <c r="G20" i="13" s="1"/>
  <c r="E20" i="13"/>
  <c r="D20" i="13"/>
  <c r="C20" i="13"/>
  <c r="I20" i="13" s="1"/>
  <c r="J20" i="13" s="1"/>
  <c r="K20" i="13" s="1"/>
  <c r="B20" i="13"/>
  <c r="F19" i="13"/>
  <c r="G19" i="13" s="1"/>
  <c r="E19" i="13"/>
  <c r="D19" i="13"/>
  <c r="C19" i="13"/>
  <c r="B19" i="13"/>
  <c r="F18" i="13"/>
  <c r="G18" i="13" s="1"/>
  <c r="O18" i="13" s="1"/>
  <c r="R18" i="13" s="1"/>
  <c r="E18" i="13"/>
  <c r="D18" i="13"/>
  <c r="C18" i="13"/>
  <c r="H18" i="13" s="1"/>
  <c r="B18" i="13"/>
  <c r="F17" i="13"/>
  <c r="G17" i="13" s="1"/>
  <c r="E17" i="13"/>
  <c r="D17" i="13"/>
  <c r="C17" i="13"/>
  <c r="I17" i="13" s="1"/>
  <c r="B17" i="13"/>
  <c r="F16" i="13"/>
  <c r="G16" i="13" s="1"/>
  <c r="E16" i="13"/>
  <c r="D16" i="13"/>
  <c r="C16" i="13"/>
  <c r="B16" i="13"/>
  <c r="F15" i="13"/>
  <c r="G15" i="13" s="1"/>
  <c r="E15" i="13"/>
  <c r="D15" i="13"/>
  <c r="C15" i="13"/>
  <c r="B15" i="13"/>
  <c r="B12" i="13"/>
  <c r="B9" i="13"/>
  <c r="B10" i="13" s="1"/>
  <c r="B11" i="13" s="1"/>
  <c r="J310" i="10"/>
  <c r="I65" i="10"/>
  <c r="X422" i="8"/>
  <c r="W422" i="8"/>
  <c r="V422" i="8"/>
  <c r="U422" i="8"/>
  <c r="T422" i="8"/>
  <c r="S422" i="8"/>
  <c r="R422" i="8"/>
  <c r="Q422" i="8"/>
  <c r="P422" i="8"/>
  <c r="N422" i="8"/>
  <c r="O422" i="8" s="1"/>
  <c r="K422" i="8"/>
  <c r="J422" i="8"/>
  <c r="X421" i="8"/>
  <c r="W421" i="8"/>
  <c r="V421" i="8"/>
  <c r="U421" i="8"/>
  <c r="T421" i="8"/>
  <c r="S421" i="8"/>
  <c r="R421" i="8"/>
  <c r="Q421" i="8"/>
  <c r="P421" i="8"/>
  <c r="N421" i="8"/>
  <c r="O421" i="8" s="1"/>
  <c r="K421" i="8"/>
  <c r="J421" i="8"/>
  <c r="M421" i="8" s="1"/>
  <c r="X420" i="8"/>
  <c r="W420" i="8"/>
  <c r="V420" i="8"/>
  <c r="U420" i="8"/>
  <c r="T420" i="8"/>
  <c r="S420" i="8"/>
  <c r="R420" i="8"/>
  <c r="Q420" i="8"/>
  <c r="P420" i="8"/>
  <c r="N420" i="8"/>
  <c r="O420" i="8" s="1"/>
  <c r="K420" i="8"/>
  <c r="J420" i="8"/>
  <c r="X419" i="8"/>
  <c r="W419" i="8"/>
  <c r="V419" i="8"/>
  <c r="U419" i="8"/>
  <c r="T419" i="8"/>
  <c r="S419" i="8"/>
  <c r="R419" i="8"/>
  <c r="Q419" i="8"/>
  <c r="P419" i="8"/>
  <c r="N419" i="8"/>
  <c r="O419" i="8" s="1"/>
  <c r="K419" i="8"/>
  <c r="J419" i="8"/>
  <c r="X418" i="8"/>
  <c r="W418" i="8"/>
  <c r="V418" i="8"/>
  <c r="U418" i="8"/>
  <c r="T418" i="8"/>
  <c r="S418" i="8"/>
  <c r="R418" i="8"/>
  <c r="Q418" i="8"/>
  <c r="P418" i="8"/>
  <c r="N418" i="8"/>
  <c r="O418" i="8" s="1"/>
  <c r="K418" i="8"/>
  <c r="J418" i="8"/>
  <c r="M418" i="8" s="1"/>
  <c r="X417" i="8"/>
  <c r="W417" i="8"/>
  <c r="V417" i="8"/>
  <c r="U417" i="8"/>
  <c r="T417" i="8"/>
  <c r="S417" i="8"/>
  <c r="R417" i="8"/>
  <c r="Q417" i="8"/>
  <c r="P417" i="8"/>
  <c r="N417" i="8"/>
  <c r="O417" i="8" s="1"/>
  <c r="K417" i="8"/>
  <c r="J417" i="8"/>
  <c r="X416" i="8"/>
  <c r="W416" i="8"/>
  <c r="V416" i="8"/>
  <c r="U416" i="8"/>
  <c r="T416" i="8"/>
  <c r="S416" i="8"/>
  <c r="R416" i="8"/>
  <c r="Q416" i="8"/>
  <c r="P416" i="8"/>
  <c r="N416" i="8"/>
  <c r="O416" i="8" s="1"/>
  <c r="K416" i="8"/>
  <c r="J416" i="8"/>
  <c r="X415" i="8"/>
  <c r="W415" i="8"/>
  <c r="V415" i="8"/>
  <c r="U415" i="8"/>
  <c r="T415" i="8"/>
  <c r="S415" i="8"/>
  <c r="R415" i="8"/>
  <c r="Q415" i="8"/>
  <c r="P415" i="8"/>
  <c r="N415" i="8"/>
  <c r="O415" i="8" s="1"/>
  <c r="K415" i="8"/>
  <c r="J415" i="8"/>
  <c r="M415" i="8" s="1"/>
  <c r="X414" i="8"/>
  <c r="W414" i="8"/>
  <c r="V414" i="8"/>
  <c r="U414" i="8"/>
  <c r="T414" i="8"/>
  <c r="S414" i="8"/>
  <c r="R414" i="8"/>
  <c r="Q414" i="8"/>
  <c r="P414" i="8"/>
  <c r="N414" i="8"/>
  <c r="O414" i="8" s="1"/>
  <c r="K414" i="8"/>
  <c r="J414" i="8"/>
  <c r="L414" i="8" s="1"/>
  <c r="X413" i="8"/>
  <c r="W413" i="8"/>
  <c r="V413" i="8"/>
  <c r="U413" i="8"/>
  <c r="T413" i="8"/>
  <c r="S413" i="8"/>
  <c r="R413" i="8"/>
  <c r="Q413" i="8"/>
  <c r="P413" i="8"/>
  <c r="N413" i="8"/>
  <c r="O413" i="8" s="1"/>
  <c r="K413" i="8"/>
  <c r="M413" i="8" s="1"/>
  <c r="J413" i="8"/>
  <c r="X412" i="8"/>
  <c r="W412" i="8"/>
  <c r="V412" i="8"/>
  <c r="U412" i="8"/>
  <c r="T412" i="8"/>
  <c r="S412" i="8"/>
  <c r="R412" i="8"/>
  <c r="Q412" i="8"/>
  <c r="P412" i="8"/>
  <c r="N412" i="8"/>
  <c r="O412" i="8" s="1"/>
  <c r="K412" i="8"/>
  <c r="J412" i="8"/>
  <c r="X411" i="8"/>
  <c r="W411" i="8"/>
  <c r="V411" i="8"/>
  <c r="U411" i="8"/>
  <c r="T411" i="8"/>
  <c r="S411" i="8"/>
  <c r="R411" i="8"/>
  <c r="Q411" i="8"/>
  <c r="P411" i="8"/>
  <c r="N411" i="8"/>
  <c r="O411" i="8" s="1"/>
  <c r="K411" i="8"/>
  <c r="J411" i="8"/>
  <c r="X410" i="8"/>
  <c r="W410" i="8"/>
  <c r="V410" i="8"/>
  <c r="U410" i="8"/>
  <c r="T410" i="8"/>
  <c r="S410" i="8"/>
  <c r="R410" i="8"/>
  <c r="Q410" i="8"/>
  <c r="P410" i="8"/>
  <c r="N410" i="8"/>
  <c r="O410" i="8" s="1"/>
  <c r="K410" i="8"/>
  <c r="J410" i="8"/>
  <c r="M410" i="8" s="1"/>
  <c r="X409" i="8"/>
  <c r="W409" i="8"/>
  <c r="V409" i="8"/>
  <c r="U409" i="8"/>
  <c r="T409" i="8"/>
  <c r="S409" i="8"/>
  <c r="R409" i="8"/>
  <c r="Q409" i="8"/>
  <c r="P409" i="8"/>
  <c r="N409" i="8"/>
  <c r="O409" i="8" s="1"/>
  <c r="K409" i="8"/>
  <c r="J409" i="8"/>
  <c r="M409" i="8" s="1"/>
  <c r="X408" i="8"/>
  <c r="W408" i="8"/>
  <c r="V408" i="8"/>
  <c r="U408" i="8"/>
  <c r="T408" i="8"/>
  <c r="S408" i="8"/>
  <c r="R408" i="8"/>
  <c r="Q408" i="8"/>
  <c r="P408" i="8"/>
  <c r="N408" i="8"/>
  <c r="O408" i="8" s="1"/>
  <c r="K408" i="8"/>
  <c r="J408" i="8"/>
  <c r="X407" i="8"/>
  <c r="W407" i="8"/>
  <c r="V407" i="8"/>
  <c r="U407" i="8"/>
  <c r="T407" i="8"/>
  <c r="S407" i="8"/>
  <c r="R407" i="8"/>
  <c r="Q407" i="8"/>
  <c r="P407" i="8"/>
  <c r="N407" i="8"/>
  <c r="O407" i="8" s="1"/>
  <c r="K407" i="8"/>
  <c r="J407" i="8"/>
  <c r="L407" i="8" s="1"/>
  <c r="X406" i="8"/>
  <c r="W406" i="8"/>
  <c r="V406" i="8"/>
  <c r="U406" i="8"/>
  <c r="T406" i="8"/>
  <c r="S406" i="8"/>
  <c r="R406" i="8"/>
  <c r="Q406" i="8"/>
  <c r="P406" i="8"/>
  <c r="N406" i="8"/>
  <c r="O406" i="8" s="1"/>
  <c r="K406" i="8"/>
  <c r="J406" i="8"/>
  <c r="X405" i="8"/>
  <c r="W405" i="8"/>
  <c r="V405" i="8"/>
  <c r="U405" i="8"/>
  <c r="T405" i="8"/>
  <c r="S405" i="8"/>
  <c r="R405" i="8"/>
  <c r="Q405" i="8"/>
  <c r="P405" i="8"/>
  <c r="N405" i="8"/>
  <c r="O405" i="8" s="1"/>
  <c r="K405" i="8"/>
  <c r="J405" i="8"/>
  <c r="X404" i="8"/>
  <c r="W404" i="8"/>
  <c r="V404" i="8"/>
  <c r="U404" i="8"/>
  <c r="T404" i="8"/>
  <c r="S404" i="8"/>
  <c r="R404" i="8"/>
  <c r="Q404" i="8"/>
  <c r="P404" i="8"/>
  <c r="N404" i="8"/>
  <c r="O404" i="8" s="1"/>
  <c r="K404" i="8"/>
  <c r="M404" i="8" s="1"/>
  <c r="J404" i="8"/>
  <c r="X403" i="8"/>
  <c r="W403" i="8"/>
  <c r="V403" i="8"/>
  <c r="U403" i="8"/>
  <c r="T403" i="8"/>
  <c r="S403" i="8"/>
  <c r="R403" i="8"/>
  <c r="Q403" i="8"/>
  <c r="P403" i="8"/>
  <c r="N403" i="8"/>
  <c r="O403" i="8" s="1"/>
  <c r="K403" i="8"/>
  <c r="J403" i="8"/>
  <c r="M403" i="8" s="1"/>
  <c r="X402" i="8"/>
  <c r="W402" i="8"/>
  <c r="V402" i="8"/>
  <c r="U402" i="8"/>
  <c r="T402" i="8"/>
  <c r="S402" i="8"/>
  <c r="R402" i="8"/>
  <c r="Q402" i="8"/>
  <c r="P402" i="8"/>
  <c r="N402" i="8"/>
  <c r="O402" i="8" s="1"/>
  <c r="K402" i="8"/>
  <c r="J402" i="8"/>
  <c r="X401" i="8"/>
  <c r="W401" i="8"/>
  <c r="V401" i="8"/>
  <c r="U401" i="8"/>
  <c r="T401" i="8"/>
  <c r="S401" i="8"/>
  <c r="R401" i="8"/>
  <c r="Q401" i="8"/>
  <c r="P401" i="8"/>
  <c r="N401" i="8"/>
  <c r="O401" i="8" s="1"/>
  <c r="K401" i="8"/>
  <c r="J401" i="8"/>
  <c r="X400" i="8"/>
  <c r="W400" i="8"/>
  <c r="V400" i="8"/>
  <c r="U400" i="8"/>
  <c r="T400" i="8"/>
  <c r="S400" i="8"/>
  <c r="R400" i="8"/>
  <c r="Q400" i="8"/>
  <c r="P400" i="8"/>
  <c r="N400" i="8"/>
  <c r="O400" i="8" s="1"/>
  <c r="K400" i="8"/>
  <c r="J400" i="8"/>
  <c r="L400" i="8" s="1"/>
  <c r="X399" i="8"/>
  <c r="W399" i="8"/>
  <c r="V399" i="8"/>
  <c r="U399" i="8"/>
  <c r="T399" i="8"/>
  <c r="S399" i="8"/>
  <c r="R399" i="8"/>
  <c r="Q399" i="8"/>
  <c r="P399" i="8"/>
  <c r="N399" i="8"/>
  <c r="O399" i="8" s="1"/>
  <c r="K399" i="8"/>
  <c r="J399" i="8"/>
  <c r="X398" i="8"/>
  <c r="W398" i="8"/>
  <c r="V398" i="8"/>
  <c r="U398" i="8"/>
  <c r="T398" i="8"/>
  <c r="S398" i="8"/>
  <c r="R398" i="8"/>
  <c r="Q398" i="8"/>
  <c r="P398" i="8"/>
  <c r="N398" i="8"/>
  <c r="O398" i="8" s="1"/>
  <c r="K398" i="8"/>
  <c r="J398" i="8"/>
  <c r="X397" i="8"/>
  <c r="W397" i="8"/>
  <c r="V397" i="8"/>
  <c r="U397" i="8"/>
  <c r="T397" i="8"/>
  <c r="S397" i="8"/>
  <c r="R397" i="8"/>
  <c r="Q397" i="8"/>
  <c r="P397" i="8"/>
  <c r="N397" i="8"/>
  <c r="O397" i="8" s="1"/>
  <c r="K397" i="8"/>
  <c r="J397" i="8"/>
  <c r="X396" i="8"/>
  <c r="W396" i="8"/>
  <c r="V396" i="8"/>
  <c r="U396" i="8"/>
  <c r="T396" i="8"/>
  <c r="S396" i="8"/>
  <c r="R396" i="8"/>
  <c r="Q396" i="8"/>
  <c r="P396" i="8"/>
  <c r="N396" i="8"/>
  <c r="O396" i="8" s="1"/>
  <c r="K396" i="8"/>
  <c r="J396" i="8"/>
  <c r="X395" i="8"/>
  <c r="W395" i="8"/>
  <c r="V395" i="8"/>
  <c r="U395" i="8"/>
  <c r="T395" i="8"/>
  <c r="S395" i="8"/>
  <c r="R395" i="8"/>
  <c r="Q395" i="8"/>
  <c r="P395" i="8"/>
  <c r="N395" i="8"/>
  <c r="O395" i="8" s="1"/>
  <c r="K395" i="8"/>
  <c r="J395" i="8"/>
  <c r="M395" i="8" s="1"/>
  <c r="X394" i="8"/>
  <c r="W394" i="8"/>
  <c r="V394" i="8"/>
  <c r="U394" i="8"/>
  <c r="T394" i="8"/>
  <c r="S394" i="8"/>
  <c r="R394" i="8"/>
  <c r="Q394" i="8"/>
  <c r="P394" i="8"/>
  <c r="N394" i="8"/>
  <c r="O394" i="8" s="1"/>
  <c r="K394" i="8"/>
  <c r="J394" i="8"/>
  <c r="M394" i="8" s="1"/>
  <c r="X393" i="8"/>
  <c r="W393" i="8"/>
  <c r="V393" i="8"/>
  <c r="U393" i="8"/>
  <c r="T393" i="8"/>
  <c r="S393" i="8"/>
  <c r="R393" i="8"/>
  <c r="Q393" i="8"/>
  <c r="P393" i="8"/>
  <c r="N393" i="8"/>
  <c r="O393" i="8" s="1"/>
  <c r="K393" i="8"/>
  <c r="J393" i="8"/>
  <c r="M393" i="8" s="1"/>
  <c r="X392" i="8"/>
  <c r="W392" i="8"/>
  <c r="V392" i="8"/>
  <c r="U392" i="8"/>
  <c r="T392" i="8"/>
  <c r="S392" i="8"/>
  <c r="R392" i="8"/>
  <c r="Q392" i="8"/>
  <c r="P392" i="8"/>
  <c r="N392" i="8"/>
  <c r="O392" i="8" s="1"/>
  <c r="K392" i="8"/>
  <c r="J392" i="8"/>
  <c r="X391" i="8"/>
  <c r="W391" i="8"/>
  <c r="V391" i="8"/>
  <c r="U391" i="8"/>
  <c r="T391" i="8"/>
  <c r="S391" i="8"/>
  <c r="R391" i="8"/>
  <c r="Q391" i="8"/>
  <c r="P391" i="8"/>
  <c r="N391" i="8"/>
  <c r="O391" i="8" s="1"/>
  <c r="K391" i="8"/>
  <c r="J391" i="8"/>
  <c r="M391" i="8" s="1"/>
  <c r="X390" i="8"/>
  <c r="W390" i="8"/>
  <c r="V390" i="8"/>
  <c r="U390" i="8"/>
  <c r="T390" i="8"/>
  <c r="S390" i="8"/>
  <c r="R390" i="8"/>
  <c r="Q390" i="8"/>
  <c r="P390" i="8"/>
  <c r="N390" i="8"/>
  <c r="O390" i="8" s="1"/>
  <c r="K390" i="8"/>
  <c r="J390" i="8"/>
  <c r="X389" i="8"/>
  <c r="W389" i="8"/>
  <c r="V389" i="8"/>
  <c r="U389" i="8"/>
  <c r="T389" i="8"/>
  <c r="S389" i="8"/>
  <c r="R389" i="8"/>
  <c r="Q389" i="8"/>
  <c r="P389" i="8"/>
  <c r="N389" i="8"/>
  <c r="O389" i="8" s="1"/>
  <c r="K389" i="8"/>
  <c r="J389" i="8"/>
  <c r="M389" i="8" s="1"/>
  <c r="X388" i="8"/>
  <c r="W388" i="8"/>
  <c r="V388" i="8"/>
  <c r="U388" i="8"/>
  <c r="T388" i="8"/>
  <c r="S388" i="8"/>
  <c r="R388" i="8"/>
  <c r="Q388" i="8"/>
  <c r="P388" i="8"/>
  <c r="N388" i="8"/>
  <c r="O388" i="8" s="1"/>
  <c r="K388" i="8"/>
  <c r="M388" i="8" s="1"/>
  <c r="J388" i="8"/>
  <c r="X387" i="8"/>
  <c r="W387" i="8"/>
  <c r="V387" i="8"/>
  <c r="U387" i="8"/>
  <c r="T387" i="8"/>
  <c r="S387" i="8"/>
  <c r="R387" i="8"/>
  <c r="Q387" i="8"/>
  <c r="P387" i="8"/>
  <c r="N387" i="8"/>
  <c r="O387" i="8" s="1"/>
  <c r="K387" i="8"/>
  <c r="J387" i="8"/>
  <c r="X386" i="8"/>
  <c r="W386" i="8"/>
  <c r="V386" i="8"/>
  <c r="U386" i="8"/>
  <c r="T386" i="8"/>
  <c r="S386" i="8"/>
  <c r="R386" i="8"/>
  <c r="Q386" i="8"/>
  <c r="P386" i="8"/>
  <c r="N386" i="8"/>
  <c r="O386" i="8" s="1"/>
  <c r="K386" i="8"/>
  <c r="J386" i="8"/>
  <c r="X385" i="8"/>
  <c r="W385" i="8"/>
  <c r="V385" i="8"/>
  <c r="U385" i="8"/>
  <c r="T385" i="8"/>
  <c r="S385" i="8"/>
  <c r="R385" i="8"/>
  <c r="Q385" i="8"/>
  <c r="P385" i="8"/>
  <c r="N385" i="8"/>
  <c r="O385" i="8" s="1"/>
  <c r="K385" i="8"/>
  <c r="J385" i="8"/>
  <c r="L385" i="8" s="1"/>
  <c r="X384" i="8"/>
  <c r="W384" i="8"/>
  <c r="V384" i="8"/>
  <c r="U384" i="8"/>
  <c r="T384" i="8"/>
  <c r="S384" i="8"/>
  <c r="R384" i="8"/>
  <c r="Q384" i="8"/>
  <c r="P384" i="8"/>
  <c r="N384" i="8"/>
  <c r="O384" i="8" s="1"/>
  <c r="K384" i="8"/>
  <c r="J384" i="8"/>
  <c r="X383" i="8"/>
  <c r="W383" i="8"/>
  <c r="V383" i="8"/>
  <c r="U383" i="8"/>
  <c r="T383" i="8"/>
  <c r="S383" i="8"/>
  <c r="R383" i="8"/>
  <c r="Q383" i="8"/>
  <c r="P383" i="8"/>
  <c r="N383" i="8"/>
  <c r="O383" i="8" s="1"/>
  <c r="M383" i="8"/>
  <c r="K383" i="8"/>
  <c r="J383" i="8"/>
  <c r="L383" i="8" s="1"/>
  <c r="X382" i="8"/>
  <c r="W382" i="8"/>
  <c r="V382" i="8"/>
  <c r="U382" i="8"/>
  <c r="T382" i="8"/>
  <c r="S382" i="8"/>
  <c r="R382" i="8"/>
  <c r="Q382" i="8"/>
  <c r="P382" i="8"/>
  <c r="N382" i="8"/>
  <c r="O382" i="8" s="1"/>
  <c r="K382" i="8"/>
  <c r="J382" i="8"/>
  <c r="M382" i="8" s="1"/>
  <c r="X381" i="8"/>
  <c r="W381" i="8"/>
  <c r="V381" i="8"/>
  <c r="U381" i="8"/>
  <c r="T381" i="8"/>
  <c r="S381" i="8"/>
  <c r="R381" i="8"/>
  <c r="Q381" i="8"/>
  <c r="P381" i="8"/>
  <c r="N381" i="8"/>
  <c r="O381" i="8" s="1"/>
  <c r="K381" i="8"/>
  <c r="L381" i="8" s="1"/>
  <c r="J381" i="8"/>
  <c r="X380" i="8"/>
  <c r="W380" i="8"/>
  <c r="V380" i="8"/>
  <c r="U380" i="8"/>
  <c r="T380" i="8"/>
  <c r="S380" i="8"/>
  <c r="R380" i="8"/>
  <c r="Q380" i="8"/>
  <c r="P380" i="8"/>
  <c r="N380" i="8"/>
  <c r="O380" i="8" s="1"/>
  <c r="K380" i="8"/>
  <c r="J380" i="8"/>
  <c r="M380" i="8" s="1"/>
  <c r="X379" i="8"/>
  <c r="W379" i="8"/>
  <c r="V379" i="8"/>
  <c r="U379" i="8"/>
  <c r="T379" i="8"/>
  <c r="S379" i="8"/>
  <c r="R379" i="8"/>
  <c r="Q379" i="8"/>
  <c r="P379" i="8"/>
  <c r="N379" i="8"/>
  <c r="O379" i="8" s="1"/>
  <c r="K379" i="8"/>
  <c r="J379" i="8"/>
  <c r="X378" i="8"/>
  <c r="W378" i="8"/>
  <c r="V378" i="8"/>
  <c r="U378" i="8"/>
  <c r="T378" i="8"/>
  <c r="S378" i="8"/>
  <c r="R378" i="8"/>
  <c r="Q378" i="8"/>
  <c r="P378" i="8"/>
  <c r="N378" i="8"/>
  <c r="O378" i="8" s="1"/>
  <c r="K378" i="8"/>
  <c r="J378" i="8"/>
  <c r="X377" i="8"/>
  <c r="W377" i="8"/>
  <c r="V377" i="8"/>
  <c r="U377" i="8"/>
  <c r="T377" i="8"/>
  <c r="S377" i="8"/>
  <c r="R377" i="8"/>
  <c r="Q377" i="8"/>
  <c r="P377" i="8"/>
  <c r="N377" i="8"/>
  <c r="O377" i="8" s="1"/>
  <c r="K377" i="8"/>
  <c r="J377" i="8"/>
  <c r="X376" i="8"/>
  <c r="W376" i="8"/>
  <c r="V376" i="8"/>
  <c r="U376" i="8"/>
  <c r="T376" i="8"/>
  <c r="S376" i="8"/>
  <c r="R376" i="8"/>
  <c r="Q376" i="8"/>
  <c r="P376" i="8"/>
  <c r="N376" i="8"/>
  <c r="O376" i="8" s="1"/>
  <c r="K376" i="8"/>
  <c r="J376" i="8"/>
  <c r="L376" i="8" s="1"/>
  <c r="X375" i="8"/>
  <c r="W375" i="8"/>
  <c r="V375" i="8"/>
  <c r="U375" i="8"/>
  <c r="T375" i="8"/>
  <c r="S375" i="8"/>
  <c r="R375" i="8"/>
  <c r="Q375" i="8"/>
  <c r="P375" i="8"/>
  <c r="N375" i="8"/>
  <c r="O375" i="8" s="1"/>
  <c r="K375" i="8"/>
  <c r="J375" i="8"/>
  <c r="L375" i="8" s="1"/>
  <c r="X374" i="8"/>
  <c r="W374" i="8"/>
  <c r="V374" i="8"/>
  <c r="U374" i="8"/>
  <c r="T374" i="8"/>
  <c r="S374" i="8"/>
  <c r="R374" i="8"/>
  <c r="Q374" i="8"/>
  <c r="P374" i="8"/>
  <c r="N374" i="8"/>
  <c r="O374" i="8" s="1"/>
  <c r="M374" i="8"/>
  <c r="K374" i="8"/>
  <c r="J374" i="8"/>
  <c r="L374" i="8" s="1"/>
  <c r="X373" i="8"/>
  <c r="W373" i="8"/>
  <c r="V373" i="8"/>
  <c r="U373" i="8"/>
  <c r="T373" i="8"/>
  <c r="S373" i="8"/>
  <c r="R373" i="8"/>
  <c r="Q373" i="8"/>
  <c r="P373" i="8"/>
  <c r="N373" i="8"/>
  <c r="O373" i="8" s="1"/>
  <c r="K373" i="8"/>
  <c r="J373" i="8"/>
  <c r="X372" i="8"/>
  <c r="W372" i="8"/>
  <c r="V372" i="8"/>
  <c r="U372" i="8"/>
  <c r="T372" i="8"/>
  <c r="S372" i="8"/>
  <c r="R372" i="8"/>
  <c r="Q372" i="8"/>
  <c r="P372" i="8"/>
  <c r="N372" i="8"/>
  <c r="O372" i="8" s="1"/>
  <c r="K372" i="8"/>
  <c r="J372" i="8"/>
  <c r="X371" i="8"/>
  <c r="W371" i="8"/>
  <c r="V371" i="8"/>
  <c r="U371" i="8"/>
  <c r="T371" i="8"/>
  <c r="S371" i="8"/>
  <c r="R371" i="8"/>
  <c r="Q371" i="8"/>
  <c r="P371" i="8"/>
  <c r="N371" i="8"/>
  <c r="O371" i="8" s="1"/>
  <c r="K371" i="8"/>
  <c r="J371" i="8"/>
  <c r="M371" i="8" s="1"/>
  <c r="X370" i="8"/>
  <c r="W370" i="8"/>
  <c r="V370" i="8"/>
  <c r="U370" i="8"/>
  <c r="T370" i="8"/>
  <c r="S370" i="8"/>
  <c r="R370" i="8"/>
  <c r="Q370" i="8"/>
  <c r="P370" i="8"/>
  <c r="N370" i="8"/>
  <c r="O370" i="8" s="1"/>
  <c r="K370" i="8"/>
  <c r="J370" i="8"/>
  <c r="X369" i="8"/>
  <c r="W369" i="8"/>
  <c r="V369" i="8"/>
  <c r="U369" i="8"/>
  <c r="T369" i="8"/>
  <c r="S369" i="8"/>
  <c r="R369" i="8"/>
  <c r="Q369" i="8"/>
  <c r="P369" i="8"/>
  <c r="N369" i="8"/>
  <c r="O369" i="8" s="1"/>
  <c r="K369" i="8"/>
  <c r="J369" i="8"/>
  <c r="X368" i="8"/>
  <c r="W368" i="8"/>
  <c r="V368" i="8"/>
  <c r="U368" i="8"/>
  <c r="T368" i="8"/>
  <c r="S368" i="8"/>
  <c r="R368" i="8"/>
  <c r="Q368" i="8"/>
  <c r="P368" i="8"/>
  <c r="N368" i="8"/>
  <c r="O368" i="8" s="1"/>
  <c r="K368" i="8"/>
  <c r="J368" i="8"/>
  <c r="X367" i="8"/>
  <c r="W367" i="8"/>
  <c r="V367" i="8"/>
  <c r="U367" i="8"/>
  <c r="T367" i="8"/>
  <c r="S367" i="8"/>
  <c r="R367" i="8"/>
  <c r="Q367" i="8"/>
  <c r="P367" i="8"/>
  <c r="N367" i="8"/>
  <c r="O367" i="8" s="1"/>
  <c r="K367" i="8"/>
  <c r="J367" i="8"/>
  <c r="X366" i="8"/>
  <c r="W366" i="8"/>
  <c r="V366" i="8"/>
  <c r="U366" i="8"/>
  <c r="T366" i="8"/>
  <c r="S366" i="8"/>
  <c r="R366" i="8"/>
  <c r="Q366" i="8"/>
  <c r="P366" i="8"/>
  <c r="N366" i="8"/>
  <c r="O366" i="8" s="1"/>
  <c r="K366" i="8"/>
  <c r="J366" i="8"/>
  <c r="M366" i="8" s="1"/>
  <c r="X365" i="8"/>
  <c r="W365" i="8"/>
  <c r="V365" i="8"/>
  <c r="U365" i="8"/>
  <c r="T365" i="8"/>
  <c r="S365" i="8"/>
  <c r="R365" i="8"/>
  <c r="Q365" i="8"/>
  <c r="P365" i="8"/>
  <c r="N365" i="8"/>
  <c r="O365" i="8" s="1"/>
  <c r="K365" i="8"/>
  <c r="J365" i="8"/>
  <c r="X364" i="8"/>
  <c r="W364" i="8"/>
  <c r="V364" i="8"/>
  <c r="U364" i="8"/>
  <c r="T364" i="8"/>
  <c r="S364" i="8"/>
  <c r="R364" i="8"/>
  <c r="Q364" i="8"/>
  <c r="P364" i="8"/>
  <c r="N364" i="8"/>
  <c r="O364" i="8" s="1"/>
  <c r="K364" i="8"/>
  <c r="J364" i="8"/>
  <c r="X363" i="8"/>
  <c r="W363" i="8"/>
  <c r="V363" i="8"/>
  <c r="U363" i="8"/>
  <c r="T363" i="8"/>
  <c r="S363" i="8"/>
  <c r="R363" i="8"/>
  <c r="Q363" i="8"/>
  <c r="P363" i="8"/>
  <c r="N363" i="8"/>
  <c r="O363" i="8" s="1"/>
  <c r="K363" i="8"/>
  <c r="J363" i="8"/>
  <c r="X362" i="8"/>
  <c r="W362" i="8"/>
  <c r="V362" i="8"/>
  <c r="U362" i="8"/>
  <c r="T362" i="8"/>
  <c r="S362" i="8"/>
  <c r="R362" i="8"/>
  <c r="Q362" i="8"/>
  <c r="P362" i="8"/>
  <c r="N362" i="8"/>
  <c r="O362" i="8" s="1"/>
  <c r="K362" i="8"/>
  <c r="J362" i="8"/>
  <c r="M362" i="8" s="1"/>
  <c r="X361" i="8"/>
  <c r="W361" i="8"/>
  <c r="V361" i="8"/>
  <c r="U361" i="8"/>
  <c r="T361" i="8"/>
  <c r="S361" i="8"/>
  <c r="R361" i="8"/>
  <c r="Q361" i="8"/>
  <c r="P361" i="8"/>
  <c r="N361" i="8"/>
  <c r="O361" i="8" s="1"/>
  <c r="K361" i="8"/>
  <c r="J361" i="8"/>
  <c r="X360" i="8"/>
  <c r="W360" i="8"/>
  <c r="V360" i="8"/>
  <c r="U360" i="8"/>
  <c r="T360" i="8"/>
  <c r="S360" i="8"/>
  <c r="R360" i="8"/>
  <c r="Q360" i="8"/>
  <c r="P360" i="8"/>
  <c r="N360" i="8"/>
  <c r="O360" i="8" s="1"/>
  <c r="K360" i="8"/>
  <c r="J360" i="8"/>
  <c r="X359" i="8"/>
  <c r="W359" i="8"/>
  <c r="V359" i="8"/>
  <c r="U359" i="8"/>
  <c r="T359" i="8"/>
  <c r="S359" i="8"/>
  <c r="R359" i="8"/>
  <c r="Q359" i="8"/>
  <c r="P359" i="8"/>
  <c r="N359" i="8"/>
  <c r="O359" i="8" s="1"/>
  <c r="K359" i="8"/>
  <c r="J359" i="8"/>
  <c r="X358" i="8"/>
  <c r="W358" i="8"/>
  <c r="V358" i="8"/>
  <c r="U358" i="8"/>
  <c r="T358" i="8"/>
  <c r="S358" i="8"/>
  <c r="R358" i="8"/>
  <c r="Q358" i="8"/>
  <c r="P358" i="8"/>
  <c r="N358" i="8"/>
  <c r="O358" i="8" s="1"/>
  <c r="K358" i="8"/>
  <c r="J358" i="8"/>
  <c r="X357" i="8"/>
  <c r="W357" i="8"/>
  <c r="V357" i="8"/>
  <c r="U357" i="8"/>
  <c r="T357" i="8"/>
  <c r="S357" i="8"/>
  <c r="R357" i="8"/>
  <c r="Q357" i="8"/>
  <c r="P357" i="8"/>
  <c r="N357" i="8"/>
  <c r="O357" i="8" s="1"/>
  <c r="K357" i="8"/>
  <c r="J357" i="8"/>
  <c r="M357" i="8" s="1"/>
  <c r="X356" i="8"/>
  <c r="W356" i="8"/>
  <c r="V356" i="8"/>
  <c r="U356" i="8"/>
  <c r="T356" i="8"/>
  <c r="S356" i="8"/>
  <c r="R356" i="8"/>
  <c r="Q356" i="8"/>
  <c r="P356" i="8"/>
  <c r="N356" i="8"/>
  <c r="O356" i="8" s="1"/>
  <c r="K356" i="8"/>
  <c r="J356" i="8"/>
  <c r="X355" i="8"/>
  <c r="W355" i="8"/>
  <c r="V355" i="8"/>
  <c r="U355" i="8"/>
  <c r="T355" i="8"/>
  <c r="S355" i="8"/>
  <c r="R355" i="8"/>
  <c r="Q355" i="8"/>
  <c r="P355" i="8"/>
  <c r="N355" i="8"/>
  <c r="O355" i="8" s="1"/>
  <c r="K355" i="8"/>
  <c r="J355" i="8"/>
  <c r="L355" i="8" s="1"/>
  <c r="X354" i="8"/>
  <c r="W354" i="8"/>
  <c r="V354" i="8"/>
  <c r="U354" i="8"/>
  <c r="T354" i="8"/>
  <c r="S354" i="8"/>
  <c r="R354" i="8"/>
  <c r="Q354" i="8"/>
  <c r="P354" i="8"/>
  <c r="O354" i="8"/>
  <c r="N354" i="8"/>
  <c r="K354" i="8"/>
  <c r="J354" i="8"/>
  <c r="X353" i="8"/>
  <c r="W353" i="8"/>
  <c r="V353" i="8"/>
  <c r="U353" i="8"/>
  <c r="T353" i="8"/>
  <c r="S353" i="8"/>
  <c r="R353" i="8"/>
  <c r="Q353" i="8"/>
  <c r="P353" i="8"/>
  <c r="N353" i="8"/>
  <c r="O353" i="8" s="1"/>
  <c r="K353" i="8"/>
  <c r="J353" i="8"/>
  <c r="M353" i="8" s="1"/>
  <c r="X352" i="8"/>
  <c r="W352" i="8"/>
  <c r="V352" i="8"/>
  <c r="U352" i="8"/>
  <c r="T352" i="8"/>
  <c r="S352" i="8"/>
  <c r="R352" i="8"/>
  <c r="Q352" i="8"/>
  <c r="P352" i="8"/>
  <c r="N352" i="8"/>
  <c r="O352" i="8" s="1"/>
  <c r="K352" i="8"/>
  <c r="J352" i="8"/>
  <c r="M352" i="8" s="1"/>
  <c r="X351" i="8"/>
  <c r="W351" i="8"/>
  <c r="V351" i="8"/>
  <c r="U351" i="8"/>
  <c r="T351" i="8"/>
  <c r="S351" i="8"/>
  <c r="R351" i="8"/>
  <c r="Q351" i="8"/>
  <c r="P351" i="8"/>
  <c r="N351" i="8"/>
  <c r="O351" i="8" s="1"/>
  <c r="K351" i="8"/>
  <c r="J351" i="8"/>
  <c r="X350" i="8"/>
  <c r="W350" i="8"/>
  <c r="V350" i="8"/>
  <c r="U350" i="8"/>
  <c r="T350" i="8"/>
  <c r="S350" i="8"/>
  <c r="R350" i="8"/>
  <c r="Q350" i="8"/>
  <c r="P350" i="8"/>
  <c r="N350" i="8"/>
  <c r="O350" i="8" s="1"/>
  <c r="K350" i="8"/>
  <c r="J350" i="8"/>
  <c r="X349" i="8"/>
  <c r="W349" i="8"/>
  <c r="V349" i="8"/>
  <c r="U349" i="8"/>
  <c r="T349" i="8"/>
  <c r="S349" i="8"/>
  <c r="R349" i="8"/>
  <c r="Q349" i="8"/>
  <c r="P349" i="8"/>
  <c r="N349" i="8"/>
  <c r="O349" i="8" s="1"/>
  <c r="K349" i="8"/>
  <c r="J349" i="8"/>
  <c r="X348" i="8"/>
  <c r="W348" i="8"/>
  <c r="V348" i="8"/>
  <c r="U348" i="8"/>
  <c r="T348" i="8"/>
  <c r="S348" i="8"/>
  <c r="R348" i="8"/>
  <c r="Q348" i="8"/>
  <c r="P348" i="8"/>
  <c r="N348" i="8"/>
  <c r="O348" i="8" s="1"/>
  <c r="K348" i="8"/>
  <c r="J348" i="8"/>
  <c r="L348" i="8" s="1"/>
  <c r="X347" i="8"/>
  <c r="W347" i="8"/>
  <c r="V347" i="8"/>
  <c r="U347" i="8"/>
  <c r="T347" i="8"/>
  <c r="S347" i="8"/>
  <c r="R347" i="8"/>
  <c r="Q347" i="8"/>
  <c r="P347" i="8"/>
  <c r="N347" i="8"/>
  <c r="O347" i="8" s="1"/>
  <c r="K347" i="8"/>
  <c r="J347" i="8"/>
  <c r="M347" i="8" s="1"/>
  <c r="X346" i="8"/>
  <c r="W346" i="8"/>
  <c r="V346" i="8"/>
  <c r="U346" i="8"/>
  <c r="T346" i="8"/>
  <c r="S346" i="8"/>
  <c r="R346" i="8"/>
  <c r="Q346" i="8"/>
  <c r="P346" i="8"/>
  <c r="N346" i="8"/>
  <c r="O346" i="8" s="1"/>
  <c r="K346" i="8"/>
  <c r="J346" i="8"/>
  <c r="X345" i="8"/>
  <c r="W345" i="8"/>
  <c r="V345" i="8"/>
  <c r="U345" i="8"/>
  <c r="T345" i="8"/>
  <c r="S345" i="8"/>
  <c r="R345" i="8"/>
  <c r="Q345" i="8"/>
  <c r="P345" i="8"/>
  <c r="N345" i="8"/>
  <c r="O345" i="8" s="1"/>
  <c r="K345" i="8"/>
  <c r="J345" i="8"/>
  <c r="X344" i="8"/>
  <c r="W344" i="8"/>
  <c r="V344" i="8"/>
  <c r="U344" i="8"/>
  <c r="T344" i="8"/>
  <c r="S344" i="8"/>
  <c r="R344" i="8"/>
  <c r="Q344" i="8"/>
  <c r="P344" i="8"/>
  <c r="N344" i="8"/>
  <c r="O344" i="8" s="1"/>
  <c r="K344" i="8"/>
  <c r="M344" i="8" s="1"/>
  <c r="J344" i="8"/>
  <c r="X343" i="8"/>
  <c r="W343" i="8"/>
  <c r="V343" i="8"/>
  <c r="U343" i="8"/>
  <c r="T343" i="8"/>
  <c r="S343" i="8"/>
  <c r="R343" i="8"/>
  <c r="Q343" i="8"/>
  <c r="P343" i="8"/>
  <c r="N343" i="8"/>
  <c r="O343" i="8" s="1"/>
  <c r="K343" i="8"/>
  <c r="J343" i="8"/>
  <c r="L343" i="8" s="1"/>
  <c r="X342" i="8"/>
  <c r="W342" i="8"/>
  <c r="V342" i="8"/>
  <c r="U342" i="8"/>
  <c r="T342" i="8"/>
  <c r="S342" i="8"/>
  <c r="R342" i="8"/>
  <c r="Q342" i="8"/>
  <c r="P342" i="8"/>
  <c r="N342" i="8"/>
  <c r="O342" i="8" s="1"/>
  <c r="M342" i="8"/>
  <c r="K342" i="8"/>
  <c r="J342" i="8"/>
  <c r="L342" i="8" s="1"/>
  <c r="X341" i="8"/>
  <c r="W341" i="8"/>
  <c r="V341" i="8"/>
  <c r="U341" i="8"/>
  <c r="T341" i="8"/>
  <c r="S341" i="8"/>
  <c r="R341" i="8"/>
  <c r="Q341" i="8"/>
  <c r="P341" i="8"/>
  <c r="N341" i="8"/>
  <c r="O341" i="8" s="1"/>
  <c r="K341" i="8"/>
  <c r="J341" i="8"/>
  <c r="X340" i="8"/>
  <c r="W340" i="8"/>
  <c r="V340" i="8"/>
  <c r="U340" i="8"/>
  <c r="T340" i="8"/>
  <c r="S340" i="8"/>
  <c r="R340" i="8"/>
  <c r="Q340" i="8"/>
  <c r="P340" i="8"/>
  <c r="N340" i="8"/>
  <c r="O340" i="8" s="1"/>
  <c r="K340" i="8"/>
  <c r="M340" i="8" s="1"/>
  <c r="J340" i="8"/>
  <c r="X339" i="8"/>
  <c r="W339" i="8"/>
  <c r="V339" i="8"/>
  <c r="U339" i="8"/>
  <c r="T339" i="8"/>
  <c r="S339" i="8"/>
  <c r="R339" i="8"/>
  <c r="Q339" i="8"/>
  <c r="P339" i="8"/>
  <c r="N339" i="8"/>
  <c r="O339" i="8" s="1"/>
  <c r="K339" i="8"/>
  <c r="J339" i="8"/>
  <c r="X338" i="8"/>
  <c r="W338" i="8"/>
  <c r="V338" i="8"/>
  <c r="U338" i="8"/>
  <c r="T338" i="8"/>
  <c r="S338" i="8"/>
  <c r="R338" i="8"/>
  <c r="Q338" i="8"/>
  <c r="P338" i="8"/>
  <c r="N338" i="8"/>
  <c r="O338" i="8" s="1"/>
  <c r="K338" i="8"/>
  <c r="J338" i="8"/>
  <c r="X337" i="8"/>
  <c r="W337" i="8"/>
  <c r="V337" i="8"/>
  <c r="U337" i="8"/>
  <c r="T337" i="8"/>
  <c r="S337" i="8"/>
  <c r="R337" i="8"/>
  <c r="Q337" i="8"/>
  <c r="P337" i="8"/>
  <c r="N337" i="8"/>
  <c r="O337" i="8" s="1"/>
  <c r="K337" i="8"/>
  <c r="J337" i="8"/>
  <c r="M337" i="8" s="1"/>
  <c r="X336" i="8"/>
  <c r="W336" i="8"/>
  <c r="V336" i="8"/>
  <c r="U336" i="8"/>
  <c r="T336" i="8"/>
  <c r="S336" i="8"/>
  <c r="R336" i="8"/>
  <c r="Q336" i="8"/>
  <c r="P336" i="8"/>
  <c r="N336" i="8"/>
  <c r="O336" i="8" s="1"/>
  <c r="K336" i="8"/>
  <c r="J336" i="8"/>
  <c r="X335" i="8"/>
  <c r="W335" i="8"/>
  <c r="V335" i="8"/>
  <c r="U335" i="8"/>
  <c r="T335" i="8"/>
  <c r="S335" i="8"/>
  <c r="R335" i="8"/>
  <c r="Q335" i="8"/>
  <c r="P335" i="8"/>
  <c r="N335" i="8"/>
  <c r="O335" i="8" s="1"/>
  <c r="K335" i="8"/>
  <c r="J335" i="8"/>
  <c r="X334" i="8"/>
  <c r="W334" i="8"/>
  <c r="V334" i="8"/>
  <c r="U334" i="8"/>
  <c r="T334" i="8"/>
  <c r="S334" i="8"/>
  <c r="R334" i="8"/>
  <c r="Q334" i="8"/>
  <c r="P334" i="8"/>
  <c r="N334" i="8"/>
  <c r="O334" i="8" s="1"/>
  <c r="K334" i="8"/>
  <c r="J334" i="8"/>
  <c r="X333" i="8"/>
  <c r="W333" i="8"/>
  <c r="V333" i="8"/>
  <c r="U333" i="8"/>
  <c r="T333" i="8"/>
  <c r="S333" i="8"/>
  <c r="R333" i="8"/>
  <c r="Q333" i="8"/>
  <c r="P333" i="8"/>
  <c r="N333" i="8"/>
  <c r="O333" i="8" s="1"/>
  <c r="K333" i="8"/>
  <c r="J333" i="8"/>
  <c r="L333" i="8" s="1"/>
  <c r="X332" i="8"/>
  <c r="W332" i="8"/>
  <c r="V332" i="8"/>
  <c r="U332" i="8"/>
  <c r="T332" i="8"/>
  <c r="S332" i="8"/>
  <c r="R332" i="8"/>
  <c r="Q332" i="8"/>
  <c r="P332" i="8"/>
  <c r="N332" i="8"/>
  <c r="O332" i="8" s="1"/>
  <c r="K332" i="8"/>
  <c r="J332" i="8"/>
  <c r="X331" i="8"/>
  <c r="W331" i="8"/>
  <c r="V331" i="8"/>
  <c r="U331" i="8"/>
  <c r="T331" i="8"/>
  <c r="S331" i="8"/>
  <c r="R331" i="8"/>
  <c r="Q331" i="8"/>
  <c r="P331" i="8"/>
  <c r="N331" i="8"/>
  <c r="O331" i="8" s="1"/>
  <c r="K331" i="8"/>
  <c r="J331" i="8"/>
  <c r="M331" i="8" s="1"/>
  <c r="X330" i="8"/>
  <c r="W330" i="8"/>
  <c r="V330" i="8"/>
  <c r="U330" i="8"/>
  <c r="T330" i="8"/>
  <c r="S330" i="8"/>
  <c r="R330" i="8"/>
  <c r="Q330" i="8"/>
  <c r="P330" i="8"/>
  <c r="N330" i="8"/>
  <c r="O330" i="8" s="1"/>
  <c r="K330" i="8"/>
  <c r="J330" i="8"/>
  <c r="X329" i="8"/>
  <c r="W329" i="8"/>
  <c r="V329" i="8"/>
  <c r="U329" i="8"/>
  <c r="T329" i="8"/>
  <c r="S329" i="8"/>
  <c r="R329" i="8"/>
  <c r="Q329" i="8"/>
  <c r="P329" i="8"/>
  <c r="N329" i="8"/>
  <c r="O329" i="8" s="1"/>
  <c r="K329" i="8"/>
  <c r="J329" i="8"/>
  <c r="X328" i="8"/>
  <c r="W328" i="8"/>
  <c r="V328" i="8"/>
  <c r="U328" i="8"/>
  <c r="T328" i="8"/>
  <c r="S328" i="8"/>
  <c r="R328" i="8"/>
  <c r="Q328" i="8"/>
  <c r="P328" i="8"/>
  <c r="N328" i="8"/>
  <c r="O328" i="8" s="1"/>
  <c r="K328" i="8"/>
  <c r="J328" i="8"/>
  <c r="X327" i="8"/>
  <c r="W327" i="8"/>
  <c r="V327" i="8"/>
  <c r="U327" i="8"/>
  <c r="T327" i="8"/>
  <c r="S327" i="8"/>
  <c r="R327" i="8"/>
  <c r="Q327" i="8"/>
  <c r="P327" i="8"/>
  <c r="N327" i="8"/>
  <c r="O327" i="8" s="1"/>
  <c r="K327" i="8"/>
  <c r="J327" i="8"/>
  <c r="X326" i="8"/>
  <c r="W326" i="8"/>
  <c r="V326" i="8"/>
  <c r="U326" i="8"/>
  <c r="T326" i="8"/>
  <c r="S326" i="8"/>
  <c r="R326" i="8"/>
  <c r="Q326" i="8"/>
  <c r="P326" i="8"/>
  <c r="N326" i="8"/>
  <c r="O326" i="8" s="1"/>
  <c r="K326" i="8"/>
  <c r="J326" i="8"/>
  <c r="X325" i="8"/>
  <c r="W325" i="8"/>
  <c r="V325" i="8"/>
  <c r="U325" i="8"/>
  <c r="T325" i="8"/>
  <c r="S325" i="8"/>
  <c r="R325" i="8"/>
  <c r="Q325" i="8"/>
  <c r="P325" i="8"/>
  <c r="N325" i="8"/>
  <c r="O325" i="8" s="1"/>
  <c r="K325" i="8"/>
  <c r="J325" i="8"/>
  <c r="M325" i="8" s="1"/>
  <c r="X324" i="8"/>
  <c r="W324" i="8"/>
  <c r="V324" i="8"/>
  <c r="U324" i="8"/>
  <c r="T324" i="8"/>
  <c r="S324" i="8"/>
  <c r="R324" i="8"/>
  <c r="Q324" i="8"/>
  <c r="P324" i="8"/>
  <c r="N324" i="8"/>
  <c r="O324" i="8" s="1"/>
  <c r="K324" i="8"/>
  <c r="J324" i="8"/>
  <c r="X323" i="8"/>
  <c r="W323" i="8"/>
  <c r="V323" i="8"/>
  <c r="U323" i="8"/>
  <c r="T323" i="8"/>
  <c r="S323" i="8"/>
  <c r="R323" i="8"/>
  <c r="Q323" i="8"/>
  <c r="P323" i="8"/>
  <c r="N323" i="8"/>
  <c r="O323" i="8" s="1"/>
  <c r="K323" i="8"/>
  <c r="J323" i="8"/>
  <c r="L323" i="8" s="1"/>
  <c r="X322" i="8"/>
  <c r="W322" i="8"/>
  <c r="V322" i="8"/>
  <c r="U322" i="8"/>
  <c r="T322" i="8"/>
  <c r="S322" i="8"/>
  <c r="R322" i="8"/>
  <c r="Q322" i="8"/>
  <c r="P322" i="8"/>
  <c r="N322" i="8"/>
  <c r="O322" i="8" s="1"/>
  <c r="K322" i="8"/>
  <c r="J322" i="8"/>
  <c r="M322" i="8" s="1"/>
  <c r="X321" i="8"/>
  <c r="W321" i="8"/>
  <c r="V321" i="8"/>
  <c r="U321" i="8"/>
  <c r="T321" i="8"/>
  <c r="S321" i="8"/>
  <c r="R321" i="8"/>
  <c r="Q321" i="8"/>
  <c r="P321" i="8"/>
  <c r="O321" i="8"/>
  <c r="N321" i="8"/>
  <c r="K321" i="8"/>
  <c r="J321" i="8"/>
  <c r="X320" i="8"/>
  <c r="W320" i="8"/>
  <c r="V320" i="8"/>
  <c r="U320" i="8"/>
  <c r="T320" i="8"/>
  <c r="S320" i="8"/>
  <c r="R320" i="8"/>
  <c r="Q320" i="8"/>
  <c r="P320" i="8"/>
  <c r="N320" i="8"/>
  <c r="O320" i="8" s="1"/>
  <c r="K320" i="8"/>
  <c r="J320" i="8"/>
  <c r="X319" i="8"/>
  <c r="W319" i="8"/>
  <c r="V319" i="8"/>
  <c r="U319" i="8"/>
  <c r="T319" i="8"/>
  <c r="S319" i="8"/>
  <c r="R319" i="8"/>
  <c r="Q319" i="8"/>
  <c r="P319" i="8"/>
  <c r="O319" i="8"/>
  <c r="N319" i="8"/>
  <c r="K319" i="8"/>
  <c r="J319" i="8"/>
  <c r="M319" i="8" s="1"/>
  <c r="X318" i="8"/>
  <c r="W318" i="8"/>
  <c r="V318" i="8"/>
  <c r="U318" i="8"/>
  <c r="T318" i="8"/>
  <c r="S318" i="8"/>
  <c r="R318" i="8"/>
  <c r="Q318" i="8"/>
  <c r="P318" i="8"/>
  <c r="N318" i="8"/>
  <c r="O318" i="8" s="1"/>
  <c r="K318" i="8"/>
  <c r="J318" i="8"/>
  <c r="X317" i="8"/>
  <c r="W317" i="8"/>
  <c r="V317" i="8"/>
  <c r="U317" i="8"/>
  <c r="T317" i="8"/>
  <c r="S317" i="8"/>
  <c r="R317" i="8"/>
  <c r="Q317" i="8"/>
  <c r="P317" i="8"/>
  <c r="N317" i="8"/>
  <c r="O317" i="8" s="1"/>
  <c r="K317" i="8"/>
  <c r="J317" i="8"/>
  <c r="X316" i="8"/>
  <c r="W316" i="8"/>
  <c r="V316" i="8"/>
  <c r="U316" i="8"/>
  <c r="T316" i="8"/>
  <c r="S316" i="8"/>
  <c r="R316" i="8"/>
  <c r="Q316" i="8"/>
  <c r="P316" i="8"/>
  <c r="N316" i="8"/>
  <c r="O316" i="8" s="1"/>
  <c r="K316" i="8"/>
  <c r="J316" i="8"/>
  <c r="M316" i="8" s="1"/>
  <c r="X315" i="8"/>
  <c r="W315" i="8"/>
  <c r="V315" i="8"/>
  <c r="U315" i="8"/>
  <c r="T315" i="8"/>
  <c r="S315" i="8"/>
  <c r="R315" i="8"/>
  <c r="Q315" i="8"/>
  <c r="P315" i="8"/>
  <c r="N315" i="8"/>
  <c r="O315" i="8" s="1"/>
  <c r="K315" i="8"/>
  <c r="J315" i="8"/>
  <c r="L315" i="8" s="1"/>
  <c r="X314" i="8"/>
  <c r="W314" i="8"/>
  <c r="V314" i="8"/>
  <c r="U314" i="8"/>
  <c r="T314" i="8"/>
  <c r="S314" i="8"/>
  <c r="R314" i="8"/>
  <c r="Q314" i="8"/>
  <c r="P314" i="8"/>
  <c r="N314" i="8"/>
  <c r="O314" i="8" s="1"/>
  <c r="K314" i="8"/>
  <c r="J314" i="8"/>
  <c r="X313" i="8"/>
  <c r="W313" i="8"/>
  <c r="V313" i="8"/>
  <c r="U313" i="8"/>
  <c r="T313" i="8"/>
  <c r="S313" i="8"/>
  <c r="R313" i="8"/>
  <c r="Q313" i="8"/>
  <c r="P313" i="8"/>
  <c r="N313" i="8"/>
  <c r="O313" i="8" s="1"/>
  <c r="L313" i="8"/>
  <c r="K313" i="8"/>
  <c r="J313" i="8"/>
  <c r="M313" i="8" s="1"/>
  <c r="X312" i="8"/>
  <c r="W312" i="8"/>
  <c r="V312" i="8"/>
  <c r="U312" i="8"/>
  <c r="T312" i="8"/>
  <c r="S312" i="8"/>
  <c r="R312" i="8"/>
  <c r="Q312" i="8"/>
  <c r="P312" i="8"/>
  <c r="N312" i="8"/>
  <c r="O312" i="8" s="1"/>
  <c r="K312" i="8"/>
  <c r="J312" i="8"/>
  <c r="L312" i="8" s="1"/>
  <c r="X311" i="8"/>
  <c r="W311" i="8"/>
  <c r="V311" i="8"/>
  <c r="U311" i="8"/>
  <c r="T311" i="8"/>
  <c r="S311" i="8"/>
  <c r="R311" i="8"/>
  <c r="Q311" i="8"/>
  <c r="P311" i="8"/>
  <c r="N311" i="8"/>
  <c r="O311" i="8" s="1"/>
  <c r="K311" i="8"/>
  <c r="M311" i="8" s="1"/>
  <c r="J311" i="8"/>
  <c r="X310" i="8"/>
  <c r="W310" i="8"/>
  <c r="V310" i="8"/>
  <c r="U310" i="8"/>
  <c r="T310" i="8"/>
  <c r="S310" i="8"/>
  <c r="R310" i="8"/>
  <c r="Q310" i="8"/>
  <c r="P310" i="8"/>
  <c r="N310" i="8"/>
  <c r="O310" i="8" s="1"/>
  <c r="L310" i="8"/>
  <c r="K310" i="8"/>
  <c r="J310" i="8"/>
  <c r="M310" i="8" s="1"/>
  <c r="X309" i="8"/>
  <c r="W309" i="8"/>
  <c r="V309" i="8"/>
  <c r="U309" i="8"/>
  <c r="T309" i="8"/>
  <c r="S309" i="8"/>
  <c r="R309" i="8"/>
  <c r="Q309" i="8"/>
  <c r="P309" i="8"/>
  <c r="N309" i="8"/>
  <c r="O309" i="8" s="1"/>
  <c r="K309" i="8"/>
  <c r="J309" i="8"/>
  <c r="L309" i="8" s="1"/>
  <c r="X308" i="8"/>
  <c r="W308" i="8"/>
  <c r="V308" i="8"/>
  <c r="U308" i="8"/>
  <c r="T308" i="8"/>
  <c r="S308" i="8"/>
  <c r="R308" i="8"/>
  <c r="Q308" i="8"/>
  <c r="P308" i="8"/>
  <c r="N308" i="8"/>
  <c r="O308" i="8" s="1"/>
  <c r="K308" i="8"/>
  <c r="J308" i="8"/>
  <c r="X307" i="8"/>
  <c r="W307" i="8"/>
  <c r="V307" i="8"/>
  <c r="U307" i="8"/>
  <c r="T307" i="8"/>
  <c r="S307" i="8"/>
  <c r="R307" i="8"/>
  <c r="Q307" i="8"/>
  <c r="P307" i="8"/>
  <c r="N307" i="8"/>
  <c r="O307" i="8" s="1"/>
  <c r="K307" i="8"/>
  <c r="J307" i="8"/>
  <c r="X306" i="8"/>
  <c r="W306" i="8"/>
  <c r="V306" i="8"/>
  <c r="U306" i="8"/>
  <c r="T306" i="8"/>
  <c r="S306" i="8"/>
  <c r="R306" i="8"/>
  <c r="Q306" i="8"/>
  <c r="P306" i="8"/>
  <c r="N306" i="8"/>
  <c r="O306" i="8" s="1"/>
  <c r="K306" i="8"/>
  <c r="J306" i="8"/>
  <c r="M306" i="8" s="1"/>
  <c r="X305" i="8"/>
  <c r="W305" i="8"/>
  <c r="V305" i="8"/>
  <c r="U305" i="8"/>
  <c r="T305" i="8"/>
  <c r="S305" i="8"/>
  <c r="R305" i="8"/>
  <c r="Q305" i="8"/>
  <c r="P305" i="8"/>
  <c r="N305" i="8"/>
  <c r="O305" i="8" s="1"/>
  <c r="K305" i="8"/>
  <c r="J305" i="8"/>
  <c r="X304" i="8"/>
  <c r="W304" i="8"/>
  <c r="V304" i="8"/>
  <c r="U304" i="8"/>
  <c r="T304" i="8"/>
  <c r="S304" i="8"/>
  <c r="R304" i="8"/>
  <c r="Q304" i="8"/>
  <c r="P304" i="8"/>
  <c r="N304" i="8"/>
  <c r="O304" i="8" s="1"/>
  <c r="K304" i="8"/>
  <c r="J304" i="8"/>
  <c r="X303" i="8"/>
  <c r="W303" i="8"/>
  <c r="V303" i="8"/>
  <c r="U303" i="8"/>
  <c r="T303" i="8"/>
  <c r="S303" i="8"/>
  <c r="R303" i="8"/>
  <c r="Q303" i="8"/>
  <c r="P303" i="8"/>
  <c r="N303" i="8"/>
  <c r="O303" i="8" s="1"/>
  <c r="K303" i="8"/>
  <c r="J303" i="8"/>
  <c r="M303" i="8" s="1"/>
  <c r="X302" i="8"/>
  <c r="W302" i="8"/>
  <c r="V302" i="8"/>
  <c r="U302" i="8"/>
  <c r="T302" i="8"/>
  <c r="S302" i="8"/>
  <c r="R302" i="8"/>
  <c r="Q302" i="8"/>
  <c r="P302" i="8"/>
  <c r="N302" i="8"/>
  <c r="O302" i="8" s="1"/>
  <c r="K302" i="8"/>
  <c r="J302" i="8"/>
  <c r="M302" i="8" s="1"/>
  <c r="X301" i="8"/>
  <c r="W301" i="8"/>
  <c r="V301" i="8"/>
  <c r="U301" i="8"/>
  <c r="T301" i="8"/>
  <c r="S301" i="8"/>
  <c r="R301" i="8"/>
  <c r="Q301" i="8"/>
  <c r="P301" i="8"/>
  <c r="N301" i="8"/>
  <c r="O301" i="8" s="1"/>
  <c r="K301" i="8"/>
  <c r="J301" i="8"/>
  <c r="L301" i="8" s="1"/>
  <c r="X300" i="8"/>
  <c r="W300" i="8"/>
  <c r="V300" i="8"/>
  <c r="U300" i="8"/>
  <c r="T300" i="8"/>
  <c r="S300" i="8"/>
  <c r="R300" i="8"/>
  <c r="Q300" i="8"/>
  <c r="P300" i="8"/>
  <c r="N300" i="8"/>
  <c r="O300" i="8" s="1"/>
  <c r="K300" i="8"/>
  <c r="J300" i="8"/>
  <c r="X299" i="8"/>
  <c r="W299" i="8"/>
  <c r="V299" i="8"/>
  <c r="U299" i="8"/>
  <c r="T299" i="8"/>
  <c r="S299" i="8"/>
  <c r="R299" i="8"/>
  <c r="Q299" i="8"/>
  <c r="P299" i="8"/>
  <c r="N299" i="8"/>
  <c r="O299" i="8" s="1"/>
  <c r="K299" i="8"/>
  <c r="J299" i="8"/>
  <c r="X298" i="8"/>
  <c r="W298" i="8"/>
  <c r="V298" i="8"/>
  <c r="U298" i="8"/>
  <c r="T298" i="8"/>
  <c r="S298" i="8"/>
  <c r="R298" i="8"/>
  <c r="Q298" i="8"/>
  <c r="P298" i="8"/>
  <c r="N298" i="8"/>
  <c r="O298" i="8" s="1"/>
  <c r="K298" i="8"/>
  <c r="J298" i="8"/>
  <c r="M298" i="8" s="1"/>
  <c r="X297" i="8"/>
  <c r="W297" i="8"/>
  <c r="V297" i="8"/>
  <c r="U297" i="8"/>
  <c r="T297" i="8"/>
  <c r="S297" i="8"/>
  <c r="R297" i="8"/>
  <c r="Q297" i="8"/>
  <c r="P297" i="8"/>
  <c r="N297" i="8"/>
  <c r="O297" i="8" s="1"/>
  <c r="K297" i="8"/>
  <c r="J297" i="8"/>
  <c r="M297" i="8" s="1"/>
  <c r="X296" i="8"/>
  <c r="W296" i="8"/>
  <c r="V296" i="8"/>
  <c r="U296" i="8"/>
  <c r="T296" i="8"/>
  <c r="S296" i="8"/>
  <c r="R296" i="8"/>
  <c r="Q296" i="8"/>
  <c r="P296" i="8"/>
  <c r="N296" i="8"/>
  <c r="O296" i="8" s="1"/>
  <c r="K296" i="8"/>
  <c r="J296" i="8"/>
  <c r="M296" i="8" s="1"/>
  <c r="X295" i="8"/>
  <c r="W295" i="8"/>
  <c r="V295" i="8"/>
  <c r="U295" i="8"/>
  <c r="T295" i="8"/>
  <c r="S295" i="8"/>
  <c r="R295" i="8"/>
  <c r="Q295" i="8"/>
  <c r="P295" i="8"/>
  <c r="N295" i="8"/>
  <c r="O295" i="8" s="1"/>
  <c r="K295" i="8"/>
  <c r="J295" i="8"/>
  <c r="X294" i="8"/>
  <c r="W294" i="8"/>
  <c r="V294" i="8"/>
  <c r="U294" i="8"/>
  <c r="T294" i="8"/>
  <c r="S294" i="8"/>
  <c r="R294" i="8"/>
  <c r="Q294" i="8"/>
  <c r="P294" i="8"/>
  <c r="O294" i="8"/>
  <c r="N294" i="8"/>
  <c r="K294" i="8"/>
  <c r="J294" i="8"/>
  <c r="M294" i="8" s="1"/>
  <c r="X293" i="8"/>
  <c r="W293" i="8"/>
  <c r="V293" i="8"/>
  <c r="U293" i="8"/>
  <c r="T293" i="8"/>
  <c r="S293" i="8"/>
  <c r="R293" i="8"/>
  <c r="Q293" i="8"/>
  <c r="P293" i="8"/>
  <c r="N293" i="8"/>
  <c r="O293" i="8" s="1"/>
  <c r="K293" i="8"/>
  <c r="J293" i="8"/>
  <c r="X292" i="8"/>
  <c r="W292" i="8"/>
  <c r="V292" i="8"/>
  <c r="U292" i="8"/>
  <c r="T292" i="8"/>
  <c r="S292" i="8"/>
  <c r="R292" i="8"/>
  <c r="Q292" i="8"/>
  <c r="P292" i="8"/>
  <c r="N292" i="8"/>
  <c r="O292" i="8" s="1"/>
  <c r="K292" i="8"/>
  <c r="J292" i="8"/>
  <c r="X291" i="8"/>
  <c r="W291" i="8"/>
  <c r="V291" i="8"/>
  <c r="U291" i="8"/>
  <c r="T291" i="8"/>
  <c r="S291" i="8"/>
  <c r="R291" i="8"/>
  <c r="Q291" i="8"/>
  <c r="P291" i="8"/>
  <c r="N291" i="8"/>
  <c r="O291" i="8" s="1"/>
  <c r="K291" i="8"/>
  <c r="J291" i="8"/>
  <c r="L291" i="8" s="1"/>
  <c r="X290" i="8"/>
  <c r="W290" i="8"/>
  <c r="V290" i="8"/>
  <c r="U290" i="8"/>
  <c r="T290" i="8"/>
  <c r="S290" i="8"/>
  <c r="R290" i="8"/>
  <c r="Q290" i="8"/>
  <c r="P290" i="8"/>
  <c r="N290" i="8"/>
  <c r="O290" i="8" s="1"/>
  <c r="K290" i="8"/>
  <c r="J290" i="8"/>
  <c r="X289" i="8"/>
  <c r="W289" i="8"/>
  <c r="V289" i="8"/>
  <c r="U289" i="8"/>
  <c r="T289" i="8"/>
  <c r="S289" i="8"/>
  <c r="R289" i="8"/>
  <c r="Q289" i="8"/>
  <c r="P289" i="8"/>
  <c r="N289" i="8"/>
  <c r="O289" i="8" s="1"/>
  <c r="K289" i="8"/>
  <c r="J289" i="8"/>
  <c r="X288" i="8"/>
  <c r="W288" i="8"/>
  <c r="V288" i="8"/>
  <c r="U288" i="8"/>
  <c r="T288" i="8"/>
  <c r="S288" i="8"/>
  <c r="R288" i="8"/>
  <c r="Q288" i="8"/>
  <c r="P288" i="8"/>
  <c r="N288" i="8"/>
  <c r="O288" i="8" s="1"/>
  <c r="K288" i="8"/>
  <c r="J288" i="8"/>
  <c r="X287" i="8"/>
  <c r="W287" i="8"/>
  <c r="V287" i="8"/>
  <c r="U287" i="8"/>
  <c r="T287" i="8"/>
  <c r="S287" i="8"/>
  <c r="R287" i="8"/>
  <c r="Q287" i="8"/>
  <c r="P287" i="8"/>
  <c r="N287" i="8"/>
  <c r="O287" i="8" s="1"/>
  <c r="K287" i="8"/>
  <c r="J287" i="8"/>
  <c r="M287" i="8" s="1"/>
  <c r="X286" i="8"/>
  <c r="W286" i="8"/>
  <c r="V286" i="8"/>
  <c r="U286" i="8"/>
  <c r="T286" i="8"/>
  <c r="S286" i="8"/>
  <c r="R286" i="8"/>
  <c r="Q286" i="8"/>
  <c r="P286" i="8"/>
  <c r="N286" i="8"/>
  <c r="O286" i="8" s="1"/>
  <c r="K286" i="8"/>
  <c r="J286" i="8"/>
  <c r="X285" i="8"/>
  <c r="W285" i="8"/>
  <c r="V285" i="8"/>
  <c r="U285" i="8"/>
  <c r="T285" i="8"/>
  <c r="S285" i="8"/>
  <c r="R285" i="8"/>
  <c r="Q285" i="8"/>
  <c r="P285" i="8"/>
  <c r="N285" i="8"/>
  <c r="O285" i="8" s="1"/>
  <c r="K285" i="8"/>
  <c r="J285" i="8"/>
  <c r="M285" i="8" s="1"/>
  <c r="X284" i="8"/>
  <c r="W284" i="8"/>
  <c r="V284" i="8"/>
  <c r="U284" i="8"/>
  <c r="T284" i="8"/>
  <c r="S284" i="8"/>
  <c r="R284" i="8"/>
  <c r="Q284" i="8"/>
  <c r="P284" i="8"/>
  <c r="N284" i="8"/>
  <c r="O284" i="8" s="1"/>
  <c r="K284" i="8"/>
  <c r="J284" i="8"/>
  <c r="L284" i="8" s="1"/>
  <c r="X283" i="8"/>
  <c r="W283" i="8"/>
  <c r="V283" i="8"/>
  <c r="U283" i="8"/>
  <c r="T283" i="8"/>
  <c r="S283" i="8"/>
  <c r="R283" i="8"/>
  <c r="Q283" i="8"/>
  <c r="P283" i="8"/>
  <c r="N283" i="8"/>
  <c r="O283" i="8" s="1"/>
  <c r="K283" i="8"/>
  <c r="J283" i="8"/>
  <c r="M283" i="8" s="1"/>
  <c r="X282" i="8"/>
  <c r="W282" i="8"/>
  <c r="V282" i="8"/>
  <c r="U282" i="8"/>
  <c r="T282" i="8"/>
  <c r="S282" i="8"/>
  <c r="R282" i="8"/>
  <c r="Q282" i="8"/>
  <c r="P282" i="8"/>
  <c r="N282" i="8"/>
  <c r="O282" i="8" s="1"/>
  <c r="K282" i="8"/>
  <c r="J282" i="8"/>
  <c r="M282" i="8" s="1"/>
  <c r="X281" i="8"/>
  <c r="W281" i="8"/>
  <c r="V281" i="8"/>
  <c r="U281" i="8"/>
  <c r="T281" i="8"/>
  <c r="S281" i="8"/>
  <c r="R281" i="8"/>
  <c r="Q281" i="8"/>
  <c r="P281" i="8"/>
  <c r="N281" i="8"/>
  <c r="O281" i="8" s="1"/>
  <c r="K281" i="8"/>
  <c r="J281" i="8"/>
  <c r="X280" i="8"/>
  <c r="W280" i="8"/>
  <c r="V280" i="8"/>
  <c r="U280" i="8"/>
  <c r="T280" i="8"/>
  <c r="S280" i="8"/>
  <c r="R280" i="8"/>
  <c r="Q280" i="8"/>
  <c r="P280" i="8"/>
  <c r="N280" i="8"/>
  <c r="O280" i="8" s="1"/>
  <c r="K280" i="8"/>
  <c r="J280" i="8"/>
  <c r="X279" i="8"/>
  <c r="W279" i="8"/>
  <c r="V279" i="8"/>
  <c r="U279" i="8"/>
  <c r="T279" i="8"/>
  <c r="S279" i="8"/>
  <c r="R279" i="8"/>
  <c r="Q279" i="8"/>
  <c r="P279" i="8"/>
  <c r="N279" i="8"/>
  <c r="O279" i="8" s="1"/>
  <c r="K279" i="8"/>
  <c r="J279" i="8"/>
  <c r="L279" i="8" s="1"/>
  <c r="X278" i="8"/>
  <c r="W278" i="8"/>
  <c r="V278" i="8"/>
  <c r="U278" i="8"/>
  <c r="T278" i="8"/>
  <c r="S278" i="8"/>
  <c r="R278" i="8"/>
  <c r="Q278" i="8"/>
  <c r="P278" i="8"/>
  <c r="N278" i="8"/>
  <c r="O278" i="8" s="1"/>
  <c r="K278" i="8"/>
  <c r="J278" i="8"/>
  <c r="X277" i="8"/>
  <c r="W277" i="8"/>
  <c r="V277" i="8"/>
  <c r="U277" i="8"/>
  <c r="T277" i="8"/>
  <c r="S277" i="8"/>
  <c r="R277" i="8"/>
  <c r="Q277" i="8"/>
  <c r="P277" i="8"/>
  <c r="N277" i="8"/>
  <c r="O277" i="8" s="1"/>
  <c r="K277" i="8"/>
  <c r="J277" i="8"/>
  <c r="X276" i="8"/>
  <c r="W276" i="8"/>
  <c r="V276" i="8"/>
  <c r="U276" i="8"/>
  <c r="T276" i="8"/>
  <c r="S276" i="8"/>
  <c r="R276" i="8"/>
  <c r="Q276" i="8"/>
  <c r="P276" i="8"/>
  <c r="N276" i="8"/>
  <c r="O276" i="8" s="1"/>
  <c r="K276" i="8"/>
  <c r="J276" i="8"/>
  <c r="X275" i="8"/>
  <c r="W275" i="8"/>
  <c r="V275" i="8"/>
  <c r="U275" i="8"/>
  <c r="T275" i="8"/>
  <c r="S275" i="8"/>
  <c r="R275" i="8"/>
  <c r="Q275" i="8"/>
  <c r="P275" i="8"/>
  <c r="N275" i="8"/>
  <c r="O275" i="8" s="1"/>
  <c r="K275" i="8"/>
  <c r="J275" i="8"/>
  <c r="X274" i="8"/>
  <c r="W274" i="8"/>
  <c r="V274" i="8"/>
  <c r="U274" i="8"/>
  <c r="T274" i="8"/>
  <c r="S274" i="8"/>
  <c r="R274" i="8"/>
  <c r="Q274" i="8"/>
  <c r="P274" i="8"/>
  <c r="N274" i="8"/>
  <c r="O274" i="8" s="1"/>
  <c r="K274" i="8"/>
  <c r="J274" i="8"/>
  <c r="X273" i="8"/>
  <c r="W273" i="8"/>
  <c r="V273" i="8"/>
  <c r="U273" i="8"/>
  <c r="T273" i="8"/>
  <c r="S273" i="8"/>
  <c r="R273" i="8"/>
  <c r="Q273" i="8"/>
  <c r="P273" i="8"/>
  <c r="N273" i="8"/>
  <c r="O273" i="8" s="1"/>
  <c r="K273" i="8"/>
  <c r="J273" i="8"/>
  <c r="M273" i="8" s="1"/>
  <c r="X272" i="8"/>
  <c r="W272" i="8"/>
  <c r="V272" i="8"/>
  <c r="U272" i="8"/>
  <c r="T272" i="8"/>
  <c r="S272" i="8"/>
  <c r="R272" i="8"/>
  <c r="Q272" i="8"/>
  <c r="P272" i="8"/>
  <c r="N272" i="8"/>
  <c r="O272" i="8" s="1"/>
  <c r="K272" i="8"/>
  <c r="J272" i="8"/>
  <c r="X271" i="8"/>
  <c r="W271" i="8"/>
  <c r="V271" i="8"/>
  <c r="U271" i="8"/>
  <c r="T271" i="8"/>
  <c r="S271" i="8"/>
  <c r="R271" i="8"/>
  <c r="Q271" i="8"/>
  <c r="P271" i="8"/>
  <c r="N271" i="8"/>
  <c r="O271" i="8" s="1"/>
  <c r="K271" i="8"/>
  <c r="J271" i="8"/>
  <c r="M271" i="8" s="1"/>
  <c r="X270" i="8"/>
  <c r="W270" i="8"/>
  <c r="V270" i="8"/>
  <c r="U270" i="8"/>
  <c r="T270" i="8"/>
  <c r="S270" i="8"/>
  <c r="R270" i="8"/>
  <c r="Q270" i="8"/>
  <c r="P270" i="8"/>
  <c r="N270" i="8"/>
  <c r="O270" i="8" s="1"/>
  <c r="K270" i="8"/>
  <c r="J270" i="8"/>
  <c r="X269" i="8"/>
  <c r="W269" i="8"/>
  <c r="V269" i="8"/>
  <c r="U269" i="8"/>
  <c r="T269" i="8"/>
  <c r="S269" i="8"/>
  <c r="R269" i="8"/>
  <c r="Q269" i="8"/>
  <c r="P269" i="8"/>
  <c r="N269" i="8"/>
  <c r="O269" i="8" s="1"/>
  <c r="K269" i="8"/>
  <c r="J269" i="8"/>
  <c r="X268" i="8"/>
  <c r="W268" i="8"/>
  <c r="V268" i="8"/>
  <c r="U268" i="8"/>
  <c r="T268" i="8"/>
  <c r="S268" i="8"/>
  <c r="R268" i="8"/>
  <c r="Q268" i="8"/>
  <c r="P268" i="8"/>
  <c r="N268" i="8"/>
  <c r="O268" i="8" s="1"/>
  <c r="K268" i="8"/>
  <c r="J268" i="8"/>
  <c r="X267" i="8"/>
  <c r="W267" i="8"/>
  <c r="V267" i="8"/>
  <c r="U267" i="8"/>
  <c r="T267" i="8"/>
  <c r="S267" i="8"/>
  <c r="R267" i="8"/>
  <c r="Q267" i="8"/>
  <c r="P267" i="8"/>
  <c r="N267" i="8"/>
  <c r="O267" i="8" s="1"/>
  <c r="K267" i="8"/>
  <c r="J267" i="8"/>
  <c r="X266" i="8"/>
  <c r="W266" i="8"/>
  <c r="V266" i="8"/>
  <c r="U266" i="8"/>
  <c r="T266" i="8"/>
  <c r="S266" i="8"/>
  <c r="R266" i="8"/>
  <c r="Q266" i="8"/>
  <c r="P266" i="8"/>
  <c r="N266" i="8"/>
  <c r="O266" i="8" s="1"/>
  <c r="K266" i="8"/>
  <c r="J266" i="8"/>
  <c r="M266" i="8" s="1"/>
  <c r="X265" i="8"/>
  <c r="W265" i="8"/>
  <c r="V265" i="8"/>
  <c r="U265" i="8"/>
  <c r="T265" i="8"/>
  <c r="S265" i="8"/>
  <c r="R265" i="8"/>
  <c r="Q265" i="8"/>
  <c r="P265" i="8"/>
  <c r="N265" i="8"/>
  <c r="O265" i="8" s="1"/>
  <c r="K265" i="8"/>
  <c r="J265" i="8"/>
  <c r="X264" i="8"/>
  <c r="W264" i="8"/>
  <c r="V264" i="8"/>
  <c r="U264" i="8"/>
  <c r="T264" i="8"/>
  <c r="S264" i="8"/>
  <c r="R264" i="8"/>
  <c r="Q264" i="8"/>
  <c r="P264" i="8"/>
  <c r="N264" i="8"/>
  <c r="O264" i="8" s="1"/>
  <c r="K264" i="8"/>
  <c r="J264" i="8"/>
  <c r="X263" i="8"/>
  <c r="W263" i="8"/>
  <c r="V263" i="8"/>
  <c r="U263" i="8"/>
  <c r="T263" i="8"/>
  <c r="S263" i="8"/>
  <c r="R263" i="8"/>
  <c r="Q263" i="8"/>
  <c r="P263" i="8"/>
  <c r="N263" i="8"/>
  <c r="O263" i="8" s="1"/>
  <c r="K263" i="8"/>
  <c r="J263" i="8"/>
  <c r="L263" i="8" s="1"/>
  <c r="X262" i="8"/>
  <c r="W262" i="8"/>
  <c r="V262" i="8"/>
  <c r="U262" i="8"/>
  <c r="T262" i="8"/>
  <c r="S262" i="8"/>
  <c r="R262" i="8"/>
  <c r="Q262" i="8"/>
  <c r="P262" i="8"/>
  <c r="N262" i="8"/>
  <c r="O262" i="8" s="1"/>
  <c r="K262" i="8"/>
  <c r="J262" i="8"/>
  <c r="X261" i="8"/>
  <c r="W261" i="8"/>
  <c r="V261" i="8"/>
  <c r="U261" i="8"/>
  <c r="T261" i="8"/>
  <c r="S261" i="8"/>
  <c r="R261" i="8"/>
  <c r="Q261" i="8"/>
  <c r="P261" i="8"/>
  <c r="N261" i="8"/>
  <c r="O261" i="8" s="1"/>
  <c r="K261" i="8"/>
  <c r="J261" i="8"/>
  <c r="M261" i="8" s="1"/>
  <c r="X260" i="8"/>
  <c r="W260" i="8"/>
  <c r="V260" i="8"/>
  <c r="U260" i="8"/>
  <c r="T260" i="8"/>
  <c r="S260" i="8"/>
  <c r="R260" i="8"/>
  <c r="Q260" i="8"/>
  <c r="P260" i="8"/>
  <c r="N260" i="8"/>
  <c r="O260" i="8" s="1"/>
  <c r="K260" i="8"/>
  <c r="J260" i="8"/>
  <c r="X259" i="8"/>
  <c r="W259" i="8"/>
  <c r="V259" i="8"/>
  <c r="U259" i="8"/>
  <c r="T259" i="8"/>
  <c r="S259" i="8"/>
  <c r="R259" i="8"/>
  <c r="Q259" i="8"/>
  <c r="P259" i="8"/>
  <c r="N259" i="8"/>
  <c r="O259" i="8" s="1"/>
  <c r="K259" i="8"/>
  <c r="J259" i="8"/>
  <c r="X258" i="8"/>
  <c r="W258" i="8"/>
  <c r="V258" i="8"/>
  <c r="U258" i="8"/>
  <c r="T258" i="8"/>
  <c r="S258" i="8"/>
  <c r="R258" i="8"/>
  <c r="Q258" i="8"/>
  <c r="P258" i="8"/>
  <c r="N258" i="8"/>
  <c r="O258" i="8" s="1"/>
  <c r="K258" i="8"/>
  <c r="J258" i="8"/>
  <c r="X257" i="8"/>
  <c r="W257" i="8"/>
  <c r="V257" i="8"/>
  <c r="U257" i="8"/>
  <c r="T257" i="8"/>
  <c r="S257" i="8"/>
  <c r="R257" i="8"/>
  <c r="Q257" i="8"/>
  <c r="P257" i="8"/>
  <c r="N257" i="8"/>
  <c r="O257" i="8" s="1"/>
  <c r="K257" i="8"/>
  <c r="J257" i="8"/>
  <c r="X256" i="8"/>
  <c r="W256" i="8"/>
  <c r="V256" i="8"/>
  <c r="U256" i="8"/>
  <c r="T256" i="8"/>
  <c r="S256" i="8"/>
  <c r="R256" i="8"/>
  <c r="Q256" i="8"/>
  <c r="P256" i="8"/>
  <c r="N256" i="8"/>
  <c r="O256" i="8" s="1"/>
  <c r="K256" i="8"/>
  <c r="J256" i="8"/>
  <c r="X255" i="8"/>
  <c r="W255" i="8"/>
  <c r="V255" i="8"/>
  <c r="U255" i="8"/>
  <c r="T255" i="8"/>
  <c r="S255" i="8"/>
  <c r="R255" i="8"/>
  <c r="Q255" i="8"/>
  <c r="P255" i="8"/>
  <c r="N255" i="8"/>
  <c r="O255" i="8" s="1"/>
  <c r="K255" i="8"/>
  <c r="J255" i="8"/>
  <c r="X254" i="8"/>
  <c r="W254" i="8"/>
  <c r="V254" i="8"/>
  <c r="U254" i="8"/>
  <c r="T254" i="8"/>
  <c r="S254" i="8"/>
  <c r="R254" i="8"/>
  <c r="Q254" i="8"/>
  <c r="P254" i="8"/>
  <c r="N254" i="8"/>
  <c r="O254" i="8" s="1"/>
  <c r="K254" i="8"/>
  <c r="J254" i="8"/>
  <c r="M254" i="8" s="1"/>
  <c r="X253" i="8"/>
  <c r="W253" i="8"/>
  <c r="V253" i="8"/>
  <c r="U253" i="8"/>
  <c r="T253" i="8"/>
  <c r="S253" i="8"/>
  <c r="R253" i="8"/>
  <c r="Q253" i="8"/>
  <c r="P253" i="8"/>
  <c r="N253" i="8"/>
  <c r="O253" i="8" s="1"/>
  <c r="K253" i="8"/>
  <c r="J253" i="8"/>
  <c r="X252" i="8"/>
  <c r="W252" i="8"/>
  <c r="V252" i="8"/>
  <c r="U252" i="8"/>
  <c r="T252" i="8"/>
  <c r="S252" i="8"/>
  <c r="R252" i="8"/>
  <c r="Q252" i="8"/>
  <c r="P252" i="8"/>
  <c r="N252" i="8"/>
  <c r="O252" i="8" s="1"/>
  <c r="K252" i="8"/>
  <c r="J252" i="8"/>
  <c r="X251" i="8"/>
  <c r="W251" i="8"/>
  <c r="V251" i="8"/>
  <c r="U251" i="8"/>
  <c r="T251" i="8"/>
  <c r="S251" i="8"/>
  <c r="R251" i="8"/>
  <c r="Q251" i="8"/>
  <c r="P251" i="8"/>
  <c r="N251" i="8"/>
  <c r="O251" i="8" s="1"/>
  <c r="K251" i="8"/>
  <c r="J251" i="8"/>
  <c r="X250" i="8"/>
  <c r="W250" i="8"/>
  <c r="V250" i="8"/>
  <c r="U250" i="8"/>
  <c r="T250" i="8"/>
  <c r="S250" i="8"/>
  <c r="R250" i="8"/>
  <c r="Q250" i="8"/>
  <c r="P250" i="8"/>
  <c r="N250" i="8"/>
  <c r="O250" i="8" s="1"/>
  <c r="K250" i="8"/>
  <c r="L250" i="8" s="1"/>
  <c r="J250" i="8"/>
  <c r="X249" i="8"/>
  <c r="W249" i="8"/>
  <c r="V249" i="8"/>
  <c r="U249" i="8"/>
  <c r="T249" i="8"/>
  <c r="S249" i="8"/>
  <c r="R249" i="8"/>
  <c r="Q249" i="8"/>
  <c r="P249" i="8"/>
  <c r="N249" i="8"/>
  <c r="O249" i="8" s="1"/>
  <c r="K249" i="8"/>
  <c r="J249" i="8"/>
  <c r="X248" i="8"/>
  <c r="W248" i="8"/>
  <c r="V248" i="8"/>
  <c r="U248" i="8"/>
  <c r="T248" i="8"/>
  <c r="S248" i="8"/>
  <c r="R248" i="8"/>
  <c r="Q248" i="8"/>
  <c r="P248" i="8"/>
  <c r="N248" i="8"/>
  <c r="O248" i="8" s="1"/>
  <c r="K248" i="8"/>
  <c r="J248" i="8"/>
  <c r="X247" i="8"/>
  <c r="W247" i="8"/>
  <c r="V247" i="8"/>
  <c r="U247" i="8"/>
  <c r="T247" i="8"/>
  <c r="S247" i="8"/>
  <c r="R247" i="8"/>
  <c r="Q247" i="8"/>
  <c r="P247" i="8"/>
  <c r="N247" i="8"/>
  <c r="O247" i="8" s="1"/>
  <c r="K247" i="8"/>
  <c r="J247" i="8"/>
  <c r="M247" i="8" s="1"/>
  <c r="X246" i="8"/>
  <c r="W246" i="8"/>
  <c r="V246" i="8"/>
  <c r="U246" i="8"/>
  <c r="T246" i="8"/>
  <c r="S246" i="8"/>
  <c r="R246" i="8"/>
  <c r="Q246" i="8"/>
  <c r="P246" i="8"/>
  <c r="N246" i="8"/>
  <c r="O246" i="8" s="1"/>
  <c r="K246" i="8"/>
  <c r="J246" i="8"/>
  <c r="X245" i="8"/>
  <c r="W245" i="8"/>
  <c r="V245" i="8"/>
  <c r="U245" i="8"/>
  <c r="T245" i="8"/>
  <c r="S245" i="8"/>
  <c r="R245" i="8"/>
  <c r="Q245" i="8"/>
  <c r="P245" i="8"/>
  <c r="N245" i="8"/>
  <c r="O245" i="8" s="1"/>
  <c r="K245" i="8"/>
  <c r="J245" i="8"/>
  <c r="X244" i="8"/>
  <c r="W244" i="8"/>
  <c r="V244" i="8"/>
  <c r="U244" i="8"/>
  <c r="T244" i="8"/>
  <c r="S244" i="8"/>
  <c r="R244" i="8"/>
  <c r="Q244" i="8"/>
  <c r="P244" i="8"/>
  <c r="N244" i="8"/>
  <c r="O244" i="8" s="1"/>
  <c r="K244" i="8"/>
  <c r="J244" i="8"/>
  <c r="X243" i="8"/>
  <c r="W243" i="8"/>
  <c r="V243" i="8"/>
  <c r="U243" i="8"/>
  <c r="T243" i="8"/>
  <c r="S243" i="8"/>
  <c r="R243" i="8"/>
  <c r="Q243" i="8"/>
  <c r="P243" i="8"/>
  <c r="N243" i="8"/>
  <c r="O243" i="8" s="1"/>
  <c r="K243" i="8"/>
  <c r="J243" i="8"/>
  <c r="X242" i="8"/>
  <c r="W242" i="8"/>
  <c r="V242" i="8"/>
  <c r="U242" i="8"/>
  <c r="T242" i="8"/>
  <c r="S242" i="8"/>
  <c r="R242" i="8"/>
  <c r="Q242" i="8"/>
  <c r="P242" i="8"/>
  <c r="N242" i="8"/>
  <c r="O242" i="8" s="1"/>
  <c r="K242" i="8"/>
  <c r="J242" i="8"/>
  <c r="M242" i="8" s="1"/>
  <c r="X241" i="8"/>
  <c r="W241" i="8"/>
  <c r="V241" i="8"/>
  <c r="U241" i="8"/>
  <c r="T241" i="8"/>
  <c r="S241" i="8"/>
  <c r="R241" i="8"/>
  <c r="Q241" i="8"/>
  <c r="P241" i="8"/>
  <c r="N241" i="8"/>
  <c r="O241" i="8" s="1"/>
  <c r="K241" i="8"/>
  <c r="J241" i="8"/>
  <c r="X240" i="8"/>
  <c r="W240" i="8"/>
  <c r="V240" i="8"/>
  <c r="U240" i="8"/>
  <c r="T240" i="8"/>
  <c r="S240" i="8"/>
  <c r="R240" i="8"/>
  <c r="Q240" i="8"/>
  <c r="P240" i="8"/>
  <c r="N240" i="8"/>
  <c r="O240" i="8" s="1"/>
  <c r="K240" i="8"/>
  <c r="J240" i="8"/>
  <c r="M240" i="8" s="1"/>
  <c r="X239" i="8"/>
  <c r="W239" i="8"/>
  <c r="V239" i="8"/>
  <c r="U239" i="8"/>
  <c r="T239" i="8"/>
  <c r="S239" i="8"/>
  <c r="R239" i="8"/>
  <c r="Q239" i="8"/>
  <c r="P239" i="8"/>
  <c r="N239" i="8"/>
  <c r="O239" i="8" s="1"/>
  <c r="K239" i="8"/>
  <c r="J239" i="8"/>
  <c r="X238" i="8"/>
  <c r="W238" i="8"/>
  <c r="V238" i="8"/>
  <c r="U238" i="8"/>
  <c r="T238" i="8"/>
  <c r="S238" i="8"/>
  <c r="R238" i="8"/>
  <c r="Q238" i="8"/>
  <c r="P238" i="8"/>
  <c r="N238" i="8"/>
  <c r="O238" i="8" s="1"/>
  <c r="K238" i="8"/>
  <c r="J238" i="8"/>
  <c r="M238" i="8" s="1"/>
  <c r="X237" i="8"/>
  <c r="W237" i="8"/>
  <c r="V237" i="8"/>
  <c r="U237" i="8"/>
  <c r="T237" i="8"/>
  <c r="S237" i="8"/>
  <c r="R237" i="8"/>
  <c r="Q237" i="8"/>
  <c r="P237" i="8"/>
  <c r="N237" i="8"/>
  <c r="O237" i="8" s="1"/>
  <c r="K237" i="8"/>
  <c r="J237" i="8"/>
  <c r="X236" i="8"/>
  <c r="W236" i="8"/>
  <c r="V236" i="8"/>
  <c r="U236" i="8"/>
  <c r="T236" i="8"/>
  <c r="S236" i="8"/>
  <c r="R236" i="8"/>
  <c r="Q236" i="8"/>
  <c r="P236" i="8"/>
  <c r="N236" i="8"/>
  <c r="O236" i="8" s="1"/>
  <c r="K236" i="8"/>
  <c r="J236" i="8"/>
  <c r="M236" i="8" s="1"/>
  <c r="X235" i="8"/>
  <c r="W235" i="8"/>
  <c r="V235" i="8"/>
  <c r="U235" i="8"/>
  <c r="T235" i="8"/>
  <c r="S235" i="8"/>
  <c r="R235" i="8"/>
  <c r="Q235" i="8"/>
  <c r="P235" i="8"/>
  <c r="N235" i="8"/>
  <c r="O235" i="8" s="1"/>
  <c r="K235" i="8"/>
  <c r="J235" i="8"/>
  <c r="X234" i="8"/>
  <c r="W234" i="8"/>
  <c r="V234" i="8"/>
  <c r="U234" i="8"/>
  <c r="T234" i="8"/>
  <c r="S234" i="8"/>
  <c r="R234" i="8"/>
  <c r="Q234" i="8"/>
  <c r="P234" i="8"/>
  <c r="N234" i="8"/>
  <c r="O234" i="8" s="1"/>
  <c r="K234" i="8"/>
  <c r="J234" i="8"/>
  <c r="X233" i="8"/>
  <c r="W233" i="8"/>
  <c r="V233" i="8"/>
  <c r="U233" i="8"/>
  <c r="T233" i="8"/>
  <c r="S233" i="8"/>
  <c r="R233" i="8"/>
  <c r="Q233" i="8"/>
  <c r="P233" i="8"/>
  <c r="N233" i="8"/>
  <c r="O233" i="8" s="1"/>
  <c r="K233" i="8"/>
  <c r="J233" i="8"/>
  <c r="M233" i="8" s="1"/>
  <c r="X232" i="8"/>
  <c r="W232" i="8"/>
  <c r="V232" i="8"/>
  <c r="U232" i="8"/>
  <c r="T232" i="8"/>
  <c r="S232" i="8"/>
  <c r="R232" i="8"/>
  <c r="Q232" i="8"/>
  <c r="P232" i="8"/>
  <c r="N232" i="8"/>
  <c r="O232" i="8" s="1"/>
  <c r="K232" i="8"/>
  <c r="J232" i="8"/>
  <c r="L232" i="8" s="1"/>
  <c r="X231" i="8"/>
  <c r="W231" i="8"/>
  <c r="V231" i="8"/>
  <c r="U231" i="8"/>
  <c r="T231" i="8"/>
  <c r="S231" i="8"/>
  <c r="R231" i="8"/>
  <c r="Q231" i="8"/>
  <c r="P231" i="8"/>
  <c r="N231" i="8"/>
  <c r="O231" i="8" s="1"/>
  <c r="K231" i="8"/>
  <c r="J231" i="8"/>
  <c r="M231" i="8" s="1"/>
  <c r="X230" i="8"/>
  <c r="W230" i="8"/>
  <c r="V230" i="8"/>
  <c r="U230" i="8"/>
  <c r="T230" i="8"/>
  <c r="S230" i="8"/>
  <c r="R230" i="8"/>
  <c r="Q230" i="8"/>
  <c r="P230" i="8"/>
  <c r="O230" i="8"/>
  <c r="N230" i="8"/>
  <c r="K230" i="8"/>
  <c r="J230" i="8"/>
  <c r="X229" i="8"/>
  <c r="W229" i="8"/>
  <c r="V229" i="8"/>
  <c r="U229" i="8"/>
  <c r="T229" i="8"/>
  <c r="S229" i="8"/>
  <c r="R229" i="8"/>
  <c r="Q229" i="8"/>
  <c r="P229" i="8"/>
  <c r="N229" i="8"/>
  <c r="O229" i="8" s="1"/>
  <c r="K229" i="8"/>
  <c r="J229" i="8"/>
  <c r="X228" i="8"/>
  <c r="W228" i="8"/>
  <c r="V228" i="8"/>
  <c r="U228" i="8"/>
  <c r="T228" i="8"/>
  <c r="S228" i="8"/>
  <c r="R228" i="8"/>
  <c r="Q228" i="8"/>
  <c r="P228" i="8"/>
  <c r="N228" i="8"/>
  <c r="O228" i="8" s="1"/>
  <c r="K228" i="8"/>
  <c r="J228" i="8"/>
  <c r="X227" i="8"/>
  <c r="W227" i="8"/>
  <c r="V227" i="8"/>
  <c r="U227" i="8"/>
  <c r="T227" i="8"/>
  <c r="S227" i="8"/>
  <c r="R227" i="8"/>
  <c r="Q227" i="8"/>
  <c r="P227" i="8"/>
  <c r="N227" i="8"/>
  <c r="O227" i="8" s="1"/>
  <c r="K227" i="8"/>
  <c r="J227" i="8"/>
  <c r="L227" i="8" s="1"/>
  <c r="X226" i="8"/>
  <c r="W226" i="8"/>
  <c r="V226" i="8"/>
  <c r="U226" i="8"/>
  <c r="T226" i="8"/>
  <c r="S226" i="8"/>
  <c r="R226" i="8"/>
  <c r="Q226" i="8"/>
  <c r="P226" i="8"/>
  <c r="N226" i="8"/>
  <c r="O226" i="8" s="1"/>
  <c r="K226" i="8"/>
  <c r="J226" i="8"/>
  <c r="X225" i="8"/>
  <c r="W225" i="8"/>
  <c r="V225" i="8"/>
  <c r="U225" i="8"/>
  <c r="T225" i="8"/>
  <c r="S225" i="8"/>
  <c r="R225" i="8"/>
  <c r="Q225" i="8"/>
  <c r="P225" i="8"/>
  <c r="N225" i="8"/>
  <c r="O225" i="8" s="1"/>
  <c r="K225" i="8"/>
  <c r="J225" i="8"/>
  <c r="X224" i="8"/>
  <c r="W224" i="8"/>
  <c r="V224" i="8"/>
  <c r="U224" i="8"/>
  <c r="T224" i="8"/>
  <c r="S224" i="8"/>
  <c r="R224" i="8"/>
  <c r="Q224" i="8"/>
  <c r="P224" i="8"/>
  <c r="N224" i="8"/>
  <c r="O224" i="8" s="1"/>
  <c r="K224" i="8"/>
  <c r="J224" i="8"/>
  <c r="X223" i="8"/>
  <c r="W223" i="8"/>
  <c r="V223" i="8"/>
  <c r="U223" i="8"/>
  <c r="T223" i="8"/>
  <c r="S223" i="8"/>
  <c r="R223" i="8"/>
  <c r="Q223" i="8"/>
  <c r="P223" i="8"/>
  <c r="N223" i="8"/>
  <c r="O223" i="8" s="1"/>
  <c r="K223" i="8"/>
  <c r="J223" i="8"/>
  <c r="X222" i="8"/>
  <c r="W222" i="8"/>
  <c r="V222" i="8"/>
  <c r="U222" i="8"/>
  <c r="T222" i="8"/>
  <c r="S222" i="8"/>
  <c r="R222" i="8"/>
  <c r="Q222" i="8"/>
  <c r="P222" i="8"/>
  <c r="N222" i="8"/>
  <c r="O222" i="8" s="1"/>
  <c r="K222" i="8"/>
  <c r="J222" i="8"/>
  <c r="M222" i="8" s="1"/>
  <c r="X221" i="8"/>
  <c r="W221" i="8"/>
  <c r="V221" i="8"/>
  <c r="U221" i="8"/>
  <c r="T221" i="8"/>
  <c r="S221" i="8"/>
  <c r="R221" i="8"/>
  <c r="Q221" i="8"/>
  <c r="P221" i="8"/>
  <c r="N221" i="8"/>
  <c r="O221" i="8" s="1"/>
  <c r="K221" i="8"/>
  <c r="M221" i="8" s="1"/>
  <c r="J221" i="8"/>
  <c r="X220" i="8"/>
  <c r="W220" i="8"/>
  <c r="V220" i="8"/>
  <c r="U220" i="8"/>
  <c r="T220" i="8"/>
  <c r="S220" i="8"/>
  <c r="R220" i="8"/>
  <c r="Q220" i="8"/>
  <c r="P220" i="8"/>
  <c r="N220" i="8"/>
  <c r="O220" i="8" s="1"/>
  <c r="K220" i="8"/>
  <c r="J220" i="8"/>
  <c r="X219" i="8"/>
  <c r="W219" i="8"/>
  <c r="V219" i="8"/>
  <c r="U219" i="8"/>
  <c r="T219" i="8"/>
  <c r="S219" i="8"/>
  <c r="R219" i="8"/>
  <c r="Q219" i="8"/>
  <c r="P219" i="8"/>
  <c r="N219" i="8"/>
  <c r="O219" i="8" s="1"/>
  <c r="K219" i="8"/>
  <c r="J219" i="8"/>
  <c r="X218" i="8"/>
  <c r="W218" i="8"/>
  <c r="V218" i="8"/>
  <c r="U218" i="8"/>
  <c r="T218" i="8"/>
  <c r="S218" i="8"/>
  <c r="R218" i="8"/>
  <c r="Q218" i="8"/>
  <c r="P218" i="8"/>
  <c r="N218" i="8"/>
  <c r="O218" i="8" s="1"/>
  <c r="K218" i="8"/>
  <c r="J218" i="8"/>
  <c r="L218" i="8" s="1"/>
  <c r="X217" i="8"/>
  <c r="W217" i="8"/>
  <c r="V217" i="8"/>
  <c r="U217" i="8"/>
  <c r="T217" i="8"/>
  <c r="S217" i="8"/>
  <c r="R217" i="8"/>
  <c r="Q217" i="8"/>
  <c r="P217" i="8"/>
  <c r="N217" i="8"/>
  <c r="O217" i="8" s="1"/>
  <c r="K217" i="8"/>
  <c r="J217" i="8"/>
  <c r="M217" i="8" s="1"/>
  <c r="X216" i="8"/>
  <c r="W216" i="8"/>
  <c r="V216" i="8"/>
  <c r="U216" i="8"/>
  <c r="T216" i="8"/>
  <c r="S216" i="8"/>
  <c r="R216" i="8"/>
  <c r="Q216" i="8"/>
  <c r="P216" i="8"/>
  <c r="N216" i="8"/>
  <c r="O216" i="8" s="1"/>
  <c r="K216" i="8"/>
  <c r="J216" i="8"/>
  <c r="X215" i="8"/>
  <c r="W215" i="8"/>
  <c r="V215" i="8"/>
  <c r="U215" i="8"/>
  <c r="T215" i="8"/>
  <c r="S215" i="8"/>
  <c r="R215" i="8"/>
  <c r="Q215" i="8"/>
  <c r="P215" i="8"/>
  <c r="N215" i="8"/>
  <c r="O215" i="8" s="1"/>
  <c r="K215" i="8"/>
  <c r="J215" i="8"/>
  <c r="M215" i="8" s="1"/>
  <c r="X214" i="8"/>
  <c r="W214" i="8"/>
  <c r="V214" i="8"/>
  <c r="U214" i="8"/>
  <c r="T214" i="8"/>
  <c r="S214" i="8"/>
  <c r="R214" i="8"/>
  <c r="Q214" i="8"/>
  <c r="P214" i="8"/>
  <c r="N214" i="8"/>
  <c r="O214" i="8" s="1"/>
  <c r="K214" i="8"/>
  <c r="J214" i="8"/>
  <c r="X213" i="8"/>
  <c r="W213" i="8"/>
  <c r="V213" i="8"/>
  <c r="U213" i="8"/>
  <c r="T213" i="8"/>
  <c r="S213" i="8"/>
  <c r="R213" i="8"/>
  <c r="Q213" i="8"/>
  <c r="P213" i="8"/>
  <c r="N213" i="8"/>
  <c r="O213" i="8" s="1"/>
  <c r="K213" i="8"/>
  <c r="J213" i="8"/>
  <c r="X212" i="8"/>
  <c r="W212" i="8"/>
  <c r="V212" i="8"/>
  <c r="U212" i="8"/>
  <c r="T212" i="8"/>
  <c r="S212" i="8"/>
  <c r="R212" i="8"/>
  <c r="Q212" i="8"/>
  <c r="P212" i="8"/>
  <c r="N212" i="8"/>
  <c r="O212" i="8" s="1"/>
  <c r="K212" i="8"/>
  <c r="J212" i="8"/>
  <c r="X211" i="8"/>
  <c r="W211" i="8"/>
  <c r="V211" i="8"/>
  <c r="U211" i="8"/>
  <c r="T211" i="8"/>
  <c r="S211" i="8"/>
  <c r="R211" i="8"/>
  <c r="Q211" i="8"/>
  <c r="P211" i="8"/>
  <c r="N211" i="8"/>
  <c r="O211" i="8" s="1"/>
  <c r="K211" i="8"/>
  <c r="M211" i="8" s="1"/>
  <c r="J211" i="8"/>
  <c r="X210" i="8"/>
  <c r="W210" i="8"/>
  <c r="V210" i="8"/>
  <c r="U210" i="8"/>
  <c r="T210" i="8"/>
  <c r="S210" i="8"/>
  <c r="R210" i="8"/>
  <c r="Q210" i="8"/>
  <c r="P210" i="8"/>
  <c r="N210" i="8"/>
  <c r="O210" i="8" s="1"/>
  <c r="K210" i="8"/>
  <c r="J210" i="8"/>
  <c r="L210" i="8" s="1"/>
  <c r="X209" i="8"/>
  <c r="W209" i="8"/>
  <c r="V209" i="8"/>
  <c r="U209" i="8"/>
  <c r="T209" i="8"/>
  <c r="S209" i="8"/>
  <c r="R209" i="8"/>
  <c r="Q209" i="8"/>
  <c r="P209" i="8"/>
  <c r="O209" i="8"/>
  <c r="N209" i="8"/>
  <c r="K209" i="8"/>
  <c r="J209" i="8"/>
  <c r="X208" i="8"/>
  <c r="W208" i="8"/>
  <c r="V208" i="8"/>
  <c r="U208" i="8"/>
  <c r="T208" i="8"/>
  <c r="S208" i="8"/>
  <c r="R208" i="8"/>
  <c r="Q208" i="8"/>
  <c r="P208" i="8"/>
  <c r="N208" i="8"/>
  <c r="O208" i="8" s="1"/>
  <c r="K208" i="8"/>
  <c r="J208" i="8"/>
  <c r="M208" i="8" s="1"/>
  <c r="X207" i="8"/>
  <c r="W207" i="8"/>
  <c r="V207" i="8"/>
  <c r="U207" i="8"/>
  <c r="T207" i="8"/>
  <c r="S207" i="8"/>
  <c r="R207" i="8"/>
  <c r="Q207" i="8"/>
  <c r="P207" i="8"/>
  <c r="N207" i="8"/>
  <c r="O207" i="8" s="1"/>
  <c r="K207" i="8"/>
  <c r="J207" i="8"/>
  <c r="X206" i="8"/>
  <c r="W206" i="8"/>
  <c r="V206" i="8"/>
  <c r="U206" i="8"/>
  <c r="T206" i="8"/>
  <c r="S206" i="8"/>
  <c r="R206" i="8"/>
  <c r="Q206" i="8"/>
  <c r="P206" i="8"/>
  <c r="N206" i="8"/>
  <c r="O206" i="8" s="1"/>
  <c r="K206" i="8"/>
  <c r="J206" i="8"/>
  <c r="X205" i="8"/>
  <c r="W205" i="8"/>
  <c r="V205" i="8"/>
  <c r="U205" i="8"/>
  <c r="T205" i="8"/>
  <c r="S205" i="8"/>
  <c r="R205" i="8"/>
  <c r="Q205" i="8"/>
  <c r="P205" i="8"/>
  <c r="N205" i="8"/>
  <c r="O205" i="8" s="1"/>
  <c r="K205" i="8"/>
  <c r="J205" i="8"/>
  <c r="M205" i="8" s="1"/>
  <c r="X204" i="8"/>
  <c r="W204" i="8"/>
  <c r="V204" i="8"/>
  <c r="U204" i="8"/>
  <c r="T204" i="8"/>
  <c r="S204" i="8"/>
  <c r="R204" i="8"/>
  <c r="Q204" i="8"/>
  <c r="P204" i="8"/>
  <c r="N204" i="8"/>
  <c r="O204" i="8" s="1"/>
  <c r="K204" i="8"/>
  <c r="J204" i="8"/>
  <c r="M204" i="8" s="1"/>
  <c r="X203" i="8"/>
  <c r="W203" i="8"/>
  <c r="V203" i="8"/>
  <c r="U203" i="8"/>
  <c r="T203" i="8"/>
  <c r="S203" i="8"/>
  <c r="R203" i="8"/>
  <c r="Q203" i="8"/>
  <c r="P203" i="8"/>
  <c r="N203" i="8"/>
  <c r="O203" i="8" s="1"/>
  <c r="K203" i="8"/>
  <c r="J203" i="8"/>
  <c r="L203" i="8" s="1"/>
  <c r="X202" i="8"/>
  <c r="W202" i="8"/>
  <c r="V202" i="8"/>
  <c r="U202" i="8"/>
  <c r="T202" i="8"/>
  <c r="S202" i="8"/>
  <c r="R202" i="8"/>
  <c r="Q202" i="8"/>
  <c r="P202" i="8"/>
  <c r="N202" i="8"/>
  <c r="O202" i="8" s="1"/>
  <c r="K202" i="8"/>
  <c r="J202" i="8"/>
  <c r="X201" i="8"/>
  <c r="W201" i="8"/>
  <c r="V201" i="8"/>
  <c r="U201" i="8"/>
  <c r="T201" i="8"/>
  <c r="S201" i="8"/>
  <c r="R201" i="8"/>
  <c r="Q201" i="8"/>
  <c r="P201" i="8"/>
  <c r="N201" i="8"/>
  <c r="O201" i="8" s="1"/>
  <c r="K201" i="8"/>
  <c r="J201" i="8"/>
  <c r="M201" i="8" s="1"/>
  <c r="X200" i="8"/>
  <c r="W200" i="8"/>
  <c r="V200" i="8"/>
  <c r="U200" i="8"/>
  <c r="T200" i="8"/>
  <c r="S200" i="8"/>
  <c r="R200" i="8"/>
  <c r="Q200" i="8"/>
  <c r="P200" i="8"/>
  <c r="N200" i="8"/>
  <c r="O200" i="8" s="1"/>
  <c r="K200" i="8"/>
  <c r="J200" i="8"/>
  <c r="X199" i="8"/>
  <c r="W199" i="8"/>
  <c r="V199" i="8"/>
  <c r="U199" i="8"/>
  <c r="T199" i="8"/>
  <c r="S199" i="8"/>
  <c r="R199" i="8"/>
  <c r="Q199" i="8"/>
  <c r="P199" i="8"/>
  <c r="N199" i="8"/>
  <c r="O199" i="8" s="1"/>
  <c r="K199" i="8"/>
  <c r="J199" i="8"/>
  <c r="M199" i="8" s="1"/>
  <c r="X198" i="8"/>
  <c r="W198" i="8"/>
  <c r="V198" i="8"/>
  <c r="U198" i="8"/>
  <c r="T198" i="8"/>
  <c r="S198" i="8"/>
  <c r="R198" i="8"/>
  <c r="Q198" i="8"/>
  <c r="P198" i="8"/>
  <c r="N198" i="8"/>
  <c r="O198" i="8" s="1"/>
  <c r="K198" i="8"/>
  <c r="J198" i="8"/>
  <c r="X197" i="8"/>
  <c r="W197" i="8"/>
  <c r="V197" i="8"/>
  <c r="U197" i="8"/>
  <c r="T197" i="8"/>
  <c r="S197" i="8"/>
  <c r="R197" i="8"/>
  <c r="Q197" i="8"/>
  <c r="P197" i="8"/>
  <c r="N197" i="8"/>
  <c r="O197" i="8" s="1"/>
  <c r="K197" i="8"/>
  <c r="J197" i="8"/>
  <c r="L197" i="8" s="1"/>
  <c r="X196" i="8"/>
  <c r="W196" i="8"/>
  <c r="V196" i="8"/>
  <c r="U196" i="8"/>
  <c r="T196" i="8"/>
  <c r="S196" i="8"/>
  <c r="R196" i="8"/>
  <c r="Q196" i="8"/>
  <c r="P196" i="8"/>
  <c r="N196" i="8"/>
  <c r="O196" i="8" s="1"/>
  <c r="K196" i="8"/>
  <c r="J196" i="8"/>
  <c r="X195" i="8"/>
  <c r="W195" i="8"/>
  <c r="V195" i="8"/>
  <c r="U195" i="8"/>
  <c r="T195" i="8"/>
  <c r="S195" i="8"/>
  <c r="R195" i="8"/>
  <c r="Q195" i="8"/>
  <c r="P195" i="8"/>
  <c r="N195" i="8"/>
  <c r="O195" i="8" s="1"/>
  <c r="K195" i="8"/>
  <c r="M195" i="8" s="1"/>
  <c r="J195" i="8"/>
  <c r="X194" i="8"/>
  <c r="W194" i="8"/>
  <c r="V194" i="8"/>
  <c r="U194" i="8"/>
  <c r="T194" i="8"/>
  <c r="S194" i="8"/>
  <c r="R194" i="8"/>
  <c r="Q194" i="8"/>
  <c r="P194" i="8"/>
  <c r="N194" i="8"/>
  <c r="O194" i="8" s="1"/>
  <c r="K194" i="8"/>
  <c r="J194" i="8"/>
  <c r="X193" i="8"/>
  <c r="W193" i="8"/>
  <c r="V193" i="8"/>
  <c r="U193" i="8"/>
  <c r="T193" i="8"/>
  <c r="S193" i="8"/>
  <c r="R193" i="8"/>
  <c r="Q193" i="8"/>
  <c r="P193" i="8"/>
  <c r="N193" i="8"/>
  <c r="O193" i="8" s="1"/>
  <c r="L193" i="8"/>
  <c r="K193" i="8"/>
  <c r="J193" i="8"/>
  <c r="M193" i="8" s="1"/>
  <c r="X192" i="8"/>
  <c r="W192" i="8"/>
  <c r="V192" i="8"/>
  <c r="U192" i="8"/>
  <c r="T192" i="8"/>
  <c r="S192" i="8"/>
  <c r="R192" i="8"/>
  <c r="Q192" i="8"/>
  <c r="P192" i="8"/>
  <c r="N192" i="8"/>
  <c r="O192" i="8" s="1"/>
  <c r="K192" i="8"/>
  <c r="J192" i="8"/>
  <c r="M192" i="8" s="1"/>
  <c r="X191" i="8"/>
  <c r="W191" i="8"/>
  <c r="V191" i="8"/>
  <c r="U191" i="8"/>
  <c r="T191" i="8"/>
  <c r="S191" i="8"/>
  <c r="R191" i="8"/>
  <c r="Q191" i="8"/>
  <c r="P191" i="8"/>
  <c r="N191" i="8"/>
  <c r="O191" i="8" s="1"/>
  <c r="K191" i="8"/>
  <c r="M191" i="8" s="1"/>
  <c r="J191" i="8"/>
  <c r="X190" i="8"/>
  <c r="W190" i="8"/>
  <c r="V190" i="8"/>
  <c r="U190" i="8"/>
  <c r="T190" i="8"/>
  <c r="S190" i="8"/>
  <c r="R190" i="8"/>
  <c r="Q190" i="8"/>
  <c r="P190" i="8"/>
  <c r="N190" i="8"/>
  <c r="O190" i="8" s="1"/>
  <c r="K190" i="8"/>
  <c r="J190" i="8"/>
  <c r="M190" i="8" s="1"/>
  <c r="X189" i="8"/>
  <c r="W189" i="8"/>
  <c r="V189" i="8"/>
  <c r="U189" i="8"/>
  <c r="T189" i="8"/>
  <c r="S189" i="8"/>
  <c r="R189" i="8"/>
  <c r="Q189" i="8"/>
  <c r="P189" i="8"/>
  <c r="N189" i="8"/>
  <c r="O189" i="8" s="1"/>
  <c r="K189" i="8"/>
  <c r="J189" i="8"/>
  <c r="X188" i="8"/>
  <c r="W188" i="8"/>
  <c r="V188" i="8"/>
  <c r="U188" i="8"/>
  <c r="T188" i="8"/>
  <c r="S188" i="8"/>
  <c r="R188" i="8"/>
  <c r="Q188" i="8"/>
  <c r="P188" i="8"/>
  <c r="N188" i="8"/>
  <c r="O188" i="8" s="1"/>
  <c r="K188" i="8"/>
  <c r="J188" i="8"/>
  <c r="M188" i="8" s="1"/>
  <c r="X187" i="8"/>
  <c r="W187" i="8"/>
  <c r="V187" i="8"/>
  <c r="U187" i="8"/>
  <c r="T187" i="8"/>
  <c r="S187" i="8"/>
  <c r="R187" i="8"/>
  <c r="Q187" i="8"/>
  <c r="P187" i="8"/>
  <c r="N187" i="8"/>
  <c r="O187" i="8" s="1"/>
  <c r="K187" i="8"/>
  <c r="J187" i="8"/>
  <c r="X186" i="8"/>
  <c r="W186" i="8"/>
  <c r="V186" i="8"/>
  <c r="U186" i="8"/>
  <c r="T186" i="8"/>
  <c r="S186" i="8"/>
  <c r="R186" i="8"/>
  <c r="Q186" i="8"/>
  <c r="P186" i="8"/>
  <c r="N186" i="8"/>
  <c r="O186" i="8" s="1"/>
  <c r="K186" i="8"/>
  <c r="J186" i="8"/>
  <c r="M186" i="8" s="1"/>
  <c r="X185" i="8"/>
  <c r="W185" i="8"/>
  <c r="V185" i="8"/>
  <c r="U185" i="8"/>
  <c r="T185" i="8"/>
  <c r="S185" i="8"/>
  <c r="R185" i="8"/>
  <c r="Q185" i="8"/>
  <c r="P185" i="8"/>
  <c r="N185" i="8"/>
  <c r="O185" i="8" s="1"/>
  <c r="K185" i="8"/>
  <c r="J185" i="8"/>
  <c r="M185" i="8" s="1"/>
  <c r="X184" i="8"/>
  <c r="W184" i="8"/>
  <c r="V184" i="8"/>
  <c r="U184" i="8"/>
  <c r="T184" i="8"/>
  <c r="S184" i="8"/>
  <c r="R184" i="8"/>
  <c r="Q184" i="8"/>
  <c r="P184" i="8"/>
  <c r="N184" i="8"/>
  <c r="O184" i="8" s="1"/>
  <c r="K184" i="8"/>
  <c r="J184" i="8"/>
  <c r="X183" i="8"/>
  <c r="W183" i="8"/>
  <c r="V183" i="8"/>
  <c r="U183" i="8"/>
  <c r="T183" i="8"/>
  <c r="S183" i="8"/>
  <c r="R183" i="8"/>
  <c r="Q183" i="8"/>
  <c r="P183" i="8"/>
  <c r="N183" i="8"/>
  <c r="O183" i="8" s="1"/>
  <c r="K183" i="8"/>
  <c r="J183" i="8"/>
  <c r="X182" i="8"/>
  <c r="W182" i="8"/>
  <c r="V182" i="8"/>
  <c r="U182" i="8"/>
  <c r="T182" i="8"/>
  <c r="S182" i="8"/>
  <c r="R182" i="8"/>
  <c r="Q182" i="8"/>
  <c r="P182" i="8"/>
  <c r="N182" i="8"/>
  <c r="O182" i="8" s="1"/>
  <c r="K182" i="8"/>
  <c r="J182" i="8"/>
  <c r="L182" i="8" s="1"/>
  <c r="X181" i="8"/>
  <c r="W181" i="8"/>
  <c r="V181" i="8"/>
  <c r="U181" i="8"/>
  <c r="T181" i="8"/>
  <c r="S181" i="8"/>
  <c r="R181" i="8"/>
  <c r="Q181" i="8"/>
  <c r="P181" i="8"/>
  <c r="N181" i="8"/>
  <c r="O181" i="8" s="1"/>
  <c r="K181" i="8"/>
  <c r="J181" i="8"/>
  <c r="X180" i="8"/>
  <c r="W180" i="8"/>
  <c r="V180" i="8"/>
  <c r="U180" i="8"/>
  <c r="T180" i="8"/>
  <c r="S180" i="8"/>
  <c r="R180" i="8"/>
  <c r="Q180" i="8"/>
  <c r="P180" i="8"/>
  <c r="N180" i="8"/>
  <c r="O180" i="8" s="1"/>
  <c r="K180" i="8"/>
  <c r="L180" i="8" s="1"/>
  <c r="J180" i="8"/>
  <c r="X179" i="8"/>
  <c r="W179" i="8"/>
  <c r="V179" i="8"/>
  <c r="U179" i="8"/>
  <c r="T179" i="8"/>
  <c r="S179" i="8"/>
  <c r="R179" i="8"/>
  <c r="Q179" i="8"/>
  <c r="P179" i="8"/>
  <c r="N179" i="8"/>
  <c r="O179" i="8" s="1"/>
  <c r="K179" i="8"/>
  <c r="J179" i="8"/>
  <c r="X178" i="8"/>
  <c r="W178" i="8"/>
  <c r="V178" i="8"/>
  <c r="U178" i="8"/>
  <c r="T178" i="8"/>
  <c r="S178" i="8"/>
  <c r="R178" i="8"/>
  <c r="Q178" i="8"/>
  <c r="P178" i="8"/>
  <c r="N178" i="8"/>
  <c r="O178" i="8" s="1"/>
  <c r="M178" i="8"/>
  <c r="K178" i="8"/>
  <c r="J178" i="8"/>
  <c r="X177" i="8"/>
  <c r="W177" i="8"/>
  <c r="V177" i="8"/>
  <c r="U177" i="8"/>
  <c r="T177" i="8"/>
  <c r="S177" i="8"/>
  <c r="R177" i="8"/>
  <c r="Q177" i="8"/>
  <c r="P177" i="8"/>
  <c r="N177" i="8"/>
  <c r="O177" i="8" s="1"/>
  <c r="K177" i="8"/>
  <c r="J177" i="8"/>
  <c r="X176" i="8"/>
  <c r="W176" i="8"/>
  <c r="V176" i="8"/>
  <c r="U176" i="8"/>
  <c r="T176" i="8"/>
  <c r="S176" i="8"/>
  <c r="R176" i="8"/>
  <c r="Q176" i="8"/>
  <c r="P176" i="8"/>
  <c r="N176" i="8"/>
  <c r="O176" i="8" s="1"/>
  <c r="K176" i="8"/>
  <c r="J176" i="8"/>
  <c r="X175" i="8"/>
  <c r="W175" i="8"/>
  <c r="V175" i="8"/>
  <c r="U175" i="8"/>
  <c r="T175" i="8"/>
  <c r="S175" i="8"/>
  <c r="R175" i="8"/>
  <c r="Q175" i="8"/>
  <c r="P175" i="8"/>
  <c r="N175" i="8"/>
  <c r="O175" i="8" s="1"/>
  <c r="K175" i="8"/>
  <c r="J175" i="8"/>
  <c r="X174" i="8"/>
  <c r="W174" i="8"/>
  <c r="V174" i="8"/>
  <c r="U174" i="8"/>
  <c r="T174" i="8"/>
  <c r="S174" i="8"/>
  <c r="R174" i="8"/>
  <c r="Q174" i="8"/>
  <c r="P174" i="8"/>
  <c r="N174" i="8"/>
  <c r="O174" i="8" s="1"/>
  <c r="K174" i="8"/>
  <c r="J174" i="8"/>
  <c r="M174" i="8" s="1"/>
  <c r="X173" i="8"/>
  <c r="W173" i="8"/>
  <c r="V173" i="8"/>
  <c r="U173" i="8"/>
  <c r="T173" i="8"/>
  <c r="S173" i="8"/>
  <c r="R173" i="8"/>
  <c r="Q173" i="8"/>
  <c r="P173" i="8"/>
  <c r="N173" i="8"/>
  <c r="O173" i="8" s="1"/>
  <c r="K173" i="8"/>
  <c r="J173" i="8"/>
  <c r="K161" i="8"/>
  <c r="J161" i="8"/>
  <c r="K160" i="8"/>
  <c r="J160" i="8"/>
  <c r="K156" i="8"/>
  <c r="K150" i="8"/>
  <c r="J150" i="8"/>
  <c r="P150" i="8" s="1"/>
  <c r="T150" i="8" s="1"/>
  <c r="J130" i="8"/>
  <c r="X121" i="8"/>
  <c r="W121" i="8"/>
  <c r="V121" i="8"/>
  <c r="U121" i="8"/>
  <c r="T121" i="8"/>
  <c r="S121" i="8"/>
  <c r="R121" i="8"/>
  <c r="Q121" i="8"/>
  <c r="P121" i="8"/>
  <c r="N121" i="8"/>
  <c r="O121" i="8" s="1"/>
  <c r="X120" i="8"/>
  <c r="W120" i="8"/>
  <c r="V120" i="8"/>
  <c r="U120" i="8"/>
  <c r="T120" i="8"/>
  <c r="S120" i="8"/>
  <c r="R120" i="8"/>
  <c r="Q120" i="8"/>
  <c r="P120" i="8"/>
  <c r="N120" i="8"/>
  <c r="O120" i="8" s="1"/>
  <c r="X119" i="8"/>
  <c r="W119" i="8"/>
  <c r="V119" i="8"/>
  <c r="U119" i="8"/>
  <c r="T119" i="8"/>
  <c r="S119" i="8"/>
  <c r="R119" i="8"/>
  <c r="Q119" i="8"/>
  <c r="P119" i="8"/>
  <c r="N119" i="8"/>
  <c r="O119" i="8" s="1"/>
  <c r="J119" i="8"/>
  <c r="X118" i="8"/>
  <c r="W118" i="8"/>
  <c r="V118" i="8"/>
  <c r="U118" i="8"/>
  <c r="T118" i="8"/>
  <c r="S118" i="8"/>
  <c r="R118" i="8"/>
  <c r="Q118" i="8"/>
  <c r="P118" i="8"/>
  <c r="N118" i="8"/>
  <c r="O118" i="8" s="1"/>
  <c r="X117" i="8"/>
  <c r="W117" i="8"/>
  <c r="V117" i="8"/>
  <c r="U117" i="8"/>
  <c r="T117" i="8"/>
  <c r="S117" i="8"/>
  <c r="R117" i="8"/>
  <c r="Q117" i="8"/>
  <c r="P117" i="8"/>
  <c r="N117" i="8"/>
  <c r="O117" i="8" s="1"/>
  <c r="X116" i="8"/>
  <c r="W116" i="8"/>
  <c r="V116" i="8"/>
  <c r="U116" i="8"/>
  <c r="T116" i="8"/>
  <c r="S116" i="8"/>
  <c r="R116" i="8"/>
  <c r="Q116" i="8"/>
  <c r="P116" i="8"/>
  <c r="N116" i="8"/>
  <c r="O116" i="8" s="1"/>
  <c r="J70" i="8"/>
  <c r="O408" i="7"/>
  <c r="J406" i="7"/>
  <c r="J400" i="7"/>
  <c r="J395" i="7"/>
  <c r="J387" i="7"/>
  <c r="J380" i="7"/>
  <c r="J367" i="7"/>
  <c r="J345" i="7"/>
  <c r="O343" i="7"/>
  <c r="R343" i="7" s="1"/>
  <c r="O341" i="7"/>
  <c r="U341" i="7" s="1"/>
  <c r="J339" i="7"/>
  <c r="J337" i="7"/>
  <c r="J335" i="7"/>
  <c r="J333" i="7"/>
  <c r="J331" i="7"/>
  <c r="J290" i="7"/>
  <c r="J286" i="7"/>
  <c r="J279" i="7"/>
  <c r="I56" i="7"/>
  <c r="I48" i="7"/>
  <c r="C20" i="5"/>
  <c r="D20" i="5" s="1"/>
  <c r="B20" i="5"/>
  <c r="C19" i="5"/>
  <c r="D19" i="5" s="1"/>
  <c r="B19" i="5"/>
  <c r="C18" i="5"/>
  <c r="D18" i="5" s="1"/>
  <c r="B18" i="5"/>
  <c r="C17" i="5"/>
  <c r="B17" i="5"/>
  <c r="C16" i="5"/>
  <c r="B16" i="5"/>
  <c r="C15" i="5"/>
  <c r="D15" i="5" s="1"/>
  <c r="B15" i="5"/>
  <c r="C14" i="5"/>
  <c r="D14" i="5" s="1"/>
  <c r="B14" i="5"/>
  <c r="C13" i="5"/>
  <c r="B13" i="5"/>
  <c r="C12" i="5"/>
  <c r="D12" i="5" s="1"/>
  <c r="B12" i="5"/>
  <c r="C11" i="5"/>
  <c r="D11" i="5" s="1"/>
  <c r="B11" i="5"/>
  <c r="C10" i="5"/>
  <c r="D10" i="5" s="1"/>
  <c r="B10" i="5"/>
  <c r="D9" i="5"/>
  <c r="C9" i="5"/>
  <c r="B9" i="5"/>
  <c r="D8" i="5"/>
  <c r="C8" i="5"/>
  <c r="B8" i="5"/>
  <c r="C7" i="5"/>
  <c r="B7" i="5"/>
  <c r="C6" i="5"/>
  <c r="B6" i="5"/>
  <c r="D3" i="5"/>
  <c r="C3" i="5"/>
  <c r="K4" i="4"/>
  <c r="L4" i="4" s="1"/>
  <c r="J4" i="4"/>
  <c r="K3" i="4"/>
  <c r="L3" i="4" s="1"/>
  <c r="J3" i="4"/>
  <c r="K2" i="4"/>
  <c r="L2" i="4" s="1"/>
  <c r="J2" i="4"/>
  <c r="H33" i="16" l="1"/>
  <c r="H34" i="16"/>
  <c r="T182" i="14"/>
  <c r="U182" i="14" s="1"/>
  <c r="K182" i="14"/>
  <c r="J182" i="14"/>
  <c r="P182" i="14" s="1"/>
  <c r="T210" i="14"/>
  <c r="U210" i="14" s="1"/>
  <c r="J350" i="14"/>
  <c r="O350" i="14" s="1"/>
  <c r="M324" i="14"/>
  <c r="L324" i="14"/>
  <c r="T13" i="14"/>
  <c r="V13" i="14" s="1"/>
  <c r="W13" i="14" s="1"/>
  <c r="J254" i="14"/>
  <c r="T254" i="14"/>
  <c r="U285" i="14"/>
  <c r="V285" i="14"/>
  <c r="W285" i="14" s="1"/>
  <c r="O97" i="14"/>
  <c r="K97" i="14"/>
  <c r="O175" i="14"/>
  <c r="M175" i="14"/>
  <c r="J371" i="14"/>
  <c r="K371" i="14" s="1"/>
  <c r="L371" i="14"/>
  <c r="M371" i="14"/>
  <c r="J108" i="14"/>
  <c r="N108" i="14" s="1"/>
  <c r="O108" i="14"/>
  <c r="L97" i="14"/>
  <c r="J176" i="14"/>
  <c r="P176" i="14" s="1"/>
  <c r="J428" i="14"/>
  <c r="K428" i="14" s="1"/>
  <c r="J178" i="14"/>
  <c r="K178" i="14" s="1"/>
  <c r="T178" i="14"/>
  <c r="U178" i="14" s="1"/>
  <c r="J346" i="14"/>
  <c r="K346" i="14" s="1"/>
  <c r="T346" i="14"/>
  <c r="U346" i="14" s="1"/>
  <c r="T408" i="14"/>
  <c r="U408" i="14" s="1"/>
  <c r="J12" i="14"/>
  <c r="O12" i="14" s="1"/>
  <c r="K241" i="14"/>
  <c r="H106" i="14"/>
  <c r="T106" i="14" s="1"/>
  <c r="I106" i="14"/>
  <c r="H89" i="14"/>
  <c r="J89" i="14" s="1"/>
  <c r="K89" i="14" s="1"/>
  <c r="P245" i="14"/>
  <c r="J419" i="14"/>
  <c r="O419" i="14" s="1"/>
  <c r="L245" i="14"/>
  <c r="T221" i="14"/>
  <c r="U221" i="14" s="1"/>
  <c r="M391" i="14"/>
  <c r="R391" i="14" s="1"/>
  <c r="T262" i="14"/>
  <c r="U262" i="14" s="1"/>
  <c r="K245" i="14"/>
  <c r="L391" i="14"/>
  <c r="P262" i="14"/>
  <c r="H100" i="14"/>
  <c r="I55" i="14"/>
  <c r="K27" i="14"/>
  <c r="O353" i="14"/>
  <c r="K353" i="14"/>
  <c r="K391" i="14"/>
  <c r="Q391" i="14" s="1"/>
  <c r="S391" i="14" s="1"/>
  <c r="X391" i="14" s="1"/>
  <c r="T372" i="14"/>
  <c r="U372" i="14" s="1"/>
  <c r="O262" i="14"/>
  <c r="I86" i="14"/>
  <c r="T86" i="14" s="1"/>
  <c r="H72" i="14"/>
  <c r="I27" i="14"/>
  <c r="T27" i="14" s="1"/>
  <c r="J39" i="14"/>
  <c r="O39" i="14" s="1"/>
  <c r="K39" i="14"/>
  <c r="M372" i="14"/>
  <c r="K262" i="14"/>
  <c r="L14" i="14"/>
  <c r="H102" i="14"/>
  <c r="I102" i="14"/>
  <c r="T275" i="14"/>
  <c r="U275" i="14" s="1"/>
  <c r="J275" i="14"/>
  <c r="M275" i="14" s="1"/>
  <c r="T387" i="14"/>
  <c r="U387" i="14" s="1"/>
  <c r="J37" i="14"/>
  <c r="K37" i="14" s="1"/>
  <c r="N339" i="14"/>
  <c r="V280" i="14"/>
  <c r="W280" i="14" s="1"/>
  <c r="J241" i="14"/>
  <c r="O241" i="14" s="1"/>
  <c r="K199" i="14"/>
  <c r="I117" i="14"/>
  <c r="I26" i="14"/>
  <c r="K14" i="14"/>
  <c r="H119" i="14"/>
  <c r="I119" i="14"/>
  <c r="T175" i="14"/>
  <c r="T212" i="14"/>
  <c r="U212" i="14" s="1"/>
  <c r="I70" i="14"/>
  <c r="O53" i="14"/>
  <c r="T29" i="14"/>
  <c r="U29" i="14" s="1"/>
  <c r="P353" i="14"/>
  <c r="M280" i="14"/>
  <c r="K212" i="14"/>
  <c r="T154" i="14"/>
  <c r="V154" i="14" s="1"/>
  <c r="W154" i="14" s="1"/>
  <c r="L134" i="14"/>
  <c r="I84" i="14"/>
  <c r="T84" i="14" s="1"/>
  <c r="K53" i="14"/>
  <c r="L39" i="14"/>
  <c r="H24" i="14"/>
  <c r="T24" i="14" s="1"/>
  <c r="I69" i="14"/>
  <c r="L336" i="14"/>
  <c r="T315" i="14"/>
  <c r="J280" i="14"/>
  <c r="N280" i="14" s="1"/>
  <c r="I83" i="14"/>
  <c r="T83" i="14" s="1"/>
  <c r="U83" i="14" s="1"/>
  <c r="H25" i="14"/>
  <c r="J25" i="14" s="1"/>
  <c r="O25" i="14" s="1"/>
  <c r="I25" i="14"/>
  <c r="T142" i="14"/>
  <c r="T170" i="14"/>
  <c r="U170" i="14" s="1"/>
  <c r="J282" i="14"/>
  <c r="N282" i="14"/>
  <c r="P282" i="14"/>
  <c r="O282" i="14"/>
  <c r="M366" i="14"/>
  <c r="P366" i="14"/>
  <c r="O366" i="14"/>
  <c r="T366" i="14"/>
  <c r="U366" i="14" s="1"/>
  <c r="L422" i="14"/>
  <c r="T335" i="14"/>
  <c r="L315" i="14"/>
  <c r="Q315" i="14" s="1"/>
  <c r="K279" i="14"/>
  <c r="T257" i="14"/>
  <c r="U257" i="14" s="1"/>
  <c r="N210" i="14"/>
  <c r="P171" i="14"/>
  <c r="K151" i="14"/>
  <c r="R151" i="14" s="1"/>
  <c r="I111" i="14"/>
  <c r="I65" i="14"/>
  <c r="T21" i="14"/>
  <c r="I126" i="14"/>
  <c r="H126" i="14"/>
  <c r="J126" i="14" s="1"/>
  <c r="M126" i="14" s="1"/>
  <c r="J408" i="14"/>
  <c r="N408" i="14" s="1"/>
  <c r="L347" i="14"/>
  <c r="P335" i="14"/>
  <c r="L257" i="14"/>
  <c r="M210" i="14"/>
  <c r="N190" i="14"/>
  <c r="L171" i="14"/>
  <c r="I128" i="14"/>
  <c r="J55" i="14"/>
  <c r="L55" i="14" s="1"/>
  <c r="J83" i="14"/>
  <c r="K83" i="14" s="1"/>
  <c r="T324" i="14"/>
  <c r="U324" i="14" s="1"/>
  <c r="J72" i="14"/>
  <c r="L72" i="14" s="1"/>
  <c r="K72" i="14"/>
  <c r="I16" i="14"/>
  <c r="H28" i="14"/>
  <c r="J28" i="14" s="1"/>
  <c r="I28" i="14"/>
  <c r="M89" i="14"/>
  <c r="P89" i="14"/>
  <c r="T89" i="14"/>
  <c r="U89" i="14" s="1"/>
  <c r="K315" i="14"/>
  <c r="O315" i="14"/>
  <c r="P315" i="14"/>
  <c r="H39" i="14"/>
  <c r="T39" i="14" s="1"/>
  <c r="U39" i="14" s="1"/>
  <c r="T259" i="14"/>
  <c r="U259" i="14" s="1"/>
  <c r="L175" i="14"/>
  <c r="H19" i="14"/>
  <c r="J19" i="14" s="1"/>
  <c r="I19" i="14"/>
  <c r="T235" i="14"/>
  <c r="I97" i="14"/>
  <c r="T97" i="14" s="1"/>
  <c r="I13" i="14"/>
  <c r="M315" i="14"/>
  <c r="L15" i="14"/>
  <c r="M15" i="14"/>
  <c r="T15" i="14"/>
  <c r="V15" i="14"/>
  <c r="W15" i="14" s="1"/>
  <c r="H115" i="14"/>
  <c r="J115" i="14" s="1"/>
  <c r="I115" i="14"/>
  <c r="J120" i="14"/>
  <c r="K120" i="14" s="1"/>
  <c r="N148" i="14"/>
  <c r="K148" i="14"/>
  <c r="L148" i="14"/>
  <c r="T283" i="14"/>
  <c r="U283" i="14" s="1"/>
  <c r="O344" i="14"/>
  <c r="K347" i="14"/>
  <c r="M335" i="14"/>
  <c r="K257" i="14"/>
  <c r="J210" i="14"/>
  <c r="L190" i="14"/>
  <c r="K171" i="14"/>
  <c r="I110" i="14"/>
  <c r="T110" i="14" s="1"/>
  <c r="I95" i="14"/>
  <c r="H36" i="14"/>
  <c r="M21" i="14"/>
  <c r="H78" i="14"/>
  <c r="I78" i="14"/>
  <c r="J44" i="14"/>
  <c r="H67" i="14"/>
  <c r="J67" i="14" s="1"/>
  <c r="I67" i="14"/>
  <c r="T67" i="14" s="1"/>
  <c r="U67" i="14" s="1"/>
  <c r="J128" i="14"/>
  <c r="J268" i="14"/>
  <c r="M268" i="14"/>
  <c r="J380" i="14"/>
  <c r="L380" i="14" s="1"/>
  <c r="K380" i="14"/>
  <c r="I56" i="14"/>
  <c r="H56" i="14"/>
  <c r="T56" i="14" s="1"/>
  <c r="U56" i="14" s="1"/>
  <c r="J173" i="14"/>
  <c r="O173" i="14" s="1"/>
  <c r="N173" i="14"/>
  <c r="L173" i="14"/>
  <c r="J102" i="14"/>
  <c r="M102" i="14" s="1"/>
  <c r="H114" i="14"/>
  <c r="T114" i="14" s="1"/>
  <c r="I114" i="14"/>
  <c r="N315" i="14"/>
  <c r="I112" i="14"/>
  <c r="I22" i="14"/>
  <c r="J13" i="14"/>
  <c r="M97" i="14"/>
  <c r="T19" i="14"/>
  <c r="U19" i="14" s="1"/>
  <c r="T368" i="14"/>
  <c r="U368" i="14" s="1"/>
  <c r="L279" i="14"/>
  <c r="N21" i="14"/>
  <c r="J333" i="14"/>
  <c r="M333" i="14" s="1"/>
  <c r="N333" i="14"/>
  <c r="J425" i="14"/>
  <c r="O425" i="14" s="1"/>
  <c r="L366" i="14"/>
  <c r="K190" i="14"/>
  <c r="V190" i="14" s="1"/>
  <c r="W190" i="14" s="1"/>
  <c r="T150" i="14"/>
  <c r="U150" i="14" s="1"/>
  <c r="I50" i="14"/>
  <c r="T50" i="14" s="1"/>
  <c r="U50" i="14" s="1"/>
  <c r="J340" i="14"/>
  <c r="O340" i="14" s="1"/>
  <c r="K340" i="14"/>
  <c r="T340" i="14"/>
  <c r="U340" i="14" s="1"/>
  <c r="J249" i="14"/>
  <c r="L249" i="14" s="1"/>
  <c r="T44" i="14"/>
  <c r="U44" i="14" s="1"/>
  <c r="T49" i="14"/>
  <c r="U49" i="14" s="1"/>
  <c r="J77" i="14"/>
  <c r="K77" i="14" s="1"/>
  <c r="J345" i="14"/>
  <c r="K345" i="14" s="1"/>
  <c r="T418" i="14"/>
  <c r="U418" i="14" s="1"/>
  <c r="N418" i="14"/>
  <c r="O418" i="14"/>
  <c r="J63" i="14"/>
  <c r="J413" i="14"/>
  <c r="K413" i="14" s="1"/>
  <c r="T413" i="14"/>
  <c r="J412" i="14"/>
  <c r="N412" i="14" s="1"/>
  <c r="T412" i="14"/>
  <c r="U412" i="14" s="1"/>
  <c r="I37" i="14"/>
  <c r="H37" i="14"/>
  <c r="J238" i="14"/>
  <c r="L238" i="14" s="1"/>
  <c r="N238" i="14"/>
  <c r="T238" i="14"/>
  <c r="U238" i="14" s="1"/>
  <c r="H82" i="14"/>
  <c r="I82" i="14"/>
  <c r="T82" i="14" s="1"/>
  <c r="U82" i="14" s="1"/>
  <c r="J143" i="14"/>
  <c r="N143" i="14" s="1"/>
  <c r="K143" i="14"/>
  <c r="K405" i="14"/>
  <c r="V405" i="14" s="1"/>
  <c r="W405" i="14" s="1"/>
  <c r="H125" i="14"/>
  <c r="J125" i="14" s="1"/>
  <c r="T48" i="14"/>
  <c r="U48" i="14" s="1"/>
  <c r="K381" i="14"/>
  <c r="T308" i="14"/>
  <c r="K207" i="14"/>
  <c r="Q207" i="14" s="1"/>
  <c r="M207" i="14"/>
  <c r="L124" i="14"/>
  <c r="H93" i="14"/>
  <c r="J93" i="14" s="1"/>
  <c r="H60" i="14"/>
  <c r="T60" i="14" s="1"/>
  <c r="U60" i="14" s="1"/>
  <c r="I60" i="14"/>
  <c r="T121" i="14"/>
  <c r="U121" i="14" s="1"/>
  <c r="T429" i="14"/>
  <c r="U429" i="14" s="1"/>
  <c r="P422" i="14"/>
  <c r="J148" i="14"/>
  <c r="H11" i="14"/>
  <c r="J82" i="14"/>
  <c r="O82" i="14" s="1"/>
  <c r="T250" i="14"/>
  <c r="U250" i="14" s="1"/>
  <c r="I49" i="14"/>
  <c r="T155" i="14"/>
  <c r="U155" i="14" s="1"/>
  <c r="T351" i="14"/>
  <c r="J11" i="14"/>
  <c r="M11" i="14" s="1"/>
  <c r="T297" i="14"/>
  <c r="I101" i="14"/>
  <c r="T101" i="14" s="1"/>
  <c r="K297" i="14"/>
  <c r="I77" i="14"/>
  <c r="T77" i="14" s="1"/>
  <c r="H45" i="14"/>
  <c r="J45" i="14" s="1"/>
  <c r="P11" i="14"/>
  <c r="T11" i="14"/>
  <c r="U11" i="14" s="1"/>
  <c r="T258" i="14"/>
  <c r="U258" i="14" s="1"/>
  <c r="O13" i="14"/>
  <c r="P13" i="14"/>
  <c r="T62" i="14"/>
  <c r="U62" i="14" s="1"/>
  <c r="J174" i="14"/>
  <c r="P174" i="14" s="1"/>
  <c r="N174" i="14"/>
  <c r="T230" i="14"/>
  <c r="U230" i="14" s="1"/>
  <c r="K230" i="14"/>
  <c r="J314" i="14"/>
  <c r="P314" i="14" s="1"/>
  <c r="K314" i="14"/>
  <c r="N314" i="14"/>
  <c r="J342" i="14"/>
  <c r="N342" i="14" s="1"/>
  <c r="J370" i="14"/>
  <c r="J330" i="14"/>
  <c r="K330" i="14" s="1"/>
  <c r="T132" i="14"/>
  <c r="V132" i="14" s="1"/>
  <c r="W132" i="14" s="1"/>
  <c r="J23" i="14"/>
  <c r="N23" i="14" s="1"/>
  <c r="J163" i="14"/>
  <c r="K163" i="14" s="1"/>
  <c r="N163" i="14"/>
  <c r="O163" i="14"/>
  <c r="J219" i="14"/>
  <c r="L219" i="14" s="1"/>
  <c r="J247" i="14"/>
  <c r="K247" i="14" s="1"/>
  <c r="T247" i="14"/>
  <c r="U247" i="14" s="1"/>
  <c r="T303" i="14"/>
  <c r="J303" i="14"/>
  <c r="K303" i="14" s="1"/>
  <c r="J359" i="14"/>
  <c r="K359" i="14" s="1"/>
  <c r="T359" i="14"/>
  <c r="U359" i="14" s="1"/>
  <c r="J395" i="14"/>
  <c r="K395" i="14" s="1"/>
  <c r="J328" i="14"/>
  <c r="K328" i="14" s="1"/>
  <c r="T208" i="14"/>
  <c r="U208" i="14" s="1"/>
  <c r="J208" i="14"/>
  <c r="L208" i="14" s="1"/>
  <c r="T236" i="14"/>
  <c r="J264" i="14"/>
  <c r="N264" i="14" s="1"/>
  <c r="T264" i="14"/>
  <c r="U264" i="14" s="1"/>
  <c r="K320" i="14"/>
  <c r="L320" i="14"/>
  <c r="M320" i="14"/>
  <c r="J376" i="14"/>
  <c r="K376" i="14" s="1"/>
  <c r="J404" i="14"/>
  <c r="K404" i="14" s="1"/>
  <c r="N404" i="14"/>
  <c r="P404" i="14"/>
  <c r="O404" i="14"/>
  <c r="J393" i="14"/>
  <c r="P393" i="14" s="1"/>
  <c r="K393" i="14"/>
  <c r="T393" i="14"/>
  <c r="U393" i="14" s="1"/>
  <c r="J269" i="14"/>
  <c r="L269" i="14" s="1"/>
  <c r="K269" i="14"/>
  <c r="J195" i="14"/>
  <c r="K195" i="14"/>
  <c r="N195" i="14"/>
  <c r="O195" i="14"/>
  <c r="T195" i="14"/>
  <c r="U195" i="14" s="1"/>
  <c r="J129" i="14"/>
  <c r="L129" i="14" s="1"/>
  <c r="T129" i="14"/>
  <c r="U129" i="14" s="1"/>
  <c r="T59" i="14"/>
  <c r="U59" i="14" s="1"/>
  <c r="J59" i="14"/>
  <c r="L59" i="14" s="1"/>
  <c r="J258" i="14"/>
  <c r="K258" i="14" s="1"/>
  <c r="T113" i="14"/>
  <c r="U113" i="14" s="1"/>
  <c r="T281" i="14"/>
  <c r="U281" i="14" s="1"/>
  <c r="V281" i="14"/>
  <c r="W281" i="14" s="1"/>
  <c r="J281" i="14"/>
  <c r="P281" i="14" s="1"/>
  <c r="J309" i="14"/>
  <c r="K309" i="14" s="1"/>
  <c r="T309" i="14"/>
  <c r="J337" i="14"/>
  <c r="K337" i="14" s="1"/>
  <c r="T337" i="14"/>
  <c r="U337" i="14" s="1"/>
  <c r="J392" i="14"/>
  <c r="M392" i="14" s="1"/>
  <c r="K392" i="14"/>
  <c r="O392" i="14"/>
  <c r="J326" i="14"/>
  <c r="L326" i="14" s="1"/>
  <c r="N326" i="14"/>
  <c r="T326" i="14"/>
  <c r="U326" i="14" s="1"/>
  <c r="J261" i="14"/>
  <c r="K261" i="14" s="1"/>
  <c r="O261" i="14"/>
  <c r="P261" i="14"/>
  <c r="J272" i="14"/>
  <c r="O272" i="14" s="1"/>
  <c r="T166" i="14"/>
  <c r="U166" i="14" s="1"/>
  <c r="J18" i="14"/>
  <c r="O18" i="14" s="1"/>
  <c r="T18" i="14"/>
  <c r="U18" i="14" s="1"/>
  <c r="J242" i="14"/>
  <c r="K242" i="14" s="1"/>
  <c r="N242" i="14"/>
  <c r="O242" i="14"/>
  <c r="T242" i="14"/>
  <c r="U242" i="14" s="1"/>
  <c r="J270" i="14"/>
  <c r="K270" i="14" s="1"/>
  <c r="T270" i="14"/>
  <c r="J354" i="14"/>
  <c r="L354" i="14" s="1"/>
  <c r="T354" i="14"/>
  <c r="U354" i="14" s="1"/>
  <c r="T410" i="14"/>
  <c r="T384" i="14"/>
  <c r="U384" i="14" s="1"/>
  <c r="J384" i="14"/>
  <c r="M384" i="14" s="1"/>
  <c r="J255" i="14"/>
  <c r="P255" i="14" s="1"/>
  <c r="J54" i="14"/>
  <c r="K54" i="14"/>
  <c r="L54" i="14"/>
  <c r="N54" i="14"/>
  <c r="K254" i="14"/>
  <c r="N254" i="14"/>
  <c r="J52" i="14"/>
  <c r="L52" i="14" s="1"/>
  <c r="T52" i="14"/>
  <c r="U52" i="14" s="1"/>
  <c r="T136" i="14"/>
  <c r="J136" i="14"/>
  <c r="J164" i="14"/>
  <c r="L164" i="14" s="1"/>
  <c r="N164" i="14"/>
  <c r="T164" i="14"/>
  <c r="U164" i="14" s="1"/>
  <c r="J192" i="14"/>
  <c r="K192" i="14" s="1"/>
  <c r="L192" i="14"/>
  <c r="J248" i="14"/>
  <c r="P248" i="14" s="1"/>
  <c r="N248" i="14"/>
  <c r="L248" i="14"/>
  <c r="O248" i="14"/>
  <c r="J276" i="14"/>
  <c r="K276" i="14" s="1"/>
  <c r="J304" i="14"/>
  <c r="P304" i="14"/>
  <c r="J360" i="14"/>
  <c r="P360" i="14" s="1"/>
  <c r="J388" i="14"/>
  <c r="L388" i="14" s="1"/>
  <c r="O388" i="14"/>
  <c r="P388" i="14"/>
  <c r="T388" i="14"/>
  <c r="U388" i="14" s="1"/>
  <c r="J123" i="14"/>
  <c r="O123" i="14" s="1"/>
  <c r="K123" i="14"/>
  <c r="M123" i="14"/>
  <c r="L51" i="14"/>
  <c r="N51" i="14"/>
  <c r="P51" i="14"/>
  <c r="T51" i="14"/>
  <c r="U51" i="14" s="1"/>
  <c r="N41" i="14"/>
  <c r="P41" i="14"/>
  <c r="T41" i="14"/>
  <c r="U41" i="14" s="1"/>
  <c r="J41" i="14"/>
  <c r="O41" i="14" s="1"/>
  <c r="T69" i="14"/>
  <c r="U69" i="14" s="1"/>
  <c r="J209" i="14"/>
  <c r="P209" i="14" s="1"/>
  <c r="K209" i="14"/>
  <c r="L209" i="14"/>
  <c r="T209" i="14"/>
  <c r="J321" i="14"/>
  <c r="T321" i="14"/>
  <c r="U321" i="14" s="1"/>
  <c r="T163" i="14"/>
  <c r="U163" i="14" s="1"/>
  <c r="L13" i="14"/>
  <c r="T398" i="14"/>
  <c r="U398" i="14" s="1"/>
  <c r="T316" i="14"/>
  <c r="U316" i="14" s="1"/>
  <c r="T46" i="14"/>
  <c r="U46" i="14" s="1"/>
  <c r="K13" i="14"/>
  <c r="R13" i="14" s="1"/>
  <c r="P316" i="14"/>
  <c r="L135" i="14"/>
  <c r="L63" i="14"/>
  <c r="L46" i="14"/>
  <c r="M330" i="14"/>
  <c r="T174" i="14"/>
  <c r="U174" i="14" s="1"/>
  <c r="K102" i="14"/>
  <c r="K63" i="14"/>
  <c r="R63" i="14" s="1"/>
  <c r="K46" i="14"/>
  <c r="T255" i="14"/>
  <c r="U255" i="14" s="1"/>
  <c r="N147" i="14"/>
  <c r="K147" i="14"/>
  <c r="T123" i="14"/>
  <c r="J410" i="14"/>
  <c r="M410" i="14" s="1"/>
  <c r="T328" i="14"/>
  <c r="U328" i="14" s="1"/>
  <c r="T223" i="14"/>
  <c r="U223" i="14" s="1"/>
  <c r="K185" i="14"/>
  <c r="T202" i="14"/>
  <c r="U202" i="14" s="1"/>
  <c r="J202" i="14"/>
  <c r="O202" i="14" s="1"/>
  <c r="J286" i="14"/>
  <c r="P286" i="14" s="1"/>
  <c r="T286" i="14"/>
  <c r="U286" i="14" s="1"/>
  <c r="T399" i="14"/>
  <c r="U399" i="14" s="1"/>
  <c r="J399" i="14"/>
  <c r="P399" i="14" s="1"/>
  <c r="T382" i="14"/>
  <c r="U382" i="14" s="1"/>
  <c r="T401" i="14"/>
  <c r="U401" i="14" s="1"/>
  <c r="J230" i="14"/>
  <c r="P230" i="14" s="1"/>
  <c r="J387" i="14"/>
  <c r="K387" i="14" s="1"/>
  <c r="T331" i="14"/>
  <c r="U331" i="14" s="1"/>
  <c r="O297" i="14"/>
  <c r="N297" i="14"/>
  <c r="J416" i="14"/>
  <c r="N416" i="14" s="1"/>
  <c r="O416" i="14"/>
  <c r="J74" i="14"/>
  <c r="M13" i="14"/>
  <c r="N13" i="14"/>
  <c r="J153" i="14"/>
  <c r="O153" i="14" s="1"/>
  <c r="T153" i="14"/>
  <c r="U153" i="14" s="1"/>
  <c r="J181" i="14"/>
  <c r="M181" i="14" s="1"/>
  <c r="T181" i="14"/>
  <c r="U181" i="14" s="1"/>
  <c r="J379" i="14"/>
  <c r="K379" i="14" s="1"/>
  <c r="N316" i="14"/>
  <c r="M316" i="14"/>
  <c r="O316" i="14"/>
  <c r="J252" i="14"/>
  <c r="K252" i="14"/>
  <c r="L252" i="14"/>
  <c r="M252" i="14"/>
  <c r="J50" i="14"/>
  <c r="O50" i="14" s="1"/>
  <c r="K50" i="14"/>
  <c r="L50" i="14"/>
  <c r="M50" i="14"/>
  <c r="N50" i="14"/>
  <c r="T330" i="14"/>
  <c r="U330" i="14" s="1"/>
  <c r="V282" i="14"/>
  <c r="W282" i="14" s="1"/>
  <c r="U282" i="14"/>
  <c r="N373" i="14"/>
  <c r="O330" i="14"/>
  <c r="T135" i="14"/>
  <c r="V135" i="14" s="1"/>
  <c r="W135" i="14" s="1"/>
  <c r="T395" i="14"/>
  <c r="U395" i="14" s="1"/>
  <c r="K382" i="14"/>
  <c r="O223" i="14"/>
  <c r="T146" i="14"/>
  <c r="U146" i="14" s="1"/>
  <c r="J421" i="14"/>
  <c r="L421" i="14" s="1"/>
  <c r="K421" i="14"/>
  <c r="J295" i="14"/>
  <c r="P295" i="14" s="1"/>
  <c r="J95" i="14"/>
  <c r="M95" i="14" s="1"/>
  <c r="K95" i="14"/>
  <c r="T95" i="14"/>
  <c r="U95" i="14" s="1"/>
  <c r="T172" i="14"/>
  <c r="U172" i="14" s="1"/>
  <c r="J172" i="14"/>
  <c r="M172" i="14" s="1"/>
  <c r="K172" i="14"/>
  <c r="L172" i="14"/>
  <c r="P172" i="14"/>
  <c r="P369" i="14"/>
  <c r="K369" i="14"/>
  <c r="L369" i="14"/>
  <c r="M369" i="14"/>
  <c r="N369" i="14"/>
  <c r="O369" i="14"/>
  <c r="J155" i="14"/>
  <c r="M155" i="14" s="1"/>
  <c r="J121" i="14"/>
  <c r="N121" i="14" s="1"/>
  <c r="J87" i="14"/>
  <c r="P87" i="14" s="1"/>
  <c r="V302" i="14"/>
  <c r="W302" i="14" s="1"/>
  <c r="U302" i="14"/>
  <c r="J250" i="14"/>
  <c r="O250" i="14" s="1"/>
  <c r="N151" i="14"/>
  <c r="T356" i="14"/>
  <c r="M194" i="14"/>
  <c r="J429" i="14"/>
  <c r="K429" i="14" s="1"/>
  <c r="K356" i="14"/>
  <c r="T261" i="14"/>
  <c r="U261" i="14" s="1"/>
  <c r="L194" i="14"/>
  <c r="K142" i="14"/>
  <c r="P142" i="14"/>
  <c r="T404" i="14"/>
  <c r="U404" i="14" s="1"/>
  <c r="L390" i="14"/>
  <c r="K194" i="14"/>
  <c r="P97" i="14"/>
  <c r="J58" i="14"/>
  <c r="N58" i="14" s="1"/>
  <c r="T58" i="14"/>
  <c r="U58" i="14" s="1"/>
  <c r="K33" i="14"/>
  <c r="O33" i="14"/>
  <c r="L33" i="14"/>
  <c r="N33" i="14"/>
  <c r="M33" i="14"/>
  <c r="P33" i="14"/>
  <c r="M317" i="14"/>
  <c r="N317" i="14"/>
  <c r="T317" i="14"/>
  <c r="V317" i="14" s="1"/>
  <c r="W317" i="14" s="1"/>
  <c r="J26" i="14"/>
  <c r="O26" i="14" s="1"/>
  <c r="K26" i="14"/>
  <c r="T26" i="14"/>
  <c r="U26" i="14" s="1"/>
  <c r="J138" i="14"/>
  <c r="M138" i="14" s="1"/>
  <c r="T138" i="14"/>
  <c r="T334" i="14"/>
  <c r="U334" i="14" s="1"/>
  <c r="J334" i="14"/>
  <c r="K334" i="14" s="1"/>
  <c r="J423" i="14"/>
  <c r="K423" i="14" s="1"/>
  <c r="T423" i="14"/>
  <c r="U423" i="14" s="1"/>
  <c r="M168" i="14"/>
  <c r="N168" i="14"/>
  <c r="K168" i="14"/>
  <c r="O168" i="14"/>
  <c r="T99" i="14"/>
  <c r="U99" i="14" s="1"/>
  <c r="J99" i="14"/>
  <c r="K99" i="14" s="1"/>
  <c r="T267" i="14"/>
  <c r="U267" i="14" s="1"/>
  <c r="J267" i="14"/>
  <c r="O267" i="14" s="1"/>
  <c r="O288" i="14"/>
  <c r="M288" i="14"/>
  <c r="P194" i="14"/>
  <c r="T428" i="14"/>
  <c r="U428" i="14" s="1"/>
  <c r="K390" i="14"/>
  <c r="J168" i="14"/>
  <c r="L168" i="14" s="1"/>
  <c r="J107" i="14"/>
  <c r="T107" i="14"/>
  <c r="N97" i="14"/>
  <c r="K88" i="14"/>
  <c r="J233" i="14"/>
  <c r="T233" i="14"/>
  <c r="O373" i="14"/>
  <c r="J361" i="14"/>
  <c r="N361" i="14"/>
  <c r="J298" i="14"/>
  <c r="P298" i="14" s="1"/>
  <c r="N298" i="14"/>
  <c r="T298" i="14"/>
  <c r="U298" i="14" s="1"/>
  <c r="J227" i="14"/>
  <c r="K227" i="14" s="1"/>
  <c r="T227" i="14"/>
  <c r="U227" i="14" s="1"/>
  <c r="J169" i="14"/>
  <c r="L169" i="14" s="1"/>
  <c r="K169" i="14"/>
  <c r="N169" i="14"/>
  <c r="M169" i="14"/>
  <c r="T169" i="14"/>
  <c r="U169" i="14" s="1"/>
  <c r="P169" i="14"/>
  <c r="T103" i="14"/>
  <c r="U103" i="14" s="1"/>
  <c r="J103" i="14"/>
  <c r="N103" i="14" s="1"/>
  <c r="K103" i="14"/>
  <c r="K146" i="14"/>
  <c r="J278" i="14"/>
  <c r="O278" i="14" s="1"/>
  <c r="K278" i="14"/>
  <c r="M356" i="14"/>
  <c r="J224" i="14"/>
  <c r="T224" i="14"/>
  <c r="U224" i="14" s="1"/>
  <c r="J101" i="14"/>
  <c r="P101" i="14" s="1"/>
  <c r="T352" i="14"/>
  <c r="U352" i="14" s="1"/>
  <c r="J352" i="14"/>
  <c r="M352" i="14" s="1"/>
  <c r="J132" i="14"/>
  <c r="M132" i="14" s="1"/>
  <c r="J144" i="14"/>
  <c r="N144" i="14"/>
  <c r="M200" i="14"/>
  <c r="N200" i="14"/>
  <c r="P200" i="14"/>
  <c r="O200" i="14"/>
  <c r="T200" i="14"/>
  <c r="T256" i="14"/>
  <c r="U256" i="14" s="1"/>
  <c r="J256" i="14"/>
  <c r="O256" i="14" s="1"/>
  <c r="K256" i="14"/>
  <c r="M256" i="14"/>
  <c r="L256" i="14"/>
  <c r="J284" i="14"/>
  <c r="N284" i="14" s="1"/>
  <c r="T284" i="14"/>
  <c r="M144" i="14"/>
  <c r="M121" i="14"/>
  <c r="L273" i="14"/>
  <c r="J51" i="14"/>
  <c r="J236" i="14"/>
  <c r="K236" i="14" s="1"/>
  <c r="M297" i="14"/>
  <c r="N428" i="14"/>
  <c r="T127" i="14"/>
  <c r="U127" i="14" s="1"/>
  <c r="J112" i="14"/>
  <c r="K112" i="14" s="1"/>
  <c r="P408" i="14"/>
  <c r="O408" i="14"/>
  <c r="T194" i="14"/>
  <c r="J215" i="14"/>
  <c r="O215" i="14" s="1"/>
  <c r="T215" i="14"/>
  <c r="U215" i="14" s="1"/>
  <c r="T355" i="14"/>
  <c r="U355" i="14" s="1"/>
  <c r="J355" i="14"/>
  <c r="O411" i="14"/>
  <c r="J110" i="14"/>
  <c r="M110" i="14" s="1"/>
  <c r="J47" i="14"/>
  <c r="N47" i="14" s="1"/>
  <c r="T102" i="14"/>
  <c r="U102" i="14" s="1"/>
  <c r="O64" i="14"/>
  <c r="T400" i="14"/>
  <c r="U400" i="14" s="1"/>
  <c r="J400" i="14"/>
  <c r="M400" i="14" s="1"/>
  <c r="T371" i="14"/>
  <c r="U371" i="14" s="1"/>
  <c r="L180" i="14"/>
  <c r="K417" i="14"/>
  <c r="J221" i="14"/>
  <c r="K221" i="14" s="1"/>
  <c r="K152" i="14"/>
  <c r="T96" i="14"/>
  <c r="T87" i="14"/>
  <c r="U87" i="14" s="1"/>
  <c r="J29" i="14"/>
  <c r="M29" i="14" s="1"/>
  <c r="T396" i="14"/>
  <c r="U396" i="14" s="1"/>
  <c r="K329" i="14"/>
  <c r="T251" i="14"/>
  <c r="U251" i="14" s="1"/>
  <c r="K220" i="14"/>
  <c r="O210" i="14"/>
  <c r="L210" i="14"/>
  <c r="T72" i="14"/>
  <c r="J70" i="14"/>
  <c r="P70" i="14" s="1"/>
  <c r="K210" i="14"/>
  <c r="K238" i="14"/>
  <c r="K396" i="14"/>
  <c r="T364" i="14"/>
  <c r="U364" i="14" s="1"/>
  <c r="J106" i="14"/>
  <c r="K106" i="14" s="1"/>
  <c r="L241" i="14"/>
  <c r="T220" i="14"/>
  <c r="U220" i="14" s="1"/>
  <c r="K87" i="14"/>
  <c r="J362" i="14"/>
  <c r="P362" i="14" s="1"/>
  <c r="T362" i="14"/>
  <c r="U362" i="14" s="1"/>
  <c r="K300" i="14"/>
  <c r="T300" i="14"/>
  <c r="L300" i="14"/>
  <c r="L228" i="14"/>
  <c r="M171" i="14"/>
  <c r="N171" i="14"/>
  <c r="J104" i="14"/>
  <c r="M104" i="14" s="1"/>
  <c r="L104" i="14"/>
  <c r="T268" i="14"/>
  <c r="T171" i="14"/>
  <c r="J62" i="14"/>
  <c r="P368" i="14"/>
  <c r="K290" i="14"/>
  <c r="M290" i="14"/>
  <c r="J49" i="14"/>
  <c r="P311" i="14"/>
  <c r="T115" i="14"/>
  <c r="U115" i="14" s="1"/>
  <c r="M412" i="14"/>
  <c r="L335" i="14"/>
  <c r="T311" i="14"/>
  <c r="U311" i="14" s="1"/>
  <c r="J105" i="14"/>
  <c r="P105" i="14" s="1"/>
  <c r="T92" i="14"/>
  <c r="U92" i="14" s="1"/>
  <c r="J69" i="14"/>
  <c r="O69" i="14" s="1"/>
  <c r="T53" i="14"/>
  <c r="U53" i="14" s="1"/>
  <c r="L151" i="14"/>
  <c r="M151" i="14"/>
  <c r="P151" i="14"/>
  <c r="T151" i="14"/>
  <c r="U151" i="14" s="1"/>
  <c r="Q199" i="14"/>
  <c r="M139" i="14"/>
  <c r="P310" i="14"/>
  <c r="M291" i="14"/>
  <c r="K291" i="14"/>
  <c r="M375" i="14"/>
  <c r="L204" i="14"/>
  <c r="T76" i="14"/>
  <c r="U76" i="14" s="1"/>
  <c r="J411" i="14"/>
  <c r="L402" i="14"/>
  <c r="N350" i="14"/>
  <c r="T292" i="14"/>
  <c r="V292" i="14" s="1"/>
  <c r="W292" i="14" s="1"/>
  <c r="T273" i="14"/>
  <c r="K128" i="14"/>
  <c r="L83" i="14"/>
  <c r="N11" i="14"/>
  <c r="J424" i="14"/>
  <c r="K424" i="14" s="1"/>
  <c r="J133" i="14"/>
  <c r="K133" i="14" s="1"/>
  <c r="T133" i="14"/>
  <c r="U133" i="14" s="1"/>
  <c r="P133" i="14"/>
  <c r="J161" i="14"/>
  <c r="O161" i="14" s="1"/>
  <c r="T161" i="14"/>
  <c r="U161" i="14" s="1"/>
  <c r="T189" i="14"/>
  <c r="U189" i="14" s="1"/>
  <c r="J189" i="14"/>
  <c r="M189" i="14" s="1"/>
  <c r="K189" i="14"/>
  <c r="T245" i="14"/>
  <c r="U245" i="14" s="1"/>
  <c r="L329" i="14"/>
  <c r="J92" i="14"/>
  <c r="O92" i="14" s="1"/>
  <c r="T278" i="14"/>
  <c r="N262" i="14"/>
  <c r="L262" i="14"/>
  <c r="M262" i="14"/>
  <c r="J348" i="14"/>
  <c r="K348" i="14"/>
  <c r="L348" i="14"/>
  <c r="T348" i="14"/>
  <c r="U348" i="14" s="1"/>
  <c r="M27" i="14"/>
  <c r="M55" i="14"/>
  <c r="N391" i="14"/>
  <c r="O391" i="14"/>
  <c r="T391" i="14"/>
  <c r="U391" i="14" s="1"/>
  <c r="J16" i="14"/>
  <c r="N16" i="14" s="1"/>
  <c r="L16" i="14"/>
  <c r="K44" i="14"/>
  <c r="L44" i="14"/>
  <c r="M44" i="14"/>
  <c r="J100" i="14"/>
  <c r="N15" i="14"/>
  <c r="O15" i="14"/>
  <c r="P15" i="14"/>
  <c r="K335" i="14"/>
  <c r="J318" i="14"/>
  <c r="M344" i="14"/>
  <c r="O11" i="14"/>
  <c r="M336" i="14"/>
  <c r="K402" i="14"/>
  <c r="J374" i="14"/>
  <c r="L374" i="14" s="1"/>
  <c r="M350" i="14"/>
  <c r="K302" i="14"/>
  <c r="R302" i="14" s="1"/>
  <c r="P273" i="14"/>
  <c r="K214" i="14"/>
  <c r="K175" i="14"/>
  <c r="J113" i="14"/>
  <c r="M113" i="14" s="1"/>
  <c r="T47" i="14"/>
  <c r="T217" i="14"/>
  <c r="U217" i="14" s="1"/>
  <c r="L217" i="14"/>
  <c r="T131" i="14"/>
  <c r="K217" i="14"/>
  <c r="M287" i="14"/>
  <c r="T100" i="14"/>
  <c r="J84" i="14"/>
  <c r="T20" i="14"/>
  <c r="T310" i="14"/>
  <c r="U310" i="14" s="1"/>
  <c r="T411" i="14"/>
  <c r="P350" i="14"/>
  <c r="J20" i="14"/>
  <c r="O20" i="14" s="1"/>
  <c r="P403" i="14"/>
  <c r="J140" i="14"/>
  <c r="O140" i="14" s="1"/>
  <c r="V140" i="14"/>
  <c r="W140" i="14" s="1"/>
  <c r="M73" i="14"/>
  <c r="N73" i="14"/>
  <c r="P73" i="14"/>
  <c r="K73" i="14"/>
  <c r="L73" i="14"/>
  <c r="T374" i="14"/>
  <c r="U374" i="14" s="1"/>
  <c r="T225" i="14"/>
  <c r="U225" i="14" s="1"/>
  <c r="K308" i="14"/>
  <c r="L308" i="14"/>
  <c r="N308" i="14"/>
  <c r="J239" i="14"/>
  <c r="K239" i="14" s="1"/>
  <c r="T272" i="14"/>
  <c r="T128" i="14"/>
  <c r="U128" i="14" s="1"/>
  <c r="P14" i="14"/>
  <c r="K42" i="14"/>
  <c r="L42" i="14"/>
  <c r="P42" i="14"/>
  <c r="T42" i="14"/>
  <c r="K235" i="14"/>
  <c r="T37" i="14"/>
  <c r="T228" i="14"/>
  <c r="T33" i="14"/>
  <c r="U33" i="14" s="1"/>
  <c r="L61" i="14"/>
  <c r="T375" i="14"/>
  <c r="U375" i="14" s="1"/>
  <c r="L302" i="14"/>
  <c r="M302" i="14"/>
  <c r="P302" i="14"/>
  <c r="N386" i="14"/>
  <c r="T344" i="14"/>
  <c r="U344" i="14" s="1"/>
  <c r="K11" i="14"/>
  <c r="L11" i="14"/>
  <c r="N375" i="14"/>
  <c r="T291" i="14"/>
  <c r="T252" i="14"/>
  <c r="T104" i="14"/>
  <c r="T204" i="14"/>
  <c r="L147" i="14"/>
  <c r="T158" i="14"/>
  <c r="U158" i="14" s="1"/>
  <c r="T342" i="14"/>
  <c r="T183" i="14"/>
  <c r="T201" i="14"/>
  <c r="U201" i="14" s="1"/>
  <c r="T124" i="14"/>
  <c r="U124" i="14" s="1"/>
  <c r="T287" i="14"/>
  <c r="V287" i="14" s="1"/>
  <c r="W287" i="14" s="1"/>
  <c r="T160" i="14"/>
  <c r="J299" i="13"/>
  <c r="L378" i="13"/>
  <c r="M378" i="13"/>
  <c r="N378" i="13" s="1"/>
  <c r="J313" i="13"/>
  <c r="K313" i="13" s="1"/>
  <c r="O313" i="13"/>
  <c r="Q313" i="13" s="1"/>
  <c r="J230" i="13"/>
  <c r="K230" i="13" s="1"/>
  <c r="L230" i="13" s="1"/>
  <c r="O230" i="13"/>
  <c r="P230" i="13" s="1"/>
  <c r="S245" i="13"/>
  <c r="J318" i="13"/>
  <c r="K318" i="13" s="1"/>
  <c r="L318" i="13" s="1"/>
  <c r="O318" i="13"/>
  <c r="R318" i="13" s="1"/>
  <c r="J262" i="13"/>
  <c r="O27" i="13"/>
  <c r="J245" i="13"/>
  <c r="K245" i="13" s="1"/>
  <c r="H33" i="13"/>
  <c r="J33" i="13" s="1"/>
  <c r="K33" i="13" s="1"/>
  <c r="I55" i="13"/>
  <c r="H28" i="13"/>
  <c r="J28" i="13" s="1"/>
  <c r="K28" i="13" s="1"/>
  <c r="I28" i="13"/>
  <c r="O33" i="13"/>
  <c r="H112" i="13"/>
  <c r="I112" i="13"/>
  <c r="J229" i="13"/>
  <c r="K229" i="13" s="1"/>
  <c r="L229" i="13" s="1"/>
  <c r="O229" i="13"/>
  <c r="P229" i="13" s="1"/>
  <c r="J425" i="13"/>
  <c r="K425" i="13" s="1"/>
  <c r="M425" i="13" s="1"/>
  <c r="N425" i="13" s="1"/>
  <c r="O425" i="13"/>
  <c r="M372" i="13"/>
  <c r="N372" i="13" s="1"/>
  <c r="O372" i="13"/>
  <c r="J372" i="13"/>
  <c r="K372" i="13" s="1"/>
  <c r="L372" i="13" s="1"/>
  <c r="H103" i="13"/>
  <c r="H45" i="13"/>
  <c r="O45" i="13" s="1"/>
  <c r="I45" i="13"/>
  <c r="H73" i="13"/>
  <c r="I73" i="13"/>
  <c r="O106" i="13"/>
  <c r="P106" i="13" s="1"/>
  <c r="H129" i="13"/>
  <c r="I129" i="13"/>
  <c r="J129" i="13" s="1"/>
  <c r="K129" i="13" s="1"/>
  <c r="L129" i="13" s="1"/>
  <c r="J162" i="13"/>
  <c r="K162" i="13" s="1"/>
  <c r="L162" i="13" s="1"/>
  <c r="O358" i="13"/>
  <c r="U358" i="13"/>
  <c r="O131" i="13"/>
  <c r="H94" i="13"/>
  <c r="J94" i="13" s="1"/>
  <c r="K94" i="13" s="1"/>
  <c r="I94" i="13"/>
  <c r="O155" i="13"/>
  <c r="P155" i="13"/>
  <c r="J155" i="13"/>
  <c r="K155" i="13" s="1"/>
  <c r="M155" i="13" s="1"/>
  <c r="U155" i="13"/>
  <c r="J60" i="13"/>
  <c r="K60" i="13" s="1"/>
  <c r="U60" i="13"/>
  <c r="T60" i="13"/>
  <c r="O256" i="13"/>
  <c r="R256" i="13" s="1"/>
  <c r="J256" i="13"/>
  <c r="K256" i="13" s="1"/>
  <c r="T395" i="13"/>
  <c r="R395" i="13"/>
  <c r="O60" i="13"/>
  <c r="O38" i="13"/>
  <c r="S38" i="13" s="1"/>
  <c r="H61" i="13"/>
  <c r="I61" i="13"/>
  <c r="J66" i="13"/>
  <c r="K66" i="13" s="1"/>
  <c r="M66" i="13" s="1"/>
  <c r="N66" i="13" s="1"/>
  <c r="O94" i="13"/>
  <c r="P94" i="13" s="1"/>
  <c r="J150" i="13"/>
  <c r="K150" i="13" s="1"/>
  <c r="J402" i="13"/>
  <c r="O386" i="13"/>
  <c r="J386" i="13"/>
  <c r="K386" i="13" s="1"/>
  <c r="M386" i="13" s="1"/>
  <c r="J370" i="13"/>
  <c r="K370" i="13" s="1"/>
  <c r="R245" i="13"/>
  <c r="H83" i="13"/>
  <c r="H78" i="13"/>
  <c r="O78" i="13" s="1"/>
  <c r="I78" i="13"/>
  <c r="J78" i="13" s="1"/>
  <c r="K78" i="13" s="1"/>
  <c r="H95" i="13"/>
  <c r="I95" i="13"/>
  <c r="O100" i="13"/>
  <c r="I123" i="13"/>
  <c r="H123" i="13"/>
  <c r="J123" i="13" s="1"/>
  <c r="K123" i="13" s="1"/>
  <c r="H62" i="13"/>
  <c r="O62" i="13" s="1"/>
  <c r="I62" i="13"/>
  <c r="O67" i="13"/>
  <c r="H90" i="13"/>
  <c r="I90" i="13"/>
  <c r="J365" i="13"/>
  <c r="K365" i="13" s="1"/>
  <c r="L365" i="13" s="1"/>
  <c r="O365" i="13"/>
  <c r="T365" i="13" s="1"/>
  <c r="O246" i="13"/>
  <c r="P246" i="13" s="1"/>
  <c r="J246" i="13"/>
  <c r="K246" i="13"/>
  <c r="H23" i="13"/>
  <c r="I23" i="13"/>
  <c r="H51" i="13"/>
  <c r="O51" i="13" s="1"/>
  <c r="I51" i="13"/>
  <c r="J51" i="13" s="1"/>
  <c r="K51" i="13" s="1"/>
  <c r="L51" i="13" s="1"/>
  <c r="H79" i="13"/>
  <c r="I79" i="13"/>
  <c r="O420" i="13"/>
  <c r="P420" i="13"/>
  <c r="Q420" i="13"/>
  <c r="J420" i="13"/>
  <c r="O125" i="13"/>
  <c r="J125" i="13"/>
  <c r="K125" i="13" s="1"/>
  <c r="J427" i="13"/>
  <c r="K427" i="13" s="1"/>
  <c r="M427" i="13" s="1"/>
  <c r="N427" i="13" s="1"/>
  <c r="H75" i="13"/>
  <c r="O368" i="13"/>
  <c r="O101" i="13"/>
  <c r="H124" i="13"/>
  <c r="I124" i="13"/>
  <c r="J353" i="13"/>
  <c r="K353" i="13" s="1"/>
  <c r="M353" i="13" s="1"/>
  <c r="N353" i="13" s="1"/>
  <c r="J237" i="13"/>
  <c r="K237" i="13" s="1"/>
  <c r="M237" i="13" s="1"/>
  <c r="N237" i="13" s="1"/>
  <c r="O237" i="13"/>
  <c r="T237" i="13" s="1"/>
  <c r="H29" i="13"/>
  <c r="I29" i="13"/>
  <c r="H113" i="13"/>
  <c r="I113" i="13"/>
  <c r="O118" i="13"/>
  <c r="O342" i="13"/>
  <c r="U342" i="13" s="1"/>
  <c r="J342" i="13"/>
  <c r="K342" i="13"/>
  <c r="J232" i="13"/>
  <c r="K232" i="13" s="1"/>
  <c r="M232" i="13" s="1"/>
  <c r="O232" i="13"/>
  <c r="J276" i="13"/>
  <c r="K276" i="13" s="1"/>
  <c r="L276" i="13" s="1"/>
  <c r="I100" i="13"/>
  <c r="J354" i="13"/>
  <c r="K354" i="13" s="1"/>
  <c r="L354" i="13" s="1"/>
  <c r="O115" i="13"/>
  <c r="R189" i="13"/>
  <c r="H72" i="13"/>
  <c r="O72" i="13" s="1"/>
  <c r="I22" i="13"/>
  <c r="J22" i="13" s="1"/>
  <c r="K22" i="13" s="1"/>
  <c r="J274" i="13"/>
  <c r="K274" i="13" s="1"/>
  <c r="T189" i="13"/>
  <c r="Q155" i="13"/>
  <c r="I50" i="13"/>
  <c r="O92" i="13"/>
  <c r="I96" i="13"/>
  <c r="I125" i="13"/>
  <c r="H125" i="13"/>
  <c r="H30" i="13"/>
  <c r="I30" i="13"/>
  <c r="H19" i="13"/>
  <c r="I19" i="13"/>
  <c r="H47" i="13"/>
  <c r="I47" i="13"/>
  <c r="J47" i="13" s="1"/>
  <c r="K47" i="13" s="1"/>
  <c r="J103" i="13"/>
  <c r="K103" i="13" s="1"/>
  <c r="J248" i="13"/>
  <c r="K248" i="13" s="1"/>
  <c r="O360" i="13"/>
  <c r="J360" i="13"/>
  <c r="K360" i="13" s="1"/>
  <c r="J189" i="13"/>
  <c r="K189" i="13" s="1"/>
  <c r="I69" i="13"/>
  <c r="J69" i="13" s="1"/>
  <c r="K69" i="13" s="1"/>
  <c r="M69" i="13" s="1"/>
  <c r="O97" i="13"/>
  <c r="S97" i="13" s="1"/>
  <c r="J405" i="13"/>
  <c r="K405" i="13" s="1"/>
  <c r="I118" i="13"/>
  <c r="J118" i="13" s="1"/>
  <c r="K118" i="13" s="1"/>
  <c r="H89" i="13"/>
  <c r="O89" i="13" s="1"/>
  <c r="J366" i="13"/>
  <c r="K366" i="13" s="1"/>
  <c r="M366" i="13" s="1"/>
  <c r="N366" i="13" s="1"/>
  <c r="J311" i="13"/>
  <c r="K311" i="13" s="1"/>
  <c r="L311" i="13" s="1"/>
  <c r="O311" i="13"/>
  <c r="Q311" i="13" s="1"/>
  <c r="K420" i="13"/>
  <c r="O170" i="13"/>
  <c r="T170" i="13" s="1"/>
  <c r="P300" i="13"/>
  <c r="I117" i="13"/>
  <c r="J117" i="13" s="1"/>
  <c r="K117" i="13" s="1"/>
  <c r="H40" i="13"/>
  <c r="H66" i="13"/>
  <c r="O66" i="13" s="1"/>
  <c r="I66" i="13"/>
  <c r="H97" i="13"/>
  <c r="I97" i="13"/>
  <c r="I86" i="13"/>
  <c r="H86" i="13"/>
  <c r="J86" i="13" s="1"/>
  <c r="K86" i="13" s="1"/>
  <c r="O371" i="13"/>
  <c r="S371" i="13" s="1"/>
  <c r="J371" i="13"/>
  <c r="K371" i="13" s="1"/>
  <c r="O176" i="13"/>
  <c r="P176" i="13" s="1"/>
  <c r="J176" i="13"/>
  <c r="K176" i="13" s="1"/>
  <c r="M176" i="13" s="1"/>
  <c r="N176" i="13" s="1"/>
  <c r="L176" i="13"/>
  <c r="O305" i="13"/>
  <c r="R305" i="13" s="1"/>
  <c r="J305" i="13"/>
  <c r="K305" i="13" s="1"/>
  <c r="M305" i="13" s="1"/>
  <c r="V305" i="13" s="1"/>
  <c r="W305" i="13" s="1"/>
  <c r="J199" i="13"/>
  <c r="K199" i="13" s="1"/>
  <c r="M419" i="13"/>
  <c r="N419" i="13" s="1"/>
  <c r="I67" i="13"/>
  <c r="J67" i="13" s="1"/>
  <c r="K67" i="13" s="1"/>
  <c r="I39" i="13"/>
  <c r="J39" i="13" s="1"/>
  <c r="K39" i="13" s="1"/>
  <c r="O262" i="13"/>
  <c r="J397" i="13"/>
  <c r="K397" i="13"/>
  <c r="J200" i="13"/>
  <c r="K200" i="13" s="1"/>
  <c r="M200" i="13" s="1"/>
  <c r="N200" i="13" s="1"/>
  <c r="L200" i="13"/>
  <c r="K35" i="13"/>
  <c r="J35" i="13"/>
  <c r="K287" i="13"/>
  <c r="O25" i="13"/>
  <c r="H48" i="13"/>
  <c r="I48" i="13"/>
  <c r="H76" i="13"/>
  <c r="I76" i="13"/>
  <c r="O81" i="13"/>
  <c r="H104" i="13"/>
  <c r="O104" i="13" s="1"/>
  <c r="S104" i="13" s="1"/>
  <c r="I104" i="13"/>
  <c r="J277" i="13"/>
  <c r="K277" i="13" s="1"/>
  <c r="L277" i="13" s="1"/>
  <c r="O417" i="13"/>
  <c r="J417" i="13"/>
  <c r="K417" i="13" s="1"/>
  <c r="L417" i="13" s="1"/>
  <c r="J58" i="13"/>
  <c r="K58" i="13" s="1"/>
  <c r="M58" i="13" s="1"/>
  <c r="N58" i="13" s="1"/>
  <c r="P342" i="13"/>
  <c r="O148" i="13"/>
  <c r="H122" i="13"/>
  <c r="J122" i="13" s="1"/>
  <c r="K122" i="13" s="1"/>
  <c r="M122" i="13" s="1"/>
  <c r="I122" i="13"/>
  <c r="J295" i="13"/>
  <c r="K295" i="13" s="1"/>
  <c r="L295" i="13" s="1"/>
  <c r="H27" i="13"/>
  <c r="J27" i="13" s="1"/>
  <c r="K27" i="13" s="1"/>
  <c r="I27" i="13"/>
  <c r="H111" i="13"/>
  <c r="O111" i="13" s="1"/>
  <c r="I111" i="13"/>
  <c r="J144" i="13"/>
  <c r="K144" i="13" s="1"/>
  <c r="M144" i="13" s="1"/>
  <c r="O144" i="13"/>
  <c r="U144" i="13" s="1"/>
  <c r="M276" i="13"/>
  <c r="H16" i="13"/>
  <c r="I16" i="13"/>
  <c r="H44" i="13"/>
  <c r="I44" i="13"/>
  <c r="H128" i="13"/>
  <c r="O128" i="13" s="1"/>
  <c r="I128" i="13"/>
  <c r="O133" i="13"/>
  <c r="P133" i="13" s="1"/>
  <c r="H41" i="13"/>
  <c r="O41" i="13" s="1"/>
  <c r="U41" i="13" s="1"/>
  <c r="I41" i="13"/>
  <c r="J41" i="13" s="1"/>
  <c r="K41" i="13" s="1"/>
  <c r="J231" i="13"/>
  <c r="O231" i="13"/>
  <c r="Q231" i="13" s="1"/>
  <c r="J42" i="13"/>
  <c r="K42" i="13" s="1"/>
  <c r="L42" i="13" s="1"/>
  <c r="O98" i="13"/>
  <c r="P98" i="13" s="1"/>
  <c r="O299" i="13"/>
  <c r="P299" i="13" s="1"/>
  <c r="K299" i="13"/>
  <c r="L299" i="13" s="1"/>
  <c r="R299" i="13"/>
  <c r="J298" i="13"/>
  <c r="H17" i="13"/>
  <c r="O17" i="13" s="1"/>
  <c r="U17" i="13" s="1"/>
  <c r="O68" i="13"/>
  <c r="J343" i="13"/>
  <c r="K343" i="13" s="1"/>
  <c r="I24" i="13"/>
  <c r="H24" i="13"/>
  <c r="K85" i="13"/>
  <c r="P85" i="13"/>
  <c r="O85" i="13"/>
  <c r="L169" i="13"/>
  <c r="Q197" i="13"/>
  <c r="J197" i="13"/>
  <c r="K197" i="13" s="1"/>
  <c r="Q281" i="13"/>
  <c r="J315" i="13"/>
  <c r="K315" i="13" s="1"/>
  <c r="H115" i="13"/>
  <c r="J433" i="13"/>
  <c r="H36" i="13"/>
  <c r="O36" i="13" s="1"/>
  <c r="P36" i="13" s="1"/>
  <c r="I36" i="13"/>
  <c r="J153" i="13"/>
  <c r="K153" i="13" s="1"/>
  <c r="J114" i="13"/>
  <c r="K114" i="13" s="1"/>
  <c r="J282" i="13"/>
  <c r="K282" i="13" s="1"/>
  <c r="L282" i="13" s="1"/>
  <c r="J288" i="13"/>
  <c r="K288" i="13" s="1"/>
  <c r="J19" i="13"/>
  <c r="K19" i="13" s="1"/>
  <c r="L19" i="13" s="1"/>
  <c r="O47" i="13"/>
  <c r="S47" i="13" s="1"/>
  <c r="I98" i="13"/>
  <c r="J98" i="13" s="1"/>
  <c r="K98" i="13" s="1"/>
  <c r="H98" i="13"/>
  <c r="O159" i="13"/>
  <c r="Q159" i="13" s="1"/>
  <c r="J159" i="13"/>
  <c r="K159" i="13" s="1"/>
  <c r="J243" i="13"/>
  <c r="K243" i="13" s="1"/>
  <c r="L243" i="13" s="1"/>
  <c r="J327" i="13"/>
  <c r="K327" i="13" s="1"/>
  <c r="L327" i="13" s="1"/>
  <c r="K383" i="13"/>
  <c r="Q309" i="13"/>
  <c r="I80" i="13"/>
  <c r="J80" i="13" s="1"/>
  <c r="K80" i="13" s="1"/>
  <c r="O433" i="13"/>
  <c r="K349" i="13"/>
  <c r="M349" i="13" s="1"/>
  <c r="N349" i="13" s="1"/>
  <c r="J36" i="13"/>
  <c r="K36" i="13" s="1"/>
  <c r="J423" i="13"/>
  <c r="K423" i="13" s="1"/>
  <c r="O423" i="13"/>
  <c r="K362" i="13"/>
  <c r="L362" i="13" s="1"/>
  <c r="J287" i="13"/>
  <c r="R281" i="13"/>
  <c r="H109" i="13"/>
  <c r="H92" i="13"/>
  <c r="I59" i="13"/>
  <c r="J43" i="13"/>
  <c r="J361" i="13"/>
  <c r="K361" i="13" s="1"/>
  <c r="J65" i="13"/>
  <c r="K65" i="13" s="1"/>
  <c r="O70" i="13"/>
  <c r="Q70" i="13" s="1"/>
  <c r="O126" i="13"/>
  <c r="P126" i="13" s="1"/>
  <c r="K177" i="13"/>
  <c r="M177" i="13" s="1"/>
  <c r="K205" i="13"/>
  <c r="K345" i="13"/>
  <c r="J59" i="13"/>
  <c r="K59" i="13" s="1"/>
  <c r="J227" i="13"/>
  <c r="K227" i="13" s="1"/>
  <c r="J171" i="13"/>
  <c r="J406" i="13"/>
  <c r="K406" i="13" s="1"/>
  <c r="P281" i="13"/>
  <c r="I108" i="13"/>
  <c r="J108" i="13" s="1"/>
  <c r="K108" i="13" s="1"/>
  <c r="O114" i="13"/>
  <c r="I49" i="13"/>
  <c r="H49" i="13"/>
  <c r="O49" i="13" s="1"/>
  <c r="O54" i="13"/>
  <c r="R54" i="13" s="1"/>
  <c r="O82" i="13"/>
  <c r="J413" i="13"/>
  <c r="K413" i="13" s="1"/>
  <c r="O247" i="13"/>
  <c r="P247" i="13" s="1"/>
  <c r="J247" i="13"/>
  <c r="K247" i="13" s="1"/>
  <c r="J383" i="13"/>
  <c r="O91" i="13"/>
  <c r="U91" i="13" s="1"/>
  <c r="O406" i="13"/>
  <c r="O309" i="13"/>
  <c r="U309" i="13" s="1"/>
  <c r="J283" i="13"/>
  <c r="K283" i="13" s="1"/>
  <c r="J395" i="13"/>
  <c r="O20" i="13"/>
  <c r="O48" i="13"/>
  <c r="S48" i="13" s="1"/>
  <c r="J384" i="13"/>
  <c r="K384" i="13" s="1"/>
  <c r="M384" i="13" s="1"/>
  <c r="J93" i="13"/>
  <c r="K93" i="13" s="1"/>
  <c r="L93" i="13" s="1"/>
  <c r="Q205" i="13"/>
  <c r="J373" i="13"/>
  <c r="J401" i="13"/>
  <c r="K401" i="13" s="1"/>
  <c r="L401" i="13" s="1"/>
  <c r="R216" i="13"/>
  <c r="P346" i="14"/>
  <c r="L428" i="14"/>
  <c r="L317" i="14"/>
  <c r="P398" i="14"/>
  <c r="N346" i="14"/>
  <c r="K317" i="14"/>
  <c r="N312" i="14"/>
  <c r="M398" i="14"/>
  <c r="M346" i="14"/>
  <c r="M312" i="14"/>
  <c r="M421" i="14"/>
  <c r="L398" i="14"/>
  <c r="N392" i="14"/>
  <c r="P382" i="14"/>
  <c r="L346" i="14"/>
  <c r="O335" i="14"/>
  <c r="O320" i="14"/>
  <c r="L312" i="14"/>
  <c r="P330" i="14"/>
  <c r="N320" i="14"/>
  <c r="P381" i="14"/>
  <c r="N413" i="14"/>
  <c r="O381" i="14"/>
  <c r="L413" i="14"/>
  <c r="M381" i="14"/>
  <c r="K366" i="14"/>
  <c r="P297" i="14"/>
  <c r="O290" i="14"/>
  <c r="M286" i="14"/>
  <c r="M413" i="14"/>
  <c r="N381" i="14"/>
  <c r="P290" i="14"/>
  <c r="N290" i="14"/>
  <c r="L286" i="14"/>
  <c r="P394" i="14"/>
  <c r="N323" i="14"/>
  <c r="O289" i="14"/>
  <c r="L394" i="14"/>
  <c r="M323" i="14"/>
  <c r="N289" i="14"/>
  <c r="L282" i="14"/>
  <c r="N379" i="14"/>
  <c r="N336" i="14"/>
  <c r="Q336" i="14" s="1"/>
  <c r="L323" i="14"/>
  <c r="M289" i="14"/>
  <c r="P285" i="14"/>
  <c r="K323" i="14"/>
  <c r="O285" i="14"/>
  <c r="P384" i="14"/>
  <c r="P300" i="14"/>
  <c r="N285" i="14"/>
  <c r="P372" i="14"/>
  <c r="M364" i="14"/>
  <c r="Q364" i="14" s="1"/>
  <c r="P331" i="14"/>
  <c r="O300" i="14"/>
  <c r="M285" i="14"/>
  <c r="P428" i="14"/>
  <c r="N384" i="14"/>
  <c r="O372" i="14"/>
  <c r="L331" i="14"/>
  <c r="P317" i="14"/>
  <c r="N300" i="14"/>
  <c r="P288" i="14"/>
  <c r="L285" i="14"/>
  <c r="R285" i="14" s="1"/>
  <c r="O428" i="14"/>
  <c r="N259" i="14"/>
  <c r="P228" i="14"/>
  <c r="P217" i="14"/>
  <c r="N202" i="14"/>
  <c r="O152" i="14"/>
  <c r="M259" i="14"/>
  <c r="O228" i="14"/>
  <c r="O217" i="14"/>
  <c r="M202" i="14"/>
  <c r="N152" i="14"/>
  <c r="P143" i="14"/>
  <c r="L274" i="14"/>
  <c r="L259" i="14"/>
  <c r="N228" i="14"/>
  <c r="N217" i="14"/>
  <c r="P210" i="14"/>
  <c r="L202" i="14"/>
  <c r="P190" i="14"/>
  <c r="M152" i="14"/>
  <c r="O143" i="14"/>
  <c r="L138" i="14"/>
  <c r="K259" i="14"/>
  <c r="M228" i="14"/>
  <c r="K202" i="14"/>
  <c r="O190" i="14"/>
  <c r="R190" i="14" s="1"/>
  <c r="L152" i="14"/>
  <c r="O148" i="14"/>
  <c r="K138" i="14"/>
  <c r="Q190" i="14"/>
  <c r="O133" i="14"/>
  <c r="O205" i="14"/>
  <c r="O182" i="14"/>
  <c r="N205" i="14"/>
  <c r="N182" i="14"/>
  <c r="P232" i="14"/>
  <c r="O220" i="14"/>
  <c r="M205" i="14"/>
  <c r="M182" i="14"/>
  <c r="P175" i="14"/>
  <c r="M220" i="14"/>
  <c r="L182" i="14"/>
  <c r="N175" i="14"/>
  <c r="P168" i="14"/>
  <c r="N276" i="14"/>
  <c r="P257" i="14"/>
  <c r="M254" i="14"/>
  <c r="M236" i="14"/>
  <c r="O181" i="14"/>
  <c r="O154" i="14"/>
  <c r="L132" i="14"/>
  <c r="L261" i="14"/>
  <c r="O257" i="14"/>
  <c r="L254" i="14"/>
  <c r="L236" i="14"/>
  <c r="L154" i="14"/>
  <c r="P146" i="14"/>
  <c r="P135" i="14"/>
  <c r="K132" i="14"/>
  <c r="N257" i="14"/>
  <c r="M203" i="14"/>
  <c r="P188" i="14"/>
  <c r="O146" i="14"/>
  <c r="O135" i="14"/>
  <c r="L203" i="14"/>
  <c r="O188" i="14"/>
  <c r="P223" i="14"/>
  <c r="N139" i="14"/>
  <c r="P270" i="14"/>
  <c r="P235" i="14"/>
  <c r="O170" i="14"/>
  <c r="O165" i="14"/>
  <c r="O160" i="14"/>
  <c r="V153" i="14"/>
  <c r="W153" i="14" s="1"/>
  <c r="O150" i="14"/>
  <c r="L139" i="14"/>
  <c r="P170" i="14"/>
  <c r="P165" i="14"/>
  <c r="P160" i="14"/>
  <c r="P150" i="14"/>
  <c r="O235" i="14"/>
  <c r="N170" i="14"/>
  <c r="N165" i="14"/>
  <c r="N160" i="14"/>
  <c r="N150" i="14"/>
  <c r="P134" i="14"/>
  <c r="P240" i="14"/>
  <c r="N235" i="14"/>
  <c r="M170" i="14"/>
  <c r="M165" i="14"/>
  <c r="M160" i="14"/>
  <c r="M150" i="14"/>
  <c r="O134" i="14"/>
  <c r="P259" i="14"/>
  <c r="O240" i="14"/>
  <c r="M235" i="14"/>
  <c r="P202" i="14"/>
  <c r="N185" i="14"/>
  <c r="M179" i="14"/>
  <c r="L170" i="14"/>
  <c r="L165" i="14"/>
  <c r="L160" i="14"/>
  <c r="L150" i="14"/>
  <c r="N134" i="14"/>
  <c r="M185" i="14"/>
  <c r="M134" i="14"/>
  <c r="O198" i="14"/>
  <c r="P198" i="14"/>
  <c r="L198" i="14"/>
  <c r="M198" i="14"/>
  <c r="N198" i="14"/>
  <c r="K198" i="14"/>
  <c r="N130" i="14"/>
  <c r="K130" i="14"/>
  <c r="L130" i="14"/>
  <c r="M130" i="14"/>
  <c r="O130" i="14"/>
  <c r="P130" i="14"/>
  <c r="T198" i="14"/>
  <c r="U410" i="14"/>
  <c r="M401" i="14"/>
  <c r="O401" i="14"/>
  <c r="P401" i="14"/>
  <c r="N401" i="14"/>
  <c r="L401" i="14"/>
  <c r="L303" i="14"/>
  <c r="O303" i="14"/>
  <c r="M303" i="14"/>
  <c r="N303" i="14"/>
  <c r="T266" i="14"/>
  <c r="J266" i="14"/>
  <c r="T370" i="14"/>
  <c r="T222" i="14"/>
  <c r="J222" i="14"/>
  <c r="O362" i="14"/>
  <c r="K327" i="14"/>
  <c r="L327" i="14"/>
  <c r="M327" i="14"/>
  <c r="N327" i="14"/>
  <c r="O327" i="14"/>
  <c r="P327" i="14"/>
  <c r="N201" i="14"/>
  <c r="L201" i="14"/>
  <c r="M201" i="14"/>
  <c r="P201" i="14"/>
  <c r="O415" i="14"/>
  <c r="N415" i="14"/>
  <c r="P415" i="14"/>
  <c r="K415" i="14"/>
  <c r="L415" i="14"/>
  <c r="M415" i="14"/>
  <c r="U413" i="14"/>
  <c r="K373" i="14"/>
  <c r="L373" i="14"/>
  <c r="M373" i="14"/>
  <c r="P373" i="14"/>
  <c r="T322" i="14"/>
  <c r="J322" i="14"/>
  <c r="O127" i="14"/>
  <c r="K127" i="14"/>
  <c r="L127" i="14"/>
  <c r="N127" i="14"/>
  <c r="P127" i="14"/>
  <c r="U403" i="14"/>
  <c r="T216" i="14"/>
  <c r="J216" i="14"/>
  <c r="P305" i="14"/>
  <c r="O305" i="14"/>
  <c r="M305" i="14"/>
  <c r="N305" i="14"/>
  <c r="K305" i="14"/>
  <c r="L305" i="14"/>
  <c r="O263" i="14"/>
  <c r="P263" i="14"/>
  <c r="K263" i="14"/>
  <c r="N263" i="14"/>
  <c r="L263" i="14"/>
  <c r="M263" i="14"/>
  <c r="M337" i="14"/>
  <c r="N337" i="14"/>
  <c r="P337" i="14"/>
  <c r="T246" i="14"/>
  <c r="J246" i="14"/>
  <c r="J98" i="14"/>
  <c r="T98" i="14"/>
  <c r="M269" i="14"/>
  <c r="N269" i="14"/>
  <c r="O269" i="14"/>
  <c r="O178" i="14"/>
  <c r="N178" i="14"/>
  <c r="L178" i="14"/>
  <c r="M178" i="14"/>
  <c r="P178" i="14"/>
  <c r="K166" i="14"/>
  <c r="N166" i="14"/>
  <c r="O166" i="14"/>
  <c r="P166" i="14"/>
  <c r="M166" i="14"/>
  <c r="V155" i="14"/>
  <c r="W155" i="14" s="1"/>
  <c r="T156" i="14"/>
  <c r="L403" i="14"/>
  <c r="O403" i="14"/>
  <c r="M403" i="14"/>
  <c r="N403" i="14"/>
  <c r="U272" i="14"/>
  <c r="U342" i="14"/>
  <c r="T378" i="14"/>
  <c r="J378" i="14"/>
  <c r="T373" i="14"/>
  <c r="T271" i="14"/>
  <c r="J271" i="14"/>
  <c r="M225" i="14"/>
  <c r="N225" i="14"/>
  <c r="O225" i="14"/>
  <c r="P225" i="14"/>
  <c r="K225" i="14"/>
  <c r="L225" i="14"/>
  <c r="M245" i="14"/>
  <c r="N245" i="14"/>
  <c r="O245" i="14"/>
  <c r="O212" i="14"/>
  <c r="P212" i="14"/>
  <c r="N212" i="14"/>
  <c r="L212" i="14"/>
  <c r="M212" i="14"/>
  <c r="J414" i="14"/>
  <c r="T414" i="14"/>
  <c r="U356" i="14"/>
  <c r="T332" i="14"/>
  <c r="J332" i="14"/>
  <c r="K280" i="14"/>
  <c r="O280" i="14"/>
  <c r="P280" i="14"/>
  <c r="L143" i="14"/>
  <c r="M143" i="14"/>
  <c r="N325" i="14"/>
  <c r="P325" i="14"/>
  <c r="O325" i="14"/>
  <c r="K325" i="14"/>
  <c r="L325" i="14"/>
  <c r="M325" i="14"/>
  <c r="U289" i="14"/>
  <c r="V289" i="14"/>
  <c r="W289" i="14" s="1"/>
  <c r="O254" i="14"/>
  <c r="P254" i="14"/>
  <c r="J406" i="14"/>
  <c r="T406" i="14"/>
  <c r="T186" i="14"/>
  <c r="J186" i="14"/>
  <c r="J86" i="14"/>
  <c r="T325" i="14"/>
  <c r="V298" i="14"/>
  <c r="W298" i="14" s="1"/>
  <c r="U254" i="14"/>
  <c r="T234" i="14"/>
  <c r="J234" i="14"/>
  <c r="U73" i="14"/>
  <c r="L185" i="14"/>
  <c r="P185" i="14"/>
  <c r="U160" i="14"/>
  <c r="T389" i="14"/>
  <c r="P207" i="14"/>
  <c r="N207" i="14"/>
  <c r="O207" i="14"/>
  <c r="V207" i="14" s="1"/>
  <c r="W207" i="14" s="1"/>
  <c r="V316" i="14"/>
  <c r="W316" i="14" s="1"/>
  <c r="U190" i="14"/>
  <c r="K367" i="14"/>
  <c r="L367" i="14"/>
  <c r="M367" i="14"/>
  <c r="N367" i="14"/>
  <c r="P367" i="14"/>
  <c r="O367" i="14"/>
  <c r="U319" i="14"/>
  <c r="P396" i="14"/>
  <c r="L396" i="14"/>
  <c r="M396" i="14"/>
  <c r="N396" i="14"/>
  <c r="O396" i="14"/>
  <c r="K313" i="14"/>
  <c r="L313" i="14"/>
  <c r="M313" i="14"/>
  <c r="P313" i="14"/>
  <c r="N313" i="14"/>
  <c r="O313" i="14"/>
  <c r="U273" i="14"/>
  <c r="U47" i="14"/>
  <c r="J351" i="14"/>
  <c r="J338" i="14"/>
  <c r="T338" i="14"/>
  <c r="N389" i="14"/>
  <c r="O389" i="14"/>
  <c r="P389" i="14"/>
  <c r="L389" i="14"/>
  <c r="M389" i="14"/>
  <c r="T314" i="14"/>
  <c r="M298" i="14"/>
  <c r="K298" i="14"/>
  <c r="L298" i="14"/>
  <c r="T277" i="14"/>
  <c r="J277" i="14"/>
  <c r="J90" i="14"/>
  <c r="T90" i="14"/>
  <c r="O17" i="14"/>
  <c r="K17" i="14"/>
  <c r="L17" i="14"/>
  <c r="M17" i="14"/>
  <c r="N17" i="14"/>
  <c r="P17" i="14"/>
  <c r="M385" i="14"/>
  <c r="N385" i="14"/>
  <c r="O385" i="14"/>
  <c r="L385" i="14"/>
  <c r="P385" i="14"/>
  <c r="K385" i="14"/>
  <c r="U351" i="14"/>
  <c r="O319" i="14"/>
  <c r="P319" i="14"/>
  <c r="L319" i="14"/>
  <c r="K319" i="14"/>
  <c r="M319" i="14"/>
  <c r="U288" i="14"/>
  <c r="V288" i="14"/>
  <c r="W288" i="14" s="1"/>
  <c r="T116" i="14"/>
  <c r="J116" i="14"/>
  <c r="N343" i="14"/>
  <c r="P343" i="14"/>
  <c r="O343" i="14"/>
  <c r="L131" i="14"/>
  <c r="M131" i="14"/>
  <c r="O131" i="14"/>
  <c r="K131" i="14"/>
  <c r="N131" i="14"/>
  <c r="P131" i="14"/>
  <c r="N421" i="14"/>
  <c r="P421" i="14"/>
  <c r="T269" i="14"/>
  <c r="U131" i="14"/>
  <c r="V131" i="14"/>
  <c r="W131" i="14" s="1"/>
  <c r="T109" i="14"/>
  <c r="J109" i="14"/>
  <c r="J38" i="14"/>
  <c r="T38" i="14"/>
  <c r="J357" i="14"/>
  <c r="T357" i="14"/>
  <c r="U263" i="14"/>
  <c r="O76" i="14"/>
  <c r="P76" i="14"/>
  <c r="M76" i="14"/>
  <c r="L76" i="14"/>
  <c r="N76" i="14"/>
  <c r="T421" i="14"/>
  <c r="J409" i="14"/>
  <c r="T409" i="14"/>
  <c r="U394" i="14"/>
  <c r="L427" i="14"/>
  <c r="M427" i="14"/>
  <c r="N427" i="14"/>
  <c r="P427" i="14"/>
  <c r="K427" i="14"/>
  <c r="O427" i="14"/>
  <c r="U411" i="14"/>
  <c r="N356" i="14"/>
  <c r="O356" i="14"/>
  <c r="P356" i="14"/>
  <c r="J341" i="14"/>
  <c r="T341" i="14"/>
  <c r="J137" i="14"/>
  <c r="T137" i="14"/>
  <c r="L82" i="14"/>
  <c r="M82" i="14"/>
  <c r="N82" i="14"/>
  <c r="K82" i="14"/>
  <c r="T367" i="14"/>
  <c r="T296" i="14"/>
  <c r="J296" i="14"/>
  <c r="P237" i="14"/>
  <c r="K237" i="14"/>
  <c r="N237" i="14"/>
  <c r="L237" i="14"/>
  <c r="M237" i="14"/>
  <c r="O237" i="14"/>
  <c r="L306" i="14"/>
  <c r="M306" i="14"/>
  <c r="N306" i="14"/>
  <c r="O306" i="14"/>
  <c r="P306" i="14"/>
  <c r="U200" i="14"/>
  <c r="J167" i="14"/>
  <c r="T167" i="14"/>
  <c r="L287" i="14"/>
  <c r="U278" i="14"/>
  <c r="M274" i="14"/>
  <c r="P274" i="14"/>
  <c r="N274" i="14"/>
  <c r="O274" i="14"/>
  <c r="L251" i="14"/>
  <c r="M251" i="14"/>
  <c r="N251" i="14"/>
  <c r="K251" i="14"/>
  <c r="O251" i="14"/>
  <c r="P251" i="14"/>
  <c r="T237" i="14"/>
  <c r="T219" i="14"/>
  <c r="U333" i="14"/>
  <c r="V306" i="14"/>
  <c r="W306" i="14" s="1"/>
  <c r="U306" i="14"/>
  <c r="U274" i="14"/>
  <c r="U236" i="14"/>
  <c r="L218" i="14"/>
  <c r="M218" i="14"/>
  <c r="N218" i="14"/>
  <c r="O218" i="14"/>
  <c r="K218" i="14"/>
  <c r="P218" i="14"/>
  <c r="M163" i="14"/>
  <c r="L163" i="14"/>
  <c r="J426" i="14"/>
  <c r="T426" i="14"/>
  <c r="N287" i="14"/>
  <c r="O287" i="14"/>
  <c r="P287" i="14"/>
  <c r="T218" i="14"/>
  <c r="J81" i="14"/>
  <c r="T81" i="14"/>
  <c r="T327" i="14"/>
  <c r="U268" i="14"/>
  <c r="O236" i="14"/>
  <c r="M63" i="14"/>
  <c r="N63" i="14"/>
  <c r="O63" i="14"/>
  <c r="P63" i="14"/>
  <c r="T17" i="14"/>
  <c r="P425" i="14"/>
  <c r="K425" i="14"/>
  <c r="N425" i="14"/>
  <c r="L425" i="14"/>
  <c r="M425" i="14"/>
  <c r="T416" i="14"/>
  <c r="N398" i="14"/>
  <c r="O398" i="14"/>
  <c r="L334" i="14"/>
  <c r="T305" i="14"/>
  <c r="P292" i="14"/>
  <c r="L292" i="14"/>
  <c r="M292" i="14"/>
  <c r="N292" i="14"/>
  <c r="K292" i="14"/>
  <c r="M279" i="14"/>
  <c r="N279" i="14"/>
  <c r="O279" i="14"/>
  <c r="P279" i="14"/>
  <c r="P276" i="14"/>
  <c r="U235" i="14"/>
  <c r="T152" i="14"/>
  <c r="T119" i="14"/>
  <c r="J119" i="14"/>
  <c r="T383" i="14"/>
  <c r="J383" i="14"/>
  <c r="M329" i="14"/>
  <c r="N329" i="14"/>
  <c r="O329" i="14"/>
  <c r="K188" i="14"/>
  <c r="L188" i="14"/>
  <c r="M188" i="14"/>
  <c r="L142" i="14"/>
  <c r="M142" i="14"/>
  <c r="N142" i="14"/>
  <c r="O142" i="14"/>
  <c r="T63" i="14"/>
  <c r="T425" i="14"/>
  <c r="L405" i="14"/>
  <c r="N405" i="14"/>
  <c r="O405" i="14"/>
  <c r="M405" i="14"/>
  <c r="K316" i="14"/>
  <c r="L316" i="14"/>
  <c r="T313" i="14"/>
  <c r="K289" i="14"/>
  <c r="P289" i="14"/>
  <c r="T279" i="14"/>
  <c r="T276" i="14"/>
  <c r="K215" i="14"/>
  <c r="L215" i="14"/>
  <c r="M215" i="14"/>
  <c r="N215" i="14"/>
  <c r="T206" i="14"/>
  <c r="J206" i="14"/>
  <c r="T149" i="14"/>
  <c r="J149" i="14"/>
  <c r="O413" i="14"/>
  <c r="P413" i="14"/>
  <c r="K408" i="14"/>
  <c r="L408" i="14"/>
  <c r="M408" i="14"/>
  <c r="T385" i="14"/>
  <c r="P358" i="14"/>
  <c r="T345" i="14"/>
  <c r="T329" i="14"/>
  <c r="N324" i="14"/>
  <c r="O324" i="14"/>
  <c r="P324" i="14"/>
  <c r="K324" i="14"/>
  <c r="T295" i="14"/>
  <c r="J265" i="14"/>
  <c r="T265" i="14"/>
  <c r="T244" i="14"/>
  <c r="O203" i="14"/>
  <c r="P203" i="14"/>
  <c r="N203" i="14"/>
  <c r="T188" i="14"/>
  <c r="M162" i="14"/>
  <c r="O162" i="14"/>
  <c r="K162" i="14"/>
  <c r="L162" i="14"/>
  <c r="N162" i="14"/>
  <c r="P162" i="14"/>
  <c r="P96" i="14"/>
  <c r="K96" i="14"/>
  <c r="N96" i="14"/>
  <c r="O96" i="14"/>
  <c r="L96" i="14"/>
  <c r="M96" i="14"/>
  <c r="N44" i="14"/>
  <c r="O44" i="14"/>
  <c r="P44" i="14"/>
  <c r="O32" i="14"/>
  <c r="P32" i="14"/>
  <c r="N32" i="14"/>
  <c r="M32" i="14"/>
  <c r="K32" i="14"/>
  <c r="L32" i="14"/>
  <c r="P402" i="14"/>
  <c r="O358" i="14"/>
  <c r="L353" i="14"/>
  <c r="M353" i="14"/>
  <c r="N353" i="14"/>
  <c r="O347" i="14"/>
  <c r="P347" i="14"/>
  <c r="M347" i="14"/>
  <c r="N347" i="14"/>
  <c r="M331" i="14"/>
  <c r="N331" i="14"/>
  <c r="O331" i="14"/>
  <c r="O310" i="14"/>
  <c r="K310" i="14"/>
  <c r="N310" i="14"/>
  <c r="L310" i="14"/>
  <c r="M310" i="14"/>
  <c r="J260" i="14"/>
  <c r="T260" i="14"/>
  <c r="L250" i="14"/>
  <c r="P250" i="14"/>
  <c r="M241" i="14"/>
  <c r="N241" i="14"/>
  <c r="P241" i="14"/>
  <c r="T232" i="14"/>
  <c r="J197" i="14"/>
  <c r="T197" i="14"/>
  <c r="U194" i="14"/>
  <c r="J184" i="14"/>
  <c r="T184" i="14"/>
  <c r="N158" i="14"/>
  <c r="M158" i="14"/>
  <c r="L158" i="14"/>
  <c r="O158" i="14"/>
  <c r="P158" i="14"/>
  <c r="K129" i="14"/>
  <c r="T12" i="14"/>
  <c r="T427" i="14"/>
  <c r="P418" i="14"/>
  <c r="K418" i="14"/>
  <c r="L418" i="14"/>
  <c r="M418" i="14"/>
  <c r="O402" i="14"/>
  <c r="K388" i="14"/>
  <c r="M388" i="14"/>
  <c r="N388" i="14"/>
  <c r="O380" i="14"/>
  <c r="P380" i="14"/>
  <c r="M380" i="14"/>
  <c r="M358" i="14"/>
  <c r="U315" i="14"/>
  <c r="V315" i="14"/>
  <c r="W315" i="14" s="1"/>
  <c r="O307" i="14"/>
  <c r="T203" i="14"/>
  <c r="N183" i="14"/>
  <c r="U96" i="14"/>
  <c r="O88" i="14"/>
  <c r="P88" i="14"/>
  <c r="L88" i="14"/>
  <c r="M88" i="14"/>
  <c r="N88" i="14"/>
  <c r="Q88" i="14" s="1"/>
  <c r="M54" i="14"/>
  <c r="O54" i="14"/>
  <c r="P54" i="14"/>
  <c r="N402" i="14"/>
  <c r="L358" i="14"/>
  <c r="T347" i="14"/>
  <c r="P323" i="14"/>
  <c r="N307" i="14"/>
  <c r="J294" i="14"/>
  <c r="N291" i="14"/>
  <c r="M273" i="14"/>
  <c r="N273" i="14"/>
  <c r="O273" i="14"/>
  <c r="M247" i="14"/>
  <c r="N244" i="14"/>
  <c r="T241" i="14"/>
  <c r="M214" i="14"/>
  <c r="M183" i="14"/>
  <c r="T180" i="14"/>
  <c r="T40" i="14"/>
  <c r="J40" i="14"/>
  <c r="T36" i="14"/>
  <c r="J36" i="14"/>
  <c r="T390" i="14"/>
  <c r="T380" i="14"/>
  <c r="T369" i="14"/>
  <c r="K358" i="14"/>
  <c r="K339" i="14"/>
  <c r="L339" i="14"/>
  <c r="M339" i="14"/>
  <c r="P336" i="14"/>
  <c r="O336" i="14"/>
  <c r="T88" i="14"/>
  <c r="U107" i="14"/>
  <c r="T45" i="14"/>
  <c r="U336" i="14"/>
  <c r="J253" i="14"/>
  <c r="T253" i="14"/>
  <c r="T415" i="14"/>
  <c r="O244" i="14"/>
  <c r="P244" i="14"/>
  <c r="K244" i="14"/>
  <c r="L244" i="14"/>
  <c r="O183" i="14"/>
  <c r="P183" i="14"/>
  <c r="T397" i="14"/>
  <c r="J397" i="14"/>
  <c r="M374" i="14"/>
  <c r="P374" i="14"/>
  <c r="N374" i="14"/>
  <c r="O374" i="14"/>
  <c r="T358" i="14"/>
  <c r="U335" i="14"/>
  <c r="T193" i="14"/>
  <c r="J141" i="14"/>
  <c r="T141" i="14"/>
  <c r="N95" i="14"/>
  <c r="T79" i="14"/>
  <c r="T307" i="14"/>
  <c r="U213" i="14"/>
  <c r="J66" i="14"/>
  <c r="T66" i="14"/>
  <c r="M382" i="14"/>
  <c r="N382" i="14"/>
  <c r="O382" i="14"/>
  <c r="T299" i="14"/>
  <c r="J299" i="14"/>
  <c r="P267" i="14"/>
  <c r="L267" i="14"/>
  <c r="M267" i="14"/>
  <c r="N371" i="14"/>
  <c r="O371" i="14"/>
  <c r="L352" i="14"/>
  <c r="T323" i="14"/>
  <c r="P312" i="14"/>
  <c r="O312" i="14"/>
  <c r="O112" i="14"/>
  <c r="M390" i="14"/>
  <c r="N390" i="14"/>
  <c r="O390" i="14"/>
  <c r="T243" i="14"/>
  <c r="J243" i="14"/>
  <c r="J22" i="14"/>
  <c r="T22" i="14"/>
  <c r="T417" i="14"/>
  <c r="T360" i="14"/>
  <c r="J349" i="14"/>
  <c r="T349" i="14"/>
  <c r="T312" i="14"/>
  <c r="T231" i="14"/>
  <c r="J231" i="14"/>
  <c r="M213" i="14"/>
  <c r="N213" i="14"/>
  <c r="O213" i="14"/>
  <c r="P213" i="14"/>
  <c r="L213" i="14"/>
  <c r="T179" i="14"/>
  <c r="T65" i="14"/>
  <c r="J65" i="14"/>
  <c r="K61" i="14"/>
  <c r="O61" i="14"/>
  <c r="P61" i="14"/>
  <c r="U21" i="14"/>
  <c r="V21" i="14"/>
  <c r="W21" i="14" s="1"/>
  <c r="L393" i="14"/>
  <c r="N393" i="14"/>
  <c r="O393" i="14"/>
  <c r="M393" i="14"/>
  <c r="O386" i="14"/>
  <c r="K386" i="14"/>
  <c r="L386" i="14"/>
  <c r="M386" i="14"/>
  <c r="J377" i="14"/>
  <c r="T377" i="14"/>
  <c r="U294" i="14"/>
  <c r="V294" i="14"/>
  <c r="W294" i="14" s="1"/>
  <c r="M193" i="14"/>
  <c r="N193" i="14"/>
  <c r="O193" i="14"/>
  <c r="L193" i="14"/>
  <c r="P193" i="14"/>
  <c r="M79" i="14"/>
  <c r="K79" i="14"/>
  <c r="N79" i="14"/>
  <c r="O79" i="14"/>
  <c r="P79" i="14"/>
  <c r="J31" i="14"/>
  <c r="T31" i="14"/>
  <c r="P407" i="14"/>
  <c r="O407" i="14"/>
  <c r="L407" i="14"/>
  <c r="N407" i="14"/>
  <c r="M407" i="14"/>
  <c r="T339" i="14"/>
  <c r="M307" i="14"/>
  <c r="P307" i="14"/>
  <c r="N214" i="14"/>
  <c r="O214" i="14"/>
  <c r="P214" i="14"/>
  <c r="M23" i="14"/>
  <c r="K23" i="14"/>
  <c r="P23" i="14"/>
  <c r="O291" i="14"/>
  <c r="P291" i="14"/>
  <c r="K283" i="14"/>
  <c r="L283" i="14"/>
  <c r="M283" i="14"/>
  <c r="P283" i="14"/>
  <c r="N283" i="14"/>
  <c r="O283" i="14"/>
  <c r="T229" i="14"/>
  <c r="J229" i="14"/>
  <c r="T196" i="14"/>
  <c r="J196" i="14"/>
  <c r="N138" i="14"/>
  <c r="P138" i="14"/>
  <c r="U13" i="14"/>
  <c r="T407" i="14"/>
  <c r="O232" i="14"/>
  <c r="L232" i="14"/>
  <c r="M232" i="14"/>
  <c r="N232" i="14"/>
  <c r="N220" i="14"/>
  <c r="L220" i="14"/>
  <c r="R220" i="14" s="1"/>
  <c r="T214" i="14"/>
  <c r="M180" i="14"/>
  <c r="N180" i="14"/>
  <c r="O180" i="14"/>
  <c r="P180" i="14"/>
  <c r="V148" i="14"/>
  <c r="W148" i="14" s="1"/>
  <c r="U148" i="14"/>
  <c r="T35" i="14"/>
  <c r="J35" i="14"/>
  <c r="T23" i="14"/>
  <c r="K240" i="14"/>
  <c r="L240" i="14"/>
  <c r="M240" i="14"/>
  <c r="T363" i="14"/>
  <c r="J363" i="14"/>
  <c r="O144" i="14"/>
  <c r="P144" i="14"/>
  <c r="L144" i="14"/>
  <c r="K144" i="14"/>
  <c r="O99" i="14"/>
  <c r="P99" i="14"/>
  <c r="L99" i="14"/>
  <c r="M99" i="14"/>
  <c r="N99" i="14"/>
  <c r="T70" i="14"/>
  <c r="N417" i="14"/>
  <c r="O417" i="14"/>
  <c r="P417" i="14"/>
  <c r="L417" i="14"/>
  <c r="P412" i="14"/>
  <c r="K412" i="14"/>
  <c r="K179" i="14"/>
  <c r="N179" i="14"/>
  <c r="O179" i="14"/>
  <c r="P179" i="14"/>
  <c r="T117" i="14"/>
  <c r="J117" i="14"/>
  <c r="T91" i="14"/>
  <c r="J91" i="14"/>
  <c r="T30" i="14"/>
  <c r="J30" i="14"/>
  <c r="U15" i="14"/>
  <c r="N387" i="14"/>
  <c r="O387" i="14"/>
  <c r="N368" i="14"/>
  <c r="L368" i="14"/>
  <c r="M368" i="14"/>
  <c r="O368" i="14"/>
  <c r="O264" i="14"/>
  <c r="P264" i="14"/>
  <c r="K264" i="14"/>
  <c r="J157" i="14"/>
  <c r="T157" i="14"/>
  <c r="T144" i="14"/>
  <c r="M394" i="14"/>
  <c r="N394" i="14"/>
  <c r="O394" i="14"/>
  <c r="O379" i="14"/>
  <c r="T365" i="14"/>
  <c r="J365" i="14"/>
  <c r="T301" i="14"/>
  <c r="J301" i="14"/>
  <c r="U228" i="14"/>
  <c r="U204" i="14"/>
  <c r="P156" i="14"/>
  <c r="M156" i="14"/>
  <c r="O156" i="14"/>
  <c r="K156" i="14"/>
  <c r="L156" i="14"/>
  <c r="N156" i="14"/>
  <c r="J94" i="14"/>
  <c r="T94" i="14"/>
  <c r="K200" i="14"/>
  <c r="L200" i="14"/>
  <c r="M422" i="14"/>
  <c r="N422" i="14"/>
  <c r="O422" i="14"/>
  <c r="K333" i="14"/>
  <c r="L333" i="14"/>
  <c r="K311" i="14"/>
  <c r="L311" i="14"/>
  <c r="M311" i="14"/>
  <c r="N311" i="14"/>
  <c r="O311" i="14"/>
  <c r="U297" i="14"/>
  <c r="L275" i="14"/>
  <c r="L227" i="14"/>
  <c r="T143" i="14"/>
  <c r="T108" i="14"/>
  <c r="M14" i="14"/>
  <c r="N14" i="14"/>
  <c r="T420" i="14"/>
  <c r="J420" i="14"/>
  <c r="T402" i="14"/>
  <c r="K384" i="14"/>
  <c r="L384" i="14"/>
  <c r="T320" i="14"/>
  <c r="K205" i="14"/>
  <c r="P205" i="14"/>
  <c r="T187" i="14"/>
  <c r="J187" i="14"/>
  <c r="T55" i="14"/>
  <c r="N46" i="14"/>
  <c r="P46" i="14"/>
  <c r="M46" i="14"/>
  <c r="O46" i="14"/>
  <c r="P26" i="14"/>
  <c r="N26" i="14"/>
  <c r="T422" i="14"/>
  <c r="T392" i="14"/>
  <c r="T304" i="14"/>
  <c r="J293" i="14"/>
  <c r="T293" i="14"/>
  <c r="T239" i="14"/>
  <c r="L181" i="14"/>
  <c r="P181" i="14"/>
  <c r="L146" i="14"/>
  <c r="M146" i="14"/>
  <c r="O16" i="14"/>
  <c r="P16" i="14"/>
  <c r="T14" i="14"/>
  <c r="V199" i="14"/>
  <c r="W199" i="14" s="1"/>
  <c r="R199" i="14"/>
  <c r="T78" i="14"/>
  <c r="J78" i="14"/>
  <c r="T61" i="14"/>
  <c r="K25" i="14"/>
  <c r="P25" i="14"/>
  <c r="L25" i="14"/>
  <c r="T379" i="14"/>
  <c r="T191" i="14"/>
  <c r="J191" i="14"/>
  <c r="T68" i="14"/>
  <c r="J68" i="14"/>
  <c r="T54" i="14"/>
  <c r="T211" i="14"/>
  <c r="J211" i="14"/>
  <c r="N194" i="14"/>
  <c r="O194" i="14"/>
  <c r="T361" i="14"/>
  <c r="T290" i="14"/>
  <c r="J226" i="14"/>
  <c r="T226" i="14"/>
  <c r="O204" i="14"/>
  <c r="P204" i="14"/>
  <c r="K204" i="14"/>
  <c r="N204" i="14"/>
  <c r="T139" i="14"/>
  <c r="P92" i="14"/>
  <c r="J85" i="14"/>
  <c r="T85" i="14"/>
  <c r="P48" i="14"/>
  <c r="L48" i="14"/>
  <c r="M48" i="14"/>
  <c r="N48" i="14"/>
  <c r="O48" i="14"/>
  <c r="K48" i="14"/>
  <c r="L21" i="14"/>
  <c r="O21" i="14"/>
  <c r="P21" i="14"/>
  <c r="U183" i="14"/>
  <c r="T32" i="14"/>
  <c r="N268" i="14"/>
  <c r="O268" i="14"/>
  <c r="P268" i="14"/>
  <c r="K268" i="14"/>
  <c r="L268" i="14"/>
  <c r="L255" i="14"/>
  <c r="P139" i="14"/>
  <c r="O139" i="14"/>
  <c r="T350" i="14"/>
  <c r="T381" i="14"/>
  <c r="K372" i="14"/>
  <c r="L372" i="14"/>
  <c r="T248" i="14"/>
  <c r="P238" i="14"/>
  <c r="M238" i="14"/>
  <c r="T177" i="14"/>
  <c r="J177" i="14"/>
  <c r="T74" i="14"/>
  <c r="K288" i="14"/>
  <c r="L288" i="14"/>
  <c r="T185" i="14"/>
  <c r="U165" i="14"/>
  <c r="L128" i="14"/>
  <c r="M128" i="14"/>
  <c r="N128" i="14"/>
  <c r="O128" i="14"/>
  <c r="P128" i="14"/>
  <c r="T16" i="14"/>
  <c r="T318" i="14"/>
  <c r="T240" i="14"/>
  <c r="T192" i="14"/>
  <c r="K164" i="14"/>
  <c r="T75" i="14"/>
  <c r="J75" i="14"/>
  <c r="T130" i="14"/>
  <c r="O375" i="14"/>
  <c r="P375" i="14"/>
  <c r="M154" i="14"/>
  <c r="N154" i="14"/>
  <c r="U97" i="14"/>
  <c r="U42" i="14"/>
  <c r="L18" i="14"/>
  <c r="M18" i="14"/>
  <c r="P18" i="14"/>
  <c r="M173" i="14"/>
  <c r="P173" i="14"/>
  <c r="T145" i="14"/>
  <c r="J145" i="14"/>
  <c r="T43" i="14"/>
  <c r="J43" i="14"/>
  <c r="U175" i="14"/>
  <c r="J159" i="14"/>
  <c r="T159" i="14"/>
  <c r="U132" i="14"/>
  <c r="J118" i="14"/>
  <c r="T118" i="14"/>
  <c r="L53" i="14"/>
  <c r="M53" i="14"/>
  <c r="N53" i="14"/>
  <c r="P53" i="14"/>
  <c r="K344" i="14"/>
  <c r="L344" i="14"/>
  <c r="K223" i="14"/>
  <c r="L223" i="14"/>
  <c r="M223" i="14"/>
  <c r="P147" i="14"/>
  <c r="O147" i="14"/>
  <c r="M147" i="14"/>
  <c r="M135" i="14"/>
  <c r="K135" i="14"/>
  <c r="P64" i="14"/>
  <c r="K64" i="14"/>
  <c r="L64" i="14"/>
  <c r="M64" i="14"/>
  <c r="N126" i="14"/>
  <c r="O126" i="14"/>
  <c r="P126" i="14"/>
  <c r="M153" i="14"/>
  <c r="N153" i="14"/>
  <c r="P153" i="14"/>
  <c r="L153" i="14"/>
  <c r="T112" i="14"/>
  <c r="U142" i="14"/>
  <c r="V142" i="14"/>
  <c r="W142" i="14" s="1"/>
  <c r="N124" i="14"/>
  <c r="O124" i="14"/>
  <c r="P124" i="14"/>
  <c r="T120" i="14"/>
  <c r="J57" i="14"/>
  <c r="T57" i="14"/>
  <c r="J34" i="14"/>
  <c r="T34" i="14"/>
  <c r="P27" i="14"/>
  <c r="N27" i="14"/>
  <c r="O27" i="14"/>
  <c r="T176" i="14"/>
  <c r="U168" i="14"/>
  <c r="T147" i="14"/>
  <c r="J71" i="14"/>
  <c r="T71" i="14"/>
  <c r="J122" i="14"/>
  <c r="T122" i="14"/>
  <c r="J111" i="14"/>
  <c r="T111" i="14"/>
  <c r="J80" i="14"/>
  <c r="T80" i="14"/>
  <c r="K49" i="14"/>
  <c r="L49" i="14"/>
  <c r="T134" i="14"/>
  <c r="M42" i="14"/>
  <c r="N42" i="14"/>
  <c r="M412" i="13"/>
  <c r="N412" i="13" s="1"/>
  <c r="L412" i="13"/>
  <c r="L234" i="13"/>
  <c r="M234" i="13"/>
  <c r="N234" i="13" s="1"/>
  <c r="L376" i="13"/>
  <c r="M376" i="13"/>
  <c r="N376" i="13" s="1"/>
  <c r="K334" i="13"/>
  <c r="L350" i="13"/>
  <c r="U285" i="13"/>
  <c r="O235" i="13"/>
  <c r="T235" i="13" s="1"/>
  <c r="J235" i="13"/>
  <c r="K235" i="13" s="1"/>
  <c r="L235" i="13" s="1"/>
  <c r="M235" i="13"/>
  <c r="N235" i="13" s="1"/>
  <c r="J156" i="13"/>
  <c r="K156" i="13" s="1"/>
  <c r="J37" i="13"/>
  <c r="K37" i="13" s="1"/>
  <c r="L316" i="13"/>
  <c r="M316" i="13"/>
  <c r="N316" i="13" s="1"/>
  <c r="T146" i="13"/>
  <c r="J146" i="13"/>
  <c r="K146" i="13" s="1"/>
  <c r="L146" i="13" s="1"/>
  <c r="Q146" i="13"/>
  <c r="O146" i="13"/>
  <c r="S146" i="13" s="1"/>
  <c r="O39" i="13"/>
  <c r="U39" i="13" s="1"/>
  <c r="O207" i="13"/>
  <c r="R207" i="13" s="1"/>
  <c r="J207" i="13"/>
  <c r="K207" i="13"/>
  <c r="L207" i="13" s="1"/>
  <c r="O263" i="13"/>
  <c r="R263" i="13" s="1"/>
  <c r="J263" i="13"/>
  <c r="K263" i="13" s="1"/>
  <c r="J291" i="13"/>
  <c r="K291" i="13"/>
  <c r="L291" i="13" s="1"/>
  <c r="O291" i="13"/>
  <c r="Q291" i="13" s="1"/>
  <c r="O319" i="13"/>
  <c r="U319" i="13" s="1"/>
  <c r="J319" i="13"/>
  <c r="K319" i="13" s="1"/>
  <c r="J347" i="13"/>
  <c r="K347" i="13" s="1"/>
  <c r="O347" i="13"/>
  <c r="P347" i="13" s="1"/>
  <c r="J375" i="13"/>
  <c r="K375" i="13"/>
  <c r="L375" i="13" s="1"/>
  <c r="O375" i="13"/>
  <c r="U375" i="13" s="1"/>
  <c r="O403" i="13"/>
  <c r="S403" i="13" s="1"/>
  <c r="J403" i="13"/>
  <c r="K403" i="13"/>
  <c r="L403" i="13" s="1"/>
  <c r="O431" i="13"/>
  <c r="S431" i="13" s="1"/>
  <c r="J431" i="13"/>
  <c r="K431" i="13" s="1"/>
  <c r="O329" i="13"/>
  <c r="P329" i="13"/>
  <c r="Q329" i="13"/>
  <c r="S329" i="13"/>
  <c r="T329" i="13"/>
  <c r="R329" i="13"/>
  <c r="U329" i="13"/>
  <c r="O271" i="13"/>
  <c r="J271" i="13"/>
  <c r="K271" i="13" s="1"/>
  <c r="O134" i="13"/>
  <c r="P134" i="13" s="1"/>
  <c r="O73" i="13"/>
  <c r="J73" i="13"/>
  <c r="K73" i="13" s="1"/>
  <c r="M73" i="13" s="1"/>
  <c r="N73" i="13" s="1"/>
  <c r="L73" i="13"/>
  <c r="J140" i="13"/>
  <c r="K140" i="13"/>
  <c r="L140" i="13" s="1"/>
  <c r="O140" i="13"/>
  <c r="T140" i="13" s="1"/>
  <c r="O252" i="13"/>
  <c r="U252" i="13" s="1"/>
  <c r="J252" i="13"/>
  <c r="K252" i="13" s="1"/>
  <c r="Q252" i="13"/>
  <c r="S252" i="13"/>
  <c r="O308" i="13"/>
  <c r="T308" i="13" s="1"/>
  <c r="S308" i="13"/>
  <c r="J308" i="13"/>
  <c r="K308" i="13" s="1"/>
  <c r="M308" i="13" s="1"/>
  <c r="J336" i="13"/>
  <c r="K336" i="13" s="1"/>
  <c r="M336" i="13" s="1"/>
  <c r="N336" i="13" s="1"/>
  <c r="P336" i="13"/>
  <c r="O336" i="13"/>
  <c r="U336" i="13" s="1"/>
  <c r="O392" i="13"/>
  <c r="J392" i="13"/>
  <c r="K392" i="13" s="1"/>
  <c r="P392" i="13"/>
  <c r="Q392" i="13"/>
  <c r="O328" i="13"/>
  <c r="U328" i="13" s="1"/>
  <c r="J328" i="13"/>
  <c r="K328" i="13" s="1"/>
  <c r="M328" i="13" s="1"/>
  <c r="O266" i="13"/>
  <c r="J266" i="13"/>
  <c r="K266" i="13" s="1"/>
  <c r="M266" i="13" s="1"/>
  <c r="N266" i="13" s="1"/>
  <c r="O132" i="13"/>
  <c r="J132" i="13"/>
  <c r="K132" i="13" s="1"/>
  <c r="L132" i="13" s="1"/>
  <c r="M132" i="13"/>
  <c r="N132" i="13" s="1"/>
  <c r="M370" i="13"/>
  <c r="N370" i="13" s="1"/>
  <c r="L370" i="13"/>
  <c r="O185" i="13"/>
  <c r="S185" i="13"/>
  <c r="J185" i="13"/>
  <c r="K185" i="13" s="1"/>
  <c r="L185" i="13" s="1"/>
  <c r="U185" i="13"/>
  <c r="P185" i="13"/>
  <c r="Q185" i="13"/>
  <c r="R185" i="13"/>
  <c r="T185" i="13"/>
  <c r="O241" i="13"/>
  <c r="R241" i="13"/>
  <c r="J241" i="13"/>
  <c r="K241" i="13" s="1"/>
  <c r="L241" i="13" s="1"/>
  <c r="O269" i="13"/>
  <c r="T269" i="13" s="1"/>
  <c r="J269" i="13"/>
  <c r="K269" i="13" s="1"/>
  <c r="M269" i="13" s="1"/>
  <c r="N269" i="13" s="1"/>
  <c r="O325" i="13"/>
  <c r="O353" i="13"/>
  <c r="O381" i="13"/>
  <c r="Q381" i="13" s="1"/>
  <c r="O391" i="13"/>
  <c r="P391" i="13" s="1"/>
  <c r="J391" i="13"/>
  <c r="K391" i="13" s="1"/>
  <c r="O324" i="13"/>
  <c r="U324" i="13" s="1"/>
  <c r="J324" i="13"/>
  <c r="K324" i="13" s="1"/>
  <c r="R324" i="13"/>
  <c r="M227" i="13"/>
  <c r="N227" i="13" s="1"/>
  <c r="L227" i="13"/>
  <c r="J286" i="13"/>
  <c r="K286" i="13" s="1"/>
  <c r="M286" i="13" s="1"/>
  <c r="O286" i="13"/>
  <c r="J314" i="13"/>
  <c r="K314" i="13"/>
  <c r="O389" i="13"/>
  <c r="R389" i="13" s="1"/>
  <c r="J389" i="13"/>
  <c r="K389" i="13" s="1"/>
  <c r="L389" i="13" s="1"/>
  <c r="J322" i="13"/>
  <c r="K322" i="13" s="1"/>
  <c r="M322" i="13" s="1"/>
  <c r="N322" i="13" s="1"/>
  <c r="L322" i="13"/>
  <c r="O322" i="13"/>
  <c r="R322" i="13" s="1"/>
  <c r="J193" i="13"/>
  <c r="K193" i="13" s="1"/>
  <c r="O193" i="13"/>
  <c r="P193" i="13" s="1"/>
  <c r="O129" i="13"/>
  <c r="R129" i="13" s="1"/>
  <c r="J64" i="13"/>
  <c r="K64" i="13" s="1"/>
  <c r="O69" i="13"/>
  <c r="P69" i="13" s="1"/>
  <c r="O107" i="13"/>
  <c r="Q107" i="13" s="1"/>
  <c r="J107" i="13"/>
  <c r="K107" i="13" s="1"/>
  <c r="L107" i="13" s="1"/>
  <c r="J163" i="13"/>
  <c r="K163" i="13" s="1"/>
  <c r="O163" i="13"/>
  <c r="O303" i="13"/>
  <c r="P303" i="13" s="1"/>
  <c r="J415" i="13"/>
  <c r="K415" i="13" s="1"/>
  <c r="L415" i="13" s="1"/>
  <c r="M415" i="13"/>
  <c r="N415" i="13" s="1"/>
  <c r="O415" i="13"/>
  <c r="U415" i="13" s="1"/>
  <c r="J260" i="13"/>
  <c r="K260" i="13" s="1"/>
  <c r="M260" i="13" s="1"/>
  <c r="O260" i="13"/>
  <c r="U260" i="13" s="1"/>
  <c r="J192" i="13"/>
  <c r="K192" i="13"/>
  <c r="M192" i="13" s="1"/>
  <c r="N192" i="13" s="1"/>
  <c r="L192" i="13"/>
  <c r="O192" i="13"/>
  <c r="S192" i="13" s="1"/>
  <c r="O61" i="13"/>
  <c r="S61" i="13" s="1"/>
  <c r="O87" i="13"/>
  <c r="Q87" i="13" s="1"/>
  <c r="K292" i="13"/>
  <c r="M292" i="13" s="1"/>
  <c r="Q316" i="13"/>
  <c r="P316" i="13"/>
  <c r="S63" i="13"/>
  <c r="T63" i="13"/>
  <c r="P167" i="13"/>
  <c r="J167" i="13"/>
  <c r="K167" i="13" s="1"/>
  <c r="L167" i="13" s="1"/>
  <c r="O314" i="13"/>
  <c r="Q57" i="13"/>
  <c r="Q184" i="13"/>
  <c r="R184" i="13"/>
  <c r="S184" i="13"/>
  <c r="U184" i="13"/>
  <c r="U129" i="13"/>
  <c r="J325" i="13"/>
  <c r="K325" i="13" s="1"/>
  <c r="M325" i="13" s="1"/>
  <c r="O96" i="13"/>
  <c r="J96" i="13"/>
  <c r="K96" i="13" s="1"/>
  <c r="U57" i="13"/>
  <c r="P57" i="13"/>
  <c r="J219" i="13"/>
  <c r="K219" i="13" s="1"/>
  <c r="M219" i="13" s="1"/>
  <c r="N219" i="13" s="1"/>
  <c r="O275" i="13"/>
  <c r="T275" i="13" s="1"/>
  <c r="J275" i="13"/>
  <c r="K275" i="13" s="1"/>
  <c r="L275" i="13" s="1"/>
  <c r="M275" i="13"/>
  <c r="N275" i="13" s="1"/>
  <c r="M190" i="13"/>
  <c r="N190" i="13" s="1"/>
  <c r="L190" i="13"/>
  <c r="J61" i="13"/>
  <c r="K61" i="13" s="1"/>
  <c r="P142" i="13"/>
  <c r="Q142" i="13"/>
  <c r="L405" i="13"/>
  <c r="M405" i="13"/>
  <c r="N405" i="13" s="1"/>
  <c r="T427" i="13"/>
  <c r="P427" i="13"/>
  <c r="Q427" i="13"/>
  <c r="O55" i="13"/>
  <c r="J55" i="13"/>
  <c r="K55" i="13" s="1"/>
  <c r="L55" i="13" s="1"/>
  <c r="J83" i="13"/>
  <c r="K83" i="13" s="1"/>
  <c r="L83" i="13" s="1"/>
  <c r="O83" i="13"/>
  <c r="J111" i="13"/>
  <c r="K111" i="13" s="1"/>
  <c r="O195" i="13"/>
  <c r="Q195" i="13" s="1"/>
  <c r="P195" i="13"/>
  <c r="J251" i="13"/>
  <c r="K251" i="13" s="1"/>
  <c r="O251" i="13"/>
  <c r="Q251" i="13" s="1"/>
  <c r="J335" i="13"/>
  <c r="K335" i="13" s="1"/>
  <c r="M335" i="13" s="1"/>
  <c r="N335" i="13" s="1"/>
  <c r="L335" i="13"/>
  <c r="O335" i="13"/>
  <c r="R335" i="13" s="1"/>
  <c r="O208" i="13"/>
  <c r="P208" i="13" s="1"/>
  <c r="J208" i="13"/>
  <c r="K208" i="13" s="1"/>
  <c r="M208" i="13" s="1"/>
  <c r="J84" i="13"/>
  <c r="K84" i="13" s="1"/>
  <c r="O84" i="13"/>
  <c r="P84" i="13" s="1"/>
  <c r="Q84" i="13"/>
  <c r="J179" i="13"/>
  <c r="K179" i="13" s="1"/>
  <c r="J72" i="13"/>
  <c r="K72" i="13" s="1"/>
  <c r="O16" i="13"/>
  <c r="J16" i="13"/>
  <c r="K16" i="13"/>
  <c r="L16" i="13" s="1"/>
  <c r="P16" i="13"/>
  <c r="Q16" i="13"/>
  <c r="U16" i="13"/>
  <c r="O240" i="13"/>
  <c r="J240" i="13"/>
  <c r="K240" i="13" s="1"/>
  <c r="O268" i="13"/>
  <c r="J268" i="13"/>
  <c r="K268" i="13" s="1"/>
  <c r="L268" i="13" s="1"/>
  <c r="Q268" i="13"/>
  <c r="J352" i="13"/>
  <c r="O352" i="13"/>
  <c r="Q352" i="13" s="1"/>
  <c r="K352" i="13"/>
  <c r="L352" i="13" s="1"/>
  <c r="U352" i="13"/>
  <c r="P352" i="13"/>
  <c r="J400" i="13"/>
  <c r="K400" i="13"/>
  <c r="L400" i="13" s="1"/>
  <c r="M400" i="13"/>
  <c r="N400" i="13" s="1"/>
  <c r="P204" i="13"/>
  <c r="R204" i="13"/>
  <c r="T204" i="13"/>
  <c r="O23" i="13"/>
  <c r="P23" i="13" s="1"/>
  <c r="U354" i="13"/>
  <c r="O273" i="13"/>
  <c r="J273" i="13"/>
  <c r="K273" i="13" s="1"/>
  <c r="L273" i="13" s="1"/>
  <c r="J203" i="13"/>
  <c r="K203" i="13" s="1"/>
  <c r="L203" i="13" s="1"/>
  <c r="J137" i="13"/>
  <c r="K137" i="13" s="1"/>
  <c r="L137" i="13" s="1"/>
  <c r="O137" i="13"/>
  <c r="O76" i="13"/>
  <c r="Q76" i="13" s="1"/>
  <c r="J76" i="13"/>
  <c r="K76" i="13"/>
  <c r="L76" i="13" s="1"/>
  <c r="O22" i="13"/>
  <c r="R22" i="13" s="1"/>
  <c r="P354" i="13"/>
  <c r="O218" i="13"/>
  <c r="S218" i="13" s="1"/>
  <c r="L218" i="13"/>
  <c r="P302" i="13"/>
  <c r="Q302" i="13"/>
  <c r="O302" i="13"/>
  <c r="R302" i="13" s="1"/>
  <c r="J394" i="13"/>
  <c r="K394" i="13" s="1"/>
  <c r="P394" i="13"/>
  <c r="S394" i="13"/>
  <c r="J202" i="13"/>
  <c r="K202" i="13"/>
  <c r="L202" i="13" s="1"/>
  <c r="O136" i="13"/>
  <c r="U136" i="13" s="1"/>
  <c r="J136" i="13"/>
  <c r="K136" i="13" s="1"/>
  <c r="Q354" i="13"/>
  <c r="J302" i="13"/>
  <c r="K302" i="13" s="1"/>
  <c r="L130" i="13"/>
  <c r="O130" i="13"/>
  <c r="P130" i="13" s="1"/>
  <c r="O158" i="13"/>
  <c r="J158" i="13"/>
  <c r="K158" i="13" s="1"/>
  <c r="P158" i="13"/>
  <c r="J186" i="13"/>
  <c r="K186" i="13" s="1"/>
  <c r="L186" i="13" s="1"/>
  <c r="O186" i="13"/>
  <c r="R186" i="13" s="1"/>
  <c r="O214" i="13"/>
  <c r="J214" i="13"/>
  <c r="K214" i="13"/>
  <c r="M214" i="13" s="1"/>
  <c r="N214" i="13" s="1"/>
  <c r="O242" i="13"/>
  <c r="P242" i="13" s="1"/>
  <c r="O326" i="13"/>
  <c r="S326" i="13" s="1"/>
  <c r="J326" i="13"/>
  <c r="K326" i="13" s="1"/>
  <c r="O382" i="13"/>
  <c r="T382" i="13" s="1"/>
  <c r="O380" i="13"/>
  <c r="R380" i="13" s="1"/>
  <c r="J380" i="13"/>
  <c r="K380" i="13"/>
  <c r="L380" i="13" s="1"/>
  <c r="J182" i="13"/>
  <c r="K182" i="13" s="1"/>
  <c r="K120" i="13"/>
  <c r="M120" i="13" s="1"/>
  <c r="N120" i="13" s="1"/>
  <c r="L120" i="13"/>
  <c r="O56" i="13"/>
  <c r="M119" i="13"/>
  <c r="N119" i="13" s="1"/>
  <c r="J399" i="13"/>
  <c r="K399" i="13" s="1"/>
  <c r="J242" i="13"/>
  <c r="K242" i="13" s="1"/>
  <c r="T129" i="13"/>
  <c r="R382" i="13"/>
  <c r="K351" i="13"/>
  <c r="J135" i="13"/>
  <c r="K135" i="13" s="1"/>
  <c r="M135" i="13" s="1"/>
  <c r="L43" i="13"/>
  <c r="O350" i="13"/>
  <c r="P282" i="13"/>
  <c r="J338" i="13"/>
  <c r="J109" i="13"/>
  <c r="J396" i="13"/>
  <c r="K396" i="13" s="1"/>
  <c r="J92" i="13"/>
  <c r="K92" i="13" s="1"/>
  <c r="M92" i="13" s="1"/>
  <c r="N92" i="13" s="1"/>
  <c r="K43" i="13"/>
  <c r="M43" i="13" s="1"/>
  <c r="O290" i="13"/>
  <c r="P174" i="13"/>
  <c r="U174" i="13"/>
  <c r="O116" i="13"/>
  <c r="U116" i="13" s="1"/>
  <c r="T215" i="13"/>
  <c r="K116" i="13"/>
  <c r="L116" i="13" s="1"/>
  <c r="J18" i="13"/>
  <c r="K18" i="13" s="1"/>
  <c r="L422" i="13"/>
  <c r="J364" i="13"/>
  <c r="K364" i="13" s="1"/>
  <c r="M230" i="13"/>
  <c r="N230" i="13" s="1"/>
  <c r="M350" i="13"/>
  <c r="N350" i="13" s="1"/>
  <c r="S159" i="13"/>
  <c r="J134" i="13"/>
  <c r="K134" i="13" s="1"/>
  <c r="L134" i="13" s="1"/>
  <c r="P18" i="13"/>
  <c r="O405" i="13"/>
  <c r="M42" i="13"/>
  <c r="Q18" i="13"/>
  <c r="J350" i="13"/>
  <c r="K350" i="13" s="1"/>
  <c r="J126" i="13"/>
  <c r="K126" i="13" s="1"/>
  <c r="M126" i="13" s="1"/>
  <c r="J91" i="13"/>
  <c r="K91" i="13" s="1"/>
  <c r="O402" i="13"/>
  <c r="Q402" i="13" s="1"/>
  <c r="O285" i="13"/>
  <c r="T285" i="13" s="1"/>
  <c r="J382" i="13"/>
  <c r="K382" i="13" s="1"/>
  <c r="L382" i="13" s="1"/>
  <c r="U215" i="13"/>
  <c r="O103" i="13"/>
  <c r="T103" i="13" s="1"/>
  <c r="J87" i="13"/>
  <c r="K87" i="13" s="1"/>
  <c r="Q367" i="13"/>
  <c r="O102" i="13"/>
  <c r="Q102" i="13" s="1"/>
  <c r="J293" i="13"/>
  <c r="K293" i="13" s="1"/>
  <c r="L356" i="13"/>
  <c r="L32" i="13"/>
  <c r="J289" i="13"/>
  <c r="K289" i="13" s="1"/>
  <c r="L345" i="13"/>
  <c r="J225" i="13"/>
  <c r="K225" i="13" s="1"/>
  <c r="M225" i="13" s="1"/>
  <c r="U106" i="13"/>
  <c r="K32" i="13"/>
  <c r="M32" i="13" s="1"/>
  <c r="O400" i="13"/>
  <c r="J26" i="13"/>
  <c r="K26" i="13" s="1"/>
  <c r="L26" i="13" s="1"/>
  <c r="O26" i="13"/>
  <c r="Q26" i="13" s="1"/>
  <c r="O110" i="13"/>
  <c r="Q110" i="13" s="1"/>
  <c r="J138" i="13"/>
  <c r="K138" i="13" s="1"/>
  <c r="L138" i="13" s="1"/>
  <c r="M138" i="13"/>
  <c r="N138" i="13" s="1"/>
  <c r="O138" i="13"/>
  <c r="R138" i="13" s="1"/>
  <c r="O194" i="13"/>
  <c r="S194" i="13" s="1"/>
  <c r="J194" i="13"/>
  <c r="K194" i="13" s="1"/>
  <c r="L194" i="13" s="1"/>
  <c r="J222" i="13"/>
  <c r="K222" i="13" s="1"/>
  <c r="M222" i="13" s="1"/>
  <c r="O222" i="13"/>
  <c r="T222" i="13" s="1"/>
  <c r="J250" i="13"/>
  <c r="K250" i="13" s="1"/>
  <c r="O250" i="13"/>
  <c r="J278" i="13"/>
  <c r="K278" i="13" s="1"/>
  <c r="O278" i="13"/>
  <c r="U278" i="13" s="1"/>
  <c r="O334" i="13"/>
  <c r="P334" i="13" s="1"/>
  <c r="J334" i="13"/>
  <c r="O362" i="13"/>
  <c r="M362" i="13"/>
  <c r="N362" i="13" s="1"/>
  <c r="O157" i="13"/>
  <c r="P157" i="13" s="1"/>
  <c r="J157" i="13"/>
  <c r="K157" i="13"/>
  <c r="L157" i="13" s="1"/>
  <c r="S295" i="13"/>
  <c r="S285" i="13"/>
  <c r="S158" i="13"/>
  <c r="O71" i="13"/>
  <c r="P71" i="13" s="1"/>
  <c r="J71" i="13"/>
  <c r="K71" i="13" s="1"/>
  <c r="T71" i="13"/>
  <c r="O99" i="13"/>
  <c r="P99" i="13"/>
  <c r="O127" i="13"/>
  <c r="S127" i="13" s="1"/>
  <c r="J127" i="13"/>
  <c r="K127" i="13" s="1"/>
  <c r="L127" i="13" s="1"/>
  <c r="M127" i="13"/>
  <c r="P127" i="13"/>
  <c r="Q127" i="13"/>
  <c r="R127" i="13"/>
  <c r="T127" i="13"/>
  <c r="O183" i="13"/>
  <c r="U183" i="13" s="1"/>
  <c r="J183" i="13"/>
  <c r="K183" i="13" s="1"/>
  <c r="L183" i="13"/>
  <c r="M183" i="13"/>
  <c r="N183" i="13" s="1"/>
  <c r="P183" i="13"/>
  <c r="O211" i="13"/>
  <c r="S211" i="13" s="1"/>
  <c r="U211" i="13"/>
  <c r="O239" i="13"/>
  <c r="J239" i="13"/>
  <c r="K239" i="13"/>
  <c r="L239" i="13" s="1"/>
  <c r="M239" i="13"/>
  <c r="N239" i="13" s="1"/>
  <c r="O267" i="13"/>
  <c r="S267" i="13" s="1"/>
  <c r="M267" i="13"/>
  <c r="N267" i="13" s="1"/>
  <c r="O323" i="13"/>
  <c r="R323" i="13" s="1"/>
  <c r="O351" i="13"/>
  <c r="P351" i="13" s="1"/>
  <c r="O379" i="13"/>
  <c r="P379" i="13" s="1"/>
  <c r="J379" i="13"/>
  <c r="K379" i="13"/>
  <c r="L379" i="13" s="1"/>
  <c r="U379" i="13"/>
  <c r="O410" i="13"/>
  <c r="R410" i="13" s="1"/>
  <c r="J410" i="13"/>
  <c r="K410" i="13" s="1"/>
  <c r="J280" i="13"/>
  <c r="K280" i="13" s="1"/>
  <c r="M280" i="13" s="1"/>
  <c r="O280" i="13"/>
  <c r="O156" i="13"/>
  <c r="U156" i="13" s="1"/>
  <c r="R156" i="13"/>
  <c r="S156" i="13"/>
  <c r="J29" i="13"/>
  <c r="K29" i="13"/>
  <c r="L29" i="13" s="1"/>
  <c r="M29" i="13"/>
  <c r="N29" i="13" s="1"/>
  <c r="O29" i="13"/>
  <c r="U29" i="13" s="1"/>
  <c r="J414" i="13"/>
  <c r="K414" i="13" s="1"/>
  <c r="M414" i="13" s="1"/>
  <c r="J332" i="13"/>
  <c r="K332" i="13" s="1"/>
  <c r="L332" i="13" s="1"/>
  <c r="R295" i="13"/>
  <c r="J211" i="13"/>
  <c r="K211" i="13" s="1"/>
  <c r="L211" i="13" s="1"/>
  <c r="J196" i="13"/>
  <c r="K196" i="13" s="1"/>
  <c r="M196" i="13" s="1"/>
  <c r="O150" i="13"/>
  <c r="Q150" i="13" s="1"/>
  <c r="J88" i="13"/>
  <c r="K88" i="13" s="1"/>
  <c r="L88" i="13" s="1"/>
  <c r="Q88" i="13"/>
  <c r="J284" i="13"/>
  <c r="K284" i="13" s="1"/>
  <c r="P284" i="13"/>
  <c r="R284" i="13"/>
  <c r="J312" i="13"/>
  <c r="K312" i="13" s="1"/>
  <c r="O408" i="13"/>
  <c r="S408" i="13" s="1"/>
  <c r="J408" i="13"/>
  <c r="K408" i="13" s="1"/>
  <c r="R408" i="13"/>
  <c r="T408" i="13"/>
  <c r="U408" i="13"/>
  <c r="J279" i="13"/>
  <c r="K279" i="13" s="1"/>
  <c r="O279" i="13"/>
  <c r="T279" i="13" s="1"/>
  <c r="J221" i="13"/>
  <c r="K221" i="13" s="1"/>
  <c r="O221" i="13"/>
  <c r="J152" i="13"/>
  <c r="K152" i="13" s="1"/>
  <c r="L152" i="13" s="1"/>
  <c r="J89" i="13"/>
  <c r="K89" i="13" s="1"/>
  <c r="M89" i="13" s="1"/>
  <c r="O28" i="13"/>
  <c r="R28" i="13" s="1"/>
  <c r="M368" i="13"/>
  <c r="N368" i="13" s="1"/>
  <c r="P295" i="13"/>
  <c r="O397" i="13"/>
  <c r="S397" i="13" s="1"/>
  <c r="O32" i="13"/>
  <c r="P32" i="13" s="1"/>
  <c r="O21" i="13"/>
  <c r="S413" i="13"/>
  <c r="L368" i="13"/>
  <c r="J331" i="13"/>
  <c r="K331" i="13" s="1"/>
  <c r="L331" i="13" s="1"/>
  <c r="S284" i="13"/>
  <c r="T47" i="13"/>
  <c r="J31" i="13"/>
  <c r="K31" i="13" s="1"/>
  <c r="L66" i="13"/>
  <c r="K262" i="13"/>
  <c r="L262" i="13" s="1"/>
  <c r="M262" i="13"/>
  <c r="N262" i="13" s="1"/>
  <c r="L346" i="13"/>
  <c r="M346" i="13"/>
  <c r="N346" i="13" s="1"/>
  <c r="J374" i="13"/>
  <c r="K374" i="13" s="1"/>
  <c r="O276" i="13"/>
  <c r="O80" i="13"/>
  <c r="K402" i="13"/>
  <c r="M295" i="13"/>
  <c r="T245" i="13"/>
  <c r="O88" i="13"/>
  <c r="U88" i="13" s="1"/>
  <c r="O30" i="13"/>
  <c r="U30" i="13" s="1"/>
  <c r="Q413" i="13"/>
  <c r="J301" i="13"/>
  <c r="K301" i="13" s="1"/>
  <c r="L301" i="13" s="1"/>
  <c r="U230" i="13"/>
  <c r="J170" i="13"/>
  <c r="K170" i="13" s="1"/>
  <c r="J161" i="13"/>
  <c r="K161" i="13" s="1"/>
  <c r="L161" i="13" s="1"/>
  <c r="U104" i="13"/>
  <c r="J50" i="13"/>
  <c r="K50" i="13" s="1"/>
  <c r="L419" i="13"/>
  <c r="J411" i="13"/>
  <c r="K411" i="13" s="1"/>
  <c r="Q395" i="13"/>
  <c r="J358" i="13"/>
  <c r="K358" i="13" s="1"/>
  <c r="L349" i="13"/>
  <c r="K338" i="13"/>
  <c r="L305" i="13"/>
  <c r="T244" i="13"/>
  <c r="S225" i="13"/>
  <c r="R215" i="13"/>
  <c r="R188" i="13"/>
  <c r="J141" i="13"/>
  <c r="K141" i="13" s="1"/>
  <c r="M141" i="13" s="1"/>
  <c r="J133" i="13"/>
  <c r="K133" i="13" s="1"/>
  <c r="S106" i="13"/>
  <c r="J102" i="13"/>
  <c r="K102" i="13" s="1"/>
  <c r="J54" i="13"/>
  <c r="K54" i="13" s="1"/>
  <c r="O364" i="13"/>
  <c r="K395" i="13"/>
  <c r="L395" i="13" s="1"/>
  <c r="T298" i="13"/>
  <c r="J285" i="13"/>
  <c r="K285" i="13" s="1"/>
  <c r="P244" i="13"/>
  <c r="J233" i="13"/>
  <c r="K233" i="13" s="1"/>
  <c r="M233" i="13" s="1"/>
  <c r="N233" i="13" s="1"/>
  <c r="Q215" i="13"/>
  <c r="Q188" i="13"/>
  <c r="J184" i="13"/>
  <c r="K184" i="13" s="1"/>
  <c r="M184" i="13" s="1"/>
  <c r="N184" i="13" s="1"/>
  <c r="K106" i="13"/>
  <c r="L106" i="13" s="1"/>
  <c r="R77" i="13"/>
  <c r="U63" i="13"/>
  <c r="J53" i="13"/>
  <c r="K53" i="13" s="1"/>
  <c r="L53" i="13" s="1"/>
  <c r="J30" i="13"/>
  <c r="K30" i="13" s="1"/>
  <c r="L425" i="13"/>
  <c r="M401" i="13"/>
  <c r="N401" i="13" s="1"/>
  <c r="M304" i="13"/>
  <c r="S215" i="13"/>
  <c r="J188" i="13"/>
  <c r="K188" i="13" s="1"/>
  <c r="J128" i="13"/>
  <c r="K128" i="13" s="1"/>
  <c r="L128" i="13" s="1"/>
  <c r="O277" i="13"/>
  <c r="P277" i="13" s="1"/>
  <c r="O109" i="13"/>
  <c r="P109" i="13" s="1"/>
  <c r="T385" i="13"/>
  <c r="J244" i="13"/>
  <c r="K244" i="13" s="1"/>
  <c r="M244" i="13" s="1"/>
  <c r="N244" i="13" s="1"/>
  <c r="J204" i="13"/>
  <c r="K204" i="13" s="1"/>
  <c r="L204" i="13" s="1"/>
  <c r="U187" i="13"/>
  <c r="M174" i="13"/>
  <c r="N174" i="13" s="1"/>
  <c r="J77" i="13"/>
  <c r="K77" i="13" s="1"/>
  <c r="K63" i="13"/>
  <c r="L63" i="13" s="1"/>
  <c r="J46" i="13"/>
  <c r="K46" i="13" s="1"/>
  <c r="O416" i="13"/>
  <c r="R416" i="13" s="1"/>
  <c r="O304" i="13"/>
  <c r="R304" i="13" s="1"/>
  <c r="O248" i="13"/>
  <c r="R248" i="13" s="1"/>
  <c r="S385" i="13"/>
  <c r="L366" i="13"/>
  <c r="J329" i="13"/>
  <c r="K329" i="13" s="1"/>
  <c r="K298" i="13"/>
  <c r="L298" i="13" s="1"/>
  <c r="P187" i="13"/>
  <c r="R114" i="13"/>
  <c r="U105" i="13"/>
  <c r="U385" i="13"/>
  <c r="Q373" i="13"/>
  <c r="K357" i="13"/>
  <c r="Q187" i="13"/>
  <c r="O162" i="13"/>
  <c r="T162" i="13" s="1"/>
  <c r="O50" i="13"/>
  <c r="Q50" i="13" s="1"/>
  <c r="J385" i="13"/>
  <c r="K385" i="13" s="1"/>
  <c r="M385" i="13" s="1"/>
  <c r="P373" i="13"/>
  <c r="J357" i="13"/>
  <c r="J187" i="13"/>
  <c r="K187" i="13" s="1"/>
  <c r="O161" i="13"/>
  <c r="O105" i="13"/>
  <c r="Q105" i="13" s="1"/>
  <c r="L373" i="13"/>
  <c r="J303" i="13"/>
  <c r="K303" i="13" s="1"/>
  <c r="U298" i="13"/>
  <c r="T114" i="13"/>
  <c r="J110" i="13"/>
  <c r="K110" i="13" s="1"/>
  <c r="P100" i="13"/>
  <c r="M93" i="13"/>
  <c r="N93" i="13" s="1"/>
  <c r="O384" i="13"/>
  <c r="T384" i="13" s="1"/>
  <c r="O356" i="13"/>
  <c r="U356" i="13" s="1"/>
  <c r="K373" i="13"/>
  <c r="M373" i="13" s="1"/>
  <c r="N373" i="13" s="1"/>
  <c r="J321" i="13"/>
  <c r="K321" i="13" s="1"/>
  <c r="M321" i="13" s="1"/>
  <c r="J297" i="13"/>
  <c r="K297" i="13" s="1"/>
  <c r="Q289" i="13"/>
  <c r="M283" i="13"/>
  <c r="N283" i="13" s="1"/>
  <c r="K231" i="13"/>
  <c r="L231" i="13" s="1"/>
  <c r="K171" i="13"/>
  <c r="J149" i="13"/>
  <c r="K149" i="13" s="1"/>
  <c r="J121" i="13"/>
  <c r="K121" i="13" s="1"/>
  <c r="L121" i="13" s="1"/>
  <c r="K105" i="13"/>
  <c r="L105" i="13" s="1"/>
  <c r="R45" i="13"/>
  <c r="O383" i="13"/>
  <c r="R383" i="13" s="1"/>
  <c r="O327" i="13"/>
  <c r="S327" i="13" s="1"/>
  <c r="O243" i="13"/>
  <c r="S243" i="13" s="1"/>
  <c r="O19" i="13"/>
  <c r="U19" i="13" s="1"/>
  <c r="K433" i="13"/>
  <c r="M433" i="13" s="1"/>
  <c r="N433" i="13" s="1"/>
  <c r="J346" i="13"/>
  <c r="K346" i="13" s="1"/>
  <c r="P289" i="13"/>
  <c r="L283" i="13"/>
  <c r="M277" i="13"/>
  <c r="N277" i="13" s="1"/>
  <c r="J100" i="13"/>
  <c r="K100" i="13" s="1"/>
  <c r="L100" i="13" s="1"/>
  <c r="T57" i="13"/>
  <c r="M422" i="13"/>
  <c r="N422" i="13" s="1"/>
  <c r="T399" i="13"/>
  <c r="Q364" i="13"/>
  <c r="P356" i="13"/>
  <c r="J296" i="13"/>
  <c r="K296" i="13" s="1"/>
  <c r="U289" i="13"/>
  <c r="K258" i="13"/>
  <c r="L237" i="13"/>
  <c r="L109" i="13"/>
  <c r="J62" i="13"/>
  <c r="K62" i="13" s="1"/>
  <c r="S57" i="13"/>
  <c r="J45" i="13"/>
  <c r="K45" i="13" s="1"/>
  <c r="M345" i="13"/>
  <c r="N345" i="13" s="1"/>
  <c r="P248" i="13"/>
  <c r="T230" i="13"/>
  <c r="K109" i="13"/>
  <c r="M109" i="13" s="1"/>
  <c r="N109" i="13" s="1"/>
  <c r="R57" i="13"/>
  <c r="J99" i="13"/>
  <c r="K99" i="13" s="1"/>
  <c r="J68" i="13"/>
  <c r="K68" i="13" s="1"/>
  <c r="M68" i="13" s="1"/>
  <c r="Q182" i="13"/>
  <c r="P182" i="13"/>
  <c r="P91" i="13"/>
  <c r="R192" i="13"/>
  <c r="Q41" i="13"/>
  <c r="R35" i="13"/>
  <c r="S434" i="13"/>
  <c r="T434" i="13"/>
  <c r="U434" i="13"/>
  <c r="S406" i="13"/>
  <c r="T406" i="13"/>
  <c r="U406" i="13"/>
  <c r="T294" i="13"/>
  <c r="P294" i="13"/>
  <c r="Q294" i="13"/>
  <c r="R294" i="13"/>
  <c r="T266" i="13"/>
  <c r="Q266" i="13"/>
  <c r="R42" i="13"/>
  <c r="S42" i="13"/>
  <c r="P42" i="13"/>
  <c r="Q42" i="13"/>
  <c r="Q349" i="13"/>
  <c r="P349" i="13"/>
  <c r="Q321" i="13"/>
  <c r="R321" i="13"/>
  <c r="S293" i="13"/>
  <c r="T293" i="13"/>
  <c r="U293" i="13"/>
  <c r="Q126" i="13"/>
  <c r="Q404" i="13"/>
  <c r="R404" i="13"/>
  <c r="Q236" i="13"/>
  <c r="T236" i="13"/>
  <c r="P319" i="13"/>
  <c r="R319" i="13"/>
  <c r="Q319" i="13"/>
  <c r="U291" i="13"/>
  <c r="R291" i="13"/>
  <c r="T291" i="13"/>
  <c r="T348" i="13"/>
  <c r="S290" i="13"/>
  <c r="T290" i="13"/>
  <c r="U290" i="13"/>
  <c r="R262" i="13"/>
  <c r="S262" i="13"/>
  <c r="S348" i="13"/>
  <c r="Q348" i="13"/>
  <c r="P288" i="13"/>
  <c r="Q288" i="13"/>
  <c r="S288" i="13"/>
  <c r="Q36" i="13"/>
  <c r="P404" i="13"/>
  <c r="U119" i="13"/>
  <c r="R427" i="13"/>
  <c r="S427" i="13"/>
  <c r="P399" i="13"/>
  <c r="Q399" i="13"/>
  <c r="R399" i="13"/>
  <c r="S399" i="13"/>
  <c r="U399" i="13"/>
  <c r="P371" i="13"/>
  <c r="R371" i="13"/>
  <c r="P343" i="13"/>
  <c r="T343" i="13"/>
  <c r="U343" i="13"/>
  <c r="S287" i="13"/>
  <c r="P287" i="13"/>
  <c r="R287" i="13"/>
  <c r="T231" i="13"/>
  <c r="R231" i="13"/>
  <c r="S231" i="13"/>
  <c r="P231" i="13"/>
  <c r="Q203" i="13"/>
  <c r="S203" i="13"/>
  <c r="R203" i="13"/>
  <c r="U147" i="13"/>
  <c r="S147" i="13"/>
  <c r="T147" i="13"/>
  <c r="P147" i="13"/>
  <c r="R147" i="13"/>
  <c r="Q147" i="13"/>
  <c r="P403" i="13"/>
  <c r="T41" i="13"/>
  <c r="R41" i="13"/>
  <c r="P434" i="13"/>
  <c r="Q390" i="13"/>
  <c r="U149" i="13"/>
  <c r="P390" i="13"/>
  <c r="P315" i="13"/>
  <c r="S149" i="13"/>
  <c r="R66" i="13"/>
  <c r="S66" i="13"/>
  <c r="U66" i="13"/>
  <c r="S402" i="13"/>
  <c r="S390" i="13"/>
  <c r="Q376" i="13"/>
  <c r="Q345" i="13"/>
  <c r="S294" i="13"/>
  <c r="R149" i="13"/>
  <c r="U55" i="13"/>
  <c r="R53" i="13"/>
  <c r="S53" i="13"/>
  <c r="T53" i="13"/>
  <c r="U53" i="13"/>
  <c r="U153" i="13"/>
  <c r="P153" i="13"/>
  <c r="Q153" i="13"/>
  <c r="R153" i="13"/>
  <c r="S153" i="13"/>
  <c r="T153" i="13"/>
  <c r="R402" i="13"/>
  <c r="P376" i="13"/>
  <c r="Q391" i="13"/>
  <c r="U234" i="13"/>
  <c r="P278" i="13"/>
  <c r="Q278" i="13"/>
  <c r="P417" i="13"/>
  <c r="Q417" i="13"/>
  <c r="R417" i="13"/>
  <c r="S417" i="13"/>
  <c r="T417" i="13"/>
  <c r="U417" i="13"/>
  <c r="Q360" i="13"/>
  <c r="R360" i="13"/>
  <c r="S360" i="13"/>
  <c r="Q304" i="13"/>
  <c r="Q220" i="13"/>
  <c r="R220" i="13"/>
  <c r="P108" i="13"/>
  <c r="U108" i="13"/>
  <c r="R108" i="13"/>
  <c r="S108" i="13"/>
  <c r="P93" i="13"/>
  <c r="R93" i="13"/>
  <c r="R64" i="13"/>
  <c r="S64" i="13"/>
  <c r="T64" i="13"/>
  <c r="U64" i="13"/>
  <c r="T319" i="13"/>
  <c r="R233" i="13"/>
  <c r="S233" i="13"/>
  <c r="T233" i="13"/>
  <c r="P406" i="13"/>
  <c r="R332" i="13"/>
  <c r="S136" i="13"/>
  <c r="P38" i="13"/>
  <c r="P120" i="13"/>
  <c r="Q120" i="13"/>
  <c r="S120" i="13"/>
  <c r="U120" i="13"/>
  <c r="R406" i="13"/>
  <c r="Q65" i="13"/>
  <c r="Q406" i="13"/>
  <c r="R258" i="13"/>
  <c r="S258" i="13"/>
  <c r="T258" i="13"/>
  <c r="U258" i="13"/>
  <c r="P258" i="13"/>
  <c r="U33" i="13"/>
  <c r="S33" i="13"/>
  <c r="Q285" i="13"/>
  <c r="P396" i="13"/>
  <c r="R396" i="13"/>
  <c r="P312" i="13"/>
  <c r="R312" i="13"/>
  <c r="R283" i="13"/>
  <c r="P283" i="13"/>
  <c r="S283" i="13"/>
  <c r="Q283" i="13"/>
  <c r="P227" i="13"/>
  <c r="Q227" i="13"/>
  <c r="R227" i="13"/>
  <c r="P171" i="13"/>
  <c r="R171" i="13"/>
  <c r="S171" i="13"/>
  <c r="U87" i="13"/>
  <c r="U227" i="13"/>
  <c r="T422" i="13"/>
  <c r="Q422" i="13"/>
  <c r="S422" i="13"/>
  <c r="Q366" i="13"/>
  <c r="T366" i="13"/>
  <c r="P30" i="13"/>
  <c r="Q30" i="13"/>
  <c r="T227" i="13"/>
  <c r="R141" i="13"/>
  <c r="P141" i="13"/>
  <c r="S141" i="13"/>
  <c r="Q141" i="13"/>
  <c r="S227" i="13"/>
  <c r="S196" i="13"/>
  <c r="P196" i="13"/>
  <c r="T196" i="13"/>
  <c r="U196" i="13"/>
  <c r="R174" i="13"/>
  <c r="S359" i="13"/>
  <c r="P359" i="13"/>
  <c r="Q359" i="13"/>
  <c r="Q135" i="13"/>
  <c r="R135" i="13"/>
  <c r="S135" i="13"/>
  <c r="Q358" i="13"/>
  <c r="R358" i="13"/>
  <c r="P218" i="13"/>
  <c r="U218" i="13"/>
  <c r="P190" i="13"/>
  <c r="R190" i="13"/>
  <c r="Q247" i="13"/>
  <c r="U145" i="13"/>
  <c r="T283" i="13"/>
  <c r="T145" i="13"/>
  <c r="S145" i="13"/>
  <c r="U283" i="13"/>
  <c r="R303" i="13"/>
  <c r="R145" i="13"/>
  <c r="S31" i="13"/>
  <c r="Q303" i="13"/>
  <c r="U197" i="13"/>
  <c r="T190" i="13"/>
  <c r="Q145" i="13"/>
  <c r="R78" i="13"/>
  <c r="R31" i="13"/>
  <c r="U422" i="13"/>
  <c r="S190" i="13"/>
  <c r="U411" i="13"/>
  <c r="T354" i="13"/>
  <c r="P301" i="13"/>
  <c r="R47" i="13"/>
  <c r="T18" i="13"/>
  <c r="Q301" i="13"/>
  <c r="S354" i="13"/>
  <c r="S18" i="13"/>
  <c r="U301" i="13"/>
  <c r="M309" i="13"/>
  <c r="L309" i="13"/>
  <c r="M354" i="13"/>
  <c r="N354" i="13" s="1"/>
  <c r="S331" i="13"/>
  <c r="R331" i="13"/>
  <c r="Q421" i="13"/>
  <c r="P400" i="13"/>
  <c r="R367" i="13"/>
  <c r="Q331" i="13"/>
  <c r="S421" i="13"/>
  <c r="R421" i="13"/>
  <c r="P421" i="13"/>
  <c r="T403" i="13"/>
  <c r="U350" i="13"/>
  <c r="R347" i="13"/>
  <c r="M331" i="13"/>
  <c r="N331" i="13" s="1"/>
  <c r="U294" i="13"/>
  <c r="U287" i="13"/>
  <c r="Q396" i="13"/>
  <c r="T356" i="13"/>
  <c r="S334" i="13"/>
  <c r="U429" i="13"/>
  <c r="Q334" i="13"/>
  <c r="T429" i="13"/>
  <c r="S429" i="13"/>
  <c r="T370" i="13"/>
  <c r="U313" i="13"/>
  <c r="R429" i="13"/>
  <c r="S370" i="13"/>
  <c r="S349" i="13"/>
  <c r="T313" i="13"/>
  <c r="T289" i="13"/>
  <c r="Q429" i="13"/>
  <c r="Q415" i="13"/>
  <c r="Q370" i="13"/>
  <c r="Q355" i="13"/>
  <c r="R349" i="13"/>
  <c r="S289" i="13"/>
  <c r="R289" i="13"/>
  <c r="L148" i="13"/>
  <c r="M148" i="13"/>
  <c r="N148" i="13" s="1"/>
  <c r="L278" i="13"/>
  <c r="M278" i="13"/>
  <c r="N278" i="13" s="1"/>
  <c r="L177" i="13"/>
  <c r="M150" i="13"/>
  <c r="V150" i="13" s="1"/>
  <c r="W150" i="13" s="1"/>
  <c r="L150" i="13"/>
  <c r="L263" i="13"/>
  <c r="M263" i="13"/>
  <c r="N263" i="13" s="1"/>
  <c r="L269" i="13"/>
  <c r="M236" i="13"/>
  <c r="N236" i="13" s="1"/>
  <c r="L236" i="13"/>
  <c r="S144" i="13"/>
  <c r="R144" i="13"/>
  <c r="M161" i="13"/>
  <c r="N161" i="13" s="1"/>
  <c r="U177" i="13"/>
  <c r="S177" i="13"/>
  <c r="S205" i="13"/>
  <c r="M194" i="13"/>
  <c r="N194" i="13" s="1"/>
  <c r="R177" i="13"/>
  <c r="U247" i="13"/>
  <c r="R205" i="13"/>
  <c r="Q258" i="13"/>
  <c r="T247" i="13"/>
  <c r="T155" i="13"/>
  <c r="M281" i="13"/>
  <c r="N281" i="13" s="1"/>
  <c r="S247" i="13"/>
  <c r="U216" i="13"/>
  <c r="R182" i="13"/>
  <c r="P170" i="13"/>
  <c r="S155" i="13"/>
  <c r="M142" i="13"/>
  <c r="R247" i="13"/>
  <c r="U158" i="13"/>
  <c r="R155" i="13"/>
  <c r="U146" i="13"/>
  <c r="L361" i="13"/>
  <c r="M361" i="13"/>
  <c r="L297" i="13"/>
  <c r="M297" i="13"/>
  <c r="P365" i="13"/>
  <c r="Q365" i="13"/>
  <c r="R365" i="13"/>
  <c r="S365" i="13"/>
  <c r="U365" i="13"/>
  <c r="L245" i="13"/>
  <c r="M245" i="13"/>
  <c r="M413" i="13"/>
  <c r="L413" i="13"/>
  <c r="R154" i="13"/>
  <c r="S154" i="13"/>
  <c r="T154" i="13"/>
  <c r="P154" i="13"/>
  <c r="U154" i="13"/>
  <c r="Q154" i="13"/>
  <c r="L18" i="13"/>
  <c r="M18" i="13"/>
  <c r="R278" i="13"/>
  <c r="T278" i="13"/>
  <c r="P398" i="13"/>
  <c r="Q398" i="13"/>
  <c r="N377" i="13"/>
  <c r="P209" i="13"/>
  <c r="Q209" i="13"/>
  <c r="P202" i="13"/>
  <c r="U202" i="13"/>
  <c r="T202" i="13"/>
  <c r="Q202" i="13"/>
  <c r="R202" i="13"/>
  <c r="S202" i="13"/>
  <c r="L154" i="13"/>
  <c r="M154" i="13"/>
  <c r="T432" i="13"/>
  <c r="U432" i="13"/>
  <c r="R432" i="13"/>
  <c r="S432" i="13"/>
  <c r="S426" i="13"/>
  <c r="T426" i="13"/>
  <c r="U426" i="13"/>
  <c r="P265" i="13"/>
  <c r="Q265" i="13"/>
  <c r="T265" i="13"/>
  <c r="U265" i="13"/>
  <c r="J224" i="13"/>
  <c r="K224" i="13" s="1"/>
  <c r="T115" i="13"/>
  <c r="S115" i="13"/>
  <c r="R115" i="13"/>
  <c r="Q115" i="13"/>
  <c r="U115" i="13"/>
  <c r="P115" i="13"/>
  <c r="T94" i="13"/>
  <c r="S94" i="13"/>
  <c r="S419" i="13"/>
  <c r="P419" i="13"/>
  <c r="Q419" i="13"/>
  <c r="R419" i="13"/>
  <c r="T419" i="13"/>
  <c r="U419" i="13"/>
  <c r="P377" i="13"/>
  <c r="T377" i="13"/>
  <c r="U377" i="13"/>
  <c r="Q377" i="13"/>
  <c r="R377" i="13"/>
  <c r="S377" i="13"/>
  <c r="U220" i="13"/>
  <c r="P220" i="13"/>
  <c r="J213" i="13"/>
  <c r="K213" i="13" s="1"/>
  <c r="T65" i="13"/>
  <c r="U65" i="13"/>
  <c r="R65" i="13"/>
  <c r="S65" i="13"/>
  <c r="T383" i="13"/>
  <c r="Q383" i="13"/>
  <c r="J272" i="13"/>
  <c r="K272" i="13" s="1"/>
  <c r="J253" i="13"/>
  <c r="K253" i="13" s="1"/>
  <c r="S246" i="13"/>
  <c r="T246" i="13"/>
  <c r="U246" i="13"/>
  <c r="Q246" i="13"/>
  <c r="R246" i="13"/>
  <c r="R91" i="13"/>
  <c r="T91" i="13"/>
  <c r="S91" i="13"/>
  <c r="J81" i="13"/>
  <c r="K81" i="13" s="1"/>
  <c r="J21" i="13"/>
  <c r="K21" i="13" s="1"/>
  <c r="J426" i="13"/>
  <c r="K426" i="13" s="1"/>
  <c r="J160" i="13"/>
  <c r="K160" i="13" s="1"/>
  <c r="L69" i="13"/>
  <c r="L65" i="13"/>
  <c r="M65" i="13"/>
  <c r="L133" i="13"/>
  <c r="M133" i="13"/>
  <c r="S119" i="13"/>
  <c r="Q119" i="13"/>
  <c r="R119" i="13"/>
  <c r="T119" i="13"/>
  <c r="P46" i="13"/>
  <c r="U46" i="13"/>
  <c r="T46" i="13"/>
  <c r="Q46" i="13"/>
  <c r="R46" i="13"/>
  <c r="S46" i="13"/>
  <c r="Q353" i="13"/>
  <c r="R353" i="13"/>
  <c r="U345" i="13"/>
  <c r="R345" i="13"/>
  <c r="T345" i="13"/>
  <c r="S345" i="13"/>
  <c r="M342" i="13"/>
  <c r="L342" i="13"/>
  <c r="T176" i="13"/>
  <c r="R176" i="13"/>
  <c r="Q176" i="13"/>
  <c r="S176" i="13"/>
  <c r="U176" i="13"/>
  <c r="J172" i="13"/>
  <c r="K172" i="13" s="1"/>
  <c r="J168" i="13"/>
  <c r="K168" i="13" s="1"/>
  <c r="L144" i="13"/>
  <c r="U418" i="13"/>
  <c r="P418" i="13"/>
  <c r="Q418" i="13"/>
  <c r="R418" i="13"/>
  <c r="S418" i="13"/>
  <c r="T418" i="13"/>
  <c r="J387" i="13"/>
  <c r="K387" i="13" s="1"/>
  <c r="P372" i="13"/>
  <c r="U372" i="13"/>
  <c r="R348" i="13"/>
  <c r="U348" i="13"/>
  <c r="Q277" i="13"/>
  <c r="S277" i="13"/>
  <c r="J180" i="13"/>
  <c r="K180" i="13" s="1"/>
  <c r="T402" i="13"/>
  <c r="U402" i="13"/>
  <c r="L386" i="13"/>
  <c r="Q341" i="13"/>
  <c r="R341" i="13"/>
  <c r="S341" i="13"/>
  <c r="P341" i="13"/>
  <c r="T341" i="13"/>
  <c r="U341" i="13"/>
  <c r="Q323" i="13"/>
  <c r="T307" i="13"/>
  <c r="J249" i="13"/>
  <c r="K249" i="13" s="1"/>
  <c r="L208" i="13"/>
  <c r="T205" i="13"/>
  <c r="P205" i="13"/>
  <c r="U205" i="13"/>
  <c r="P179" i="13"/>
  <c r="U179" i="13"/>
  <c r="Q179" i="13"/>
  <c r="R179" i="13"/>
  <c r="S179" i="13"/>
  <c r="T179" i="13"/>
  <c r="S167" i="13"/>
  <c r="U167" i="13"/>
  <c r="Q167" i="13"/>
  <c r="R167" i="13"/>
  <c r="U84" i="13"/>
  <c r="S84" i="13"/>
  <c r="T84" i="13"/>
  <c r="R84" i="13"/>
  <c r="R307" i="13"/>
  <c r="T288" i="13"/>
  <c r="R288" i="13"/>
  <c r="U288" i="13"/>
  <c r="S236" i="13"/>
  <c r="R236" i="13"/>
  <c r="U236" i="13"/>
  <c r="P236" i="13"/>
  <c r="P200" i="13"/>
  <c r="S200" i="13"/>
  <c r="T200" i="13"/>
  <c r="Q200" i="13"/>
  <c r="R200" i="13"/>
  <c r="U200" i="13"/>
  <c r="P189" i="13"/>
  <c r="Q189" i="13"/>
  <c r="U189" i="13"/>
  <c r="U139" i="13"/>
  <c r="J38" i="13"/>
  <c r="K38" i="13" s="1"/>
  <c r="U396" i="13"/>
  <c r="J330" i="13"/>
  <c r="K330" i="13" s="1"/>
  <c r="Q307" i="13"/>
  <c r="T152" i="13"/>
  <c r="T139" i="13"/>
  <c r="T37" i="13"/>
  <c r="P37" i="13"/>
  <c r="Q37" i="13"/>
  <c r="R37" i="13"/>
  <c r="S37" i="13"/>
  <c r="U37" i="13"/>
  <c r="Q434" i="13"/>
  <c r="R434" i="13"/>
  <c r="T396" i="13"/>
  <c r="T379" i="13"/>
  <c r="R379" i="13"/>
  <c r="S379" i="13"/>
  <c r="R355" i="13"/>
  <c r="S355" i="13"/>
  <c r="T355" i="13"/>
  <c r="U355" i="13"/>
  <c r="J348" i="13"/>
  <c r="K348" i="13" s="1"/>
  <c r="S152" i="13"/>
  <c r="U427" i="13"/>
  <c r="Q405" i="13"/>
  <c r="P405" i="13"/>
  <c r="R405" i="13"/>
  <c r="S396" i="13"/>
  <c r="T390" i="13"/>
  <c r="U390" i="13"/>
  <c r="Q375" i="13"/>
  <c r="R375" i="13"/>
  <c r="T375" i="13"/>
  <c r="P375" i="13"/>
  <c r="S375" i="13"/>
  <c r="R368" i="13"/>
  <c r="M365" i="13"/>
  <c r="J341" i="13"/>
  <c r="K341" i="13" s="1"/>
  <c r="J323" i="13"/>
  <c r="K323" i="13" s="1"/>
  <c r="U316" i="13"/>
  <c r="J310" i="13"/>
  <c r="K310" i="13" s="1"/>
  <c r="J307" i="13"/>
  <c r="K307" i="13" s="1"/>
  <c r="U282" i="13"/>
  <c r="Q282" i="13"/>
  <c r="R282" i="13"/>
  <c r="S282" i="13"/>
  <c r="T282" i="13"/>
  <c r="J259" i="13"/>
  <c r="K259" i="13" s="1"/>
  <c r="S222" i="13"/>
  <c r="R152" i="13"/>
  <c r="V148" i="13"/>
  <c r="W148" i="13" s="1"/>
  <c r="J139" i="13"/>
  <c r="K139" i="13" s="1"/>
  <c r="Q99" i="13"/>
  <c r="L421" i="13"/>
  <c r="R411" i="13"/>
  <c r="S411" i="13"/>
  <c r="T411" i="13"/>
  <c r="Q411" i="13"/>
  <c r="L355" i="13"/>
  <c r="M355" i="13"/>
  <c r="J344" i="13"/>
  <c r="K344" i="13" s="1"/>
  <c r="U334" i="13"/>
  <c r="T334" i="13"/>
  <c r="J270" i="13"/>
  <c r="K270" i="13" s="1"/>
  <c r="P266" i="13"/>
  <c r="U266" i="13"/>
  <c r="M166" i="13"/>
  <c r="T121" i="13"/>
  <c r="P121" i="13"/>
  <c r="Q121" i="13"/>
  <c r="R121" i="13"/>
  <c r="S121" i="13"/>
  <c r="U121" i="13"/>
  <c r="J388" i="13"/>
  <c r="K388" i="13" s="1"/>
  <c r="U338" i="13"/>
  <c r="Q338" i="13"/>
  <c r="R338" i="13"/>
  <c r="S338" i="13"/>
  <c r="T338" i="13"/>
  <c r="T219" i="13"/>
  <c r="U219" i="13"/>
  <c r="P219" i="13"/>
  <c r="R219" i="13"/>
  <c r="S219" i="13"/>
  <c r="P271" i="13"/>
  <c r="S271" i="13"/>
  <c r="T271" i="13"/>
  <c r="M216" i="13"/>
  <c r="L216" i="13"/>
  <c r="J212" i="13"/>
  <c r="K212" i="13" s="1"/>
  <c r="J201" i="13"/>
  <c r="K201" i="13" s="1"/>
  <c r="U357" i="13"/>
  <c r="Q357" i="13"/>
  <c r="R357" i="13"/>
  <c r="S357" i="13"/>
  <c r="T357" i="13"/>
  <c r="T316" i="13"/>
  <c r="R316" i="13"/>
  <c r="S316" i="13"/>
  <c r="M300" i="13"/>
  <c r="L300" i="13"/>
  <c r="M347" i="13"/>
  <c r="L347" i="13"/>
  <c r="J226" i="13"/>
  <c r="K226" i="13" s="1"/>
  <c r="L99" i="13"/>
  <c r="M99" i="13"/>
  <c r="S433" i="13"/>
  <c r="P433" i="13"/>
  <c r="T191" i="13"/>
  <c r="R191" i="13"/>
  <c r="P191" i="13"/>
  <c r="Q191" i="13"/>
  <c r="U191" i="13"/>
  <c r="P166" i="13"/>
  <c r="R166" i="13"/>
  <c r="S166" i="13"/>
  <c r="T166" i="13"/>
  <c r="Q166" i="13"/>
  <c r="U166" i="13"/>
  <c r="L396" i="13"/>
  <c r="M396" i="13"/>
  <c r="M389" i="13"/>
  <c r="Q300" i="13"/>
  <c r="S300" i="13"/>
  <c r="T300" i="13"/>
  <c r="U300" i="13"/>
  <c r="R300" i="13"/>
  <c r="Q199" i="13"/>
  <c r="R199" i="13"/>
  <c r="T199" i="13"/>
  <c r="P199" i="13"/>
  <c r="S199" i="13"/>
  <c r="U199" i="13"/>
  <c r="P165" i="13"/>
  <c r="T165" i="13"/>
  <c r="S165" i="13"/>
  <c r="U165" i="13"/>
  <c r="Q165" i="13"/>
  <c r="R165" i="13"/>
  <c r="T198" i="13"/>
  <c r="Q198" i="13"/>
  <c r="R198" i="13"/>
  <c r="S198" i="13"/>
  <c r="U198" i="13"/>
  <c r="P198" i="13"/>
  <c r="L258" i="13"/>
  <c r="M258" i="13"/>
  <c r="J198" i="13"/>
  <c r="K198" i="13" s="1"/>
  <c r="P374" i="13"/>
  <c r="R374" i="13"/>
  <c r="Q374" i="13"/>
  <c r="S374" i="13"/>
  <c r="U374" i="13"/>
  <c r="T374" i="13"/>
  <c r="T315" i="13"/>
  <c r="T281" i="13"/>
  <c r="S281" i="13"/>
  <c r="U281" i="13"/>
  <c r="T209" i="13"/>
  <c r="S182" i="13"/>
  <c r="U182" i="13"/>
  <c r="T182" i="13"/>
  <c r="J164" i="13"/>
  <c r="K164" i="13" s="1"/>
  <c r="R43" i="13"/>
  <c r="T43" i="13"/>
  <c r="U43" i="13"/>
  <c r="P43" i="13"/>
  <c r="Q43" i="13"/>
  <c r="S43" i="13"/>
  <c r="Q412" i="13"/>
  <c r="R412" i="13"/>
  <c r="S412" i="13"/>
  <c r="T274" i="13"/>
  <c r="Q274" i="13"/>
  <c r="P274" i="13"/>
  <c r="R274" i="13"/>
  <c r="S274" i="13"/>
  <c r="M140" i="13"/>
  <c r="T108" i="13"/>
  <c r="Q108" i="13"/>
  <c r="T20" i="13"/>
  <c r="Q20" i="13"/>
  <c r="R20" i="13"/>
  <c r="L20" i="13"/>
  <c r="M20" i="13"/>
  <c r="M382" i="13"/>
  <c r="T323" i="13"/>
  <c r="U323" i="13"/>
  <c r="S323" i="13"/>
  <c r="S307" i="13"/>
  <c r="U307" i="13"/>
  <c r="J131" i="13"/>
  <c r="K131" i="13" s="1"/>
  <c r="J340" i="13"/>
  <c r="K340" i="13" s="1"/>
  <c r="J333" i="13"/>
  <c r="K333" i="13" s="1"/>
  <c r="N276" i="13"/>
  <c r="L199" i="13"/>
  <c r="M199" i="13"/>
  <c r="R178" i="13"/>
  <c r="T178" i="13"/>
  <c r="Q178" i="13"/>
  <c r="S178" i="13"/>
  <c r="U178" i="13"/>
  <c r="T401" i="13"/>
  <c r="R401" i="13"/>
  <c r="Q401" i="13"/>
  <c r="S401" i="13"/>
  <c r="U401" i="13"/>
  <c r="J48" i="13"/>
  <c r="K48" i="13" s="1"/>
  <c r="Q378" i="13"/>
  <c r="U378" i="13"/>
  <c r="P378" i="13"/>
  <c r="R378" i="13"/>
  <c r="S378" i="13"/>
  <c r="T378" i="13"/>
  <c r="L313" i="13"/>
  <c r="M313" i="13"/>
  <c r="R195" i="13"/>
  <c r="U398" i="13"/>
  <c r="J306" i="13"/>
  <c r="K306" i="13" s="1"/>
  <c r="U214" i="13"/>
  <c r="P203" i="13"/>
  <c r="T203" i="13"/>
  <c r="U203" i="13"/>
  <c r="U188" i="13"/>
  <c r="P188" i="13"/>
  <c r="T188" i="13"/>
  <c r="T66" i="13"/>
  <c r="P66" i="13"/>
  <c r="Q66" i="13"/>
  <c r="J52" i="13"/>
  <c r="K52" i="13" s="1"/>
  <c r="T32" i="13"/>
  <c r="R32" i="13"/>
  <c r="S32" i="13"/>
  <c r="Q32" i="13"/>
  <c r="T420" i="13"/>
  <c r="S420" i="13"/>
  <c r="R420" i="13"/>
  <c r="U420" i="13"/>
  <c r="U296" i="13"/>
  <c r="T296" i="13"/>
  <c r="P296" i="13"/>
  <c r="Q296" i="13"/>
  <c r="R296" i="13"/>
  <c r="S296" i="13"/>
  <c r="J407" i="13"/>
  <c r="K407" i="13" s="1"/>
  <c r="R426" i="13"/>
  <c r="J398" i="13"/>
  <c r="K398" i="13" s="1"/>
  <c r="M395" i="13"/>
  <c r="U370" i="13"/>
  <c r="R370" i="13"/>
  <c r="T349" i="13"/>
  <c r="U349" i="13"/>
  <c r="S315" i="13"/>
  <c r="Q312" i="13"/>
  <c r="T312" i="13"/>
  <c r="S312" i="13"/>
  <c r="U312" i="13"/>
  <c r="J261" i="13"/>
  <c r="K261" i="13" s="1"/>
  <c r="T220" i="13"/>
  <c r="S209" i="13"/>
  <c r="R169" i="13"/>
  <c r="S169" i="13"/>
  <c r="T169" i="13"/>
  <c r="U169" i="13"/>
  <c r="L292" i="13"/>
  <c r="J363" i="13"/>
  <c r="K363" i="13" s="1"/>
  <c r="U366" i="13"/>
  <c r="S366" i="13"/>
  <c r="P366" i="13"/>
  <c r="R366" i="13"/>
  <c r="U359" i="13"/>
  <c r="R359" i="13"/>
  <c r="M318" i="13"/>
  <c r="M315" i="13"/>
  <c r="L315" i="13"/>
  <c r="P422" i="13"/>
  <c r="R422" i="13"/>
  <c r="J409" i="13"/>
  <c r="K409" i="13" s="1"/>
  <c r="T391" i="13"/>
  <c r="U391" i="13"/>
  <c r="P292" i="13"/>
  <c r="U292" i="13"/>
  <c r="R292" i="13"/>
  <c r="S292" i="13"/>
  <c r="T292" i="13"/>
  <c r="J432" i="13"/>
  <c r="K432" i="13" s="1"/>
  <c r="U397" i="13"/>
  <c r="L321" i="13"/>
  <c r="J264" i="13"/>
  <c r="K264" i="13" s="1"/>
  <c r="L246" i="13"/>
  <c r="M246" i="13"/>
  <c r="R301" i="13"/>
  <c r="T301" i="13"/>
  <c r="Q77" i="13"/>
  <c r="S77" i="13"/>
  <c r="T77" i="13"/>
  <c r="U77" i="13"/>
  <c r="P54" i="13"/>
  <c r="T54" i="13"/>
  <c r="T38" i="13"/>
  <c r="Q38" i="13"/>
  <c r="R38" i="13"/>
  <c r="U38" i="13"/>
  <c r="R376" i="13"/>
  <c r="S376" i="13"/>
  <c r="T376" i="13"/>
  <c r="P249" i="13"/>
  <c r="R249" i="13"/>
  <c r="S249" i="13"/>
  <c r="T249" i="13"/>
  <c r="U249" i="13"/>
  <c r="L390" i="13"/>
  <c r="M390" i="13"/>
  <c r="T368" i="13"/>
  <c r="U368" i="13"/>
  <c r="U310" i="13"/>
  <c r="R310" i="13"/>
  <c r="S310" i="13"/>
  <c r="P310" i="13"/>
  <c r="T310" i="13"/>
  <c r="Q310" i="13"/>
  <c r="L294" i="13"/>
  <c r="M294" i="13"/>
  <c r="L248" i="13"/>
  <c r="M248" i="13"/>
  <c r="L232" i="13"/>
  <c r="P152" i="13"/>
  <c r="U152" i="13"/>
  <c r="R139" i="13"/>
  <c r="S139" i="13"/>
  <c r="P139" i="13"/>
  <c r="S99" i="13"/>
  <c r="R99" i="13"/>
  <c r="T99" i="13"/>
  <c r="U99" i="13"/>
  <c r="L57" i="13"/>
  <c r="M57" i="13"/>
  <c r="U48" i="13"/>
  <c r="P48" i="13"/>
  <c r="Q48" i="13"/>
  <c r="R48" i="13"/>
  <c r="J424" i="13"/>
  <c r="K424" i="13" s="1"/>
  <c r="T414" i="13"/>
  <c r="S414" i="13"/>
  <c r="U414" i="13"/>
  <c r="Q414" i="13"/>
  <c r="R414" i="13"/>
  <c r="J393" i="13"/>
  <c r="K393" i="13" s="1"/>
  <c r="L371" i="13"/>
  <c r="M371" i="13"/>
  <c r="M128" i="13"/>
  <c r="J255" i="13"/>
  <c r="K255" i="13" s="1"/>
  <c r="T142" i="13"/>
  <c r="U142" i="13"/>
  <c r="R142" i="13"/>
  <c r="S142" i="13"/>
  <c r="J430" i="13"/>
  <c r="K430" i="13" s="1"/>
  <c r="T398" i="13"/>
  <c r="R381" i="13"/>
  <c r="P293" i="13"/>
  <c r="R293" i="13"/>
  <c r="Q293" i="13"/>
  <c r="S265" i="13"/>
  <c r="Q262" i="13"/>
  <c r="R234" i="13"/>
  <c r="S234" i="13"/>
  <c r="Q234" i="13"/>
  <c r="T234" i="13"/>
  <c r="Q228" i="13"/>
  <c r="R228" i="13"/>
  <c r="P228" i="13"/>
  <c r="S228" i="13"/>
  <c r="T228" i="13"/>
  <c r="U228" i="13"/>
  <c r="Q225" i="13"/>
  <c r="T225" i="13"/>
  <c r="U225" i="13"/>
  <c r="P225" i="13"/>
  <c r="J210" i="13"/>
  <c r="K210" i="13" s="1"/>
  <c r="J195" i="13"/>
  <c r="K195" i="13" s="1"/>
  <c r="J191" i="13"/>
  <c r="K191" i="13" s="1"/>
  <c r="S398" i="13"/>
  <c r="M360" i="13"/>
  <c r="L360" i="13"/>
  <c r="Q284" i="13"/>
  <c r="T284" i="13"/>
  <c r="U284" i="13"/>
  <c r="R265" i="13"/>
  <c r="J238" i="13"/>
  <c r="K238" i="13" s="1"/>
  <c r="L225" i="13"/>
  <c r="J165" i="13"/>
  <c r="K165" i="13" s="1"/>
  <c r="V155" i="13"/>
  <c r="W155" i="13" s="1"/>
  <c r="N155" i="13"/>
  <c r="L103" i="13"/>
  <c r="M103" i="13"/>
  <c r="R98" i="13"/>
  <c r="S98" i="13"/>
  <c r="T98" i="13"/>
  <c r="P47" i="13"/>
  <c r="Q47" i="13"/>
  <c r="U47" i="13"/>
  <c r="R398" i="13"/>
  <c r="P395" i="13"/>
  <c r="S395" i="13"/>
  <c r="U395" i="13"/>
  <c r="P346" i="13"/>
  <c r="T346" i="13"/>
  <c r="R346" i="13"/>
  <c r="S346" i="13"/>
  <c r="U346" i="13"/>
  <c r="U315" i="13"/>
  <c r="U268" i="13"/>
  <c r="P268" i="13"/>
  <c r="R268" i="13"/>
  <c r="S268" i="13"/>
  <c r="T268" i="13"/>
  <c r="U209" i="13"/>
  <c r="L188" i="13"/>
  <c r="M188" i="13"/>
  <c r="J151" i="13"/>
  <c r="K151" i="13" s="1"/>
  <c r="T120" i="13"/>
  <c r="R120" i="13"/>
  <c r="M116" i="13"/>
  <c r="L367" i="13"/>
  <c r="M367" i="13"/>
  <c r="Q432" i="13"/>
  <c r="Q426" i="13"/>
  <c r="S410" i="13"/>
  <c r="U410" i="13"/>
  <c r="L377" i="13"/>
  <c r="T359" i="13"/>
  <c r="Q335" i="13"/>
  <c r="R315" i="13"/>
  <c r="S278" i="13"/>
  <c r="U275" i="13"/>
  <c r="S275" i="13"/>
  <c r="P275" i="13"/>
  <c r="Q275" i="13"/>
  <c r="R275" i="13"/>
  <c r="J265" i="13"/>
  <c r="K265" i="13" s="1"/>
  <c r="S220" i="13"/>
  <c r="R209" i="13"/>
  <c r="N177" i="13"/>
  <c r="J173" i="13"/>
  <c r="K173" i="13" s="1"/>
  <c r="N169" i="13"/>
  <c r="S88" i="13"/>
  <c r="P70" i="13"/>
  <c r="T70" i="13"/>
  <c r="U70" i="13"/>
  <c r="M51" i="13"/>
  <c r="J434" i="13"/>
  <c r="K434" i="13" s="1"/>
  <c r="J320" i="13"/>
  <c r="K320" i="13" s="1"/>
  <c r="P290" i="13"/>
  <c r="Q290" i="13"/>
  <c r="R290" i="13"/>
  <c r="L250" i="13"/>
  <c r="M250" i="13"/>
  <c r="Q235" i="13"/>
  <c r="R235" i="13"/>
  <c r="S235" i="13"/>
  <c r="U235" i="13"/>
  <c r="R218" i="13"/>
  <c r="Q218" i="13"/>
  <c r="T218" i="13"/>
  <c r="M178" i="13"/>
  <c r="L178" i="13"/>
  <c r="T135" i="13"/>
  <c r="P135" i="13"/>
  <c r="U135" i="13"/>
  <c r="U107" i="13"/>
  <c r="P107" i="13"/>
  <c r="R107" i="13"/>
  <c r="L98" i="13"/>
  <c r="M98" i="13"/>
  <c r="P367" i="13"/>
  <c r="U367" i="13"/>
  <c r="S367" i="13"/>
  <c r="T367" i="13"/>
  <c r="J339" i="13"/>
  <c r="K339" i="13" s="1"/>
  <c r="T336" i="13"/>
  <c r="Q336" i="13"/>
  <c r="L290" i="13"/>
  <c r="M290" i="13"/>
  <c r="R187" i="13"/>
  <c r="T187" i="13"/>
  <c r="S187" i="13"/>
  <c r="L126" i="13"/>
  <c r="S404" i="13"/>
  <c r="T404" i="13"/>
  <c r="U404" i="13"/>
  <c r="U373" i="13"/>
  <c r="S373" i="13"/>
  <c r="R373" i="13"/>
  <c r="T373" i="13"/>
  <c r="P364" i="13"/>
  <c r="T364" i="13"/>
  <c r="R364" i="13"/>
  <c r="S364" i="13"/>
  <c r="U364" i="13"/>
  <c r="J359" i="13"/>
  <c r="K359" i="13" s="1"/>
  <c r="Q287" i="13"/>
  <c r="T287" i="13"/>
  <c r="T241" i="13"/>
  <c r="J206" i="13"/>
  <c r="K206" i="13" s="1"/>
  <c r="L187" i="13"/>
  <c r="M187" i="13"/>
  <c r="L181" i="13"/>
  <c r="M181" i="13"/>
  <c r="J70" i="13"/>
  <c r="K70" i="13" s="1"/>
  <c r="Q347" i="13"/>
  <c r="U347" i="13"/>
  <c r="Q298" i="13"/>
  <c r="S298" i="13"/>
  <c r="P298" i="13"/>
  <c r="R298" i="13"/>
  <c r="J215" i="13"/>
  <c r="K215" i="13" s="1"/>
  <c r="Q196" i="13"/>
  <c r="R196" i="13"/>
  <c r="T141" i="13"/>
  <c r="U141" i="13"/>
  <c r="U83" i="13"/>
  <c r="R83" i="13"/>
  <c r="T83" i="13"/>
  <c r="P60" i="13"/>
  <c r="Q60" i="13"/>
  <c r="R60" i="13"/>
  <c r="S60" i="13"/>
  <c r="S41" i="13"/>
  <c r="P41" i="13"/>
  <c r="Q394" i="13"/>
  <c r="R394" i="13"/>
  <c r="T394" i="13"/>
  <c r="J317" i="13"/>
  <c r="K317" i="13" s="1"/>
  <c r="R230" i="13"/>
  <c r="S230" i="13"/>
  <c r="Q230" i="13"/>
  <c r="R181" i="13"/>
  <c r="T181" i="13"/>
  <c r="P181" i="13"/>
  <c r="Q181" i="13"/>
  <c r="S181" i="13"/>
  <c r="J175" i="13"/>
  <c r="K175" i="13" s="1"/>
  <c r="T171" i="13"/>
  <c r="U171" i="13"/>
  <c r="Q171" i="13"/>
  <c r="P116" i="13"/>
  <c r="S116" i="13"/>
  <c r="T116" i="13"/>
  <c r="T421" i="13"/>
  <c r="J381" i="13"/>
  <c r="K381" i="13" s="1"/>
  <c r="P297" i="13"/>
  <c r="T297" i="13"/>
  <c r="Q297" i="13"/>
  <c r="R297" i="13"/>
  <c r="S297" i="13"/>
  <c r="U297" i="13"/>
  <c r="Q244" i="13"/>
  <c r="R244" i="13"/>
  <c r="S244" i="13"/>
  <c r="T36" i="13"/>
  <c r="U36" i="13"/>
  <c r="S36" i="13"/>
  <c r="R36" i="13"/>
  <c r="J56" i="13"/>
  <c r="K56" i="13" s="1"/>
  <c r="P408" i="13"/>
  <c r="Q408" i="13"/>
  <c r="R403" i="13"/>
  <c r="Q343" i="13"/>
  <c r="S343" i="13"/>
  <c r="R343" i="13"/>
  <c r="T302" i="13"/>
  <c r="S302" i="13"/>
  <c r="U302" i="13"/>
  <c r="Q174" i="13"/>
  <c r="S174" i="13"/>
  <c r="T174" i="13"/>
  <c r="U68" i="13"/>
  <c r="S68" i="13"/>
  <c r="T68" i="13"/>
  <c r="J49" i="13"/>
  <c r="K49" i="13" s="1"/>
  <c r="T35" i="13"/>
  <c r="Q35" i="13"/>
  <c r="S35" i="13"/>
  <c r="U35" i="13"/>
  <c r="S423" i="13"/>
  <c r="T423" i="13"/>
  <c r="R423" i="13"/>
  <c r="J369" i="13"/>
  <c r="K369" i="13" s="1"/>
  <c r="J220" i="13"/>
  <c r="K220" i="13" s="1"/>
  <c r="J217" i="13"/>
  <c r="K217" i="13" s="1"/>
  <c r="J428" i="13"/>
  <c r="K428" i="13" s="1"/>
  <c r="R413" i="13"/>
  <c r="T413" i="13"/>
  <c r="U413" i="13"/>
  <c r="L408" i="13"/>
  <c r="M408" i="13"/>
  <c r="Q385" i="13"/>
  <c r="P385" i="13"/>
  <c r="R385" i="13"/>
  <c r="T351" i="13"/>
  <c r="P321" i="13"/>
  <c r="S321" i="13"/>
  <c r="U321" i="13"/>
  <c r="T321" i="13"/>
  <c r="U299" i="13"/>
  <c r="T299" i="13"/>
  <c r="S299" i="13"/>
  <c r="J223" i="13"/>
  <c r="K223" i="13" s="1"/>
  <c r="U204" i="13"/>
  <c r="Q204" i="13"/>
  <c r="S204" i="13"/>
  <c r="J115" i="13"/>
  <c r="K115" i="13" s="1"/>
  <c r="U371" i="13"/>
  <c r="J254" i="13"/>
  <c r="K254" i="13" s="1"/>
  <c r="U237" i="13"/>
  <c r="R237" i="13"/>
  <c r="S237" i="13"/>
  <c r="P237" i="13"/>
  <c r="Q237" i="13"/>
  <c r="T133" i="13"/>
  <c r="R133" i="13"/>
  <c r="S133" i="13"/>
  <c r="U133" i="13"/>
  <c r="T96" i="13"/>
  <c r="J416" i="13"/>
  <c r="K416" i="13" s="1"/>
  <c r="P332" i="13"/>
  <c r="S332" i="13"/>
  <c r="U332" i="13"/>
  <c r="T332" i="13"/>
  <c r="P324" i="13"/>
  <c r="Q324" i="13"/>
  <c r="T324" i="13"/>
  <c r="J143" i="13"/>
  <c r="K143" i="13" s="1"/>
  <c r="T58" i="13"/>
  <c r="Q58" i="13"/>
  <c r="P58" i="13"/>
  <c r="R58" i="13"/>
  <c r="S58" i="13"/>
  <c r="T31" i="13"/>
  <c r="Q31" i="13"/>
  <c r="U31" i="13"/>
  <c r="R342" i="13"/>
  <c r="S342" i="13"/>
  <c r="P313" i="13"/>
  <c r="R313" i="13"/>
  <c r="J101" i="13"/>
  <c r="K101" i="13" s="1"/>
  <c r="L92" i="13"/>
  <c r="J404" i="13"/>
  <c r="K404" i="13" s="1"/>
  <c r="S358" i="13"/>
  <c r="U331" i="13"/>
  <c r="P331" i="13"/>
  <c r="P276" i="13"/>
  <c r="T276" i="13"/>
  <c r="U276" i="13"/>
  <c r="L260" i="13"/>
  <c r="Q233" i="13"/>
  <c r="P233" i="13"/>
  <c r="P216" i="13"/>
  <c r="S216" i="13"/>
  <c r="U140" i="13"/>
  <c r="P140" i="13"/>
  <c r="Q140" i="13"/>
  <c r="U97" i="13"/>
  <c r="P97" i="13"/>
  <c r="Q97" i="13"/>
  <c r="T309" i="13"/>
  <c r="S309" i="13"/>
  <c r="P309" i="13"/>
  <c r="U303" i="13"/>
  <c r="S303" i="13"/>
  <c r="L251" i="13"/>
  <c r="M251" i="13"/>
  <c r="L114" i="13"/>
  <c r="M114" i="13"/>
  <c r="S26" i="13"/>
  <c r="T26" i="13"/>
  <c r="J429" i="13"/>
  <c r="K429" i="13" s="1"/>
  <c r="T184" i="13"/>
  <c r="P184" i="13"/>
  <c r="J34" i="13"/>
  <c r="K34" i="13" s="1"/>
  <c r="J228" i="13"/>
  <c r="K228" i="13" s="1"/>
  <c r="L153" i="13"/>
  <c r="M153" i="13"/>
  <c r="T93" i="13"/>
  <c r="Q93" i="13"/>
  <c r="S93" i="13"/>
  <c r="U93" i="13"/>
  <c r="P61" i="13"/>
  <c r="R61" i="13"/>
  <c r="T61" i="13"/>
  <c r="U61" i="13"/>
  <c r="J147" i="13"/>
  <c r="K147" i="13" s="1"/>
  <c r="P144" i="13"/>
  <c r="P103" i="13"/>
  <c r="U103" i="13"/>
  <c r="J418" i="13"/>
  <c r="K418" i="13" s="1"/>
  <c r="T197" i="13"/>
  <c r="R197" i="13"/>
  <c r="P197" i="13"/>
  <c r="J82" i="13"/>
  <c r="K82" i="13" s="1"/>
  <c r="P360" i="13"/>
  <c r="U360" i="13"/>
  <c r="T360" i="13"/>
  <c r="J257" i="13"/>
  <c r="K257" i="13" s="1"/>
  <c r="P159" i="13"/>
  <c r="J337" i="13"/>
  <c r="K337" i="13" s="1"/>
  <c r="T295" i="13"/>
  <c r="U295" i="13"/>
  <c r="T136" i="13"/>
  <c r="Q136" i="13"/>
  <c r="P136" i="13"/>
  <c r="U92" i="13"/>
  <c r="P92" i="13"/>
  <c r="U71" i="13"/>
  <c r="Q71" i="13"/>
  <c r="R71" i="13"/>
  <c r="P63" i="13"/>
  <c r="R63" i="13"/>
  <c r="Q63" i="13"/>
  <c r="T177" i="13"/>
  <c r="P177" i="13"/>
  <c r="J145" i="13"/>
  <c r="K145" i="13" s="1"/>
  <c r="T149" i="13"/>
  <c r="Q149" i="13"/>
  <c r="J74" i="13"/>
  <c r="K74" i="13" s="1"/>
  <c r="Q64" i="13"/>
  <c r="P64" i="13"/>
  <c r="T59" i="13"/>
  <c r="S59" i="13"/>
  <c r="P59" i="13"/>
  <c r="Q59" i="13"/>
  <c r="U59" i="13"/>
  <c r="Q55" i="13"/>
  <c r="R55" i="13"/>
  <c r="T45" i="13"/>
  <c r="Q45" i="13"/>
  <c r="J25" i="13"/>
  <c r="K25" i="13" s="1"/>
  <c r="Q245" i="13"/>
  <c r="P245" i="13"/>
  <c r="J209" i="13"/>
  <c r="K209" i="13" s="1"/>
  <c r="Q134" i="13"/>
  <c r="J97" i="13"/>
  <c r="K97" i="13" s="1"/>
  <c r="T42" i="13"/>
  <c r="U42" i="13"/>
  <c r="T30" i="13"/>
  <c r="S30" i="13"/>
  <c r="P53" i="13"/>
  <c r="Q53" i="13"/>
  <c r="Q190" i="13"/>
  <c r="U190" i="13"/>
  <c r="P161" i="13"/>
  <c r="U161" i="13"/>
  <c r="Q51" i="13"/>
  <c r="J104" i="13"/>
  <c r="K104" i="13" s="1"/>
  <c r="U18" i="13"/>
  <c r="M243" i="19"/>
  <c r="N243" i="19" s="1"/>
  <c r="M78" i="19"/>
  <c r="V201" i="19"/>
  <c r="W201" i="19" s="1"/>
  <c r="N241" i="19"/>
  <c r="V241" i="19"/>
  <c r="W241" i="19" s="1"/>
  <c r="M244" i="19"/>
  <c r="N244" i="19" s="1"/>
  <c r="M391" i="19"/>
  <c r="N391" i="19" s="1"/>
  <c r="V5" i="19"/>
  <c r="W5" i="19" s="1"/>
  <c r="M317" i="19"/>
  <c r="N317" i="19" s="1"/>
  <c r="M299" i="19"/>
  <c r="N299" i="19" s="1"/>
  <c r="M133" i="19"/>
  <c r="M140" i="19"/>
  <c r="M158" i="19"/>
  <c r="N158" i="19" s="1"/>
  <c r="M254" i="19"/>
  <c r="N254" i="19" s="1"/>
  <c r="M250" i="19"/>
  <c r="N250" i="19" s="1"/>
  <c r="M55" i="19"/>
  <c r="N55" i="19" s="1"/>
  <c r="M419" i="19"/>
  <c r="N419" i="19" s="1"/>
  <c r="M385" i="19"/>
  <c r="N385" i="19" s="1"/>
  <c r="M122" i="19"/>
  <c r="N122" i="19" s="1"/>
  <c r="M83" i="19"/>
  <c r="N83" i="19" s="1"/>
  <c r="M354" i="19"/>
  <c r="N354" i="19" s="1"/>
  <c r="M335" i="19"/>
  <c r="N335" i="19" s="1"/>
  <c r="M92" i="19"/>
  <c r="N92" i="19" s="1"/>
  <c r="V151" i="19"/>
  <c r="W151" i="19" s="1"/>
  <c r="M416" i="19"/>
  <c r="N416" i="19" s="1"/>
  <c r="M251" i="19"/>
  <c r="N251" i="19" s="1"/>
  <c r="M53" i="19"/>
  <c r="N53" i="19" s="1"/>
  <c r="M65" i="19"/>
  <c r="N65" i="19" s="1"/>
  <c r="M159" i="19"/>
  <c r="M358" i="19"/>
  <c r="M38" i="20"/>
  <c r="N38" i="20" s="1"/>
  <c r="M296" i="20"/>
  <c r="N296" i="20" s="1"/>
  <c r="M6" i="20"/>
  <c r="N6" i="20" s="1"/>
  <c r="M393" i="20"/>
  <c r="M332" i="20"/>
  <c r="N332" i="20" s="1"/>
  <c r="M141" i="20"/>
  <c r="M346" i="20"/>
  <c r="N346" i="20" s="1"/>
  <c r="M133" i="20"/>
  <c r="N133" i="20" s="1"/>
  <c r="M170" i="20"/>
  <c r="M126" i="20"/>
  <c r="N126" i="20" s="1"/>
  <c r="M275" i="20"/>
  <c r="V275" i="20" s="1"/>
  <c r="W275" i="20" s="1"/>
  <c r="M262" i="20"/>
  <c r="N262" i="20" s="1"/>
  <c r="M81" i="20"/>
  <c r="N81" i="20" s="1"/>
  <c r="M276" i="20"/>
  <c r="V276" i="20" s="1"/>
  <c r="W276" i="20" s="1"/>
  <c r="M406" i="20"/>
  <c r="N406" i="20" s="1"/>
  <c r="M127" i="20"/>
  <c r="N127" i="20" s="1"/>
  <c r="M280" i="20"/>
  <c r="N280" i="20" s="1"/>
  <c r="M359" i="20"/>
  <c r="N359" i="20" s="1"/>
  <c r="M254" i="20"/>
  <c r="N254" i="20" s="1"/>
  <c r="M161" i="20"/>
  <c r="N161" i="20" s="1"/>
  <c r="M194" i="20"/>
  <c r="N194" i="20" s="1"/>
  <c r="M29" i="20"/>
  <c r="M302" i="20"/>
  <c r="V302" i="20" s="1"/>
  <c r="W302" i="20" s="1"/>
  <c r="M319" i="20"/>
  <c r="N319" i="20" s="1"/>
  <c r="V25" i="20"/>
  <c r="W25" i="20" s="1"/>
  <c r="N25" i="20"/>
  <c r="N141" i="20"/>
  <c r="V141" i="20"/>
  <c r="W141" i="20" s="1"/>
  <c r="S238" i="20"/>
  <c r="R238" i="20"/>
  <c r="Q238" i="20"/>
  <c r="P238" i="20"/>
  <c r="U238" i="20"/>
  <c r="T238" i="20"/>
  <c r="T302" i="20"/>
  <c r="R302" i="20"/>
  <c r="S302" i="20"/>
  <c r="M395" i="20"/>
  <c r="M70" i="20"/>
  <c r="N70" i="20" s="1"/>
  <c r="O70" i="20"/>
  <c r="P70" i="20" s="1"/>
  <c r="V382" i="20"/>
  <c r="W382" i="20" s="1"/>
  <c r="S211" i="20"/>
  <c r="S101" i="20"/>
  <c r="U416" i="20"/>
  <c r="Q416" i="20"/>
  <c r="O416" i="20"/>
  <c r="P416" i="20" s="1"/>
  <c r="M356" i="20"/>
  <c r="M27" i="20"/>
  <c r="N170" i="20"/>
  <c r="U154" i="20"/>
  <c r="T154" i="20"/>
  <c r="S154" i="20"/>
  <c r="Q154" i="20"/>
  <c r="N339" i="20"/>
  <c r="O350" i="20"/>
  <c r="U350" i="20" s="1"/>
  <c r="M350" i="20"/>
  <c r="N350" i="20" s="1"/>
  <c r="S49" i="20"/>
  <c r="R49" i="20"/>
  <c r="Q49" i="20"/>
  <c r="P49" i="20"/>
  <c r="M270" i="20"/>
  <c r="N270" i="20" s="1"/>
  <c r="O160" i="20"/>
  <c r="P160" i="20" s="1"/>
  <c r="M303" i="20"/>
  <c r="R62" i="20"/>
  <c r="U339" i="20"/>
  <c r="P339" i="20"/>
  <c r="V339" i="20" s="1"/>
  <c r="W339" i="20" s="1"/>
  <c r="T339" i="20"/>
  <c r="S339" i="20"/>
  <c r="P292" i="20"/>
  <c r="O292" i="20"/>
  <c r="S292" i="20" s="1"/>
  <c r="U292" i="20"/>
  <c r="R292" i="20"/>
  <c r="Q292" i="20"/>
  <c r="T292" i="20"/>
  <c r="M18" i="20"/>
  <c r="O18" i="20"/>
  <c r="S96" i="20"/>
  <c r="U96" i="20"/>
  <c r="T96" i="20"/>
  <c r="Q96" i="20"/>
  <c r="O96" i="20"/>
  <c r="P96" i="20" s="1"/>
  <c r="R96" i="20"/>
  <c r="O101" i="20"/>
  <c r="U258" i="20"/>
  <c r="Q411" i="20"/>
  <c r="O58" i="20"/>
  <c r="M58" i="20"/>
  <c r="O180" i="20"/>
  <c r="U180" i="20" s="1"/>
  <c r="M180" i="20"/>
  <c r="U14" i="20"/>
  <c r="R14" i="20"/>
  <c r="Q14" i="20"/>
  <c r="T14" i="20"/>
  <c r="S53" i="20"/>
  <c r="O53" i="20"/>
  <c r="T138" i="20"/>
  <c r="S138" i="20"/>
  <c r="Q138" i="20"/>
  <c r="S14" i="20"/>
  <c r="M63" i="20"/>
  <c r="O187" i="20"/>
  <c r="R187" i="20" s="1"/>
  <c r="S187" i="20"/>
  <c r="U173" i="20"/>
  <c r="T173" i="20"/>
  <c r="S173" i="20"/>
  <c r="R173" i="20"/>
  <c r="Q173" i="20"/>
  <c r="P173" i="20"/>
  <c r="V173" i="20" s="1"/>
  <c r="W173" i="20" s="1"/>
  <c r="O34" i="20"/>
  <c r="P34" i="20" s="1"/>
  <c r="M34" i="20"/>
  <c r="U47" i="20"/>
  <c r="T47" i="20"/>
  <c r="S47" i="20"/>
  <c r="R47" i="20"/>
  <c r="Q47" i="20"/>
  <c r="P47" i="20"/>
  <c r="O47" i="20"/>
  <c r="M47" i="20"/>
  <c r="N47" i="20" s="1"/>
  <c r="O74" i="20"/>
  <c r="T74" i="20" s="1"/>
  <c r="M138" i="20"/>
  <c r="N138" i="20" s="1"/>
  <c r="N341" i="20"/>
  <c r="N119" i="20"/>
  <c r="P168" i="20"/>
  <c r="S168" i="20"/>
  <c r="R168" i="20"/>
  <c r="Q168" i="20"/>
  <c r="U168" i="20"/>
  <c r="T168" i="20"/>
  <c r="O168" i="20"/>
  <c r="M168" i="20"/>
  <c r="N168" i="20" s="1"/>
  <c r="O242" i="20"/>
  <c r="P242" i="20" s="1"/>
  <c r="N255" i="20"/>
  <c r="Q341" i="20"/>
  <c r="P341" i="20"/>
  <c r="U341" i="20"/>
  <c r="T341" i="20"/>
  <c r="M87" i="20"/>
  <c r="N87" i="20" s="1"/>
  <c r="O87" i="20"/>
  <c r="V98" i="20"/>
  <c r="W98" i="20" s="1"/>
  <c r="R131" i="20"/>
  <c r="O131" i="20"/>
  <c r="U131" i="20"/>
  <c r="M131" i="20"/>
  <c r="N131" i="20" s="1"/>
  <c r="O138" i="20"/>
  <c r="R138" i="20" s="1"/>
  <c r="N399" i="20"/>
  <c r="N408" i="20"/>
  <c r="P217" i="20"/>
  <c r="O134" i="20"/>
  <c r="V177" i="20"/>
  <c r="W177" i="20" s="1"/>
  <c r="N177" i="20"/>
  <c r="O211" i="20"/>
  <c r="P211" i="20"/>
  <c r="M211" i="20"/>
  <c r="N211" i="20" s="1"/>
  <c r="R211" i="20"/>
  <c r="Q211" i="20"/>
  <c r="T177" i="20"/>
  <c r="R177" i="20"/>
  <c r="Q177" i="20"/>
  <c r="Q22" i="20"/>
  <c r="U22" i="20"/>
  <c r="T22" i="20"/>
  <c r="S22" i="20"/>
  <c r="P22" i="20"/>
  <c r="M101" i="20"/>
  <c r="N101" i="20" s="1"/>
  <c r="M42" i="20"/>
  <c r="N42" i="20" s="1"/>
  <c r="O42" i="20"/>
  <c r="T42" i="20" s="1"/>
  <c r="M72" i="20"/>
  <c r="V273" i="20"/>
  <c r="W273" i="20" s="1"/>
  <c r="N273" i="20"/>
  <c r="Q63" i="20"/>
  <c r="P63" i="20"/>
  <c r="O63" i="20"/>
  <c r="U63" i="20"/>
  <c r="T63" i="20"/>
  <c r="S63" i="20"/>
  <c r="R63" i="20"/>
  <c r="O85" i="20"/>
  <c r="R85" i="20" s="1"/>
  <c r="U85" i="20"/>
  <c r="R22" i="20"/>
  <c r="U37" i="20"/>
  <c r="T37" i="20"/>
  <c r="S37" i="20"/>
  <c r="P186" i="20"/>
  <c r="R407" i="20"/>
  <c r="O407" i="20"/>
  <c r="N19" i="20"/>
  <c r="V19" i="20"/>
  <c r="W19" i="20" s="1"/>
  <c r="U73" i="20"/>
  <c r="T73" i="20"/>
  <c r="P73" i="20"/>
  <c r="M144" i="20"/>
  <c r="O144" i="20"/>
  <c r="P144" i="20" s="1"/>
  <c r="S242" i="20"/>
  <c r="U242" i="20"/>
  <c r="S336" i="20"/>
  <c r="U336" i="20"/>
  <c r="T336" i="20"/>
  <c r="Q336" i="20"/>
  <c r="S174" i="20"/>
  <c r="R174" i="20"/>
  <c r="M174" i="20"/>
  <c r="U174" i="20"/>
  <c r="Q174" i="20"/>
  <c r="P174" i="20"/>
  <c r="Q44" i="20"/>
  <c r="U44" i="20"/>
  <c r="P138" i="20"/>
  <c r="S225" i="20"/>
  <c r="R225" i="20"/>
  <c r="Q225" i="20"/>
  <c r="Q242" i="20"/>
  <c r="M331" i="20"/>
  <c r="M417" i="20"/>
  <c r="N417" i="20" s="1"/>
  <c r="U417" i="20"/>
  <c r="O417" i="20"/>
  <c r="Q203" i="20"/>
  <c r="P203" i="20"/>
  <c r="T418" i="20"/>
  <c r="T24" i="20"/>
  <c r="U127" i="20"/>
  <c r="R127" i="20"/>
  <c r="M32" i="20"/>
  <c r="Q71" i="20"/>
  <c r="P71" i="20"/>
  <c r="O71" i="20"/>
  <c r="R71" i="20" s="1"/>
  <c r="T71" i="20"/>
  <c r="P127" i="20"/>
  <c r="V365" i="20"/>
  <c r="W365" i="20" s="1"/>
  <c r="N365" i="20"/>
  <c r="U378" i="20"/>
  <c r="T378" i="20"/>
  <c r="Q378" i="20"/>
  <c r="P378" i="20"/>
  <c r="M22" i="20"/>
  <c r="M292" i="20"/>
  <c r="N292" i="20" s="1"/>
  <c r="Q101" i="20"/>
  <c r="P14" i="20"/>
  <c r="R101" i="20"/>
  <c r="M336" i="20"/>
  <c r="R86" i="20"/>
  <c r="M367" i="20"/>
  <c r="V5" i="20"/>
  <c r="W5" i="20" s="1"/>
  <c r="N5" i="20"/>
  <c r="O174" i="20"/>
  <c r="T174" i="20" s="1"/>
  <c r="T242" i="20"/>
  <c r="Q98" i="20"/>
  <c r="U98" i="20"/>
  <c r="O125" i="20"/>
  <c r="M125" i="20"/>
  <c r="O233" i="20"/>
  <c r="U233" i="20" s="1"/>
  <c r="M233" i="20"/>
  <c r="N233" i="20" s="1"/>
  <c r="N35" i="20"/>
  <c r="M132" i="20"/>
  <c r="N132" i="20" s="1"/>
  <c r="M164" i="20"/>
  <c r="P306" i="20"/>
  <c r="N276" i="20"/>
  <c r="Q62" i="20"/>
  <c r="S62" i="20"/>
  <c r="M79" i="20"/>
  <c r="N79" i="20" s="1"/>
  <c r="M44" i="20"/>
  <c r="N44" i="20" s="1"/>
  <c r="O158" i="20"/>
  <c r="Q158" i="20" s="1"/>
  <c r="M158" i="20"/>
  <c r="N158" i="20" s="1"/>
  <c r="S158" i="20"/>
  <c r="R158" i="20"/>
  <c r="U215" i="20"/>
  <c r="T215" i="20"/>
  <c r="S215" i="20"/>
  <c r="R215" i="20"/>
  <c r="Q215" i="20"/>
  <c r="P215" i="20"/>
  <c r="M116" i="20"/>
  <c r="U217" i="20"/>
  <c r="T217" i="20"/>
  <c r="S217" i="20"/>
  <c r="R217" i="20"/>
  <c r="M134" i="20"/>
  <c r="N134" i="20" s="1"/>
  <c r="M192" i="20"/>
  <c r="U57" i="20"/>
  <c r="T57" i="20"/>
  <c r="S57" i="20"/>
  <c r="R57" i="20"/>
  <c r="S71" i="20"/>
  <c r="S398" i="20"/>
  <c r="R398" i="20"/>
  <c r="Q398" i="20"/>
  <c r="T398" i="20"/>
  <c r="P398" i="20"/>
  <c r="O398" i="20"/>
  <c r="U398" i="20" s="1"/>
  <c r="M11" i="20"/>
  <c r="T75" i="20"/>
  <c r="S75" i="20"/>
  <c r="S81" i="20"/>
  <c r="V81" i="20" s="1"/>
  <c r="W81" i="20" s="1"/>
  <c r="M160" i="20"/>
  <c r="N160" i="20" s="1"/>
  <c r="M398" i="20"/>
  <c r="O44" i="20"/>
  <c r="M49" i="20"/>
  <c r="O110" i="20"/>
  <c r="P110" i="20" s="1"/>
  <c r="T110" i="20"/>
  <c r="S110" i="20"/>
  <c r="R110" i="20"/>
  <c r="Q110" i="20"/>
  <c r="U110" i="20"/>
  <c r="M110" i="20"/>
  <c r="O102" i="20"/>
  <c r="Q102" i="20" s="1"/>
  <c r="P102" i="20"/>
  <c r="U102" i="20"/>
  <c r="T102" i="20"/>
  <c r="S102" i="20"/>
  <c r="R170" i="20"/>
  <c r="Q170" i="20"/>
  <c r="P170" i="20"/>
  <c r="U170" i="20"/>
  <c r="T170" i="20"/>
  <c r="M33" i="20"/>
  <c r="N33" i="20" s="1"/>
  <c r="U41" i="20"/>
  <c r="M41" i="20"/>
  <c r="O41" i="20"/>
  <c r="S41" i="20" s="1"/>
  <c r="T41" i="20"/>
  <c r="M82" i="20"/>
  <c r="O107" i="20"/>
  <c r="M107" i="20"/>
  <c r="S117" i="20"/>
  <c r="M140" i="20"/>
  <c r="S170" i="20"/>
  <c r="U228" i="20"/>
  <c r="T228" i="20"/>
  <c r="S228" i="20"/>
  <c r="Q288" i="20"/>
  <c r="P288" i="20"/>
  <c r="O288" i="20"/>
  <c r="R288" i="20" s="1"/>
  <c r="T288" i="20"/>
  <c r="O400" i="20"/>
  <c r="T400" i="20"/>
  <c r="M400" i="20"/>
  <c r="N400" i="20" s="1"/>
  <c r="T60" i="20"/>
  <c r="U60" i="20"/>
  <c r="S60" i="20"/>
  <c r="R60" i="20"/>
  <c r="Q60" i="20"/>
  <c r="P60" i="20"/>
  <c r="M60" i="20"/>
  <c r="N60" i="20" s="1"/>
  <c r="M68" i="20"/>
  <c r="N68" i="20" s="1"/>
  <c r="M73" i="20"/>
  <c r="U82" i="20"/>
  <c r="T82" i="20"/>
  <c r="S82" i="20"/>
  <c r="R82" i="20"/>
  <c r="Q82" i="20"/>
  <c r="P82" i="20"/>
  <c r="P121" i="20"/>
  <c r="V121" i="20" s="1"/>
  <c r="P228" i="20"/>
  <c r="O390" i="20"/>
  <c r="U390" i="20"/>
  <c r="R394" i="20"/>
  <c r="N37" i="20"/>
  <c r="V37" i="20"/>
  <c r="W37" i="20" s="1"/>
  <c r="S201" i="20"/>
  <c r="R201" i="20"/>
  <c r="Q201" i="20"/>
  <c r="P201" i="20"/>
  <c r="M201" i="20"/>
  <c r="N201" i="20" s="1"/>
  <c r="U201" i="20"/>
  <c r="R228" i="20"/>
  <c r="M288" i="20"/>
  <c r="M390" i="20"/>
  <c r="P30" i="20"/>
  <c r="O30" i="20"/>
  <c r="Q30" i="20" s="1"/>
  <c r="M30" i="20"/>
  <c r="T30" i="20"/>
  <c r="S30" i="20"/>
  <c r="R30" i="20"/>
  <c r="U30" i="20"/>
  <c r="O84" i="20"/>
  <c r="P113" i="20"/>
  <c r="O113" i="20"/>
  <c r="Q113" i="20" s="1"/>
  <c r="U113" i="20"/>
  <c r="M113" i="20"/>
  <c r="N113" i="20" s="1"/>
  <c r="M84" i="20"/>
  <c r="N84" i="20" s="1"/>
  <c r="R122" i="20"/>
  <c r="Q122" i="20"/>
  <c r="P122" i="20"/>
  <c r="U141" i="20"/>
  <c r="T141" i="20"/>
  <c r="U239" i="20"/>
  <c r="T239" i="20"/>
  <c r="S239" i="20"/>
  <c r="R239" i="20"/>
  <c r="Q239" i="20"/>
  <c r="P239" i="20"/>
  <c r="O239" i="20"/>
  <c r="M239" i="20"/>
  <c r="N239" i="20" s="1"/>
  <c r="V315" i="20"/>
  <c r="W315" i="20" s="1"/>
  <c r="N315" i="20"/>
  <c r="N3" i="20"/>
  <c r="V3" i="20"/>
  <c r="W3" i="20" s="1"/>
  <c r="T7" i="20"/>
  <c r="S7" i="20"/>
  <c r="R7" i="20"/>
  <c r="Q7" i="20"/>
  <c r="P7" i="20"/>
  <c r="O7" i="20"/>
  <c r="U7" i="20" s="1"/>
  <c r="M74" i="20"/>
  <c r="N74" i="20" s="1"/>
  <c r="Q141" i="20"/>
  <c r="S152" i="20"/>
  <c r="P152" i="20"/>
  <c r="O152" i="20"/>
  <c r="Q152" i="20"/>
  <c r="U152" i="20"/>
  <c r="T152" i="20"/>
  <c r="P263" i="20"/>
  <c r="M391" i="20"/>
  <c r="P51" i="20"/>
  <c r="M99" i="20"/>
  <c r="O104" i="20"/>
  <c r="S104" i="20" s="1"/>
  <c r="M104" i="20"/>
  <c r="R141" i="20"/>
  <c r="O196" i="20"/>
  <c r="T196" i="20" s="1"/>
  <c r="O224" i="20"/>
  <c r="M224" i="20"/>
  <c r="Q263" i="20"/>
  <c r="M310" i="20"/>
  <c r="N310" i="20" s="1"/>
  <c r="O310" i="20"/>
  <c r="S310" i="20" s="1"/>
  <c r="Q51" i="20"/>
  <c r="U90" i="20"/>
  <c r="R90" i="20"/>
  <c r="Q90" i="20"/>
  <c r="P90" i="20"/>
  <c r="V90" i="20" s="1"/>
  <c r="W90" i="20" s="1"/>
  <c r="O90" i="20"/>
  <c r="T90" i="20" s="1"/>
  <c r="S90" i="20"/>
  <c r="S113" i="20"/>
  <c r="S141" i="20"/>
  <c r="R152" i="20"/>
  <c r="P191" i="20"/>
  <c r="O191" i="20"/>
  <c r="U191" i="20"/>
  <c r="T191" i="20"/>
  <c r="S191" i="20"/>
  <c r="R191" i="20"/>
  <c r="Q191" i="20"/>
  <c r="U245" i="20"/>
  <c r="S245" i="20"/>
  <c r="P245" i="20"/>
  <c r="U306" i="20"/>
  <c r="S306" i="20"/>
  <c r="R306" i="20"/>
  <c r="M306" i="20"/>
  <c r="N306" i="20" s="1"/>
  <c r="T306" i="20"/>
  <c r="S319" i="20"/>
  <c r="R319" i="20"/>
  <c r="Q319" i="20"/>
  <c r="U319" i="20"/>
  <c r="P319" i="20"/>
  <c r="U386" i="20"/>
  <c r="M386" i="20"/>
  <c r="N386" i="20" s="1"/>
  <c r="Q386" i="20"/>
  <c r="P386" i="20"/>
  <c r="O386" i="20"/>
  <c r="S386" i="20" s="1"/>
  <c r="R51" i="20"/>
  <c r="T84" i="20"/>
  <c r="T113" i="20"/>
  <c r="M269" i="20"/>
  <c r="Q348" i="20"/>
  <c r="P348" i="20"/>
  <c r="S391" i="20"/>
  <c r="R391" i="20"/>
  <c r="U391" i="20"/>
  <c r="T391" i="20"/>
  <c r="Q391" i="20"/>
  <c r="M7" i="20"/>
  <c r="N7" i="20" s="1"/>
  <c r="S51" i="20"/>
  <c r="Q135" i="20"/>
  <c r="P135" i="20"/>
  <c r="U135" i="20"/>
  <c r="T135" i="20"/>
  <c r="O295" i="20"/>
  <c r="S295" i="20" s="1"/>
  <c r="U70" i="20"/>
  <c r="Q70" i="20"/>
  <c r="R135" i="20"/>
  <c r="M191" i="20"/>
  <c r="N191" i="20" s="1"/>
  <c r="N246" i="20"/>
  <c r="N253" i="20"/>
  <c r="Q257" i="20"/>
  <c r="P257" i="20"/>
  <c r="T269" i="20"/>
  <c r="S269" i="20"/>
  <c r="R269" i="20"/>
  <c r="Q269" i="20"/>
  <c r="Q284" i="20"/>
  <c r="R284" i="20"/>
  <c r="R386" i="20"/>
  <c r="N410" i="20"/>
  <c r="M52" i="20"/>
  <c r="N52" i="20" s="1"/>
  <c r="O52" i="20"/>
  <c r="T52" i="20" s="1"/>
  <c r="U52" i="20"/>
  <c r="S52" i="20"/>
  <c r="T197" i="20"/>
  <c r="S197" i="20"/>
  <c r="R197" i="20"/>
  <c r="Q197" i="20"/>
  <c r="P197" i="20"/>
  <c r="T259" i="20"/>
  <c r="P259" i="20"/>
  <c r="O259" i="20"/>
  <c r="U259" i="20"/>
  <c r="S259" i="20"/>
  <c r="R259" i="20"/>
  <c r="Q259" i="20"/>
  <c r="U353" i="20"/>
  <c r="T353" i="20"/>
  <c r="S353" i="20"/>
  <c r="R353" i="20"/>
  <c r="Q353" i="20"/>
  <c r="P353" i="20"/>
  <c r="M165" i="20"/>
  <c r="N165" i="20" s="1"/>
  <c r="O165" i="20"/>
  <c r="M250" i="20"/>
  <c r="N250" i="20" s="1"/>
  <c r="M259" i="20"/>
  <c r="O371" i="20"/>
  <c r="T371" i="20" s="1"/>
  <c r="Q371" i="20"/>
  <c r="M371" i="20"/>
  <c r="R15" i="20"/>
  <c r="M114" i="20"/>
  <c r="M122" i="20"/>
  <c r="M236" i="20"/>
  <c r="S15" i="20"/>
  <c r="M137" i="20"/>
  <c r="S151" i="20"/>
  <c r="R151" i="20"/>
  <c r="U151" i="20"/>
  <c r="T151" i="20"/>
  <c r="Q151" i="20"/>
  <c r="O188" i="20"/>
  <c r="P188" i="20" s="1"/>
  <c r="U188" i="20"/>
  <c r="T188" i="20"/>
  <c r="S188" i="20"/>
  <c r="Q188" i="20"/>
  <c r="R188" i="20"/>
  <c r="Q208" i="20"/>
  <c r="U208" i="20"/>
  <c r="T208" i="20"/>
  <c r="O208" i="20"/>
  <c r="S208" i="20"/>
  <c r="O250" i="20"/>
  <c r="U250" i="20" s="1"/>
  <c r="U266" i="20"/>
  <c r="T266" i="20"/>
  <c r="M294" i="20"/>
  <c r="S294" i="20"/>
  <c r="P294" i="20"/>
  <c r="O294" i="20"/>
  <c r="S326" i="20"/>
  <c r="V337" i="20"/>
  <c r="W337" i="20" s="1"/>
  <c r="N337" i="20"/>
  <c r="M353" i="20"/>
  <c r="N353" i="20" s="1"/>
  <c r="M357" i="20"/>
  <c r="N357" i="20" s="1"/>
  <c r="R371" i="20"/>
  <c r="M377" i="20"/>
  <c r="Q31" i="20"/>
  <c r="P31" i="20"/>
  <c r="N266" i="20"/>
  <c r="Q316" i="20"/>
  <c r="M316" i="20"/>
  <c r="N316" i="20" s="1"/>
  <c r="S316" i="20"/>
  <c r="P326" i="20"/>
  <c r="S31" i="20"/>
  <c r="U49" i="20"/>
  <c r="T49" i="20"/>
  <c r="M188" i="20"/>
  <c r="O198" i="20"/>
  <c r="U198" i="20" s="1"/>
  <c r="R198" i="20"/>
  <c r="S198" i="20"/>
  <c r="Q198" i="20"/>
  <c r="M198" i="20"/>
  <c r="N198" i="20" s="1"/>
  <c r="P250" i="20"/>
  <c r="R266" i="20"/>
  <c r="P270" i="20"/>
  <c r="O270" i="20"/>
  <c r="S270" i="20" s="1"/>
  <c r="R270" i="20"/>
  <c r="Q270" i="20"/>
  <c r="U270" i="20"/>
  <c r="T270" i="20"/>
  <c r="R312" i="20"/>
  <c r="Q312" i="20"/>
  <c r="P312" i="20"/>
  <c r="T326" i="20"/>
  <c r="O349" i="20"/>
  <c r="Q349" i="20"/>
  <c r="P349" i="20"/>
  <c r="M349" i="20"/>
  <c r="N349" i="20" s="1"/>
  <c r="S349" i="20"/>
  <c r="R349" i="20"/>
  <c r="S371" i="20"/>
  <c r="U403" i="20"/>
  <c r="O403" i="20"/>
  <c r="T403" i="20" s="1"/>
  <c r="M403" i="20"/>
  <c r="O8" i="20"/>
  <c r="M8" i="20"/>
  <c r="U12" i="20"/>
  <c r="O12" i="20"/>
  <c r="R12" i="20"/>
  <c r="Q12" i="20"/>
  <c r="P12" i="20"/>
  <c r="M12" i="20"/>
  <c r="N12" i="20" s="1"/>
  <c r="O68" i="20"/>
  <c r="P68" i="20" s="1"/>
  <c r="N142" i="20"/>
  <c r="V142" i="20"/>
  <c r="W142" i="20" s="1"/>
  <c r="R250" i="20"/>
  <c r="U267" i="20"/>
  <c r="T267" i="20"/>
  <c r="S267" i="20"/>
  <c r="P267" i="20"/>
  <c r="R267" i="20"/>
  <c r="Q267" i="20"/>
  <c r="V267" i="20" s="1"/>
  <c r="W267" i="20" s="1"/>
  <c r="U345" i="20"/>
  <c r="T345" i="20"/>
  <c r="Q345" i="20"/>
  <c r="P345" i="20"/>
  <c r="R29" i="20"/>
  <c r="P29" i="20"/>
  <c r="O79" i="20"/>
  <c r="U142" i="20"/>
  <c r="S142" i="20"/>
  <c r="T142" i="20"/>
  <c r="R142" i="20"/>
  <c r="Q142" i="20"/>
  <c r="P142" i="20"/>
  <c r="S250" i="20"/>
  <c r="O316" i="20"/>
  <c r="P316" i="20" s="1"/>
  <c r="S367" i="20"/>
  <c r="O367" i="20"/>
  <c r="U367" i="20"/>
  <c r="T367" i="20"/>
  <c r="R367" i="20"/>
  <c r="Q338" i="20"/>
  <c r="V338" i="20" s="1"/>
  <c r="W338" i="20" s="1"/>
  <c r="S345" i="20"/>
  <c r="U379" i="20"/>
  <c r="T379" i="20"/>
  <c r="Q379" i="20"/>
  <c r="S379" i="20"/>
  <c r="R379" i="20"/>
  <c r="V379" i="20" s="1"/>
  <c r="W379" i="20" s="1"/>
  <c r="T383" i="20"/>
  <c r="S383" i="20"/>
  <c r="O383" i="20"/>
  <c r="P383" i="20" s="1"/>
  <c r="M383" i="20"/>
  <c r="N383" i="20" s="1"/>
  <c r="U383" i="20"/>
  <c r="R383" i="20"/>
  <c r="Q383" i="20"/>
  <c r="O13" i="20"/>
  <c r="U13" i="20" s="1"/>
  <c r="T13" i="20"/>
  <c r="R13" i="20"/>
  <c r="M13" i="20"/>
  <c r="O20" i="20"/>
  <c r="P20" i="20" s="1"/>
  <c r="M20" i="20"/>
  <c r="U88" i="20"/>
  <c r="T88" i="20"/>
  <c r="M88" i="20"/>
  <c r="N88" i="20" s="1"/>
  <c r="S88" i="20"/>
  <c r="R88" i="20"/>
  <c r="Q88" i="20"/>
  <c r="O88" i="20"/>
  <c r="P88" i="20" s="1"/>
  <c r="V88" i="20" s="1"/>
  <c r="W88" i="20" s="1"/>
  <c r="N219" i="20"/>
  <c r="V219" i="20"/>
  <c r="W219" i="20" s="1"/>
  <c r="U322" i="20"/>
  <c r="T322" i="20"/>
  <c r="P54" i="20"/>
  <c r="O65" i="20"/>
  <c r="M65" i="20"/>
  <c r="M96" i="20"/>
  <c r="N96" i="20" s="1"/>
  <c r="T128" i="20"/>
  <c r="S128" i="20"/>
  <c r="R128" i="20"/>
  <c r="O128" i="20"/>
  <c r="P128" i="20" s="1"/>
  <c r="M128" i="20"/>
  <c r="N128" i="20" s="1"/>
  <c r="U128" i="20"/>
  <c r="Q128" i="20"/>
  <c r="P241" i="20"/>
  <c r="Q322" i="20"/>
  <c r="S342" i="20"/>
  <c r="R342" i="20"/>
  <c r="P342" i="20"/>
  <c r="M342" i="20"/>
  <c r="O29" i="20"/>
  <c r="Q29" i="20" s="1"/>
  <c r="Q54" i="20"/>
  <c r="M124" i="20"/>
  <c r="M157" i="20"/>
  <c r="N157" i="20" s="1"/>
  <c r="O157" i="20"/>
  <c r="S157" i="20" s="1"/>
  <c r="R157" i="20"/>
  <c r="Q157" i="20"/>
  <c r="P157" i="20"/>
  <c r="R167" i="20"/>
  <c r="P167" i="20"/>
  <c r="O167" i="20"/>
  <c r="P200" i="20"/>
  <c r="Q241" i="20"/>
  <c r="P246" i="20"/>
  <c r="V246" i="20" s="1"/>
  <c r="W246" i="20" s="1"/>
  <c r="R322" i="20"/>
  <c r="R338" i="20"/>
  <c r="O359" i="20"/>
  <c r="Q359" i="20"/>
  <c r="M405" i="20"/>
  <c r="N405" i="20" s="1"/>
  <c r="R54" i="20"/>
  <c r="O139" i="20"/>
  <c r="U139" i="20"/>
  <c r="R139" i="20"/>
  <c r="Q139" i="20"/>
  <c r="T139" i="20"/>
  <c r="S139" i="20"/>
  <c r="P139" i="20"/>
  <c r="M139" i="20"/>
  <c r="N139" i="20" s="1"/>
  <c r="U148" i="20"/>
  <c r="T148" i="20"/>
  <c r="S148" i="20"/>
  <c r="R148" i="20"/>
  <c r="Q148" i="20"/>
  <c r="R241" i="20"/>
  <c r="O323" i="20"/>
  <c r="M323" i="20"/>
  <c r="S338" i="20"/>
  <c r="U405" i="20"/>
  <c r="T405" i="20"/>
  <c r="S405" i="20"/>
  <c r="R405" i="20"/>
  <c r="Q405" i="20"/>
  <c r="P405" i="20"/>
  <c r="M416" i="20"/>
  <c r="O374" i="20"/>
  <c r="U190" i="20"/>
  <c r="O190" i="20"/>
  <c r="Q190" i="20" s="1"/>
  <c r="M190" i="20"/>
  <c r="O205" i="20"/>
  <c r="P205" i="20" s="1"/>
  <c r="M205" i="20"/>
  <c r="N205" i="20" s="1"/>
  <c r="R246" i="20"/>
  <c r="U309" i="20"/>
  <c r="T309" i="20"/>
  <c r="S309" i="20"/>
  <c r="R309" i="20"/>
  <c r="V309" i="20" s="1"/>
  <c r="W309" i="20" s="1"/>
  <c r="Q309" i="20"/>
  <c r="T338" i="20"/>
  <c r="O342" i="20"/>
  <c r="P162" i="20"/>
  <c r="O162" i="20"/>
  <c r="Q162" i="20" s="1"/>
  <c r="S162" i="20"/>
  <c r="S77" i="20"/>
  <c r="R77" i="20"/>
  <c r="O77" i="20"/>
  <c r="Q77" i="20" s="1"/>
  <c r="M80" i="20"/>
  <c r="N80" i="20" s="1"/>
  <c r="T80" i="20"/>
  <c r="S80" i="20"/>
  <c r="O105" i="20"/>
  <c r="S105" i="20" s="1"/>
  <c r="M105" i="20"/>
  <c r="N105" i="20" s="1"/>
  <c r="U111" i="20"/>
  <c r="R111" i="20"/>
  <c r="Q111" i="20"/>
  <c r="P111" i="20"/>
  <c r="T111" i="20"/>
  <c r="S111" i="20"/>
  <c r="M111" i="20"/>
  <c r="N111" i="20" s="1"/>
  <c r="P194" i="20"/>
  <c r="T236" i="20"/>
  <c r="R236" i="20"/>
  <c r="Q236" i="20"/>
  <c r="U236" i="20"/>
  <c r="M289" i="20"/>
  <c r="P328" i="20"/>
  <c r="M354" i="20"/>
  <c r="M94" i="20"/>
  <c r="N94" i="20" s="1"/>
  <c r="P94" i="20"/>
  <c r="O94" i="20"/>
  <c r="M129" i="20"/>
  <c r="M145" i="20"/>
  <c r="M162" i="20"/>
  <c r="U171" i="20"/>
  <c r="T171" i="20"/>
  <c r="S171" i="20"/>
  <c r="Q194" i="20"/>
  <c r="V194" i="20" s="1"/>
  <c r="W194" i="20" s="1"/>
  <c r="R248" i="20"/>
  <c r="P248" i="20"/>
  <c r="N281" i="20"/>
  <c r="U300" i="20"/>
  <c r="P300" i="20"/>
  <c r="O300" i="20"/>
  <c r="R300" i="20"/>
  <c r="Q300" i="20"/>
  <c r="T300" i="20"/>
  <c r="S300" i="20"/>
  <c r="U325" i="20"/>
  <c r="T325" i="20"/>
  <c r="S325" i="20"/>
  <c r="Q328" i="20"/>
  <c r="M376" i="20"/>
  <c r="N376" i="20" s="1"/>
  <c r="M50" i="20"/>
  <c r="O66" i="20"/>
  <c r="S66" i="20" s="1"/>
  <c r="M102" i="20"/>
  <c r="N209" i="20"/>
  <c r="M222" i="20"/>
  <c r="U35" i="20"/>
  <c r="M56" i="20"/>
  <c r="N56" i="20" s="1"/>
  <c r="R75" i="20"/>
  <c r="Q75" i="20"/>
  <c r="P75" i="20"/>
  <c r="V75" i="20"/>
  <c r="W75" i="20" s="1"/>
  <c r="U75" i="20"/>
  <c r="T77" i="20"/>
  <c r="P80" i="20"/>
  <c r="M83" i="20"/>
  <c r="M86" i="20"/>
  <c r="P89" i="20"/>
  <c r="O89" i="20"/>
  <c r="U89" i="20"/>
  <c r="T89" i="20"/>
  <c r="O92" i="20"/>
  <c r="U92" i="20"/>
  <c r="Q94" i="20"/>
  <c r="M100" i="20"/>
  <c r="Q100" i="20"/>
  <c r="P100" i="20"/>
  <c r="O100" i="20"/>
  <c r="R114" i="20"/>
  <c r="O117" i="20"/>
  <c r="Q117" i="20" s="1"/>
  <c r="U129" i="20"/>
  <c r="M136" i="20"/>
  <c r="U203" i="20"/>
  <c r="T203" i="20"/>
  <c r="S203" i="20"/>
  <c r="R203" i="20"/>
  <c r="P244" i="20"/>
  <c r="T248" i="20"/>
  <c r="O256" i="20"/>
  <c r="T285" i="20"/>
  <c r="U285" i="20"/>
  <c r="S285" i="20"/>
  <c r="R285" i="20"/>
  <c r="Q285" i="20"/>
  <c r="M293" i="20"/>
  <c r="P311" i="20"/>
  <c r="U317" i="20"/>
  <c r="P325" i="20"/>
  <c r="Q373" i="20"/>
  <c r="U421" i="20"/>
  <c r="U9" i="20"/>
  <c r="T9" i="20"/>
  <c r="S9" i="20"/>
  <c r="O40" i="20"/>
  <c r="T45" i="20"/>
  <c r="S45" i="20"/>
  <c r="R45" i="20"/>
  <c r="Q45" i="20"/>
  <c r="P45" i="20"/>
  <c r="M61" i="20"/>
  <c r="U77" i="20"/>
  <c r="T114" i="20"/>
  <c r="M120" i="20"/>
  <c r="M150" i="20"/>
  <c r="O159" i="20"/>
  <c r="R159" i="20" s="1"/>
  <c r="P172" i="20"/>
  <c r="P182" i="20"/>
  <c r="Q185" i="20"/>
  <c r="P192" i="20"/>
  <c r="R213" i="20"/>
  <c r="M256" i="20"/>
  <c r="N256" i="20" s="1"/>
  <c r="P285" i="20"/>
  <c r="O297" i="20"/>
  <c r="Q311" i="20"/>
  <c r="R373" i="20"/>
  <c r="O418" i="20"/>
  <c r="R418" i="20" s="1"/>
  <c r="Q16" i="20"/>
  <c r="M21" i="20"/>
  <c r="P40" i="20"/>
  <c r="U45" i="20"/>
  <c r="M48" i="20"/>
  <c r="T51" i="20"/>
  <c r="O56" i="20"/>
  <c r="R81" i="20"/>
  <c r="Q81" i="20"/>
  <c r="P81" i="20"/>
  <c r="U114" i="20"/>
  <c r="P123" i="20"/>
  <c r="Q133" i="20"/>
  <c r="P159" i="20"/>
  <c r="Q172" i="20"/>
  <c r="Q182" i="20"/>
  <c r="R185" i="20"/>
  <c r="Q192" i="20"/>
  <c r="P210" i="20"/>
  <c r="U210" i="20"/>
  <c r="T210" i="20"/>
  <c r="R210" i="20"/>
  <c r="Q210" i="20"/>
  <c r="R223" i="20"/>
  <c r="Q223" i="20"/>
  <c r="U223" i="20"/>
  <c r="T223" i="20"/>
  <c r="M223" i="20"/>
  <c r="N223" i="20" s="1"/>
  <c r="P231" i="20"/>
  <c r="S231" i="20"/>
  <c r="R231" i="20"/>
  <c r="U231" i="20"/>
  <c r="T231" i="20"/>
  <c r="P261" i="20"/>
  <c r="M261" i="20"/>
  <c r="N261" i="20" s="1"/>
  <c r="T261" i="20"/>
  <c r="S261" i="20"/>
  <c r="R261" i="20"/>
  <c r="Q261" i="20"/>
  <c r="M272" i="20"/>
  <c r="N272" i="20" s="1"/>
  <c r="U308" i="20"/>
  <c r="T308" i="20"/>
  <c r="S308" i="20"/>
  <c r="Q308" i="20"/>
  <c r="M308" i="20"/>
  <c r="T311" i="20"/>
  <c r="P365" i="20"/>
  <c r="S373" i="20"/>
  <c r="O402" i="20"/>
  <c r="M402" i="20"/>
  <c r="R402" i="20"/>
  <c r="P236" i="20"/>
  <c r="P91" i="20"/>
  <c r="P145" i="20"/>
  <c r="R145" i="20"/>
  <c r="Q145" i="20"/>
  <c r="U145" i="20"/>
  <c r="T145" i="20"/>
  <c r="P171" i="20"/>
  <c r="S236" i="20"/>
  <c r="M321" i="20"/>
  <c r="P421" i="20"/>
  <c r="V421" i="20" s="1"/>
  <c r="W421" i="20" s="1"/>
  <c r="V6" i="20"/>
  <c r="W6" i="20" s="1"/>
  <c r="P108" i="20"/>
  <c r="T136" i="20"/>
  <c r="U136" i="20"/>
  <c r="S136" i="20"/>
  <c r="R136" i="20"/>
  <c r="Q136" i="20"/>
  <c r="P136" i="20"/>
  <c r="Q171" i="20"/>
  <c r="T194" i="20"/>
  <c r="R209" i="20"/>
  <c r="P209" i="20"/>
  <c r="U252" i="20"/>
  <c r="T252" i="20"/>
  <c r="S252" i="20"/>
  <c r="O264" i="20"/>
  <c r="P264" i="20" s="1"/>
  <c r="M69" i="20"/>
  <c r="R108" i="20"/>
  <c r="O111" i="20"/>
  <c r="O120" i="20"/>
  <c r="Q120" i="20" s="1"/>
  <c r="T120" i="20"/>
  <c r="S120" i="20"/>
  <c r="R120" i="20"/>
  <c r="R129" i="20"/>
  <c r="O222" i="20"/>
  <c r="U222" i="20" s="1"/>
  <c r="M300" i="20"/>
  <c r="N300" i="20" s="1"/>
  <c r="S317" i="20"/>
  <c r="O329" i="20"/>
  <c r="U329" i="20" s="1"/>
  <c r="M347" i="20"/>
  <c r="N347" i="20" s="1"/>
  <c r="O347" i="20"/>
  <c r="U347" i="20" s="1"/>
  <c r="M40" i="20"/>
  <c r="O61" i="20"/>
  <c r="S61" i="20" s="1"/>
  <c r="T91" i="20"/>
  <c r="S108" i="20"/>
  <c r="T112" i="20"/>
  <c r="S112" i="20"/>
  <c r="M159" i="20"/>
  <c r="U209" i="20"/>
  <c r="R244" i="20"/>
  <c r="Q244" i="20"/>
  <c r="V244" i="20" s="1"/>
  <c r="W244" i="20" s="1"/>
  <c r="U244" i="20"/>
  <c r="T244" i="20"/>
  <c r="T317" i="20"/>
  <c r="T108" i="20"/>
  <c r="O414" i="20"/>
  <c r="T414" i="20" s="1"/>
  <c r="U414" i="20"/>
  <c r="S414" i="20"/>
  <c r="R414" i="20"/>
  <c r="P414" i="20"/>
  <c r="M414" i="20"/>
  <c r="N414" i="20" s="1"/>
  <c r="O6" i="20"/>
  <c r="M14" i="20"/>
  <c r="O21" i="20"/>
  <c r="M36" i="20"/>
  <c r="Q40" i="20"/>
  <c r="M51" i="20"/>
  <c r="M54" i="20"/>
  <c r="N54" i="20" s="1"/>
  <c r="U54" i="20"/>
  <c r="T54" i="20"/>
  <c r="P56" i="20"/>
  <c r="Q67" i="20"/>
  <c r="P67" i="20"/>
  <c r="O67" i="20"/>
  <c r="O86" i="20"/>
  <c r="Q86" i="20" s="1"/>
  <c r="M89" i="20"/>
  <c r="O97" i="20"/>
  <c r="M103" i="20"/>
  <c r="N103" i="20" s="1"/>
  <c r="R117" i="20"/>
  <c r="U121" i="20"/>
  <c r="T121" i="20"/>
  <c r="S121" i="20"/>
  <c r="R121" i="20"/>
  <c r="W121" i="20"/>
  <c r="Q123" i="20"/>
  <c r="O130" i="20"/>
  <c r="T130" i="20" s="1"/>
  <c r="M130" i="20"/>
  <c r="R133" i="20"/>
  <c r="M154" i="20"/>
  <c r="N163" i="20"/>
  <c r="T169" i="20"/>
  <c r="S169" i="20"/>
  <c r="R169" i="20"/>
  <c r="Q169" i="20"/>
  <c r="M176" i="20"/>
  <c r="U176" i="20"/>
  <c r="T176" i="20"/>
  <c r="P176" i="20"/>
  <c r="O176" i="20"/>
  <c r="Q176" i="20" s="1"/>
  <c r="R182" i="20"/>
  <c r="R192" i="20"/>
  <c r="U195" i="20"/>
  <c r="M207" i="20"/>
  <c r="M227" i="20"/>
  <c r="O227" i="20"/>
  <c r="R227" i="20" s="1"/>
  <c r="S282" i="20"/>
  <c r="R282" i="20"/>
  <c r="S347" i="20"/>
  <c r="O362" i="20"/>
  <c r="U362" i="20"/>
  <c r="P362" i="20"/>
  <c r="T373" i="20"/>
  <c r="R381" i="20"/>
  <c r="Q381" i="20"/>
  <c r="S385" i="20"/>
  <c r="Q406" i="20"/>
  <c r="P406" i="20"/>
  <c r="U406" i="20"/>
  <c r="T406" i="20"/>
  <c r="S410" i="20"/>
  <c r="Q410" i="20"/>
  <c r="P410" i="20"/>
  <c r="V410" i="20" s="1"/>
  <c r="W410" i="20" s="1"/>
  <c r="Q418" i="20"/>
  <c r="M264" i="20"/>
  <c r="T281" i="20"/>
  <c r="P281" i="20"/>
  <c r="U281" i="20"/>
  <c r="O413" i="20"/>
  <c r="Q281" i="20"/>
  <c r="Q421" i="20"/>
  <c r="S11" i="20"/>
  <c r="Q11" i="20"/>
  <c r="T33" i="20"/>
  <c r="U33" i="20"/>
  <c r="S33" i="20"/>
  <c r="Q33" i="20"/>
  <c r="P33" i="20"/>
  <c r="V33" i="20" s="1"/>
  <c r="W33" i="20" s="1"/>
  <c r="U72" i="20"/>
  <c r="T72" i="20"/>
  <c r="S72" i="20"/>
  <c r="R91" i="20"/>
  <c r="R99" i="20"/>
  <c r="Q108" i="20"/>
  <c r="Q129" i="20"/>
  <c r="T162" i="20"/>
  <c r="R171" i="20"/>
  <c r="U194" i="20"/>
  <c r="S209" i="20"/>
  <c r="O216" i="20"/>
  <c r="T216" i="20" s="1"/>
  <c r="M216" i="20"/>
  <c r="M226" i="20"/>
  <c r="O226" i="20"/>
  <c r="P226" i="20"/>
  <c r="S226" i="20"/>
  <c r="R226" i="20"/>
  <c r="N244" i="20"/>
  <c r="M248" i="20"/>
  <c r="N248" i="20" s="1"/>
  <c r="M285" i="20"/>
  <c r="R317" i="20"/>
  <c r="M325" i="20"/>
  <c r="N325" i="20" s="1"/>
  <c r="Q376" i="20"/>
  <c r="U384" i="20"/>
  <c r="T384" i="20"/>
  <c r="P384" i="20"/>
  <c r="O384" i="20"/>
  <c r="S384" i="20"/>
  <c r="R384" i="20"/>
  <c r="Q384" i="20"/>
  <c r="O397" i="20"/>
  <c r="R397" i="20" s="1"/>
  <c r="Q397" i="20"/>
  <c r="M397" i="20"/>
  <c r="S401" i="20"/>
  <c r="R401" i="20"/>
  <c r="P401" i="20"/>
  <c r="O401" i="20"/>
  <c r="M401" i="20"/>
  <c r="N401" i="20" s="1"/>
  <c r="M16" i="20"/>
  <c r="N16" i="20" s="1"/>
  <c r="S91" i="20"/>
  <c r="O213" i="20"/>
  <c r="U213" i="20" s="1"/>
  <c r="S421" i="20"/>
  <c r="O4" i="20"/>
  <c r="M4" i="20"/>
  <c r="U48" i="20"/>
  <c r="S48" i="20"/>
  <c r="O80" i="20"/>
  <c r="Q80" i="20" s="1"/>
  <c r="Q114" i="20"/>
  <c r="U199" i="20"/>
  <c r="T199" i="20"/>
  <c r="S199" i="20"/>
  <c r="R199" i="20"/>
  <c r="Q199" i="20"/>
  <c r="P199" i="20"/>
  <c r="P213" i="20"/>
  <c r="O248" i="20"/>
  <c r="U248" i="20" s="1"/>
  <c r="M279" i="20"/>
  <c r="V296" i="20"/>
  <c r="W296" i="20" s="1"/>
  <c r="S311" i="20"/>
  <c r="R311" i="20"/>
  <c r="O325" i="20"/>
  <c r="R325" i="20" s="1"/>
  <c r="P373" i="20"/>
  <c r="T421" i="20"/>
  <c r="O16" i="20"/>
  <c r="U16" i="20" s="1"/>
  <c r="O43" i="20"/>
  <c r="P16" i="20"/>
  <c r="R80" i="20"/>
  <c r="M97" i="20"/>
  <c r="P117" i="20"/>
  <c r="T126" i="20"/>
  <c r="S126" i="20"/>
  <c r="R126" i="20"/>
  <c r="U126" i="20"/>
  <c r="Q126" i="20"/>
  <c r="R365" i="20"/>
  <c r="S365" i="20"/>
  <c r="Q365" i="20"/>
  <c r="O377" i="20"/>
  <c r="U377" i="20" s="1"/>
  <c r="M389" i="20"/>
  <c r="N389" i="20" s="1"/>
  <c r="O389" i="20"/>
  <c r="U389" i="20" s="1"/>
  <c r="S389" i="20"/>
  <c r="R389" i="20"/>
  <c r="Q389" i="20"/>
  <c r="P389" i="20"/>
  <c r="P397" i="20"/>
  <c r="S185" i="20"/>
  <c r="P4" i="20"/>
  <c r="P6" i="20"/>
  <c r="M9" i="20"/>
  <c r="O11" i="20"/>
  <c r="R11" i="20" s="1"/>
  <c r="O33" i="20"/>
  <c r="O38" i="20"/>
  <c r="R40" i="20"/>
  <c r="O72" i="20"/>
  <c r="Q78" i="20"/>
  <c r="T78" i="20"/>
  <c r="M78" i="20"/>
  <c r="P78" i="20"/>
  <c r="O78" i="20"/>
  <c r="U78" i="20" s="1"/>
  <c r="M112" i="20"/>
  <c r="N112" i="20" s="1"/>
  <c r="R123" i="20"/>
  <c r="S133" i="20"/>
  <c r="Q143" i="20"/>
  <c r="P156" i="20"/>
  <c r="P169" i="20"/>
  <c r="V169" i="20" s="1"/>
  <c r="W169" i="20" s="1"/>
  <c r="T185" i="20"/>
  <c r="S192" i="20"/>
  <c r="M203" i="20"/>
  <c r="N203" i="20" s="1"/>
  <c r="M210" i="20"/>
  <c r="N210" i="20" s="1"/>
  <c r="M217" i="20"/>
  <c r="M231" i="20"/>
  <c r="N231" i="20" s="1"/>
  <c r="M245" i="20"/>
  <c r="O249" i="20"/>
  <c r="Q249" i="20" s="1"/>
  <c r="P282" i="20"/>
  <c r="O290" i="20"/>
  <c r="P290" i="20"/>
  <c r="M290" i="20"/>
  <c r="N290" i="20" s="1"/>
  <c r="R290" i="20"/>
  <c r="U290" i="20"/>
  <c r="T290" i="20"/>
  <c r="S290" i="20"/>
  <c r="Q290" i="20"/>
  <c r="M297" i="20"/>
  <c r="M348" i="20"/>
  <c r="R348" i="20"/>
  <c r="U348" i="20"/>
  <c r="T348" i="20"/>
  <c r="S348" i="20"/>
  <c r="M352" i="20"/>
  <c r="P355" i="20"/>
  <c r="U365" i="20"/>
  <c r="P381" i="20"/>
  <c r="T385" i="20"/>
  <c r="U394" i="20"/>
  <c r="P394" i="20"/>
  <c r="Q394" i="20"/>
  <c r="T394" i="20"/>
  <c r="R406" i="20"/>
  <c r="Q414" i="20"/>
  <c r="R324" i="20"/>
  <c r="P324" i="20"/>
  <c r="U324" i="20"/>
  <c r="T324" i="20"/>
  <c r="S324" i="20"/>
  <c r="Q324" i="20"/>
  <c r="O376" i="20"/>
  <c r="S376" i="20" s="1"/>
  <c r="T376" i="20"/>
  <c r="U376" i="20"/>
  <c r="M117" i="20"/>
  <c r="P132" i="20"/>
  <c r="P86" i="20"/>
  <c r="S145" i="20"/>
  <c r="Q153" i="20"/>
  <c r="T153" i="20"/>
  <c r="U153" i="20"/>
  <c r="S153" i="20"/>
  <c r="R153" i="20"/>
  <c r="O153" i="20"/>
  <c r="P153" i="20" s="1"/>
  <c r="R206" i="20"/>
  <c r="O206" i="20"/>
  <c r="U206" i="20" s="1"/>
  <c r="M213" i="20"/>
  <c r="N213" i="20" s="1"/>
  <c r="P317" i="20"/>
  <c r="P376" i="20"/>
  <c r="S418" i="20"/>
  <c r="M418" i="20"/>
  <c r="N418" i="20" s="1"/>
  <c r="U418" i="20"/>
  <c r="M182" i="20"/>
  <c r="N182" i="20" s="1"/>
  <c r="Q252" i="20"/>
  <c r="R281" i="20"/>
  <c r="M66" i="20"/>
  <c r="N66" i="20" s="1"/>
  <c r="M77" i="20"/>
  <c r="N77" i="20" s="1"/>
  <c r="M153" i="20"/>
  <c r="N153" i="20" s="1"/>
  <c r="U162" i="20"/>
  <c r="O195" i="20"/>
  <c r="M195" i="20"/>
  <c r="N195" i="20" s="1"/>
  <c r="N202" i="20"/>
  <c r="T209" i="20"/>
  <c r="R252" i="20"/>
  <c r="N393" i="20"/>
  <c r="M413" i="20"/>
  <c r="U150" i="20"/>
  <c r="Q4" i="20"/>
  <c r="Q6" i="20"/>
  <c r="P11" i="20"/>
  <c r="R33" i="20"/>
  <c r="P38" i="20"/>
  <c r="S40" i="20"/>
  <c r="M43" i="20"/>
  <c r="U46" i="20"/>
  <c r="V46" i="20" s="1"/>
  <c r="W46" i="20" s="1"/>
  <c r="O48" i="20"/>
  <c r="R48" i="20" s="1"/>
  <c r="M75" i="20"/>
  <c r="N75" i="20" s="1"/>
  <c r="S86" i="20"/>
  <c r="Q89" i="20"/>
  <c r="M92" i="20"/>
  <c r="S100" i="20"/>
  <c r="U106" i="20"/>
  <c r="T106" i="20"/>
  <c r="Q127" i="20"/>
  <c r="T127" i="20"/>
  <c r="S127" i="20"/>
  <c r="S137" i="20"/>
  <c r="R137" i="20"/>
  <c r="Q137" i="20"/>
  <c r="P137" i="20"/>
  <c r="U137" i="20"/>
  <c r="T137" i="20"/>
  <c r="O137" i="20"/>
  <c r="O147" i="20"/>
  <c r="M147" i="20"/>
  <c r="O150" i="20"/>
  <c r="T150" i="20" s="1"/>
  <c r="S166" i="20"/>
  <c r="Q166" i="20"/>
  <c r="P166" i="20"/>
  <c r="U169" i="20"/>
  <c r="O183" i="20"/>
  <c r="Q183" i="20"/>
  <c r="O207" i="20"/>
  <c r="S220" i="20"/>
  <c r="M220" i="20"/>
  <c r="P220" i="20"/>
  <c r="O220" i="20"/>
  <c r="R220" i="20"/>
  <c r="Q220" i="20"/>
  <c r="M249" i="20"/>
  <c r="Q253" i="20"/>
  <c r="V253" i="20" s="1"/>
  <c r="W253" i="20" s="1"/>
  <c r="U253" i="20"/>
  <c r="O261" i="20"/>
  <c r="U261" i="20" s="1"/>
  <c r="Q282" i="20"/>
  <c r="M305" i="20"/>
  <c r="N305" i="20" s="1"/>
  <c r="U305" i="20"/>
  <c r="T305" i="20"/>
  <c r="S305" i="20"/>
  <c r="O308" i="20"/>
  <c r="Q355" i="20"/>
  <c r="M362" i="20"/>
  <c r="S381" i="20"/>
  <c r="S406" i="20"/>
  <c r="M28" i="20"/>
  <c r="O118" i="20"/>
  <c r="T163" i="20"/>
  <c r="S163" i="20"/>
  <c r="T175" i="20"/>
  <c r="M175" i="20"/>
  <c r="O212" i="20"/>
  <c r="M218" i="20"/>
  <c r="N218" i="20" s="1"/>
  <c r="U265" i="20"/>
  <c r="R265" i="20"/>
  <c r="O265" i="20"/>
  <c r="Q265" i="20" s="1"/>
  <c r="Q271" i="20"/>
  <c r="P271" i="20"/>
  <c r="M374" i="20"/>
  <c r="M384" i="20"/>
  <c r="U5" i="20"/>
  <c r="T5" i="20"/>
  <c r="M10" i="20"/>
  <c r="N10" i="20" s="1"/>
  <c r="O10" i="20"/>
  <c r="T59" i="20"/>
  <c r="O59" i="20"/>
  <c r="M95" i="20"/>
  <c r="T140" i="20"/>
  <c r="S140" i="20"/>
  <c r="U149" i="20"/>
  <c r="P149" i="20"/>
  <c r="O149" i="20"/>
  <c r="P163" i="20"/>
  <c r="Q181" i="20"/>
  <c r="R181" i="20"/>
  <c r="U181" i="20"/>
  <c r="T181" i="20"/>
  <c r="S181" i="20"/>
  <c r="P181" i="20"/>
  <c r="V181" i="20" s="1"/>
  <c r="W181" i="20" s="1"/>
  <c r="M196" i="20"/>
  <c r="R202" i="20"/>
  <c r="Q202" i="20"/>
  <c r="R230" i="20"/>
  <c r="Q230" i="20"/>
  <c r="P230" i="20"/>
  <c r="P247" i="20"/>
  <c r="O247" i="20"/>
  <c r="U247" i="20" s="1"/>
  <c r="Q247" i="20"/>
  <c r="S247" i="20"/>
  <c r="R247" i="20"/>
  <c r="O251" i="20"/>
  <c r="P251" i="20" s="1"/>
  <c r="Q254" i="20"/>
  <c r="R271" i="20"/>
  <c r="S330" i="20"/>
  <c r="R334" i="20"/>
  <c r="U334" i="20"/>
  <c r="T334" i="20"/>
  <c r="M334" i="20"/>
  <c r="N334" i="20" s="1"/>
  <c r="M381" i="20"/>
  <c r="N381" i="20" s="1"/>
  <c r="M407" i="20"/>
  <c r="N407" i="20" s="1"/>
  <c r="P415" i="20"/>
  <c r="O415" i="20"/>
  <c r="T415" i="20"/>
  <c r="S415" i="20"/>
  <c r="P5" i="20"/>
  <c r="Q15" i="20"/>
  <c r="U15" i="20"/>
  <c r="O26" i="20"/>
  <c r="M26" i="20"/>
  <c r="M59" i="20"/>
  <c r="M71" i="20"/>
  <c r="M85" i="20"/>
  <c r="P98" i="20"/>
  <c r="T98" i="20"/>
  <c r="S98" i="20"/>
  <c r="R98" i="20"/>
  <c r="Q140" i="20"/>
  <c r="Q163" i="20"/>
  <c r="M178" i="20"/>
  <c r="N178" i="20" s="1"/>
  <c r="P202" i="20"/>
  <c r="M212" i="20"/>
  <c r="S230" i="20"/>
  <c r="M251" i="20"/>
  <c r="R254" i="20"/>
  <c r="M265" i="20"/>
  <c r="N265" i="20" s="1"/>
  <c r="U271" i="20"/>
  <c r="T287" i="20"/>
  <c r="S287" i="20"/>
  <c r="R287" i="20"/>
  <c r="Q287" i="20"/>
  <c r="P287" i="20"/>
  <c r="M311" i="20"/>
  <c r="M320" i="20"/>
  <c r="N320" i="20" s="1"/>
  <c r="O320" i="20"/>
  <c r="U351" i="20"/>
  <c r="Q351" i="20"/>
  <c r="T351" i="20"/>
  <c r="S351" i="20"/>
  <c r="M392" i="20"/>
  <c r="Q5" i="20"/>
  <c r="M15" i="20"/>
  <c r="O28" i="20"/>
  <c r="Q50" i="20"/>
  <c r="R50" i="20"/>
  <c r="P50" i="20"/>
  <c r="O50" i="20"/>
  <c r="Q57" i="20"/>
  <c r="O76" i="20"/>
  <c r="M76" i="20"/>
  <c r="T93" i="20"/>
  <c r="S93" i="20"/>
  <c r="R93" i="20"/>
  <c r="M93" i="20"/>
  <c r="U103" i="20"/>
  <c r="O103" i="20"/>
  <c r="M118" i="20"/>
  <c r="R140" i="20"/>
  <c r="R163" i="20"/>
  <c r="S184" i="20"/>
  <c r="R184" i="20"/>
  <c r="V184" i="20" s="1"/>
  <c r="W184" i="20" s="1"/>
  <c r="N221" i="20"/>
  <c r="V221" i="20"/>
  <c r="W221" i="20" s="1"/>
  <c r="T230" i="20"/>
  <c r="S254" i="20"/>
  <c r="P278" i="20"/>
  <c r="O278" i="20"/>
  <c r="T278" i="20" s="1"/>
  <c r="U278" i="20"/>
  <c r="R278" i="20"/>
  <c r="Q278" i="20"/>
  <c r="S278" i="20"/>
  <c r="M278" i="20"/>
  <c r="N278" i="20" s="1"/>
  <c r="S314" i="20"/>
  <c r="R314" i="20"/>
  <c r="U314" i="20"/>
  <c r="O314" i="20"/>
  <c r="T314" i="20" s="1"/>
  <c r="O327" i="20"/>
  <c r="M327" i="20"/>
  <c r="Q344" i="20"/>
  <c r="P344" i="20"/>
  <c r="R344" i="20"/>
  <c r="U344" i="20"/>
  <c r="T344" i="20"/>
  <c r="M344" i="20"/>
  <c r="M358" i="20"/>
  <c r="Q388" i="20"/>
  <c r="P388" i="20"/>
  <c r="U419" i="20"/>
  <c r="T419" i="20"/>
  <c r="V419" i="20" s="1"/>
  <c r="W419" i="20" s="1"/>
  <c r="S419" i="20"/>
  <c r="R419" i="20"/>
  <c r="Q419" i="20"/>
  <c r="O419" i="20"/>
  <c r="P419" i="20" s="1"/>
  <c r="M24" i="20"/>
  <c r="U24" i="20"/>
  <c r="R24" i="20"/>
  <c r="Q24" i="20"/>
  <c r="P24" i="20"/>
  <c r="U62" i="20"/>
  <c r="P62" i="20"/>
  <c r="V62" i="20" s="1"/>
  <c r="W62" i="20" s="1"/>
  <c r="U83" i="20"/>
  <c r="P83" i="20"/>
  <c r="O83" i="20"/>
  <c r="T129" i="20"/>
  <c r="P129" i="20"/>
  <c r="T132" i="20"/>
  <c r="S132" i="20"/>
  <c r="R132" i="20"/>
  <c r="V132" i="20"/>
  <c r="W132" i="20" s="1"/>
  <c r="U132" i="20"/>
  <c r="U140" i="20"/>
  <c r="V146" i="20"/>
  <c r="W146" i="20" s="1"/>
  <c r="O146" i="20"/>
  <c r="U146" i="20" s="1"/>
  <c r="M149" i="20"/>
  <c r="N149" i="20" s="1"/>
  <c r="U163" i="20"/>
  <c r="O175" i="20"/>
  <c r="V215" i="20"/>
  <c r="W215" i="20" s="1"/>
  <c r="O218" i="20"/>
  <c r="U230" i="20"/>
  <c r="T254" i="20"/>
  <c r="S258" i="20"/>
  <c r="R258" i="20"/>
  <c r="M258" i="20"/>
  <c r="N258" i="20" s="1"/>
  <c r="T258" i="20"/>
  <c r="Q258" i="20"/>
  <c r="V258" i="20" s="1"/>
  <c r="W258" i="20" s="1"/>
  <c r="P265" i="20"/>
  <c r="O272" i="20"/>
  <c r="M301" i="20"/>
  <c r="M415" i="20"/>
  <c r="N415" i="20" s="1"/>
  <c r="Q99" i="20"/>
  <c r="U99" i="20"/>
  <c r="T99" i="20"/>
  <c r="S99" i="20"/>
  <c r="O115" i="20"/>
  <c r="O155" i="20"/>
  <c r="U155" i="20"/>
  <c r="O298" i="20"/>
  <c r="P298" i="20"/>
  <c r="M298" i="20"/>
  <c r="N298" i="20" s="1"/>
  <c r="V298" i="20"/>
  <c r="W298" i="20" s="1"/>
  <c r="T298" i="20"/>
  <c r="R328" i="20"/>
  <c r="S328" i="20"/>
  <c r="T328" i="20"/>
  <c r="M343" i="20"/>
  <c r="O387" i="20"/>
  <c r="M387" i="20"/>
  <c r="N387" i="20" s="1"/>
  <c r="U387" i="20"/>
  <c r="M115" i="20"/>
  <c r="U119" i="20"/>
  <c r="T119" i="20"/>
  <c r="S119" i="20"/>
  <c r="V119" i="20" s="1"/>
  <c r="W119" i="20" s="1"/>
  <c r="R119" i="20"/>
  <c r="U122" i="20"/>
  <c r="T122" i="20"/>
  <c r="S122" i="20"/>
  <c r="O178" i="20"/>
  <c r="M186" i="20"/>
  <c r="N186" i="20" s="1"/>
  <c r="T186" i="20"/>
  <c r="S186" i="20"/>
  <c r="R186" i="20"/>
  <c r="Q186" i="20"/>
  <c r="T192" i="20"/>
  <c r="O280" i="20"/>
  <c r="U280" i="20"/>
  <c r="Q337" i="20"/>
  <c r="P337" i="20"/>
  <c r="T337" i="20"/>
  <c r="S337" i="20"/>
  <c r="S380" i="20"/>
  <c r="R380" i="20"/>
  <c r="U380" i="20"/>
  <c r="S404" i="20"/>
  <c r="Q404" i="20"/>
  <c r="P404" i="20"/>
  <c r="O404" i="20"/>
  <c r="U404" i="20"/>
  <c r="U55" i="20"/>
  <c r="M55" i="20"/>
  <c r="O55" i="20"/>
  <c r="M57" i="20"/>
  <c r="N57" i="20" s="1"/>
  <c r="Q64" i="20"/>
  <c r="M64" i="20"/>
  <c r="U91" i="20"/>
  <c r="M109" i="20"/>
  <c r="N109" i="20" s="1"/>
  <c r="V109" i="20"/>
  <c r="W109" i="20" s="1"/>
  <c r="U109" i="20"/>
  <c r="T109" i="20"/>
  <c r="S109" i="20"/>
  <c r="R109" i="20"/>
  <c r="Q109" i="20"/>
  <c r="T123" i="20"/>
  <c r="V123" i="20"/>
  <c r="W123" i="20" s="1"/>
  <c r="U123" i="20"/>
  <c r="M238" i="20"/>
  <c r="U284" i="20"/>
  <c r="T284" i="20"/>
  <c r="M284" i="20"/>
  <c r="S284" i="20"/>
  <c r="R326" i="20"/>
  <c r="Q326" i="20"/>
  <c r="M326" i="20"/>
  <c r="O360" i="20"/>
  <c r="Q360" i="20"/>
  <c r="P360" i="20"/>
  <c r="M360" i="20"/>
  <c r="Q36" i="20"/>
  <c r="S73" i="20"/>
  <c r="R73" i="20"/>
  <c r="Q73" i="20"/>
  <c r="S95" i="20"/>
  <c r="R95" i="20"/>
  <c r="Q95" i="20"/>
  <c r="M143" i="20"/>
  <c r="P143" i="20"/>
  <c r="O204" i="20"/>
  <c r="U204" i="20" s="1"/>
  <c r="M204" i="20"/>
  <c r="M241" i="20"/>
  <c r="N241" i="20" s="1"/>
  <c r="N317" i="20"/>
  <c r="R339" i="20"/>
  <c r="Q357" i="20"/>
  <c r="T357" i="20"/>
  <c r="S357" i="20"/>
  <c r="O357" i="20"/>
  <c r="R357" i="20" s="1"/>
  <c r="M370" i="20"/>
  <c r="O370" i="20"/>
  <c r="Q370" i="20"/>
  <c r="P370" i="20"/>
  <c r="R385" i="20"/>
  <c r="Q385" i="20"/>
  <c r="P385" i="20"/>
  <c r="P392" i="20"/>
  <c r="O392" i="20"/>
  <c r="O409" i="20"/>
  <c r="M409" i="20"/>
  <c r="M135" i="20"/>
  <c r="O179" i="20"/>
  <c r="M179" i="20"/>
  <c r="R194" i="20"/>
  <c r="S234" i="20"/>
  <c r="U234" i="20"/>
  <c r="T234" i="20"/>
  <c r="R234" i="20"/>
  <c r="O363" i="20"/>
  <c r="S363" i="20" s="1"/>
  <c r="T369" i="20"/>
  <c r="R369" i="20"/>
  <c r="O369" i="20"/>
  <c r="M369" i="20"/>
  <c r="N369" i="20" s="1"/>
  <c r="U422" i="20"/>
  <c r="T422" i="20"/>
  <c r="S422" i="20"/>
  <c r="R422" i="20"/>
  <c r="P422" i="20"/>
  <c r="Q422" i="20"/>
  <c r="O422" i="20"/>
  <c r="M422" i="20"/>
  <c r="N422" i="20" s="1"/>
  <c r="U27" i="20"/>
  <c r="O39" i="20"/>
  <c r="M151" i="20"/>
  <c r="M189" i="20"/>
  <c r="M199" i="20"/>
  <c r="M206" i="20"/>
  <c r="O214" i="20"/>
  <c r="U214" i="20"/>
  <c r="O229" i="20"/>
  <c r="T229" i="20" s="1"/>
  <c r="U229" i="20"/>
  <c r="P234" i="20"/>
  <c r="M240" i="20"/>
  <c r="O274" i="20"/>
  <c r="V274" i="20"/>
  <c r="W274" i="20" s="1"/>
  <c r="M282" i="20"/>
  <c r="N282" i="20" s="1"/>
  <c r="T301" i="20"/>
  <c r="S301" i="20"/>
  <c r="M329" i="20"/>
  <c r="R332" i="20"/>
  <c r="U332" i="20"/>
  <c r="T332" i="20"/>
  <c r="S332" i="20"/>
  <c r="Q332" i="20"/>
  <c r="P332" i="20"/>
  <c r="V332" i="20" s="1"/>
  <c r="W332" i="20" s="1"/>
  <c r="M363" i="20"/>
  <c r="P395" i="20"/>
  <c r="M31" i="20"/>
  <c r="R37" i="20"/>
  <c r="Q37" i="20"/>
  <c r="P37" i="20"/>
  <c r="M39" i="20"/>
  <c r="P116" i="20"/>
  <c r="Q234" i="20"/>
  <c r="S257" i="20"/>
  <c r="V257" i="20" s="1"/>
  <c r="W257" i="20" s="1"/>
  <c r="U257" i="20"/>
  <c r="T257" i="20"/>
  <c r="R257" i="20"/>
  <c r="P301" i="20"/>
  <c r="P304" i="20"/>
  <c r="T355" i="20"/>
  <c r="S355" i="20"/>
  <c r="M355" i="20"/>
  <c r="M366" i="20"/>
  <c r="N366" i="20" s="1"/>
  <c r="U366" i="20"/>
  <c r="T366" i="20"/>
  <c r="S366" i="20"/>
  <c r="R366" i="20"/>
  <c r="Q395" i="20"/>
  <c r="M17" i="20"/>
  <c r="R17" i="20"/>
  <c r="Q35" i="20"/>
  <c r="V35" i="20" s="1"/>
  <c r="W35" i="20" s="1"/>
  <c r="T35" i="20"/>
  <c r="S35" i="20"/>
  <c r="R35" i="20"/>
  <c r="S114" i="20"/>
  <c r="U124" i="20"/>
  <c r="T124" i="20"/>
  <c r="S124" i="20"/>
  <c r="P133" i="20"/>
  <c r="P140" i="20"/>
  <c r="R154" i="20"/>
  <c r="T172" i="20"/>
  <c r="S172" i="20"/>
  <c r="R172" i="20"/>
  <c r="T182" i="20"/>
  <c r="S182" i="20"/>
  <c r="O232" i="20"/>
  <c r="M232" i="20"/>
  <c r="N232" i="20" s="1"/>
  <c r="T243" i="20"/>
  <c r="S243" i="20"/>
  <c r="M243" i="20"/>
  <c r="O243" i="20"/>
  <c r="M260" i="20"/>
  <c r="O260" i="20"/>
  <c r="R260" i="20" s="1"/>
  <c r="T263" i="20"/>
  <c r="S263" i="20"/>
  <c r="R263" i="20"/>
  <c r="U302" i="20"/>
  <c r="Q302" i="20"/>
  <c r="P302" i="20"/>
  <c r="M313" i="20"/>
  <c r="O321" i="20"/>
  <c r="R335" i="20"/>
  <c r="Q335" i="20"/>
  <c r="O335" i="20"/>
  <c r="S341" i="20"/>
  <c r="R341" i="20"/>
  <c r="R395" i="20"/>
  <c r="O346" i="20"/>
  <c r="R346" i="20"/>
  <c r="O364" i="20"/>
  <c r="M372" i="20"/>
  <c r="O372" i="20"/>
  <c r="Q372" i="20" s="1"/>
  <c r="S372" i="20"/>
  <c r="M404" i="20"/>
  <c r="Q106" i="20"/>
  <c r="V106" i="20" s="1"/>
  <c r="W106" i="20" s="1"/>
  <c r="U177" i="20"/>
  <c r="S177" i="20"/>
  <c r="R193" i="20"/>
  <c r="Q193" i="20"/>
  <c r="Q209" i="20"/>
  <c r="M242" i="20"/>
  <c r="M268" i="20"/>
  <c r="T299" i="20"/>
  <c r="S299" i="20"/>
  <c r="V299" i="20"/>
  <c r="W299" i="20" s="1"/>
  <c r="O299" i="20"/>
  <c r="R330" i="20"/>
  <c r="T330" i="20"/>
  <c r="Q330" i="20"/>
  <c r="P330" i="20"/>
  <c r="M330" i="20"/>
  <c r="M351" i="20"/>
  <c r="N351" i="20" s="1"/>
  <c r="M385" i="20"/>
  <c r="M45" i="20"/>
  <c r="U69" i="20"/>
  <c r="S69" i="20"/>
  <c r="P141" i="20"/>
  <c r="Q156" i="20"/>
  <c r="U184" i="20"/>
  <c r="R255" i="20"/>
  <c r="V255" i="20" s="1"/>
  <c r="W255" i="20" s="1"/>
  <c r="M263" i="20"/>
  <c r="P276" i="20"/>
  <c r="O276" i="20"/>
  <c r="R276" i="20"/>
  <c r="Q276" i="20"/>
  <c r="P296" i="20"/>
  <c r="R307" i="20"/>
  <c r="Q307" i="20"/>
  <c r="M333" i="20"/>
  <c r="O333" i="20"/>
  <c r="P333" i="20" s="1"/>
  <c r="M364" i="20"/>
  <c r="N364" i="20" s="1"/>
  <c r="M380" i="20"/>
  <c r="V388" i="20"/>
  <c r="W388" i="20" s="1"/>
  <c r="Q399" i="20"/>
  <c r="O399" i="20"/>
  <c r="S412" i="20"/>
  <c r="M412" i="20"/>
  <c r="R412" i="20"/>
  <c r="Q412" i="20"/>
  <c r="R8" i="20"/>
  <c r="M108" i="20"/>
  <c r="U200" i="20"/>
  <c r="T200" i="20"/>
  <c r="V200" i="20" s="1"/>
  <c r="W200" i="20" s="1"/>
  <c r="U225" i="20"/>
  <c r="T225" i="20"/>
  <c r="P237" i="20"/>
  <c r="M237" i="20"/>
  <c r="R245" i="20"/>
  <c r="Q245" i="20"/>
  <c r="T245" i="20"/>
  <c r="S286" i="20"/>
  <c r="R286" i="20"/>
  <c r="M286" i="20"/>
  <c r="Q286" i="20"/>
  <c r="P286" i="20"/>
  <c r="M307" i="20"/>
  <c r="R336" i="20"/>
  <c r="U393" i="20"/>
  <c r="V393" i="20" s="1"/>
  <c r="W393" i="20" s="1"/>
  <c r="T393" i="20"/>
  <c r="U396" i="20"/>
  <c r="T396" i="20"/>
  <c r="S396" i="20"/>
  <c r="R396" i="20"/>
  <c r="M396" i="20"/>
  <c r="R166" i="20"/>
  <c r="M228" i="20"/>
  <c r="Q228" i="20"/>
  <c r="R235" i="20"/>
  <c r="V235" i="20"/>
  <c r="W235" i="20" s="1"/>
  <c r="M252" i="20"/>
  <c r="P252" i="20"/>
  <c r="T283" i="20"/>
  <c r="S283" i="20"/>
  <c r="P338" i="20"/>
  <c r="M375" i="20"/>
  <c r="R410" i="20"/>
  <c r="U410" i="20"/>
  <c r="T410" i="20"/>
  <c r="T164" i="20"/>
  <c r="M172" i="20"/>
  <c r="M185" i="20"/>
  <c r="P185" i="20"/>
  <c r="M187" i="20"/>
  <c r="T202" i="20"/>
  <c r="U202" i="20"/>
  <c r="S202" i="20"/>
  <c r="O262" i="20"/>
  <c r="P283" i="20"/>
  <c r="R301" i="20"/>
  <c r="Q301" i="20"/>
  <c r="U301" i="20"/>
  <c r="O318" i="20"/>
  <c r="U318" i="20"/>
  <c r="P318" i="20"/>
  <c r="T343" i="20"/>
  <c r="S343" i="20"/>
  <c r="U420" i="20"/>
  <c r="S420" i="20"/>
  <c r="R420" i="20"/>
  <c r="M420" i="20"/>
  <c r="P254" i="20"/>
  <c r="Q266" i="20"/>
  <c r="P266" i="20"/>
  <c r="U312" i="20"/>
  <c r="T312" i="20"/>
  <c r="S312" i="20"/>
  <c r="V312" i="20"/>
  <c r="W312" i="20" s="1"/>
  <c r="T319" i="20"/>
  <c r="T382" i="20"/>
  <c r="S382" i="20"/>
  <c r="M247" i="20"/>
  <c r="N247" i="20" s="1"/>
  <c r="P293" i="20"/>
  <c r="O303" i="20"/>
  <c r="U340" i="20"/>
  <c r="T340" i="20"/>
  <c r="P340" i="20"/>
  <c r="M361" i="20"/>
  <c r="R361" i="20"/>
  <c r="U368" i="20"/>
  <c r="T368" i="20"/>
  <c r="M368" i="20"/>
  <c r="V373" i="20"/>
  <c r="W373" i="20" s="1"/>
  <c r="Q408" i="20"/>
  <c r="V408" i="20" s="1"/>
  <c r="W408" i="20" s="1"/>
  <c r="T408" i="20"/>
  <c r="U241" i="20"/>
  <c r="T241" i="20"/>
  <c r="S322" i="20"/>
  <c r="P322" i="20"/>
  <c r="O331" i="20"/>
  <c r="U381" i="20"/>
  <c r="T411" i="20"/>
  <c r="S411" i="20"/>
  <c r="R411" i="20"/>
  <c r="P411" i="20"/>
  <c r="V411" i="20" s="1"/>
  <c r="W411" i="20" s="1"/>
  <c r="U304" i="20"/>
  <c r="M378" i="20"/>
  <c r="Q339" i="20"/>
  <c r="R378" i="20"/>
  <c r="R304" i="20"/>
  <c r="S378" i="20"/>
  <c r="U269" i="20"/>
  <c r="T271" i="20"/>
  <c r="S271" i="20"/>
  <c r="R273" i="20"/>
  <c r="Q273" i="20"/>
  <c r="O275" i="20"/>
  <c r="P275" i="20" s="1"/>
  <c r="M277" i="20"/>
  <c r="V276" i="19"/>
  <c r="W276" i="19" s="1"/>
  <c r="N276" i="19"/>
  <c r="U33" i="19"/>
  <c r="Q33" i="19"/>
  <c r="P33" i="19"/>
  <c r="T33" i="19"/>
  <c r="S66" i="19"/>
  <c r="O66" i="19"/>
  <c r="T66" i="19" s="1"/>
  <c r="M88" i="19"/>
  <c r="O196" i="19"/>
  <c r="U196" i="19"/>
  <c r="M196" i="19"/>
  <c r="N196" i="19" s="1"/>
  <c r="O312" i="19"/>
  <c r="N358" i="19"/>
  <c r="R33" i="19"/>
  <c r="Q38" i="19"/>
  <c r="M66" i="19"/>
  <c r="S33" i="19"/>
  <c r="U313" i="19"/>
  <c r="M313" i="19"/>
  <c r="O313" i="19"/>
  <c r="S313" i="19" s="1"/>
  <c r="N78" i="19"/>
  <c r="U29" i="19"/>
  <c r="T252" i="19"/>
  <c r="S252" i="19"/>
  <c r="U252" i="19"/>
  <c r="Q252" i="19"/>
  <c r="O213" i="19"/>
  <c r="Q213" i="19" s="1"/>
  <c r="M213" i="19"/>
  <c r="T157" i="19"/>
  <c r="R157" i="19"/>
  <c r="S157" i="19"/>
  <c r="P157" i="19"/>
  <c r="S172" i="19"/>
  <c r="R172" i="19"/>
  <c r="T172" i="19"/>
  <c r="O172" i="19"/>
  <c r="M172" i="19"/>
  <c r="N172" i="19" s="1"/>
  <c r="U172" i="19"/>
  <c r="P172" i="19"/>
  <c r="Q172" i="19"/>
  <c r="U30" i="19"/>
  <c r="T30" i="19"/>
  <c r="S30" i="19"/>
  <c r="R30" i="19"/>
  <c r="N113" i="19"/>
  <c r="T118" i="19"/>
  <c r="S118" i="19"/>
  <c r="P118" i="19"/>
  <c r="S143" i="19"/>
  <c r="M143" i="19"/>
  <c r="N143" i="19" s="1"/>
  <c r="U143" i="19"/>
  <c r="R143" i="19"/>
  <c r="M226" i="19"/>
  <c r="N226" i="19" s="1"/>
  <c r="P30" i="19"/>
  <c r="O69" i="19"/>
  <c r="U130" i="19"/>
  <c r="S130" i="19"/>
  <c r="T130" i="19"/>
  <c r="Q30" i="19"/>
  <c r="P46" i="19"/>
  <c r="O46" i="19"/>
  <c r="U46" i="19"/>
  <c r="S46" i="19"/>
  <c r="T46" i="19"/>
  <c r="Q46" i="19"/>
  <c r="R46" i="19"/>
  <c r="M46" i="19"/>
  <c r="N46" i="19" s="1"/>
  <c r="R130" i="19"/>
  <c r="O143" i="19"/>
  <c r="Q143" i="19" s="1"/>
  <c r="R327" i="19"/>
  <c r="T327" i="19"/>
  <c r="S327" i="19"/>
  <c r="P327" i="19"/>
  <c r="M327" i="19"/>
  <c r="O327" i="19"/>
  <c r="U327" i="19" s="1"/>
  <c r="O380" i="19"/>
  <c r="R380" i="19" s="1"/>
  <c r="Q380" i="19"/>
  <c r="P380" i="19"/>
  <c r="T380" i="19"/>
  <c r="S380" i="19"/>
  <c r="P252" i="19"/>
  <c r="U95" i="19"/>
  <c r="S95" i="19"/>
  <c r="R4" i="19"/>
  <c r="N56" i="19"/>
  <c r="Q95" i="19"/>
  <c r="S4" i="19"/>
  <c r="R95" i="19"/>
  <c r="U191" i="19"/>
  <c r="R191" i="19"/>
  <c r="N253" i="19"/>
  <c r="V253" i="19"/>
  <c r="W253" i="19" s="1"/>
  <c r="N68" i="19"/>
  <c r="V171" i="19"/>
  <c r="W171" i="19" s="1"/>
  <c r="Q191" i="19"/>
  <c r="S332" i="19"/>
  <c r="P332" i="19"/>
  <c r="O332" i="19"/>
  <c r="U332" i="19"/>
  <c r="T332" i="19"/>
  <c r="R332" i="19"/>
  <c r="M332" i="19"/>
  <c r="N332" i="19" s="1"/>
  <c r="Q332" i="19"/>
  <c r="O14" i="19"/>
  <c r="P14" i="19" s="1"/>
  <c r="M14" i="19"/>
  <c r="M187" i="19"/>
  <c r="Q261" i="19"/>
  <c r="M261" i="19"/>
  <c r="S261" i="19"/>
  <c r="O261" i="19"/>
  <c r="R261" i="19"/>
  <c r="N104" i="19"/>
  <c r="V131" i="19"/>
  <c r="W131" i="19" s="1"/>
  <c r="N131" i="19"/>
  <c r="O152" i="19"/>
  <c r="Q152" i="19" s="1"/>
  <c r="R152" i="19"/>
  <c r="S180" i="19"/>
  <c r="U53" i="19"/>
  <c r="T53" i="19"/>
  <c r="P53" i="19"/>
  <c r="Q53" i="19"/>
  <c r="N316" i="19"/>
  <c r="V316" i="19"/>
  <c r="W316" i="19" s="1"/>
  <c r="P321" i="19"/>
  <c r="M321" i="19"/>
  <c r="N321" i="19" s="1"/>
  <c r="S321" i="19"/>
  <c r="U321" i="19"/>
  <c r="T321" i="19"/>
  <c r="Q321" i="19"/>
  <c r="O321" i="19"/>
  <c r="R321" i="19" s="1"/>
  <c r="O36" i="19"/>
  <c r="Q36" i="19" s="1"/>
  <c r="M36" i="19"/>
  <c r="N71" i="19"/>
  <c r="O167" i="19"/>
  <c r="Q167" i="19" s="1"/>
  <c r="M138" i="19"/>
  <c r="N138" i="19" s="1"/>
  <c r="O138" i="19"/>
  <c r="R146" i="19"/>
  <c r="M167" i="19"/>
  <c r="N336" i="19"/>
  <c r="M402" i="19"/>
  <c r="U402" i="19"/>
  <c r="T402" i="19"/>
  <c r="Q402" i="19"/>
  <c r="O402" i="19"/>
  <c r="P402" i="19" s="1"/>
  <c r="M77" i="19"/>
  <c r="N369" i="19"/>
  <c r="R76" i="19"/>
  <c r="S76" i="19"/>
  <c r="N159" i="19"/>
  <c r="U7" i="19"/>
  <c r="R7" i="19"/>
  <c r="U22" i="19"/>
  <c r="O27" i="19"/>
  <c r="T27" i="19" s="1"/>
  <c r="M27" i="19"/>
  <c r="N27" i="19" s="1"/>
  <c r="U132" i="19"/>
  <c r="V126" i="19"/>
  <c r="N126" i="19"/>
  <c r="P7" i="19"/>
  <c r="U16" i="19"/>
  <c r="T16" i="19"/>
  <c r="P88" i="19"/>
  <c r="R88" i="19"/>
  <c r="O88" i="19"/>
  <c r="U88" i="19" s="1"/>
  <c r="Q88" i="19"/>
  <c r="P271" i="19"/>
  <c r="U168" i="19"/>
  <c r="N230" i="19"/>
  <c r="M256" i="19"/>
  <c r="N256" i="19" s="1"/>
  <c r="U276" i="19"/>
  <c r="T276" i="19"/>
  <c r="M418" i="19"/>
  <c r="O20" i="19"/>
  <c r="P20" i="19"/>
  <c r="P122" i="19"/>
  <c r="S92" i="19"/>
  <c r="T92" i="19"/>
  <c r="R92" i="19"/>
  <c r="O108" i="19"/>
  <c r="R108" i="19" s="1"/>
  <c r="S108" i="19"/>
  <c r="Q108" i="19"/>
  <c r="M108" i="19"/>
  <c r="N108" i="19" s="1"/>
  <c r="Q122" i="19"/>
  <c r="P282" i="19"/>
  <c r="U23" i="19"/>
  <c r="T23" i="19"/>
  <c r="Q43" i="19"/>
  <c r="O43" i="19"/>
  <c r="P43" i="19" s="1"/>
  <c r="U43" i="19"/>
  <c r="T43" i="19"/>
  <c r="U60" i="19"/>
  <c r="M60" i="19"/>
  <c r="N60" i="19" s="1"/>
  <c r="P84" i="19"/>
  <c r="P92" i="19"/>
  <c r="S122" i="19"/>
  <c r="P226" i="19"/>
  <c r="R230" i="19"/>
  <c r="M235" i="19"/>
  <c r="N235" i="19" s="1"/>
  <c r="O256" i="19"/>
  <c r="U256" i="19" s="1"/>
  <c r="R287" i="19"/>
  <c r="U333" i="19"/>
  <c r="S333" i="19"/>
  <c r="R333" i="19"/>
  <c r="Q349" i="19"/>
  <c r="T17" i="19"/>
  <c r="S17" i="19"/>
  <c r="M17" i="19"/>
  <c r="N17" i="19" s="1"/>
  <c r="R17" i="19"/>
  <c r="Q17" i="19"/>
  <c r="P23" i="19"/>
  <c r="M43" i="19"/>
  <c r="Q50" i="19"/>
  <c r="O63" i="19"/>
  <c r="T63" i="19" s="1"/>
  <c r="M63" i="19"/>
  <c r="N63" i="19" s="1"/>
  <c r="M70" i="19"/>
  <c r="N70" i="19" s="1"/>
  <c r="Q84" i="19"/>
  <c r="Q92" i="19"/>
  <c r="S119" i="19"/>
  <c r="R119" i="19"/>
  <c r="P119" i="19"/>
  <c r="O119" i="19"/>
  <c r="P148" i="19"/>
  <c r="S148" i="19"/>
  <c r="R148" i="19"/>
  <c r="M168" i="19"/>
  <c r="N168" i="19" s="1"/>
  <c r="T221" i="19"/>
  <c r="S221" i="19"/>
  <c r="Q226" i="19"/>
  <c r="S230" i="19"/>
  <c r="P256" i="19"/>
  <c r="U287" i="19"/>
  <c r="N314" i="19"/>
  <c r="V314" i="19"/>
  <c r="W314" i="19" s="1"/>
  <c r="Q334" i="19"/>
  <c r="R334" i="19"/>
  <c r="O334" i="19"/>
  <c r="P334" i="19" s="1"/>
  <c r="O31" i="19"/>
  <c r="O40" i="19"/>
  <c r="R50" i="19"/>
  <c r="U54" i="19"/>
  <c r="R54" i="19"/>
  <c r="O67" i="19"/>
  <c r="R67" i="19" s="1"/>
  <c r="T67" i="19"/>
  <c r="U67" i="19"/>
  <c r="S67" i="19"/>
  <c r="R84" i="19"/>
  <c r="U92" i="19"/>
  <c r="P108" i="19"/>
  <c r="M112" i="19"/>
  <c r="N112" i="19" s="1"/>
  <c r="T148" i="19"/>
  <c r="O168" i="19"/>
  <c r="T214" i="19"/>
  <c r="R214" i="19"/>
  <c r="Q214" i="19"/>
  <c r="Q217" i="19"/>
  <c r="P217" i="19"/>
  <c r="T217" i="19"/>
  <c r="S217" i="19"/>
  <c r="R217" i="19"/>
  <c r="P221" i="19"/>
  <c r="R226" i="19"/>
  <c r="S256" i="19"/>
  <c r="Q278" i="19"/>
  <c r="S278" i="19"/>
  <c r="R278" i="19"/>
  <c r="O278" i="19"/>
  <c r="U278" i="19"/>
  <c r="M283" i="19"/>
  <c r="O283" i="19"/>
  <c r="U283" i="19" s="1"/>
  <c r="M334" i="19"/>
  <c r="O37" i="19"/>
  <c r="P37" i="19" s="1"/>
  <c r="T37" i="19"/>
  <c r="R43" i="19"/>
  <c r="S50" i="19"/>
  <c r="S57" i="19"/>
  <c r="R57" i="19"/>
  <c r="Q57" i="19"/>
  <c r="O57" i="19"/>
  <c r="P57" i="19" s="1"/>
  <c r="S84" i="19"/>
  <c r="M89" i="19"/>
  <c r="N89" i="19" s="1"/>
  <c r="T108" i="19"/>
  <c r="R139" i="19"/>
  <c r="Q139" i="19"/>
  <c r="U148" i="19"/>
  <c r="Q168" i="19"/>
  <c r="P214" i="19"/>
  <c r="U221" i="19"/>
  <c r="P249" i="19"/>
  <c r="O257" i="19"/>
  <c r="U257" i="19" s="1"/>
  <c r="M257" i="19"/>
  <c r="N403" i="19"/>
  <c r="S43" i="19"/>
  <c r="T50" i="19"/>
  <c r="M57" i="19"/>
  <c r="N57" i="19" s="1"/>
  <c r="O60" i="19"/>
  <c r="R60" i="19" s="1"/>
  <c r="T84" i="19"/>
  <c r="U101" i="19"/>
  <c r="R101" i="19"/>
  <c r="S105" i="19"/>
  <c r="T105" i="19"/>
  <c r="P105" i="19"/>
  <c r="O105" i="19"/>
  <c r="U108" i="19"/>
  <c r="Q119" i="19"/>
  <c r="Q135" i="19"/>
  <c r="M135" i="19"/>
  <c r="N135" i="19" s="1"/>
  <c r="T135" i="19"/>
  <c r="S135" i="19"/>
  <c r="R135" i="19"/>
  <c r="U135" i="19"/>
  <c r="P135" i="19"/>
  <c r="P144" i="19"/>
  <c r="N161" i="19"/>
  <c r="O174" i="19"/>
  <c r="M174" i="19"/>
  <c r="S214" i="19"/>
  <c r="O222" i="19"/>
  <c r="T222" i="19" s="1"/>
  <c r="N236" i="19"/>
  <c r="V236" i="19"/>
  <c r="W236" i="19" s="1"/>
  <c r="R249" i="19"/>
  <c r="P278" i="19"/>
  <c r="Q309" i="19"/>
  <c r="O387" i="19"/>
  <c r="M387" i="19"/>
  <c r="Q413" i="19"/>
  <c r="P413" i="19"/>
  <c r="T413" i="19"/>
  <c r="S413" i="19"/>
  <c r="R413" i="19"/>
  <c r="U413" i="19"/>
  <c r="M413" i="19"/>
  <c r="N413" i="19" s="1"/>
  <c r="O413" i="19"/>
  <c r="U8" i="19"/>
  <c r="R8" i="19"/>
  <c r="O17" i="19"/>
  <c r="U51" i="19"/>
  <c r="M51" i="19"/>
  <c r="N51" i="19" s="1"/>
  <c r="S51" i="19"/>
  <c r="T51" i="19"/>
  <c r="R51" i="19"/>
  <c r="P60" i="19"/>
  <c r="M67" i="19"/>
  <c r="N67" i="19" s="1"/>
  <c r="U74" i="19"/>
  <c r="S74" i="19"/>
  <c r="Q74" i="19"/>
  <c r="M101" i="19"/>
  <c r="M105" i="19"/>
  <c r="N105" i="19" s="1"/>
  <c r="T119" i="19"/>
  <c r="Q144" i="19"/>
  <c r="M227" i="19"/>
  <c r="U236" i="19"/>
  <c r="T236" i="19"/>
  <c r="S236" i="19"/>
  <c r="R236" i="19"/>
  <c r="Q236" i="19"/>
  <c r="T278" i="19"/>
  <c r="Q8" i="19"/>
  <c r="P17" i="19"/>
  <c r="O28" i="19"/>
  <c r="P28" i="19" s="1"/>
  <c r="U28" i="19"/>
  <c r="T28" i="19"/>
  <c r="S28" i="19"/>
  <c r="R28" i="19"/>
  <c r="Q28" i="19"/>
  <c r="P34" i="19"/>
  <c r="M37" i="19"/>
  <c r="S44" i="19"/>
  <c r="R44" i="19"/>
  <c r="O44" i="19"/>
  <c r="Q44" i="19" s="1"/>
  <c r="P44" i="19"/>
  <c r="M44" i="19"/>
  <c r="P54" i="19"/>
  <c r="T57" i="19"/>
  <c r="O75" i="19"/>
  <c r="R97" i="19"/>
  <c r="Q97" i="19"/>
  <c r="P97" i="19"/>
  <c r="O97" i="19"/>
  <c r="T97" i="19" s="1"/>
  <c r="U97" i="19"/>
  <c r="U119" i="19"/>
  <c r="R144" i="19"/>
  <c r="O149" i="19"/>
  <c r="S149" i="19" s="1"/>
  <c r="T149" i="19"/>
  <c r="R149" i="19"/>
  <c r="N188" i="19"/>
  <c r="P236" i="19"/>
  <c r="T318" i="19"/>
  <c r="S318" i="19"/>
  <c r="R318" i="19"/>
  <c r="Q318" i="19"/>
  <c r="P318" i="19"/>
  <c r="M345" i="19"/>
  <c r="V11" i="19"/>
  <c r="W11" i="19" s="1"/>
  <c r="U17" i="19"/>
  <c r="M28" i="19"/>
  <c r="N28" i="19" s="1"/>
  <c r="Q34" i="19"/>
  <c r="Q54" i="19"/>
  <c r="U57" i="19"/>
  <c r="V57" i="19" s="1"/>
  <c r="W57" i="19" s="1"/>
  <c r="Q67" i="19"/>
  <c r="O85" i="19"/>
  <c r="M85" i="19"/>
  <c r="M97" i="19"/>
  <c r="P116" i="19"/>
  <c r="T116" i="19"/>
  <c r="O116" i="19"/>
  <c r="S116" i="19" s="1"/>
  <c r="U116" i="19"/>
  <c r="Q116" i="19"/>
  <c r="M124" i="19"/>
  <c r="N140" i="19"/>
  <c r="V140" i="19"/>
  <c r="W140" i="19" s="1"/>
  <c r="S144" i="19"/>
  <c r="U179" i="19"/>
  <c r="Q179" i="19"/>
  <c r="R179" i="19"/>
  <c r="T179" i="19"/>
  <c r="S179" i="19"/>
  <c r="M179" i="19"/>
  <c r="N179" i="19" s="1"/>
  <c r="P179" i="19"/>
  <c r="O179" i="19"/>
  <c r="Q184" i="19"/>
  <c r="S184" i="19"/>
  <c r="U184" i="19"/>
  <c r="O184" i="19"/>
  <c r="R184" i="19" s="1"/>
  <c r="T193" i="19"/>
  <c r="S193" i="19"/>
  <c r="M222" i="19"/>
  <c r="N222" i="19" s="1"/>
  <c r="S264" i="19"/>
  <c r="R264" i="19"/>
  <c r="O264" i="19"/>
  <c r="U264" i="19" s="1"/>
  <c r="M264" i="19"/>
  <c r="O279" i="19"/>
  <c r="R279" i="19"/>
  <c r="T300" i="19"/>
  <c r="O300" i="19"/>
  <c r="S300" i="19" s="1"/>
  <c r="P300" i="19"/>
  <c r="O356" i="19"/>
  <c r="S356" i="19" s="1"/>
  <c r="R356" i="19"/>
  <c r="Q356" i="19"/>
  <c r="M343" i="19"/>
  <c r="N343" i="19" s="1"/>
  <c r="O360" i="19"/>
  <c r="T391" i="19"/>
  <c r="Q391" i="19"/>
  <c r="V391" i="19" s="1"/>
  <c r="W391" i="19" s="1"/>
  <c r="S391" i="19"/>
  <c r="U391" i="19"/>
  <c r="R391" i="19"/>
  <c r="P391" i="19"/>
  <c r="U126" i="19"/>
  <c r="S126" i="19"/>
  <c r="R126" i="19"/>
  <c r="T126" i="19"/>
  <c r="Q126" i="19"/>
  <c r="P126" i="19"/>
  <c r="M152" i="19"/>
  <c r="Q208" i="19"/>
  <c r="P208" i="19"/>
  <c r="V208" i="19"/>
  <c r="W208" i="19" s="1"/>
  <c r="U208" i="19"/>
  <c r="R208" i="19"/>
  <c r="O208" i="19"/>
  <c r="T208" i="19"/>
  <c r="S208" i="19"/>
  <c r="M298" i="19"/>
  <c r="N298" i="19" s="1"/>
  <c r="M360" i="19"/>
  <c r="M20" i="19"/>
  <c r="U81" i="19"/>
  <c r="T81" i="19"/>
  <c r="S81" i="19"/>
  <c r="R81" i="19"/>
  <c r="P230" i="19"/>
  <c r="N308" i="19"/>
  <c r="V17" i="19"/>
  <c r="W17" i="19" s="1"/>
  <c r="Q37" i="19"/>
  <c r="T48" i="19"/>
  <c r="U48" i="19"/>
  <c r="S48" i="19"/>
  <c r="S54" i="19"/>
  <c r="S60" i="19"/>
  <c r="P64" i="19"/>
  <c r="O64" i="19"/>
  <c r="R64" i="19" s="1"/>
  <c r="T144" i="19"/>
  <c r="M356" i="19"/>
  <c r="P21" i="19"/>
  <c r="V25" i="19"/>
  <c r="W25" i="19" s="1"/>
  <c r="P25" i="19"/>
  <c r="O25" i="19"/>
  <c r="R37" i="19"/>
  <c r="M48" i="19"/>
  <c r="T54" i="19"/>
  <c r="T60" i="19"/>
  <c r="M64" i="19"/>
  <c r="N93" i="19"/>
  <c r="O101" i="19"/>
  <c r="P101" i="19" s="1"/>
  <c r="T170" i="19"/>
  <c r="S170" i="19"/>
  <c r="Q170" i="19"/>
  <c r="O170" i="19"/>
  <c r="P170" i="19"/>
  <c r="U170" i="19"/>
  <c r="R170" i="19"/>
  <c r="M184" i="19"/>
  <c r="N184" i="19" s="1"/>
  <c r="V284" i="19"/>
  <c r="W284" i="19" s="1"/>
  <c r="N284" i="19"/>
  <c r="T6" i="19"/>
  <c r="M6" i="19"/>
  <c r="N6" i="19" s="1"/>
  <c r="S6" i="19"/>
  <c r="O6" i="19"/>
  <c r="O18" i="19"/>
  <c r="P18" i="19" s="1"/>
  <c r="T21" i="19"/>
  <c r="O51" i="19"/>
  <c r="Q51" i="19" s="1"/>
  <c r="O58" i="19"/>
  <c r="M58" i="19"/>
  <c r="N58" i="19" s="1"/>
  <c r="M116" i="19"/>
  <c r="M210" i="19"/>
  <c r="N223" i="19"/>
  <c r="P237" i="19"/>
  <c r="U237" i="19"/>
  <c r="M274" i="19"/>
  <c r="T305" i="19"/>
  <c r="O305" i="19"/>
  <c r="P305" i="19" s="1"/>
  <c r="R305" i="19"/>
  <c r="Q305" i="19"/>
  <c r="S305" i="19"/>
  <c r="M329" i="19"/>
  <c r="R405" i="19"/>
  <c r="S405" i="19"/>
  <c r="M409" i="19"/>
  <c r="M41" i="19"/>
  <c r="U44" i="19"/>
  <c r="S64" i="19"/>
  <c r="P71" i="19"/>
  <c r="V71" i="19" s="1"/>
  <c r="W71" i="19" s="1"/>
  <c r="S71" i="19"/>
  <c r="R71" i="19"/>
  <c r="U71" i="19"/>
  <c r="O90" i="19"/>
  <c r="T90" i="19" s="1"/>
  <c r="M98" i="19"/>
  <c r="O110" i="19"/>
  <c r="P110" i="19" s="1"/>
  <c r="U120" i="19"/>
  <c r="R120" i="19"/>
  <c r="S120" i="19"/>
  <c r="Q120" i="19"/>
  <c r="P120" i="19"/>
  <c r="U141" i="19"/>
  <c r="T141" i="19"/>
  <c r="O141" i="19"/>
  <c r="P141" i="19" s="1"/>
  <c r="U150" i="19"/>
  <c r="R150" i="19"/>
  <c r="M170" i="19"/>
  <c r="N170" i="19" s="1"/>
  <c r="R189" i="19"/>
  <c r="Q189" i="19"/>
  <c r="U205" i="19"/>
  <c r="T205" i="19"/>
  <c r="Q205" i="19"/>
  <c r="P205" i="19"/>
  <c r="M238" i="19"/>
  <c r="R238" i="19"/>
  <c r="Q238" i="19"/>
  <c r="U238" i="19"/>
  <c r="N246" i="19"/>
  <c r="V340" i="19"/>
  <c r="W340" i="19" s="1"/>
  <c r="Q405" i="19"/>
  <c r="P414" i="19"/>
  <c r="M52" i="19"/>
  <c r="N52" i="19" s="1"/>
  <c r="O86" i="19"/>
  <c r="M29" i="19"/>
  <c r="S45" i="19"/>
  <c r="Q45" i="19"/>
  <c r="O45" i="19"/>
  <c r="P80" i="19"/>
  <c r="P132" i="19"/>
  <c r="N301" i="19"/>
  <c r="M421" i="19"/>
  <c r="Q32" i="19"/>
  <c r="Q48" i="19"/>
  <c r="M72" i="19"/>
  <c r="T159" i="19"/>
  <c r="P159" i="19"/>
  <c r="U159" i="19"/>
  <c r="S159" i="19"/>
  <c r="R159" i="19"/>
  <c r="Q159" i="19"/>
  <c r="O180" i="19"/>
  <c r="P238" i="19"/>
  <c r="R301" i="19"/>
  <c r="U301" i="19"/>
  <c r="Q15" i="19"/>
  <c r="S98" i="19"/>
  <c r="R98" i="19"/>
  <c r="U190" i="19"/>
  <c r="T190" i="19"/>
  <c r="Q190" i="19"/>
  <c r="U211" i="19"/>
  <c r="M296" i="19"/>
  <c r="N296" i="19" s="1"/>
  <c r="R378" i="19"/>
  <c r="Q378" i="19"/>
  <c r="T378" i="19"/>
  <c r="S378" i="19"/>
  <c r="P378" i="19"/>
  <c r="M22" i="19"/>
  <c r="S32" i="19"/>
  <c r="T68" i="19"/>
  <c r="R142" i="19"/>
  <c r="S142" i="19"/>
  <c r="O142" i="19"/>
  <c r="P190" i="19"/>
  <c r="T194" i="19"/>
  <c r="O10" i="19"/>
  <c r="P19" i="19"/>
  <c r="Q19" i="19"/>
  <c r="T32" i="19"/>
  <c r="U38" i="19"/>
  <c r="M80" i="19"/>
  <c r="N80" i="19" s="1"/>
  <c r="M87" i="19"/>
  <c r="T98" i="19"/>
  <c r="O103" i="19"/>
  <c r="M103" i="19"/>
  <c r="Q137" i="19"/>
  <c r="M156" i="19"/>
  <c r="Q171" i="19"/>
  <c r="M181" i="19"/>
  <c r="M270" i="19"/>
  <c r="T301" i="19"/>
  <c r="O326" i="19"/>
  <c r="Q326" i="19" s="1"/>
  <c r="T326" i="19"/>
  <c r="O395" i="19"/>
  <c r="R395" i="19" s="1"/>
  <c r="T395" i="19"/>
  <c r="M397" i="19"/>
  <c r="N397" i="19" s="1"/>
  <c r="O397" i="19"/>
  <c r="T397" i="19" s="1"/>
  <c r="R397" i="19"/>
  <c r="Q397" i="19"/>
  <c r="P397" i="19"/>
  <c r="P29" i="19"/>
  <c r="T29" i="19"/>
  <c r="S29" i="19"/>
  <c r="O29" i="19"/>
  <c r="Q29" i="19"/>
  <c r="S246" i="19"/>
  <c r="Q246" i="19"/>
  <c r="P246" i="19"/>
  <c r="O3" i="19"/>
  <c r="T12" i="19"/>
  <c r="S12" i="19"/>
  <c r="M132" i="19"/>
  <c r="M141" i="19"/>
  <c r="M180" i="19"/>
  <c r="O224" i="19"/>
  <c r="S224" i="19" s="1"/>
  <c r="M224" i="19"/>
  <c r="U246" i="19"/>
  <c r="T265" i="19"/>
  <c r="R265" i="19"/>
  <c r="Q265" i="19"/>
  <c r="S265" i="19"/>
  <c r="M129" i="19"/>
  <c r="P136" i="19"/>
  <c r="T254" i="19"/>
  <c r="P254" i="19"/>
  <c r="R254" i="19"/>
  <c r="Q254" i="19"/>
  <c r="P9" i="19"/>
  <c r="O38" i="19"/>
  <c r="T38" i="19" s="1"/>
  <c r="O125" i="19"/>
  <c r="T125" i="19" s="1"/>
  <c r="V125" i="19"/>
  <c r="W125" i="19" s="1"/>
  <c r="O146" i="19"/>
  <c r="S146" i="19" s="1"/>
  <c r="U146" i="19"/>
  <c r="V146" i="19"/>
  <c r="W146" i="19" s="1"/>
  <c r="P146" i="19"/>
  <c r="N171" i="19"/>
  <c r="R194" i="19"/>
  <c r="O341" i="19"/>
  <c r="M3" i="19"/>
  <c r="R12" i="19"/>
  <c r="R32" i="19"/>
  <c r="R48" i="19"/>
  <c r="U206" i="19"/>
  <c r="T206" i="19"/>
  <c r="S238" i="19"/>
  <c r="Q301" i="19"/>
  <c r="Q4" i="19"/>
  <c r="P4" i="19"/>
  <c r="M4" i="19"/>
  <c r="N4" i="19" s="1"/>
  <c r="U4" i="19"/>
  <c r="U12" i="19"/>
  <c r="M7" i="19"/>
  <c r="N7" i="19" s="1"/>
  <c r="M42" i="19"/>
  <c r="N42" i="19" s="1"/>
  <c r="O42" i="19"/>
  <c r="P42" i="19" s="1"/>
  <c r="O73" i="19"/>
  <c r="M73" i="19"/>
  <c r="O80" i="19"/>
  <c r="P95" i="19"/>
  <c r="T95" i="19"/>
  <c r="M95" i="19"/>
  <c r="R137" i="19"/>
  <c r="U156" i="19"/>
  <c r="S156" i="19"/>
  <c r="R156" i="19"/>
  <c r="Q156" i="19"/>
  <c r="U166" i="19"/>
  <c r="O166" i="19"/>
  <c r="P166" i="19" s="1"/>
  <c r="S166" i="19"/>
  <c r="Q166" i="19"/>
  <c r="R171" i="19"/>
  <c r="M177" i="19"/>
  <c r="N177" i="19" s="1"/>
  <c r="R260" i="19"/>
  <c r="T297" i="19"/>
  <c r="P297" i="19"/>
  <c r="R297" i="19"/>
  <c r="S297" i="19"/>
  <c r="M347" i="19"/>
  <c r="M395" i="19"/>
  <c r="S38" i="19"/>
  <c r="P38" i="19"/>
  <c r="O132" i="19"/>
  <c r="S132" i="19" s="1"/>
  <c r="Q132" i="19"/>
  <c r="M155" i="19"/>
  <c r="N155" i="19" s="1"/>
  <c r="T155" i="19"/>
  <c r="O155" i="19"/>
  <c r="U155" i="19" s="1"/>
  <c r="R176" i="19"/>
  <c r="Q176" i="19"/>
  <c r="O176" i="19"/>
  <c r="T176" i="19" s="1"/>
  <c r="M363" i="19"/>
  <c r="N363" i="19" s="1"/>
  <c r="O363" i="19"/>
  <c r="R363" i="19" s="1"/>
  <c r="U363" i="19"/>
  <c r="S363" i="19"/>
  <c r="P12" i="19"/>
  <c r="Q22" i="19"/>
  <c r="O22" i="19"/>
  <c r="P22" i="19" s="1"/>
  <c r="T22" i="19"/>
  <c r="S22" i="19"/>
  <c r="R22" i="19"/>
  <c r="T72" i="19"/>
  <c r="R72" i="19"/>
  <c r="U72" i="19"/>
  <c r="S72" i="19"/>
  <c r="Q72" i="19"/>
  <c r="O72" i="19"/>
  <c r="P72" i="19" s="1"/>
  <c r="O87" i="19"/>
  <c r="Q194" i="19"/>
  <c r="U265" i="19"/>
  <c r="Q306" i="19"/>
  <c r="P306" i="19"/>
  <c r="O306" i="19"/>
  <c r="R306" i="19" s="1"/>
  <c r="M306" i="19"/>
  <c r="N306" i="19" s="1"/>
  <c r="T306" i="19"/>
  <c r="S306" i="19"/>
  <c r="Q346" i="19"/>
  <c r="P346" i="19"/>
  <c r="O346" i="19"/>
  <c r="S346" i="19" s="1"/>
  <c r="P351" i="19"/>
  <c r="R29" i="19"/>
  <c r="S351" i="19"/>
  <c r="Q9" i="19"/>
  <c r="O52" i="19"/>
  <c r="S68" i="19"/>
  <c r="R68" i="19"/>
  <c r="P68" i="19"/>
  <c r="V68" i="19" s="1"/>
  <c r="W68" i="19" s="1"/>
  <c r="Q68" i="19"/>
  <c r="S194" i="19"/>
  <c r="M216" i="19"/>
  <c r="U254" i="19"/>
  <c r="P363" i="19"/>
  <c r="M45" i="19"/>
  <c r="N45" i="19" s="1"/>
  <c r="Q98" i="19"/>
  <c r="Q206" i="19"/>
  <c r="S301" i="19"/>
  <c r="U306" i="19"/>
  <c r="M337" i="19"/>
  <c r="Q363" i="19"/>
  <c r="U373" i="19"/>
  <c r="R373" i="19"/>
  <c r="O373" i="19"/>
  <c r="T373" i="19" s="1"/>
  <c r="U378" i="19"/>
  <c r="V378" i="19" s="1"/>
  <c r="W378" i="19" s="1"/>
  <c r="M19" i="19"/>
  <c r="M26" i="19"/>
  <c r="M59" i="19"/>
  <c r="O77" i="19"/>
  <c r="S77" i="19" s="1"/>
  <c r="R77" i="19"/>
  <c r="Q77" i="19"/>
  <c r="P77" i="19"/>
  <c r="U77" i="19"/>
  <c r="T77" i="19"/>
  <c r="O99" i="19"/>
  <c r="T107" i="19"/>
  <c r="S107" i="19"/>
  <c r="O107" i="19"/>
  <c r="R107" i="19"/>
  <c r="U107" i="19"/>
  <c r="R125" i="19"/>
  <c r="T146" i="19"/>
  <c r="P156" i="19"/>
  <c r="V292" i="19"/>
  <c r="W292" i="19" s="1"/>
  <c r="O292" i="19"/>
  <c r="R292" i="19"/>
  <c r="Q292" i="19"/>
  <c r="Q297" i="19"/>
  <c r="M353" i="19"/>
  <c r="U359" i="19"/>
  <c r="T359" i="19"/>
  <c r="P359" i="19"/>
  <c r="O359" i="19"/>
  <c r="Q359" i="19" s="1"/>
  <c r="S359" i="19"/>
  <c r="M359" i="19"/>
  <c r="M364" i="19"/>
  <c r="R96" i="19"/>
  <c r="Q96" i="19"/>
  <c r="P96" i="19"/>
  <c r="P102" i="19"/>
  <c r="O102" i="19"/>
  <c r="T102" i="19"/>
  <c r="S102" i="19"/>
  <c r="U113" i="19"/>
  <c r="T113" i="19"/>
  <c r="T165" i="19"/>
  <c r="P165" i="19"/>
  <c r="U165" i="19"/>
  <c r="M165" i="19"/>
  <c r="S262" i="19"/>
  <c r="R262" i="19"/>
  <c r="U262" i="19"/>
  <c r="T262" i="19"/>
  <c r="P262" i="19"/>
  <c r="Q262" i="19"/>
  <c r="O262" i="19"/>
  <c r="T307" i="19"/>
  <c r="Q307" i="19"/>
  <c r="P307" i="19"/>
  <c r="U307" i="19"/>
  <c r="M307" i="19"/>
  <c r="N307" i="19" s="1"/>
  <c r="S307" i="19"/>
  <c r="R355" i="19"/>
  <c r="U355" i="19"/>
  <c r="M355" i="19"/>
  <c r="N355" i="19" s="1"/>
  <c r="S355" i="19"/>
  <c r="Q355" i="19"/>
  <c r="P355" i="19"/>
  <c r="V355" i="19" s="1"/>
  <c r="W355" i="19" s="1"/>
  <c r="S361" i="19"/>
  <c r="R361" i="19"/>
  <c r="Q361" i="19"/>
  <c r="M361" i="19"/>
  <c r="O49" i="19"/>
  <c r="P93" i="19"/>
  <c r="V93" i="19" s="1"/>
  <c r="W93" i="19" s="1"/>
  <c r="P113" i="19"/>
  <c r="T117" i="19"/>
  <c r="S117" i="19"/>
  <c r="M117" i="19"/>
  <c r="O123" i="19"/>
  <c r="T123" i="19" s="1"/>
  <c r="U123" i="19"/>
  <c r="Q130" i="19"/>
  <c r="P130" i="19"/>
  <c r="P139" i="19"/>
  <c r="M139" i="19"/>
  <c r="U139" i="19"/>
  <c r="T139" i="19"/>
  <c r="M149" i="19"/>
  <c r="O169" i="19"/>
  <c r="S169" i="19" s="1"/>
  <c r="M169" i="19"/>
  <c r="N169" i="19" s="1"/>
  <c r="R231" i="19"/>
  <c r="T275" i="19"/>
  <c r="P275" i="19"/>
  <c r="U275" i="19"/>
  <c r="S275" i="19"/>
  <c r="R275" i="19"/>
  <c r="M275" i="19"/>
  <c r="N275" i="19" s="1"/>
  <c r="Q275" i="19"/>
  <c r="M415" i="19"/>
  <c r="N415" i="19" s="1"/>
  <c r="P8" i="19"/>
  <c r="T8" i="19"/>
  <c r="S8" i="19"/>
  <c r="V8" i="19"/>
  <c r="W8" i="19"/>
  <c r="S23" i="19"/>
  <c r="Q23" i="19"/>
  <c r="R23" i="19"/>
  <c r="M33" i="19"/>
  <c r="M49" i="19"/>
  <c r="N49" i="19" s="1"/>
  <c r="M54" i="19"/>
  <c r="M61" i="19"/>
  <c r="M96" i="19"/>
  <c r="Q113" i="19"/>
  <c r="P177" i="19"/>
  <c r="O181" i="19"/>
  <c r="S181" i="19" s="1"/>
  <c r="T235" i="19"/>
  <c r="O235" i="19"/>
  <c r="M262" i="19"/>
  <c r="R271" i="19"/>
  <c r="Q271" i="19"/>
  <c r="U271" i="19"/>
  <c r="T271" i="19"/>
  <c r="T284" i="19"/>
  <c r="S284" i="19"/>
  <c r="P284" i="19"/>
  <c r="M289" i="19"/>
  <c r="M294" i="19"/>
  <c r="O361" i="19"/>
  <c r="P199" i="19"/>
  <c r="O199" i="19"/>
  <c r="Q199" i="19"/>
  <c r="M240" i="19"/>
  <c r="U258" i="19"/>
  <c r="O258" i="19"/>
  <c r="Q258" i="19" s="1"/>
  <c r="S258" i="19"/>
  <c r="M258" i="19"/>
  <c r="N258" i="19" s="1"/>
  <c r="P258" i="19"/>
  <c r="R258" i="19"/>
  <c r="M267" i="19"/>
  <c r="O267" i="19"/>
  <c r="S267" i="19"/>
  <c r="R267" i="19"/>
  <c r="U289" i="19"/>
  <c r="S289" i="19"/>
  <c r="M388" i="19"/>
  <c r="O388" i="19"/>
  <c r="T388" i="19" s="1"/>
  <c r="N420" i="19"/>
  <c r="T5" i="19"/>
  <c r="S5" i="19"/>
  <c r="R5" i="19"/>
  <c r="Q5" i="19"/>
  <c r="P15" i="19"/>
  <c r="M38" i="19"/>
  <c r="Q61" i="19"/>
  <c r="U70" i="19"/>
  <c r="S78" i="19"/>
  <c r="T78" i="19"/>
  <c r="R78" i="19"/>
  <c r="U78" i="19"/>
  <c r="Q78" i="19"/>
  <c r="V78" i="19" s="1"/>
  <c r="W78" i="19" s="1"/>
  <c r="P83" i="19"/>
  <c r="U96" i="19"/>
  <c r="U111" i="19"/>
  <c r="T111" i="19"/>
  <c r="M120" i="19"/>
  <c r="R136" i="19"/>
  <c r="U136" i="19"/>
  <c r="T136" i="19"/>
  <c r="M146" i="19"/>
  <c r="N146" i="19" s="1"/>
  <c r="Q165" i="19"/>
  <c r="Q188" i="19"/>
  <c r="P188" i="19"/>
  <c r="U188" i="19"/>
  <c r="S188" i="19"/>
  <c r="R188" i="19"/>
  <c r="V188" i="19" s="1"/>
  <c r="W188" i="19" s="1"/>
  <c r="T188" i="19"/>
  <c r="S209" i="19"/>
  <c r="U209" i="19"/>
  <c r="T220" i="19"/>
  <c r="O220" i="19"/>
  <c r="M220" i="19"/>
  <c r="N220" i="19" s="1"/>
  <c r="R240" i="19"/>
  <c r="Q240" i="19"/>
  <c r="R307" i="19"/>
  <c r="T355" i="19"/>
  <c r="U361" i="19"/>
  <c r="O375" i="19"/>
  <c r="P5" i="19"/>
  <c r="T13" i="19"/>
  <c r="P13" i="19"/>
  <c r="O13" i="19"/>
  <c r="R61" i="19"/>
  <c r="Q83" i="19"/>
  <c r="V83" i="19" s="1"/>
  <c r="W83" i="19" s="1"/>
  <c r="P111" i="19"/>
  <c r="P117" i="19"/>
  <c r="M127" i="19"/>
  <c r="N127" i="19" s="1"/>
  <c r="P127" i="19"/>
  <c r="S127" i="19"/>
  <c r="O127" i="19"/>
  <c r="S139" i="19"/>
  <c r="T150" i="19"/>
  <c r="S150" i="19"/>
  <c r="R165" i="19"/>
  <c r="R181" i="19"/>
  <c r="R193" i="19"/>
  <c r="Q193" i="19"/>
  <c r="V193" i="19"/>
  <c r="W193" i="19" s="1"/>
  <c r="P193" i="19"/>
  <c r="Q202" i="19"/>
  <c r="M202" i="19"/>
  <c r="N202" i="19" s="1"/>
  <c r="R202" i="19"/>
  <c r="O202" i="19"/>
  <c r="M206" i="19"/>
  <c r="P209" i="19"/>
  <c r="T240" i="19"/>
  <c r="M271" i="19"/>
  <c r="N271" i="19" s="1"/>
  <c r="Q388" i="19"/>
  <c r="M18" i="19"/>
  <c r="M21" i="19"/>
  <c r="S21" i="19"/>
  <c r="Q21" i="19"/>
  <c r="R21" i="19"/>
  <c r="T34" i="19"/>
  <c r="S47" i="19"/>
  <c r="R47" i="19"/>
  <c r="U47" i="19"/>
  <c r="T47" i="19"/>
  <c r="Q47" i="19"/>
  <c r="P47" i="19"/>
  <c r="U147" i="19"/>
  <c r="O147" i="19"/>
  <c r="R147" i="19"/>
  <c r="M282" i="19"/>
  <c r="R282" i="19"/>
  <c r="Q282" i="19"/>
  <c r="U282" i="19"/>
  <c r="T282" i="19"/>
  <c r="N303" i="19"/>
  <c r="V303" i="19"/>
  <c r="W303" i="19" s="1"/>
  <c r="O357" i="19"/>
  <c r="U357" i="19" s="1"/>
  <c r="T357" i="19"/>
  <c r="S357" i="19"/>
  <c r="M394" i="19"/>
  <c r="N394" i="19" s="1"/>
  <c r="O394" i="19"/>
  <c r="R394" i="19"/>
  <c r="S15" i="19"/>
  <c r="R65" i="19"/>
  <c r="O65" i="19"/>
  <c r="U65" i="19" s="1"/>
  <c r="T65" i="19"/>
  <c r="Q65" i="19"/>
  <c r="P65" i="19"/>
  <c r="O70" i="19"/>
  <c r="T70" i="19" s="1"/>
  <c r="T79" i="19"/>
  <c r="U79" i="19"/>
  <c r="R79" i="19"/>
  <c r="S79" i="19"/>
  <c r="O109" i="19"/>
  <c r="Q121" i="19"/>
  <c r="S121" i="19"/>
  <c r="U121" i="19"/>
  <c r="R121" i="19"/>
  <c r="V130" i="19"/>
  <c r="W130" i="19" s="1"/>
  <c r="S136" i="19"/>
  <c r="U140" i="19"/>
  <c r="R140" i="19"/>
  <c r="M182" i="19"/>
  <c r="Q203" i="19"/>
  <c r="O203" i="19"/>
  <c r="S203" i="19"/>
  <c r="R203" i="19"/>
  <c r="R232" i="19"/>
  <c r="U232" i="19"/>
  <c r="Q232" i="19"/>
  <c r="P232" i="19"/>
  <c r="M300" i="19"/>
  <c r="S303" i="19"/>
  <c r="U303" i="19"/>
  <c r="T303" i="19"/>
  <c r="R303" i="19"/>
  <c r="Q303" i="19"/>
  <c r="P367" i="19"/>
  <c r="U367" i="19"/>
  <c r="T367" i="19"/>
  <c r="S367" i="19"/>
  <c r="R367" i="19"/>
  <c r="Q367" i="19"/>
  <c r="M367" i="19"/>
  <c r="N367" i="19" s="1"/>
  <c r="T15" i="19"/>
  <c r="V23" i="19"/>
  <c r="W23" i="19" s="1"/>
  <c r="M39" i="19"/>
  <c r="O39" i="19"/>
  <c r="M47" i="19"/>
  <c r="M50" i="19"/>
  <c r="P70" i="19"/>
  <c r="M79" i="19"/>
  <c r="O89" i="19"/>
  <c r="Q94" i="19"/>
  <c r="M128" i="19"/>
  <c r="R128" i="19"/>
  <c r="P128" i="19"/>
  <c r="Q128" i="19"/>
  <c r="P140" i="19"/>
  <c r="P154" i="19"/>
  <c r="S182" i="19"/>
  <c r="P182" i="19"/>
  <c r="U193" i="19"/>
  <c r="O215" i="19"/>
  <c r="S232" i="19"/>
  <c r="M277" i="19"/>
  <c r="P303" i="19"/>
  <c r="R384" i="19"/>
  <c r="T404" i="19"/>
  <c r="R404" i="19"/>
  <c r="Q404" i="19"/>
  <c r="U404" i="19"/>
  <c r="S404" i="19"/>
  <c r="P404" i="19"/>
  <c r="U15" i="19"/>
  <c r="U32" i="19"/>
  <c r="V32" i="19" s="1"/>
  <c r="W32" i="19" s="1"/>
  <c r="T94" i="19"/>
  <c r="M109" i="19"/>
  <c r="M121" i="19"/>
  <c r="Q133" i="19"/>
  <c r="T133" i="19"/>
  <c r="Q140" i="19"/>
  <c r="M147" i="19"/>
  <c r="N147" i="19" s="1"/>
  <c r="Q154" i="19"/>
  <c r="R211" i="19"/>
  <c r="Q211" i="19"/>
  <c r="T211" i="19"/>
  <c r="S211" i="19"/>
  <c r="M211" i="19"/>
  <c r="T232" i="19"/>
  <c r="Q286" i="19"/>
  <c r="R286" i="19"/>
  <c r="P286" i="19"/>
  <c r="U286" i="19"/>
  <c r="O348" i="19"/>
  <c r="R348" i="19"/>
  <c r="Q348" i="19"/>
  <c r="M16" i="19"/>
  <c r="M24" i="19"/>
  <c r="N24" i="19" s="1"/>
  <c r="S24" i="19"/>
  <c r="R24" i="19"/>
  <c r="P24" i="19"/>
  <c r="Q24" i="19"/>
  <c r="M34" i="19"/>
  <c r="N34" i="19" s="1"/>
  <c r="Q76" i="19"/>
  <c r="U76" i="19"/>
  <c r="T76" i="19"/>
  <c r="P76" i="19"/>
  <c r="M76" i="19"/>
  <c r="P106" i="19"/>
  <c r="M115" i="19"/>
  <c r="O115" i="19"/>
  <c r="U115" i="19" s="1"/>
  <c r="P133" i="19"/>
  <c r="S140" i="19"/>
  <c r="O175" i="19"/>
  <c r="M175" i="19"/>
  <c r="M190" i="19"/>
  <c r="N190" i="19" s="1"/>
  <c r="T200" i="19"/>
  <c r="S200" i="19"/>
  <c r="S225" i="19"/>
  <c r="R225" i="19"/>
  <c r="Q225" i="19"/>
  <c r="Q233" i="19"/>
  <c r="M233" i="19"/>
  <c r="N233" i="19" s="1"/>
  <c r="P233" i="19"/>
  <c r="O233" i="19"/>
  <c r="U233" i="19"/>
  <c r="U296" i="19"/>
  <c r="P296" i="19"/>
  <c r="O296" i="19"/>
  <c r="S296" i="19"/>
  <c r="R296" i="19"/>
  <c r="Q296" i="19"/>
  <c r="T296" i="19"/>
  <c r="U309" i="19"/>
  <c r="T309" i="19"/>
  <c r="S309" i="19"/>
  <c r="P309" i="19"/>
  <c r="M381" i="19"/>
  <c r="U412" i="19"/>
  <c r="S412" i="19"/>
  <c r="P412" i="19"/>
  <c r="Q417" i="19"/>
  <c r="P417" i="19"/>
  <c r="T417" i="19"/>
  <c r="U417" i="19"/>
  <c r="R417" i="19"/>
  <c r="T11" i="19"/>
  <c r="S11" i="19"/>
  <c r="P11" i="19"/>
  <c r="P74" i="19"/>
  <c r="T74" i="19"/>
  <c r="R74" i="19"/>
  <c r="R299" i="19"/>
  <c r="V299" i="19"/>
  <c r="W299" i="19" s="1"/>
  <c r="U299" i="19"/>
  <c r="T299" i="19"/>
  <c r="O299" i="19"/>
  <c r="Q299" i="19" s="1"/>
  <c r="M348" i="19"/>
  <c r="M30" i="19"/>
  <c r="N30" i="19" s="1"/>
  <c r="S53" i="19"/>
  <c r="R53" i="19"/>
  <c r="M81" i="19"/>
  <c r="M94" i="19"/>
  <c r="M106" i="19"/>
  <c r="M123" i="19"/>
  <c r="M166" i="19"/>
  <c r="M197" i="19"/>
  <c r="R197" i="19"/>
  <c r="Q197" i="19"/>
  <c r="S250" i="19"/>
  <c r="R250" i="19"/>
  <c r="U250" i="19"/>
  <c r="Q250" i="19"/>
  <c r="P250" i="19"/>
  <c r="S287" i="19"/>
  <c r="M287" i="19"/>
  <c r="N287" i="19" s="1"/>
  <c r="T287" i="19"/>
  <c r="Q287" i="19"/>
  <c r="T340" i="19"/>
  <c r="P340" i="19"/>
  <c r="U340" i="19"/>
  <c r="R340" i="19"/>
  <c r="O352" i="19"/>
  <c r="Q352" i="19" s="1"/>
  <c r="T384" i="19"/>
  <c r="Q384" i="19"/>
  <c r="P384" i="19"/>
  <c r="S384" i="19"/>
  <c r="M384" i="19"/>
  <c r="R408" i="19"/>
  <c r="S408" i="19"/>
  <c r="Q408" i="19"/>
  <c r="O55" i="19"/>
  <c r="T55" i="19" s="1"/>
  <c r="P81" i="19"/>
  <c r="Q118" i="19"/>
  <c r="M118" i="19"/>
  <c r="N118" i="19" s="1"/>
  <c r="U118" i="19"/>
  <c r="V118" i="19" s="1"/>
  <c r="W118" i="19" s="1"/>
  <c r="R118" i="19"/>
  <c r="R212" i="19"/>
  <c r="S212" i="19"/>
  <c r="Q212" i="19"/>
  <c r="T218" i="19"/>
  <c r="M218" i="19"/>
  <c r="P218" i="19"/>
  <c r="U218" i="19"/>
  <c r="T244" i="19"/>
  <c r="Q244" i="19"/>
  <c r="S244" i="19"/>
  <c r="O244" i="19"/>
  <c r="R244" i="19" s="1"/>
  <c r="M380" i="19"/>
  <c r="V7" i="19"/>
  <c r="W7" i="19" s="1"/>
  <c r="V9" i="19"/>
  <c r="W9" i="19" s="1"/>
  <c r="S9" i="19"/>
  <c r="M13" i="19"/>
  <c r="M15" i="19"/>
  <c r="S206" i="19"/>
  <c r="R206" i="19"/>
  <c r="P206" i="19"/>
  <c r="M209" i="19"/>
  <c r="N209" i="19" s="1"/>
  <c r="T212" i="19"/>
  <c r="M221" i="19"/>
  <c r="M228" i="19"/>
  <c r="N228" i="19" s="1"/>
  <c r="U228" i="19"/>
  <c r="R228" i="19"/>
  <c r="Q228" i="19"/>
  <c r="T250" i="19"/>
  <c r="M265" i="19"/>
  <c r="T272" i="19"/>
  <c r="Q272" i="19"/>
  <c r="P272" i="19"/>
  <c r="O272" i="19"/>
  <c r="M333" i="19"/>
  <c r="N333" i="19" s="1"/>
  <c r="Q340" i="19"/>
  <c r="M352" i="19"/>
  <c r="O364" i="19"/>
  <c r="T364" i="19" s="1"/>
  <c r="U364" i="19"/>
  <c r="P368" i="19"/>
  <c r="O392" i="19"/>
  <c r="P392" i="19" s="1"/>
  <c r="M392" i="19"/>
  <c r="N392" i="19" s="1"/>
  <c r="P408" i="19"/>
  <c r="V408" i="19" s="1"/>
  <c r="W408" i="19" s="1"/>
  <c r="Q148" i="19"/>
  <c r="N406" i="19"/>
  <c r="V406" i="19"/>
  <c r="W406" i="19" s="1"/>
  <c r="S26" i="19"/>
  <c r="R26" i="19"/>
  <c r="Q322" i="19"/>
  <c r="U322" i="19"/>
  <c r="M326" i="19"/>
  <c r="N326" i="19" s="1"/>
  <c r="T353" i="19"/>
  <c r="R353" i="19"/>
  <c r="U353" i="19"/>
  <c r="M398" i="19"/>
  <c r="M422" i="19"/>
  <c r="N422" i="19" s="1"/>
  <c r="O422" i="19"/>
  <c r="S7" i="19"/>
  <c r="T9" i="19"/>
  <c r="P26" i="19"/>
  <c r="S35" i="19"/>
  <c r="R35" i="19"/>
  <c r="V35" i="19" s="1"/>
  <c r="W35" i="19" s="1"/>
  <c r="S56" i="19"/>
  <c r="R56" i="19"/>
  <c r="O56" i="19"/>
  <c r="M62" i="19"/>
  <c r="M82" i="19"/>
  <c r="Q82" i="19"/>
  <c r="P82" i="19"/>
  <c r="T93" i="19"/>
  <c r="U93" i="19"/>
  <c r="M102" i="19"/>
  <c r="O114" i="19"/>
  <c r="R114" i="19" s="1"/>
  <c r="M119" i="19"/>
  <c r="P137" i="19"/>
  <c r="U137" i="19"/>
  <c r="T137" i="19"/>
  <c r="M148" i="19"/>
  <c r="Q164" i="19"/>
  <c r="P164" i="19"/>
  <c r="R186" i="19"/>
  <c r="Q186" i="19"/>
  <c r="T186" i="19"/>
  <c r="O192" i="19"/>
  <c r="Q192" i="19" s="1"/>
  <c r="S192" i="19"/>
  <c r="U204" i="19"/>
  <c r="T204" i="19"/>
  <c r="Q204" i="19"/>
  <c r="S204" i="19"/>
  <c r="R204" i="19"/>
  <c r="M204" i="19"/>
  <c r="N204" i="19" s="1"/>
  <c r="T266" i="19"/>
  <c r="Q266" i="19"/>
  <c r="P266" i="19"/>
  <c r="R273" i="19"/>
  <c r="Q273" i="19"/>
  <c r="P273" i="19"/>
  <c r="P277" i="19"/>
  <c r="P281" i="19"/>
  <c r="R315" i="19"/>
  <c r="Q315" i="19"/>
  <c r="P322" i="19"/>
  <c r="M330" i="19"/>
  <c r="P353" i="19"/>
  <c r="M229" i="19"/>
  <c r="R239" i="19"/>
  <c r="O239" i="19"/>
  <c r="U239" i="19" s="1"/>
  <c r="T239" i="19"/>
  <c r="U245" i="19"/>
  <c r="R245" i="19"/>
  <c r="Q245" i="19"/>
  <c r="M373" i="19"/>
  <c r="O145" i="19"/>
  <c r="U145" i="19"/>
  <c r="P145" i="19"/>
  <c r="M154" i="19"/>
  <c r="T154" i="19"/>
  <c r="P245" i="19"/>
  <c r="T7" i="19"/>
  <c r="U9" i="19"/>
  <c r="M12" i="19"/>
  <c r="Q26" i="19"/>
  <c r="M75" i="19"/>
  <c r="M107" i="19"/>
  <c r="N107" i="19" s="1"/>
  <c r="M114" i="19"/>
  <c r="M137" i="19"/>
  <c r="S164" i="19"/>
  <c r="Q183" i="19"/>
  <c r="M183" i="19"/>
  <c r="O183" i="19"/>
  <c r="R246" i="19"/>
  <c r="T246" i="19"/>
  <c r="P259" i="19"/>
  <c r="U259" i="19"/>
  <c r="O259" i="19"/>
  <c r="U266" i="19"/>
  <c r="S273" i="19"/>
  <c r="Q277" i="19"/>
  <c r="Q281" i="19"/>
  <c r="T315" i="19"/>
  <c r="O319" i="19"/>
  <c r="R319" i="19" s="1"/>
  <c r="U319" i="19"/>
  <c r="M319" i="19"/>
  <c r="R322" i="19"/>
  <c r="R338" i="19"/>
  <c r="S338" i="19"/>
  <c r="Q338" i="19"/>
  <c r="T338" i="19"/>
  <c r="Q342" i="19"/>
  <c r="T342" i="19"/>
  <c r="S342" i="19"/>
  <c r="R342" i="19"/>
  <c r="M350" i="19"/>
  <c r="Q353" i="19"/>
  <c r="Q10" i="19"/>
  <c r="P10" i="19"/>
  <c r="T26" i="19"/>
  <c r="Q31" i="19"/>
  <c r="P31" i="19"/>
  <c r="M31" i="19"/>
  <c r="M84" i="19"/>
  <c r="M91" i="19"/>
  <c r="O91" i="19"/>
  <c r="T100" i="19"/>
  <c r="R100" i="19"/>
  <c r="Q100" i="19"/>
  <c r="P100" i="19"/>
  <c r="U122" i="19"/>
  <c r="R122" i="19"/>
  <c r="R134" i="19"/>
  <c r="Q134" i="19"/>
  <c r="M145" i="19"/>
  <c r="S171" i="19"/>
  <c r="U171" i="19"/>
  <c r="T171" i="19"/>
  <c r="U189" i="19"/>
  <c r="T189" i="19"/>
  <c r="M189" i="19"/>
  <c r="N189" i="19" s="1"/>
  <c r="S189" i="19"/>
  <c r="N195" i="19"/>
  <c r="T226" i="19"/>
  <c r="S226" i="19"/>
  <c r="S239" i="19"/>
  <c r="R270" i="19"/>
  <c r="O270" i="19"/>
  <c r="P270" i="19"/>
  <c r="S270" i="19"/>
  <c r="S281" i="19"/>
  <c r="S322" i="19"/>
  <c r="S353" i="19"/>
  <c r="R253" i="19"/>
  <c r="T253" i="19"/>
  <c r="P253" i="19"/>
  <c r="O263" i="19"/>
  <c r="S263" i="19"/>
  <c r="M263" i="19"/>
  <c r="N263" i="19" s="1"/>
  <c r="O308" i="19"/>
  <c r="R308" i="19"/>
  <c r="U311" i="19"/>
  <c r="M324" i="19"/>
  <c r="T374" i="19"/>
  <c r="P374" i="19"/>
  <c r="T69" i="19"/>
  <c r="T86" i="19"/>
  <c r="S177" i="19"/>
  <c r="V177" i="19"/>
  <c r="W177" i="19" s="1"/>
  <c r="M203" i="19"/>
  <c r="T230" i="19"/>
  <c r="V230" i="19" s="1"/>
  <c r="W230" i="19" s="1"/>
  <c r="Q230" i="19"/>
  <c r="Q253" i="19"/>
  <c r="M269" i="19"/>
  <c r="P295" i="19"/>
  <c r="M295" i="19"/>
  <c r="N295" i="19" s="1"/>
  <c r="U295" i="19"/>
  <c r="Q295" i="19"/>
  <c r="S295" i="19"/>
  <c r="P298" i="19"/>
  <c r="M344" i="19"/>
  <c r="Q374" i="19"/>
  <c r="U381" i="19"/>
  <c r="T381" i="19"/>
  <c r="S381" i="19"/>
  <c r="T62" i="19"/>
  <c r="P94" i="19"/>
  <c r="O185" i="19"/>
  <c r="R185" i="19"/>
  <c r="M225" i="19"/>
  <c r="T260" i="19"/>
  <c r="S260" i="19"/>
  <c r="Q260" i="19"/>
  <c r="P260" i="19"/>
  <c r="M260" i="19"/>
  <c r="N260" i="19" s="1"/>
  <c r="T263" i="19"/>
  <c r="P311" i="19"/>
  <c r="U331" i="19"/>
  <c r="P331" i="19"/>
  <c r="V331" i="19" s="1"/>
  <c r="W331" i="19" s="1"/>
  <c r="T331" i="19"/>
  <c r="Q331" i="19"/>
  <c r="S331" i="19"/>
  <c r="U351" i="19"/>
  <c r="R351" i="19"/>
  <c r="Q351" i="19"/>
  <c r="U374" i="19"/>
  <c r="P400" i="19"/>
  <c r="O400" i="19"/>
  <c r="M400" i="19"/>
  <c r="N400" i="19" s="1"/>
  <c r="U400" i="19"/>
  <c r="S96" i="19"/>
  <c r="P98" i="19"/>
  <c r="U98" i="19"/>
  <c r="T134" i="19"/>
  <c r="M193" i="19"/>
  <c r="N193" i="19" s="1"/>
  <c r="M239" i="19"/>
  <c r="M279" i="19"/>
  <c r="P285" i="19"/>
  <c r="Q311" i="19"/>
  <c r="O324" i="19"/>
  <c r="T324" i="19" s="1"/>
  <c r="M351" i="19"/>
  <c r="U358" i="19"/>
  <c r="R358" i="19"/>
  <c r="Q358" i="19"/>
  <c r="P358" i="19"/>
  <c r="O358" i="19"/>
  <c r="T368" i="19"/>
  <c r="S368" i="19"/>
  <c r="S371" i="19"/>
  <c r="U371" i="19"/>
  <c r="T371" i="19"/>
  <c r="M371" i="19"/>
  <c r="Q371" i="19"/>
  <c r="N378" i="19"/>
  <c r="M389" i="19"/>
  <c r="R389" i="19"/>
  <c r="P389" i="19"/>
  <c r="S389" i="19"/>
  <c r="O389" i="19"/>
  <c r="M407" i="19"/>
  <c r="O407" i="19"/>
  <c r="Q407" i="19" s="1"/>
  <c r="U335" i="19"/>
  <c r="Q335" i="19"/>
  <c r="T335" i="19"/>
  <c r="S335" i="19"/>
  <c r="S379" i="19"/>
  <c r="R379" i="19"/>
  <c r="T379" i="19"/>
  <c r="Q379" i="19"/>
  <c r="U379" i="19"/>
  <c r="O401" i="19"/>
  <c r="U401" i="19" s="1"/>
  <c r="S401" i="19"/>
  <c r="T41" i="19"/>
  <c r="P50" i="19"/>
  <c r="Q62" i="19"/>
  <c r="R94" i="19"/>
  <c r="T104" i="19"/>
  <c r="V104" i="19" s="1"/>
  <c r="W104" i="19" s="1"/>
  <c r="Q111" i="19"/>
  <c r="W126" i="19"/>
  <c r="Q151" i="19"/>
  <c r="O151" i="19"/>
  <c r="R151" i="19"/>
  <c r="S158" i="19"/>
  <c r="T173" i="19"/>
  <c r="O173" i="19"/>
  <c r="T191" i="19"/>
  <c r="S191" i="19"/>
  <c r="P191" i="19"/>
  <c r="P194" i="19"/>
  <c r="V194" i="19" s="1"/>
  <c r="W194" i="19" s="1"/>
  <c r="M199" i="19"/>
  <c r="T225" i="19"/>
  <c r="Q231" i="19"/>
  <c r="M231" i="19"/>
  <c r="P231" i="19"/>
  <c r="T249" i="19"/>
  <c r="Q249" i="19"/>
  <c r="U249" i="19"/>
  <c r="O280" i="19"/>
  <c r="Q280" i="19" s="1"/>
  <c r="S280" i="19"/>
  <c r="R280" i="19"/>
  <c r="M280" i="19"/>
  <c r="M309" i="19"/>
  <c r="M325" i="19"/>
  <c r="R328" i="19"/>
  <c r="P328" i="19"/>
  <c r="P335" i="19"/>
  <c r="O339" i="19"/>
  <c r="R339" i="19" s="1"/>
  <c r="P349" i="19"/>
  <c r="M349" i="19"/>
  <c r="S349" i="19"/>
  <c r="R349" i="19"/>
  <c r="T349" i="19"/>
  <c r="T386" i="19"/>
  <c r="S386" i="19"/>
  <c r="O390" i="19"/>
  <c r="U390" i="19" s="1"/>
  <c r="M390" i="19"/>
  <c r="N390" i="19" s="1"/>
  <c r="P390" i="19"/>
  <c r="T418" i="19"/>
  <c r="S418" i="19"/>
  <c r="P418" i="19"/>
  <c r="R62" i="19"/>
  <c r="S94" i="19"/>
  <c r="U104" i="19"/>
  <c r="P109" i="19"/>
  <c r="Q109" i="19"/>
  <c r="S109" i="19"/>
  <c r="M144" i="19"/>
  <c r="T158" i="19"/>
  <c r="M191" i="19"/>
  <c r="O210" i="19"/>
  <c r="U225" i="19"/>
  <c r="O234" i="19"/>
  <c r="T234" i="19" s="1"/>
  <c r="S237" i="19"/>
  <c r="R237" i="19"/>
  <c r="M237" i="19"/>
  <c r="T237" i="19"/>
  <c r="Q237" i="19"/>
  <c r="M249" i="19"/>
  <c r="N249" i="19" s="1"/>
  <c r="R252" i="19"/>
  <c r="M293" i="19"/>
  <c r="Q328" i="19"/>
  <c r="R335" i="19"/>
  <c r="M379" i="19"/>
  <c r="P386" i="19"/>
  <c r="V386" i="19" s="1"/>
  <c r="W386" i="19" s="1"/>
  <c r="M411" i="19"/>
  <c r="R418" i="19"/>
  <c r="M100" i="19"/>
  <c r="T121" i="19"/>
  <c r="U129" i="19"/>
  <c r="Q129" i="19"/>
  <c r="R133" i="19"/>
  <c r="M157" i="19"/>
  <c r="N157" i="19" s="1"/>
  <c r="U157" i="19"/>
  <c r="Q157" i="19"/>
  <c r="R182" i="19"/>
  <c r="Q182" i="19"/>
  <c r="T182" i="19"/>
  <c r="R209" i="19"/>
  <c r="M248" i="19"/>
  <c r="N248" i="19" s="1"/>
  <c r="O248" i="19"/>
  <c r="P248" i="19" s="1"/>
  <c r="U277" i="19"/>
  <c r="R277" i="19"/>
  <c r="M286" i="19"/>
  <c r="R164" i="19"/>
  <c r="M164" i="19"/>
  <c r="N164" i="19" s="1"/>
  <c r="R281" i="19"/>
  <c r="R284" i="19"/>
  <c r="Q284" i="19"/>
  <c r="U284" i="19"/>
  <c r="M290" i="19"/>
  <c r="T290" i="19"/>
  <c r="S290" i="19"/>
  <c r="R290" i="19"/>
  <c r="U290" i="19"/>
  <c r="P290" i="19"/>
  <c r="Q317" i="19"/>
  <c r="O317" i="19"/>
  <c r="P317" i="19" s="1"/>
  <c r="U317" i="19"/>
  <c r="R317" i="19"/>
  <c r="S317" i="19"/>
  <c r="O323" i="19"/>
  <c r="U323" i="19" s="1"/>
  <c r="M323" i="19"/>
  <c r="N323" i="19" s="1"/>
  <c r="S369" i="19"/>
  <c r="R369" i="19"/>
  <c r="P121" i="19"/>
  <c r="S129" i="19"/>
  <c r="S133" i="19"/>
  <c r="M142" i="19"/>
  <c r="O153" i="19"/>
  <c r="M153" i="19"/>
  <c r="S153" i="19"/>
  <c r="V160" i="19"/>
  <c r="W160" i="19" s="1"/>
  <c r="T162" i="19"/>
  <c r="M162" i="19"/>
  <c r="R178" i="19"/>
  <c r="Q178" i="19"/>
  <c r="V178" i="19" s="1"/>
  <c r="W178" i="19" s="1"/>
  <c r="U182" i="19"/>
  <c r="M185" i="19"/>
  <c r="P187" i="19"/>
  <c r="S190" i="19"/>
  <c r="R190" i="19"/>
  <c r="V190" i="19" s="1"/>
  <c r="W190" i="19" s="1"/>
  <c r="Q200" i="19"/>
  <c r="M200" i="19"/>
  <c r="N200" i="19" s="1"/>
  <c r="T209" i="19"/>
  <c r="O227" i="19"/>
  <c r="O243" i="19"/>
  <c r="R243" i="19"/>
  <c r="Q243" i="19"/>
  <c r="U248" i="19"/>
  <c r="P251" i="19"/>
  <c r="T277" i="19"/>
  <c r="M311" i="19"/>
  <c r="M357" i="19"/>
  <c r="P369" i="19"/>
  <c r="O376" i="19"/>
  <c r="Q376" i="19"/>
  <c r="P376" i="19"/>
  <c r="O383" i="19"/>
  <c r="Q383" i="19"/>
  <c r="O416" i="19"/>
  <c r="S416" i="19" s="1"/>
  <c r="M111" i="19"/>
  <c r="V198" i="19"/>
  <c r="W198" i="19" s="1"/>
  <c r="U207" i="19"/>
  <c r="T207" i="19"/>
  <c r="U247" i="19"/>
  <c r="M247" i="19"/>
  <c r="P247" i="19"/>
  <c r="S304" i="19"/>
  <c r="P304" i="19"/>
  <c r="O304" i="19"/>
  <c r="M318" i="19"/>
  <c r="N318" i="19" s="1"/>
  <c r="U318" i="19"/>
  <c r="Q337" i="19"/>
  <c r="U302" i="19"/>
  <c r="R302" i="19"/>
  <c r="S302" i="19"/>
  <c r="O410" i="19"/>
  <c r="T421" i="19"/>
  <c r="S421" i="19"/>
  <c r="Q421" i="19"/>
  <c r="U421" i="19"/>
  <c r="R421" i="19"/>
  <c r="S205" i="19"/>
  <c r="R205" i="19"/>
  <c r="U214" i="19"/>
  <c r="M214" i="19"/>
  <c r="P240" i="19"/>
  <c r="S240" i="19"/>
  <c r="U274" i="19"/>
  <c r="R274" i="19"/>
  <c r="Q274" i="19"/>
  <c r="P274" i="19"/>
  <c r="M285" i="19"/>
  <c r="O288" i="19"/>
  <c r="S288" i="19"/>
  <c r="R288" i="19"/>
  <c r="M288" i="19"/>
  <c r="N288" i="19" s="1"/>
  <c r="V288" i="19"/>
  <c r="W288" i="19" s="1"/>
  <c r="O291" i="19"/>
  <c r="M291" i="19"/>
  <c r="N291" i="19" s="1"/>
  <c r="P329" i="19"/>
  <c r="U329" i="19"/>
  <c r="T329" i="19"/>
  <c r="R329" i="19"/>
  <c r="S343" i="19"/>
  <c r="U343" i="19"/>
  <c r="T343" i="19"/>
  <c r="R343" i="19"/>
  <c r="Q343" i="19"/>
  <c r="P421" i="19"/>
  <c r="Q269" i="19"/>
  <c r="P269" i="19"/>
  <c r="T289" i="19"/>
  <c r="Q289" i="19"/>
  <c r="R289" i="19"/>
  <c r="P289" i="19"/>
  <c r="V302" i="19"/>
  <c r="W302" i="19" s="1"/>
  <c r="T333" i="19"/>
  <c r="Q333" i="19"/>
  <c r="P333" i="19"/>
  <c r="M341" i="19"/>
  <c r="O344" i="19"/>
  <c r="U344" i="19"/>
  <c r="R344" i="19"/>
  <c r="U366" i="19"/>
  <c r="M366" i="19"/>
  <c r="R366" i="19"/>
  <c r="Q366" i="19"/>
  <c r="O366" i="19"/>
  <c r="P372" i="19"/>
  <c r="O372" i="19"/>
  <c r="R372" i="19"/>
  <c r="R396" i="19"/>
  <c r="O396" i="19"/>
  <c r="U396" i="19"/>
  <c r="M396" i="19"/>
  <c r="M417" i="19"/>
  <c r="S417" i="19"/>
  <c r="M212" i="19"/>
  <c r="P255" i="19"/>
  <c r="V255" i="19"/>
  <c r="W255" i="19" s="1"/>
  <c r="V315" i="19"/>
  <c r="W315" i="19" s="1"/>
  <c r="S315" i="19"/>
  <c r="M315" i="19"/>
  <c r="N315" i="19" s="1"/>
  <c r="P315" i="19"/>
  <c r="T325" i="19"/>
  <c r="S325" i="19"/>
  <c r="R325" i="19"/>
  <c r="U325" i="19"/>
  <c r="O365" i="19"/>
  <c r="Q365" i="19"/>
  <c r="O385" i="19"/>
  <c r="Q419" i="19"/>
  <c r="P419" i="19"/>
  <c r="O419" i="19"/>
  <c r="O195" i="19"/>
  <c r="S268" i="19"/>
  <c r="M268" i="19"/>
  <c r="O268" i="19"/>
  <c r="M273" i="19"/>
  <c r="M281" i="19"/>
  <c r="U294" i="19"/>
  <c r="T294" i="19"/>
  <c r="M297" i="19"/>
  <c r="P325" i="19"/>
  <c r="O336" i="19"/>
  <c r="R370" i="19"/>
  <c r="Q370" i="19"/>
  <c r="P382" i="19"/>
  <c r="O382" i="19"/>
  <c r="T382" i="19"/>
  <c r="P393" i="19"/>
  <c r="V393" i="19" s="1"/>
  <c r="W393" i="19" s="1"/>
  <c r="U273" i="19"/>
  <c r="T273" i="19"/>
  <c r="U298" i="19"/>
  <c r="S298" i="19"/>
  <c r="R298" i="19"/>
  <c r="U310" i="19"/>
  <c r="V310" i="19" s="1"/>
  <c r="W310" i="19" s="1"/>
  <c r="M310" i="19"/>
  <c r="N310" i="19" s="1"/>
  <c r="R347" i="19"/>
  <c r="O347" i="19"/>
  <c r="P377" i="19"/>
  <c r="M377" i="19"/>
  <c r="S377" i="19"/>
  <c r="R377" i="19"/>
  <c r="S411" i="19"/>
  <c r="R411" i="19"/>
  <c r="P411" i="19"/>
  <c r="O411" i="19"/>
  <c r="U217" i="19"/>
  <c r="T219" i="19"/>
  <c r="S219" i="19"/>
  <c r="R221" i="19"/>
  <c r="Q221" i="19"/>
  <c r="O223" i="19"/>
  <c r="M245" i="19"/>
  <c r="N245" i="19" s="1"/>
  <c r="T245" i="19"/>
  <c r="S245" i="19"/>
  <c r="S266" i="19"/>
  <c r="R266" i="19"/>
  <c r="M278" i="19"/>
  <c r="U330" i="19"/>
  <c r="R330" i="19"/>
  <c r="O330" i="19"/>
  <c r="R398" i="19"/>
  <c r="Q398" i="19"/>
  <c r="U398" i="19"/>
  <c r="T398" i="19"/>
  <c r="U414" i="19"/>
  <c r="R414" i="19"/>
  <c r="M414" i="19"/>
  <c r="S414" i="19"/>
  <c r="Q414" i="19"/>
  <c r="O415" i="19"/>
  <c r="U415" i="19"/>
  <c r="T415" i="19"/>
  <c r="T328" i="19"/>
  <c r="M328" i="19"/>
  <c r="Q362" i="19"/>
  <c r="U362" i="19"/>
  <c r="T362" i="19"/>
  <c r="P405" i="19"/>
  <c r="T412" i="19"/>
  <c r="M252" i="19"/>
  <c r="P265" i="19"/>
  <c r="S276" i="19"/>
  <c r="P276" i="19"/>
  <c r="R276" i="19"/>
  <c r="Q276" i="19"/>
  <c r="U285" i="19"/>
  <c r="M312" i="19"/>
  <c r="M346" i="19"/>
  <c r="M405" i="19"/>
  <c r="S251" i="19"/>
  <c r="P293" i="19"/>
  <c r="O293" i="19"/>
  <c r="T345" i="19"/>
  <c r="Q345" i="19"/>
  <c r="O354" i="19"/>
  <c r="P354" i="19" s="1"/>
  <c r="O399" i="19"/>
  <c r="S340" i="19"/>
  <c r="U369" i="19"/>
  <c r="V369" i="19" s="1"/>
  <c r="W369" i="19" s="1"/>
  <c r="U386" i="19"/>
  <c r="R386" i="19"/>
  <c r="O403" i="19"/>
  <c r="O420" i="19"/>
  <c r="P301" i="19"/>
  <c r="M305" i="19"/>
  <c r="U338" i="19"/>
  <c r="M338" i="19"/>
  <c r="U409" i="19"/>
  <c r="T409" i="19"/>
  <c r="Q418" i="19"/>
  <c r="V242" i="19"/>
  <c r="W242" i="19" s="1"/>
  <c r="M376" i="19"/>
  <c r="M374" i="19"/>
  <c r="O386" i="11"/>
  <c r="S386" i="11" s="1"/>
  <c r="P386" i="11"/>
  <c r="Q386" i="11"/>
  <c r="O358" i="11"/>
  <c r="P358" i="11"/>
  <c r="Q358" i="11"/>
  <c r="R358" i="11"/>
  <c r="O330" i="11"/>
  <c r="Q330" i="11"/>
  <c r="U330" i="11"/>
  <c r="S190" i="11"/>
  <c r="O134" i="11"/>
  <c r="R134" i="11"/>
  <c r="Q134" i="11"/>
  <c r="O106" i="11"/>
  <c r="O78" i="11"/>
  <c r="R78" i="11"/>
  <c r="T78" i="11"/>
  <c r="U78" i="11"/>
  <c r="O22" i="11"/>
  <c r="S273" i="11"/>
  <c r="O356" i="11"/>
  <c r="P328" i="11"/>
  <c r="O272" i="11"/>
  <c r="Q272" i="11" s="1"/>
  <c r="O104" i="11"/>
  <c r="O20" i="11"/>
  <c r="S20" i="11"/>
  <c r="Q20" i="11"/>
  <c r="O411" i="11"/>
  <c r="R411" i="11" s="1"/>
  <c r="P411" i="11"/>
  <c r="Q411" i="11"/>
  <c r="O215" i="11"/>
  <c r="O159" i="11"/>
  <c r="R159" i="11" s="1"/>
  <c r="U47" i="11"/>
  <c r="O19" i="11"/>
  <c r="S19" i="11"/>
  <c r="O326" i="11"/>
  <c r="R326" i="11"/>
  <c r="S326" i="11"/>
  <c r="O298" i="11"/>
  <c r="O270" i="11"/>
  <c r="R270" i="11"/>
  <c r="S270" i="11"/>
  <c r="O242" i="11"/>
  <c r="T242" i="11" s="1"/>
  <c r="O186" i="11"/>
  <c r="P46" i="11"/>
  <c r="S102" i="11"/>
  <c r="O102" i="11"/>
  <c r="T324" i="11"/>
  <c r="O396" i="11"/>
  <c r="T396" i="11"/>
  <c r="U396" i="11"/>
  <c r="O368" i="11"/>
  <c r="O312" i="11"/>
  <c r="P312" i="11" s="1"/>
  <c r="O228" i="11"/>
  <c r="S228" i="11" s="1"/>
  <c r="P228" i="11"/>
  <c r="T228" i="11"/>
  <c r="O144" i="11"/>
  <c r="R144" i="11" s="1"/>
  <c r="P88" i="11"/>
  <c r="O60" i="11"/>
  <c r="O410" i="11"/>
  <c r="Q410" i="11" s="1"/>
  <c r="O116" i="11"/>
  <c r="U116" i="11" s="1"/>
  <c r="Q283" i="11"/>
  <c r="O162" i="11"/>
  <c r="R162" i="11" s="1"/>
  <c r="T88" i="11"/>
  <c r="S236" i="11"/>
  <c r="O246" i="11"/>
  <c r="U246" i="11" s="1"/>
  <c r="Q22" i="11"/>
  <c r="O370" i="11"/>
  <c r="O342" i="11"/>
  <c r="U342" i="11"/>
  <c r="O202" i="11"/>
  <c r="O118" i="11"/>
  <c r="Q118" i="11" s="1"/>
  <c r="P118" i="11"/>
  <c r="O397" i="11"/>
  <c r="P397" i="11"/>
  <c r="P369" i="11"/>
  <c r="U369" i="11"/>
  <c r="O341" i="11"/>
  <c r="S341" i="11" s="1"/>
  <c r="R313" i="11"/>
  <c r="O229" i="11"/>
  <c r="R229" i="11" s="1"/>
  <c r="R117" i="11"/>
  <c r="O89" i="11"/>
  <c r="P89" i="11"/>
  <c r="U89" i="11"/>
  <c r="O61" i="11"/>
  <c r="R61" i="11" s="1"/>
  <c r="S33" i="11"/>
  <c r="O46" i="11"/>
  <c r="S46" i="11" s="1"/>
  <c r="O196" i="11"/>
  <c r="T168" i="11"/>
  <c r="O140" i="11"/>
  <c r="T140" i="11" s="1"/>
  <c r="Q140" i="11"/>
  <c r="P28" i="11"/>
  <c r="O381" i="11"/>
  <c r="S381" i="11"/>
  <c r="T381" i="11"/>
  <c r="R381" i="11"/>
  <c r="U353" i="11"/>
  <c r="O325" i="11"/>
  <c r="R325" i="11"/>
  <c r="O269" i="11"/>
  <c r="Q269" i="11" s="1"/>
  <c r="R269" i="11"/>
  <c r="U269" i="11"/>
  <c r="O241" i="11"/>
  <c r="O185" i="11"/>
  <c r="U185" i="11"/>
  <c r="R185" i="11"/>
  <c r="S185" i="11"/>
  <c r="T185" i="11"/>
  <c r="Q101" i="11"/>
  <c r="O73" i="11"/>
  <c r="T73" i="11"/>
  <c r="R45" i="11"/>
  <c r="S45" i="11"/>
  <c r="P45" i="11"/>
  <c r="T45" i="11"/>
  <c r="O17" i="11"/>
  <c r="Q17" i="11"/>
  <c r="P17" i="11"/>
  <c r="O408" i="11"/>
  <c r="P408" i="11" s="1"/>
  <c r="T408" i="11"/>
  <c r="O324" i="11"/>
  <c r="P324" i="11" s="1"/>
  <c r="U324" i="11"/>
  <c r="O268" i="11"/>
  <c r="S268" i="11" s="1"/>
  <c r="P268" i="11"/>
  <c r="O240" i="11"/>
  <c r="O184" i="11"/>
  <c r="Q184" i="11" s="1"/>
  <c r="O156" i="11"/>
  <c r="Q156" i="11" s="1"/>
  <c r="O72" i="11"/>
  <c r="S72" i="11"/>
  <c r="T72" i="11"/>
  <c r="O44" i="11"/>
  <c r="P44" i="11"/>
  <c r="P375" i="11"/>
  <c r="O347" i="11"/>
  <c r="U319" i="11"/>
  <c r="O263" i="11"/>
  <c r="O151" i="11"/>
  <c r="T151" i="11" s="1"/>
  <c r="R95" i="11"/>
  <c r="S95" i="11"/>
  <c r="O234" i="11"/>
  <c r="O178" i="11"/>
  <c r="O38" i="11"/>
  <c r="O10" i="11"/>
  <c r="T10" i="11" s="1"/>
  <c r="P346" i="11"/>
  <c r="O289" i="11"/>
  <c r="O261" i="11"/>
  <c r="P65" i="11"/>
  <c r="O65" i="11"/>
  <c r="Q65" i="11"/>
  <c r="T65" i="11"/>
  <c r="P37" i="11"/>
  <c r="Q37" i="11"/>
  <c r="O400" i="11"/>
  <c r="P400" i="11" s="1"/>
  <c r="P372" i="11"/>
  <c r="O316" i="11"/>
  <c r="S316" i="11" s="1"/>
  <c r="O204" i="11"/>
  <c r="P204" i="11"/>
  <c r="R204" i="11"/>
  <c r="P120" i="11"/>
  <c r="O92" i="11"/>
  <c r="S92" i="11"/>
  <c r="S36" i="11"/>
  <c r="U36" i="11"/>
  <c r="R67" i="11"/>
  <c r="O67" i="11"/>
  <c r="U67" i="11" s="1"/>
  <c r="T94" i="11"/>
  <c r="O315" i="11"/>
  <c r="Q315" i="11" s="1"/>
  <c r="O259" i="11"/>
  <c r="T259" i="11" s="1"/>
  <c r="O203" i="11"/>
  <c r="P203" i="11" s="1"/>
  <c r="S91" i="11"/>
  <c r="O63" i="11"/>
  <c r="P63" i="11"/>
  <c r="T63" i="11"/>
  <c r="O35" i="11"/>
  <c r="Q7" i="11"/>
  <c r="S7" i="11"/>
  <c r="T7" i="11"/>
  <c r="O416" i="11"/>
  <c r="T416" i="11" s="1"/>
  <c r="O304" i="11"/>
  <c r="R304" i="11" s="1"/>
  <c r="P304" i="11"/>
  <c r="Q304" i="11"/>
  <c r="O303" i="11"/>
  <c r="R303" i="11" s="1"/>
  <c r="P303" i="11"/>
  <c r="O107" i="11"/>
  <c r="P107" i="11"/>
  <c r="O23" i="11"/>
  <c r="O319" i="11"/>
  <c r="O137" i="11"/>
  <c r="R137" i="11" s="1"/>
  <c r="P137" i="11"/>
  <c r="P81" i="11"/>
  <c r="Q81" i="11"/>
  <c r="P53" i="11"/>
  <c r="R53" i="11"/>
  <c r="O273" i="11"/>
  <c r="O217" i="11"/>
  <c r="S161" i="11"/>
  <c r="O105" i="11"/>
  <c r="S105" i="11" s="1"/>
  <c r="P105" i="11"/>
  <c r="Q105" i="11"/>
  <c r="Q49" i="11"/>
  <c r="R385" i="11"/>
  <c r="O209" i="11"/>
  <c r="U58" i="11"/>
  <c r="O405" i="11"/>
  <c r="R405" i="11" s="1"/>
  <c r="Q349" i="11"/>
  <c r="O293" i="11"/>
  <c r="R293" i="11" s="1"/>
  <c r="S181" i="11"/>
  <c r="O283" i="11"/>
  <c r="P283" i="11"/>
  <c r="O255" i="11"/>
  <c r="P255" i="11" s="1"/>
  <c r="S227" i="11"/>
  <c r="P87" i="11"/>
  <c r="O87" i="11"/>
  <c r="U87" i="11" s="1"/>
  <c r="Q87" i="11"/>
  <c r="R87" i="11"/>
  <c r="Q31" i="11"/>
  <c r="R3" i="11"/>
  <c r="Q311" i="11"/>
  <c r="O422" i="11"/>
  <c r="S366" i="11"/>
  <c r="U338" i="11"/>
  <c r="O282" i="11"/>
  <c r="O58" i="11"/>
  <c r="O30" i="11"/>
  <c r="P311" i="11"/>
  <c r="O125" i="11"/>
  <c r="P29" i="11"/>
  <c r="O421" i="11"/>
  <c r="Q421" i="11" s="1"/>
  <c r="O365" i="11"/>
  <c r="U197" i="11"/>
  <c r="O169" i="11"/>
  <c r="Q141" i="11"/>
  <c r="O57" i="11"/>
  <c r="Q57" i="11"/>
  <c r="P141" i="11"/>
  <c r="O295" i="11"/>
  <c r="P295" i="11" s="1"/>
  <c r="U99" i="11"/>
  <c r="T15" i="11"/>
  <c r="U15" i="11"/>
  <c r="O348" i="11"/>
  <c r="Q320" i="11"/>
  <c r="U292" i="11"/>
  <c r="O264" i="11"/>
  <c r="O208" i="11"/>
  <c r="R208" i="11" s="1"/>
  <c r="T96" i="11"/>
  <c r="O236" i="11"/>
  <c r="T236" i="11" s="1"/>
  <c r="O391" i="11"/>
  <c r="P391" i="11" s="1"/>
  <c r="O307" i="11"/>
  <c r="P307" i="11"/>
  <c r="O222" i="11"/>
  <c r="P166" i="11"/>
  <c r="T82" i="11"/>
  <c r="U82" i="11"/>
  <c r="Q82" i="11"/>
  <c r="R82" i="11"/>
  <c r="O26" i="11"/>
  <c r="P26" i="11"/>
  <c r="Q26" i="11"/>
  <c r="P266" i="11"/>
  <c r="P238" i="11"/>
  <c r="U70" i="11"/>
  <c r="T70" i="11"/>
  <c r="S42" i="11"/>
  <c r="T42" i="11"/>
  <c r="R42" i="11"/>
  <c r="R54" i="11"/>
  <c r="S26" i="11"/>
  <c r="U14" i="11"/>
  <c r="T376" i="11"/>
  <c r="R372" i="11"/>
  <c r="T372" i="11"/>
  <c r="R100" i="11"/>
  <c r="S100" i="11"/>
  <c r="T368" i="11"/>
  <c r="Q62" i="11"/>
  <c r="R83" i="11"/>
  <c r="S83" i="11"/>
  <c r="T83" i="11"/>
  <c r="T104" i="11"/>
  <c r="T262" i="11"/>
  <c r="R262" i="11"/>
  <c r="S406" i="11"/>
  <c r="R365" i="11"/>
  <c r="R345" i="11"/>
  <c r="Q30" i="11"/>
  <c r="U30" i="11"/>
  <c r="R30" i="11"/>
  <c r="S30" i="11"/>
  <c r="R290" i="11"/>
  <c r="Q290" i="11"/>
  <c r="U290" i="11"/>
  <c r="S290" i="11"/>
  <c r="T290" i="11"/>
  <c r="P114" i="11"/>
  <c r="Q114" i="11"/>
  <c r="R114" i="11"/>
  <c r="S118" i="11"/>
  <c r="T118" i="11"/>
  <c r="U118" i="11"/>
  <c r="R118" i="11"/>
  <c r="S87" i="11"/>
  <c r="T87" i="11"/>
  <c r="P18" i="11"/>
  <c r="Q18" i="11"/>
  <c r="U18" i="11"/>
  <c r="U13" i="11"/>
  <c r="P327" i="11"/>
  <c r="P8" i="11"/>
  <c r="Q8" i="11"/>
  <c r="T8" i="11"/>
  <c r="U8" i="11"/>
  <c r="T389" i="11"/>
  <c r="U389" i="11"/>
  <c r="U366" i="11"/>
  <c r="T280" i="11"/>
  <c r="Q52" i="11"/>
  <c r="R52" i="11"/>
  <c r="S52" i="11"/>
  <c r="P52" i="11"/>
  <c r="S421" i="11"/>
  <c r="U421" i="11"/>
  <c r="U331" i="11"/>
  <c r="R331" i="11"/>
  <c r="S302" i="11"/>
  <c r="T302" i="11"/>
  <c r="S297" i="11"/>
  <c r="U198" i="11"/>
  <c r="R56" i="11"/>
  <c r="Q56" i="11"/>
  <c r="S56" i="11"/>
  <c r="T56" i="11"/>
  <c r="U56" i="11"/>
  <c r="P106" i="11"/>
  <c r="T348" i="11"/>
  <c r="S279" i="11"/>
  <c r="T279" i="11"/>
  <c r="U279" i="11"/>
  <c r="P279" i="11"/>
  <c r="Q279" i="11"/>
  <c r="T267" i="11"/>
  <c r="U267" i="11"/>
  <c r="Q212" i="11"/>
  <c r="T295" i="11"/>
  <c r="S208" i="11"/>
  <c r="T208" i="11"/>
  <c r="S410" i="11"/>
  <c r="T410" i="11"/>
  <c r="Q68" i="11"/>
  <c r="R68" i="11"/>
  <c r="S68" i="11"/>
  <c r="U68" i="11"/>
  <c r="Q59" i="11"/>
  <c r="R59" i="11"/>
  <c r="S276" i="11"/>
  <c r="U276" i="11"/>
  <c r="Q396" i="11"/>
  <c r="T240" i="11"/>
  <c r="P240" i="11"/>
  <c r="Q240" i="11"/>
  <c r="Q220" i="11"/>
  <c r="R220" i="11"/>
  <c r="S220" i="11"/>
  <c r="R132" i="11"/>
  <c r="Q132" i="11"/>
  <c r="U86" i="11"/>
  <c r="S378" i="11"/>
  <c r="T188" i="11"/>
  <c r="T97" i="11"/>
  <c r="Q367" i="11"/>
  <c r="S315" i="11"/>
  <c r="R108" i="11"/>
  <c r="S108" i="11"/>
  <c r="T108" i="11"/>
  <c r="U108" i="11"/>
  <c r="R401" i="11"/>
  <c r="S401" i="11"/>
  <c r="P355" i="11"/>
  <c r="Q355" i="11"/>
  <c r="T306" i="11"/>
  <c r="R29" i="11"/>
  <c r="S29" i="11"/>
  <c r="R69" i="11"/>
  <c r="S69" i="11"/>
  <c r="U69" i="11"/>
  <c r="R242" i="11"/>
  <c r="Q164" i="11"/>
  <c r="R164" i="11"/>
  <c r="R107" i="11"/>
  <c r="S107" i="11"/>
  <c r="T107" i="11"/>
  <c r="Q155" i="11"/>
  <c r="P155" i="11"/>
  <c r="U209" i="11"/>
  <c r="T209" i="11"/>
  <c r="S202" i="11"/>
  <c r="U202" i="11"/>
  <c r="P275" i="11"/>
  <c r="S275" i="11"/>
  <c r="T67" i="11"/>
  <c r="U119" i="11"/>
  <c r="P119" i="11"/>
  <c r="T11" i="11"/>
  <c r="P187" i="11"/>
  <c r="R57" i="11"/>
  <c r="S57" i="11"/>
  <c r="T57" i="11"/>
  <c r="R218" i="11"/>
  <c r="S218" i="11"/>
  <c r="R178" i="11"/>
  <c r="T95" i="11"/>
  <c r="U95" i="11"/>
  <c r="Q72" i="11"/>
  <c r="P75" i="11"/>
  <c r="Q75" i="11"/>
  <c r="R75" i="11"/>
  <c r="O317" i="10"/>
  <c r="O289" i="10"/>
  <c r="Q289" i="10"/>
  <c r="O65" i="10"/>
  <c r="O37" i="10"/>
  <c r="O9" i="10"/>
  <c r="Q9" i="10" s="1"/>
  <c r="P9" i="10"/>
  <c r="S74" i="10"/>
  <c r="R74" i="10"/>
  <c r="O74" i="10"/>
  <c r="P74" i="10" s="1"/>
  <c r="O242" i="10"/>
  <c r="T242" i="10"/>
  <c r="O214" i="10"/>
  <c r="O46" i="10"/>
  <c r="O102" i="10"/>
  <c r="O321" i="10"/>
  <c r="O68" i="10"/>
  <c r="O40" i="10"/>
  <c r="O263" i="10"/>
  <c r="P263" i="10" s="1"/>
  <c r="Q263" i="10"/>
  <c r="O151" i="10"/>
  <c r="U151" i="10" s="1"/>
  <c r="P151" i="10"/>
  <c r="Q151" i="10"/>
  <c r="O67" i="10"/>
  <c r="R67" i="10" s="1"/>
  <c r="T374" i="10"/>
  <c r="P374" i="10"/>
  <c r="R374" i="10"/>
  <c r="S374" i="10"/>
  <c r="U374" i="10"/>
  <c r="O374" i="10"/>
  <c r="Q374" i="10" s="1"/>
  <c r="O346" i="10"/>
  <c r="P346" i="10" s="1"/>
  <c r="O206" i="10"/>
  <c r="P206" i="10" s="1"/>
  <c r="O10" i="10"/>
  <c r="O135" i="10"/>
  <c r="O340" i="10"/>
  <c r="T340" i="10"/>
  <c r="O284" i="10"/>
  <c r="R284" i="10" s="1"/>
  <c r="T284" i="10"/>
  <c r="O200" i="10"/>
  <c r="T200" i="10" s="1"/>
  <c r="U200" i="10"/>
  <c r="P200" i="10"/>
  <c r="R200" i="10"/>
  <c r="Q200" i="10"/>
  <c r="O60" i="10"/>
  <c r="O4" i="10"/>
  <c r="U4" i="10"/>
  <c r="T4" i="10"/>
  <c r="O366" i="10"/>
  <c r="O282" i="10"/>
  <c r="O198" i="10"/>
  <c r="O279" i="10"/>
  <c r="P279" i="10" s="1"/>
  <c r="O110" i="10"/>
  <c r="O26" i="10"/>
  <c r="O249" i="10"/>
  <c r="R249" i="10" s="1"/>
  <c r="O165" i="10"/>
  <c r="O137" i="10"/>
  <c r="O78" i="10"/>
  <c r="U78" i="10" s="1"/>
  <c r="O22" i="10"/>
  <c r="O139" i="10"/>
  <c r="O390" i="10"/>
  <c r="O387" i="10"/>
  <c r="O250" i="10"/>
  <c r="T250" i="10" s="1"/>
  <c r="O82" i="10"/>
  <c r="O333" i="10"/>
  <c r="R333" i="10" s="1"/>
  <c r="O384" i="10"/>
  <c r="O244" i="10"/>
  <c r="Q244" i="10" s="1"/>
  <c r="O76" i="10"/>
  <c r="O25" i="10"/>
  <c r="O334" i="10"/>
  <c r="O75" i="10"/>
  <c r="T75" i="10" s="1"/>
  <c r="O363" i="10"/>
  <c r="O190" i="10"/>
  <c r="T190" i="10" s="1"/>
  <c r="O101" i="10"/>
  <c r="P101" i="10" s="1"/>
  <c r="O127" i="10"/>
  <c r="T127" i="10" s="1"/>
  <c r="O341" i="10"/>
  <c r="R341" i="10"/>
  <c r="O313" i="10"/>
  <c r="O229" i="10"/>
  <c r="O145" i="10"/>
  <c r="U145" i="10" s="1"/>
  <c r="P145" i="10"/>
  <c r="O117" i="10"/>
  <c r="P117" i="10"/>
  <c r="O89" i="10"/>
  <c r="O61" i="10"/>
  <c r="S61" i="10" s="1"/>
  <c r="T61" i="10"/>
  <c r="P61" i="10"/>
  <c r="R61" i="10"/>
  <c r="O33" i="10"/>
  <c r="T33" i="10"/>
  <c r="O380" i="10"/>
  <c r="O352" i="10"/>
  <c r="O72" i="10"/>
  <c r="O371" i="10"/>
  <c r="T371" i="10" s="1"/>
  <c r="O343" i="10"/>
  <c r="O287" i="10"/>
  <c r="P287" i="10" s="1"/>
  <c r="O259" i="10"/>
  <c r="Q259" i="10" s="1"/>
  <c r="O119" i="10"/>
  <c r="P119" i="10" s="1"/>
  <c r="O7" i="10"/>
  <c r="P7" i="10" s="1"/>
  <c r="O146" i="10"/>
  <c r="Q146" i="10" s="1"/>
  <c r="O90" i="10"/>
  <c r="P90" i="10"/>
  <c r="Q12" i="10"/>
  <c r="R390" i="10"/>
  <c r="S390" i="10"/>
  <c r="P390" i="10"/>
  <c r="T249" i="10"/>
  <c r="U249" i="10"/>
  <c r="P26" i="10"/>
  <c r="S78" i="10"/>
  <c r="P78" i="10"/>
  <c r="R25" i="10"/>
  <c r="R165" i="10"/>
  <c r="R46" i="10"/>
  <c r="R198" i="10"/>
  <c r="T102" i="10"/>
  <c r="S102" i="10"/>
  <c r="U317" i="10"/>
  <c r="R4" i="10"/>
  <c r="T317" i="10"/>
  <c r="S317" i="10"/>
  <c r="S96" i="10"/>
  <c r="R289" i="10"/>
  <c r="S289" i="10"/>
  <c r="T343" i="10"/>
  <c r="T22" i="10"/>
  <c r="Q22" i="10"/>
  <c r="R229" i="10"/>
  <c r="Q82" i="10"/>
  <c r="U82" i="10"/>
  <c r="U25" i="10"/>
  <c r="Q250" i="10"/>
  <c r="P137" i="10"/>
  <c r="R119" i="10"/>
  <c r="U119" i="10"/>
  <c r="S119" i="10"/>
  <c r="T119" i="10"/>
  <c r="U289" i="10"/>
  <c r="R68" i="10"/>
  <c r="S68" i="10"/>
  <c r="U68" i="10"/>
  <c r="U61" i="10"/>
  <c r="Q61" i="10"/>
  <c r="T117" i="10"/>
  <c r="Q101" i="10"/>
  <c r="T46" i="10"/>
  <c r="S46" i="10"/>
  <c r="U89" i="10"/>
  <c r="P89" i="10"/>
  <c r="S89" i="10"/>
  <c r="U60" i="10"/>
  <c r="T78" i="10"/>
  <c r="Q78" i="10"/>
  <c r="R78" i="10"/>
  <c r="P46" i="10"/>
  <c r="R287" i="10"/>
  <c r="U74" i="10"/>
  <c r="Q74" i="10"/>
  <c r="T74" i="10"/>
  <c r="Q249" i="10"/>
  <c r="Q110" i="10"/>
  <c r="U110" i="10"/>
  <c r="U67" i="10"/>
  <c r="Q67" i="10"/>
  <c r="T67" i="10"/>
  <c r="U359" i="9"/>
  <c r="Q394" i="9"/>
  <c r="R390" i="9"/>
  <c r="S384" i="9"/>
  <c r="U373" i="9"/>
  <c r="T363" i="9"/>
  <c r="S359" i="9"/>
  <c r="P293" i="9"/>
  <c r="V281" i="9"/>
  <c r="W281" i="9" s="1"/>
  <c r="T277" i="9"/>
  <c r="M313" i="9"/>
  <c r="N313" i="9" s="1"/>
  <c r="M387" i="9"/>
  <c r="V387" i="9" s="1"/>
  <c r="W387" i="9" s="1"/>
  <c r="P390" i="9"/>
  <c r="U379" i="9"/>
  <c r="T368" i="9"/>
  <c r="Q363" i="9"/>
  <c r="R359" i="9"/>
  <c r="S345" i="9"/>
  <c r="S281" i="9"/>
  <c r="S277" i="9"/>
  <c r="U363" i="9"/>
  <c r="T359" i="9"/>
  <c r="M288" i="9"/>
  <c r="N288" i="9" s="1"/>
  <c r="U277" i="9"/>
  <c r="Q359" i="9"/>
  <c r="V334" i="9"/>
  <c r="W334" i="9" s="1"/>
  <c r="R277" i="9"/>
  <c r="U353" i="9"/>
  <c r="V353" i="9" s="1"/>
  <c r="W353" i="9" s="1"/>
  <c r="T353" i="9"/>
  <c r="S353" i="9"/>
  <c r="M307" i="9"/>
  <c r="N307" i="9" s="1"/>
  <c r="Q353" i="9"/>
  <c r="U366" i="9"/>
  <c r="P353" i="9"/>
  <c r="U337" i="9"/>
  <c r="U396" i="9"/>
  <c r="S392" i="9"/>
  <c r="T337" i="9"/>
  <c r="T316" i="9"/>
  <c r="V316" i="9" s="1"/>
  <c r="W316" i="9" s="1"/>
  <c r="M284" i="9"/>
  <c r="N284" i="9" s="1"/>
  <c r="S279" i="9"/>
  <c r="V279" i="9"/>
  <c r="W279" i="9" s="1"/>
  <c r="U316" i="9"/>
  <c r="U279" i="9"/>
  <c r="P413" i="9"/>
  <c r="T327" i="9"/>
  <c r="N129" i="9"/>
  <c r="V129" i="9"/>
  <c r="W129" i="9" s="1"/>
  <c r="V141" i="9"/>
  <c r="W141" i="9" s="1"/>
  <c r="N141" i="9"/>
  <c r="N251" i="9"/>
  <c r="U253" i="9"/>
  <c r="S233" i="9"/>
  <c r="R220" i="9"/>
  <c r="R202" i="9"/>
  <c r="R183" i="9"/>
  <c r="S139" i="9"/>
  <c r="U133" i="9"/>
  <c r="R253" i="9"/>
  <c r="R233" i="9"/>
  <c r="T229" i="9"/>
  <c r="Q220" i="9"/>
  <c r="Q202" i="9"/>
  <c r="Q183" i="9"/>
  <c r="M171" i="9"/>
  <c r="V171" i="9" s="1"/>
  <c r="W171" i="9" s="1"/>
  <c r="R139" i="9"/>
  <c r="M259" i="9"/>
  <c r="N259" i="9" s="1"/>
  <c r="Q253" i="9"/>
  <c r="Q233" i="9"/>
  <c r="V233" i="9" s="1"/>
  <c r="W233" i="9" s="1"/>
  <c r="S229" i="9"/>
  <c r="M225" i="9"/>
  <c r="P220" i="9"/>
  <c r="P202" i="9"/>
  <c r="P183" i="9"/>
  <c r="U151" i="9"/>
  <c r="Q139" i="9"/>
  <c r="N133" i="9"/>
  <c r="M128" i="9"/>
  <c r="N128" i="9" s="1"/>
  <c r="M149" i="9"/>
  <c r="V200" i="9"/>
  <c r="W200" i="9" s="1"/>
  <c r="Q251" i="9"/>
  <c r="V251" i="9" s="1"/>
  <c r="W251" i="9" s="1"/>
  <c r="U160" i="9"/>
  <c r="T147" i="9"/>
  <c r="T130" i="9"/>
  <c r="Q235" i="9"/>
  <c r="S130" i="9"/>
  <c r="M181" i="9"/>
  <c r="N181" i="9" s="1"/>
  <c r="R130" i="9"/>
  <c r="M190" i="9"/>
  <c r="N190" i="9" s="1"/>
  <c r="Q130" i="9"/>
  <c r="S221" i="9"/>
  <c r="Q210" i="9"/>
  <c r="Q184" i="9"/>
  <c r="R134" i="9"/>
  <c r="M130" i="9"/>
  <c r="N130" i="9" s="1"/>
  <c r="Q126" i="9"/>
  <c r="U194" i="9"/>
  <c r="P184" i="9"/>
  <c r="V184" i="9" s="1"/>
  <c r="W184" i="9" s="1"/>
  <c r="Q134" i="9"/>
  <c r="U198" i="9"/>
  <c r="T194" i="9"/>
  <c r="V146" i="9"/>
  <c r="W146" i="9" s="1"/>
  <c r="R194" i="9"/>
  <c r="U165" i="9"/>
  <c r="U152" i="9"/>
  <c r="T209" i="9"/>
  <c r="Q194" i="9"/>
  <c r="T152" i="9"/>
  <c r="U271" i="9"/>
  <c r="U233" i="9"/>
  <c r="T220" i="9"/>
  <c r="S209" i="9"/>
  <c r="P194" i="9"/>
  <c r="T183" i="9"/>
  <c r="U159" i="9"/>
  <c r="S152" i="9"/>
  <c r="T233" i="9"/>
  <c r="S220" i="9"/>
  <c r="R209" i="9"/>
  <c r="S183" i="9"/>
  <c r="T139" i="9"/>
  <c r="V123" i="9"/>
  <c r="W123" i="9" s="1"/>
  <c r="T311" i="9"/>
  <c r="S311" i="9"/>
  <c r="R311" i="9"/>
  <c r="U311" i="9"/>
  <c r="P311" i="9"/>
  <c r="Q311" i="9"/>
  <c r="R59" i="9"/>
  <c r="P59" i="9"/>
  <c r="Q59" i="9"/>
  <c r="T59" i="9"/>
  <c r="U59" i="9"/>
  <c r="S59" i="9"/>
  <c r="N41" i="9"/>
  <c r="S377" i="9"/>
  <c r="P377" i="9"/>
  <c r="U377" i="9"/>
  <c r="Q377" i="9"/>
  <c r="T377" i="9"/>
  <c r="R377" i="9"/>
  <c r="P174" i="9"/>
  <c r="Q174" i="9"/>
  <c r="S174" i="9"/>
  <c r="R174" i="9"/>
  <c r="U174" i="9"/>
  <c r="T174" i="9"/>
  <c r="N272" i="9"/>
  <c r="V272" i="9"/>
  <c r="W272" i="9" s="1"/>
  <c r="R412" i="9"/>
  <c r="S412" i="9"/>
  <c r="U412" i="9"/>
  <c r="Q275" i="9"/>
  <c r="R275" i="9"/>
  <c r="S275" i="9"/>
  <c r="T275" i="9"/>
  <c r="U275" i="9"/>
  <c r="K385" i="9"/>
  <c r="L385" i="9"/>
  <c r="O385" i="9"/>
  <c r="M275" i="9"/>
  <c r="L163" i="9"/>
  <c r="M163" i="9" s="1"/>
  <c r="O163" i="9"/>
  <c r="V104" i="9"/>
  <c r="W104" i="9" s="1"/>
  <c r="O416" i="9"/>
  <c r="K416" i="9"/>
  <c r="M416" i="9" s="1"/>
  <c r="P338" i="9"/>
  <c r="Q338" i="9"/>
  <c r="U338" i="9"/>
  <c r="R338" i="9"/>
  <c r="S338" i="9"/>
  <c r="T338" i="9"/>
  <c r="N74" i="9"/>
  <c r="Q70" i="9"/>
  <c r="R70" i="9"/>
  <c r="S70" i="9"/>
  <c r="U70" i="9"/>
  <c r="N353" i="9"/>
  <c r="V331" i="9"/>
  <c r="W331" i="9" s="1"/>
  <c r="N331" i="9"/>
  <c r="N184" i="9"/>
  <c r="K367" i="9"/>
  <c r="L367" i="9"/>
  <c r="O367" i="9"/>
  <c r="L308" i="9"/>
  <c r="M308" i="9" s="1"/>
  <c r="O308" i="9"/>
  <c r="Q399" i="9"/>
  <c r="R399" i="9"/>
  <c r="U399" i="9"/>
  <c r="T399" i="9"/>
  <c r="R266" i="9"/>
  <c r="S266" i="9"/>
  <c r="T266" i="9"/>
  <c r="U266" i="9"/>
  <c r="V77" i="9"/>
  <c r="W77" i="9" s="1"/>
  <c r="S326" i="9"/>
  <c r="T326" i="9"/>
  <c r="P326" i="9"/>
  <c r="V326" i="9" s="1"/>
  <c r="W326" i="9" s="1"/>
  <c r="Q326" i="9"/>
  <c r="N40" i="9"/>
  <c r="V40" i="9"/>
  <c r="W40" i="9" s="1"/>
  <c r="N16" i="9"/>
  <c r="V16" i="9"/>
  <c r="W16" i="9" s="1"/>
  <c r="T345" i="9"/>
  <c r="U345" i="9"/>
  <c r="T224" i="9"/>
  <c r="U224" i="9"/>
  <c r="V284" i="9"/>
  <c r="W284" i="9" s="1"/>
  <c r="S269" i="9"/>
  <c r="T269" i="9"/>
  <c r="Q269" i="9"/>
  <c r="K166" i="9"/>
  <c r="M166" i="9" s="1"/>
  <c r="O166" i="9"/>
  <c r="T413" i="9"/>
  <c r="S413" i="9"/>
  <c r="S387" i="9"/>
  <c r="T387" i="9"/>
  <c r="R387" i="9"/>
  <c r="U387" i="9"/>
  <c r="R373" i="9"/>
  <c r="P373" i="9"/>
  <c r="Q373" i="9"/>
  <c r="S373" i="9"/>
  <c r="R321" i="9"/>
  <c r="Q272" i="9"/>
  <c r="R261" i="9"/>
  <c r="P261" i="9"/>
  <c r="S261" i="9"/>
  <c r="U261" i="9"/>
  <c r="Q261" i="9"/>
  <c r="T261" i="9"/>
  <c r="L252" i="9"/>
  <c r="O252" i="9"/>
  <c r="K252" i="9"/>
  <c r="S238" i="9"/>
  <c r="T238" i="9"/>
  <c r="P238" i="9"/>
  <c r="Q238" i="9"/>
  <c r="R238" i="9"/>
  <c r="S129" i="9"/>
  <c r="T129" i="9"/>
  <c r="Q129" i="9"/>
  <c r="P129" i="9"/>
  <c r="R129" i="9"/>
  <c r="R80" i="9"/>
  <c r="Q80" i="9"/>
  <c r="T80" i="9"/>
  <c r="S80" i="9"/>
  <c r="U80" i="9"/>
  <c r="N64" i="9"/>
  <c r="V64" i="9"/>
  <c r="W64" i="9" s="1"/>
  <c r="P55" i="9"/>
  <c r="R55" i="9"/>
  <c r="S55" i="9"/>
  <c r="N47" i="9"/>
  <c r="K39" i="9"/>
  <c r="L39" i="9"/>
  <c r="O39" i="9"/>
  <c r="P34" i="9"/>
  <c r="Q34" i="9"/>
  <c r="S34" i="9"/>
  <c r="U193" i="9"/>
  <c r="T193" i="9"/>
  <c r="S193" i="9"/>
  <c r="T154" i="9"/>
  <c r="S154" i="9"/>
  <c r="U154" i="9"/>
  <c r="R154" i="9"/>
  <c r="Q154" i="9"/>
  <c r="K119" i="9"/>
  <c r="M119" i="9" s="1"/>
  <c r="L119" i="9"/>
  <c r="Q357" i="9"/>
  <c r="R357" i="9"/>
  <c r="T357" i="9"/>
  <c r="U357" i="9"/>
  <c r="S357" i="9"/>
  <c r="T254" i="9"/>
  <c r="U254" i="9"/>
  <c r="Q254" i="9"/>
  <c r="R254" i="9"/>
  <c r="S254" i="9"/>
  <c r="R108" i="9"/>
  <c r="U108" i="9"/>
  <c r="S108" i="9"/>
  <c r="Q108" i="9"/>
  <c r="T108" i="9"/>
  <c r="P26" i="9"/>
  <c r="T26" i="9"/>
  <c r="U26" i="9"/>
  <c r="R26" i="9"/>
  <c r="S26" i="9"/>
  <c r="O21" i="9"/>
  <c r="K21" i="9"/>
  <c r="L21" i="9"/>
  <c r="U319" i="9"/>
  <c r="T319" i="9"/>
  <c r="P319" i="9"/>
  <c r="Q319" i="9"/>
  <c r="R319" i="9"/>
  <c r="S319" i="9"/>
  <c r="K6" i="9"/>
  <c r="L6" i="9"/>
  <c r="N225" i="9"/>
  <c r="P167" i="9"/>
  <c r="Q167" i="9"/>
  <c r="R167" i="9"/>
  <c r="S167" i="9"/>
  <c r="T167" i="9"/>
  <c r="U167" i="9"/>
  <c r="O415" i="9"/>
  <c r="L415" i="9"/>
  <c r="K415" i="9"/>
  <c r="M415" i="9" s="1"/>
  <c r="R363" i="9"/>
  <c r="S363" i="9"/>
  <c r="U395" i="9"/>
  <c r="P395" i="9"/>
  <c r="T395" i="9"/>
  <c r="Q395" i="9"/>
  <c r="R395" i="9"/>
  <c r="S395" i="9"/>
  <c r="O148" i="9"/>
  <c r="K148" i="9"/>
  <c r="M148" i="9" s="1"/>
  <c r="L148" i="9"/>
  <c r="P122" i="9"/>
  <c r="T122" i="9"/>
  <c r="U122" i="9"/>
  <c r="R122" i="9"/>
  <c r="S122" i="9"/>
  <c r="Q122" i="9"/>
  <c r="M422" i="9"/>
  <c r="R411" i="9"/>
  <c r="U411" i="9"/>
  <c r="P388" i="9"/>
  <c r="Q388" i="9"/>
  <c r="S388" i="9"/>
  <c r="T388" i="9"/>
  <c r="U388" i="9"/>
  <c r="R388" i="9"/>
  <c r="Q180" i="9"/>
  <c r="P180" i="9"/>
  <c r="S180" i="9"/>
  <c r="T180" i="9"/>
  <c r="U180" i="9"/>
  <c r="R180" i="9"/>
  <c r="O158" i="9"/>
  <c r="K158" i="9"/>
  <c r="M158" i="9" s="1"/>
  <c r="V414" i="9"/>
  <c r="W414" i="9" s="1"/>
  <c r="N312" i="9"/>
  <c r="K244" i="9"/>
  <c r="L244" i="9"/>
  <c r="O244" i="9"/>
  <c r="N228" i="9"/>
  <c r="K212" i="9"/>
  <c r="M212" i="9" s="1"/>
  <c r="O212" i="9"/>
  <c r="K297" i="9"/>
  <c r="L297" i="9"/>
  <c r="O297" i="9"/>
  <c r="P152" i="9"/>
  <c r="R152" i="9"/>
  <c r="N187" i="9"/>
  <c r="O302" i="9"/>
  <c r="K302" i="9"/>
  <c r="M302" i="9" s="1"/>
  <c r="N121" i="9"/>
  <c r="K12" i="9"/>
  <c r="M12" i="9" s="1"/>
  <c r="O12" i="9"/>
  <c r="U321" i="9"/>
  <c r="R228" i="9"/>
  <c r="T228" i="9"/>
  <c r="U228" i="9"/>
  <c r="P228" i="9"/>
  <c r="L60" i="9"/>
  <c r="M60" i="9" s="1"/>
  <c r="O60" i="9"/>
  <c r="R52" i="9"/>
  <c r="Q52" i="9"/>
  <c r="S52" i="9"/>
  <c r="S369" i="9"/>
  <c r="T369" i="9"/>
  <c r="U369" i="9"/>
  <c r="T321" i="9"/>
  <c r="K289" i="9"/>
  <c r="L289" i="9"/>
  <c r="T272" i="9"/>
  <c r="N243" i="9"/>
  <c r="U216" i="9"/>
  <c r="S216" i="9"/>
  <c r="T216" i="9"/>
  <c r="P207" i="9"/>
  <c r="U207" i="9"/>
  <c r="S207" i="9"/>
  <c r="T207" i="9"/>
  <c r="Q207" i="9"/>
  <c r="R207" i="9"/>
  <c r="S186" i="9"/>
  <c r="T186" i="9"/>
  <c r="U186" i="9"/>
  <c r="P186" i="9"/>
  <c r="R186" i="9"/>
  <c r="Q186" i="9"/>
  <c r="L147" i="9"/>
  <c r="K147" i="9"/>
  <c r="L138" i="9"/>
  <c r="K138" i="9"/>
  <c r="O138" i="9"/>
  <c r="K116" i="9"/>
  <c r="L116" i="9"/>
  <c r="O116" i="9"/>
  <c r="S28" i="9"/>
  <c r="P28" i="9"/>
  <c r="T28" i="9"/>
  <c r="U28" i="9"/>
  <c r="R28" i="9"/>
  <c r="Q28" i="9"/>
  <c r="L421" i="9"/>
  <c r="M421" i="9" s="1"/>
  <c r="R413" i="9"/>
  <c r="K359" i="9"/>
  <c r="L359" i="9"/>
  <c r="Q344" i="9"/>
  <c r="Q321" i="9"/>
  <c r="M315" i="9"/>
  <c r="Q288" i="9"/>
  <c r="R288" i="9"/>
  <c r="S288" i="9"/>
  <c r="T288" i="9"/>
  <c r="P288" i="9"/>
  <c r="U288" i="9"/>
  <c r="K126" i="9"/>
  <c r="L126" i="9"/>
  <c r="U84" i="9"/>
  <c r="T38" i="9"/>
  <c r="P6" i="9"/>
  <c r="Q6" i="9"/>
  <c r="U6" i="9"/>
  <c r="R6" i="9"/>
  <c r="T6" i="9"/>
  <c r="S6" i="9"/>
  <c r="N419" i="9"/>
  <c r="Q408" i="9"/>
  <c r="S408" i="9"/>
  <c r="T408" i="9"/>
  <c r="R408" i="9"/>
  <c r="U408" i="9"/>
  <c r="N339" i="9"/>
  <c r="O304" i="9"/>
  <c r="L304" i="9"/>
  <c r="K304" i="9"/>
  <c r="M304" i="9" s="1"/>
  <c r="R350" i="9"/>
  <c r="S350" i="9"/>
  <c r="T350" i="9"/>
  <c r="U350" i="9"/>
  <c r="O91" i="9"/>
  <c r="L91" i="9"/>
  <c r="K91" i="9"/>
  <c r="O31" i="9"/>
  <c r="K31" i="9"/>
  <c r="L31" i="9"/>
  <c r="M408" i="9"/>
  <c r="U346" i="9"/>
  <c r="P346" i="9"/>
  <c r="Q346" i="9"/>
  <c r="R346" i="9"/>
  <c r="S346" i="9"/>
  <c r="T346" i="9"/>
  <c r="L323" i="9"/>
  <c r="O323" i="9"/>
  <c r="K323" i="9"/>
  <c r="M323" i="9" s="1"/>
  <c r="K177" i="9"/>
  <c r="L177" i="9"/>
  <c r="M396" i="9"/>
  <c r="L275" i="9"/>
  <c r="S225" i="9"/>
  <c r="T225" i="9"/>
  <c r="R225" i="9"/>
  <c r="U225" i="9"/>
  <c r="Q225" i="9"/>
  <c r="V225" i="9" s="1"/>
  <c r="W225" i="9" s="1"/>
  <c r="Q221" i="9"/>
  <c r="R221" i="9"/>
  <c r="T203" i="9"/>
  <c r="U203" i="9"/>
  <c r="P203" i="9"/>
  <c r="R203" i="9"/>
  <c r="S203" i="9"/>
  <c r="Q203" i="9"/>
  <c r="V203" i="9" s="1"/>
  <c r="W203" i="9" s="1"/>
  <c r="Q192" i="9"/>
  <c r="T192" i="9"/>
  <c r="P192" i="9"/>
  <c r="R192" i="9"/>
  <c r="U192" i="9"/>
  <c r="R117" i="9"/>
  <c r="T117" i="9"/>
  <c r="U117" i="9"/>
  <c r="P117" i="9"/>
  <c r="Q117" i="9"/>
  <c r="S117" i="9"/>
  <c r="K9" i="9"/>
  <c r="L9" i="9"/>
  <c r="R144" i="9"/>
  <c r="S144" i="9"/>
  <c r="Q144" i="9"/>
  <c r="U144" i="9"/>
  <c r="T144" i="9"/>
  <c r="K250" i="9"/>
  <c r="L250" i="9"/>
  <c r="O250" i="9"/>
  <c r="S235" i="9"/>
  <c r="T235" i="9"/>
  <c r="U235" i="9"/>
  <c r="R235" i="9"/>
  <c r="N36" i="9"/>
  <c r="O82" i="9"/>
  <c r="K82" i="9"/>
  <c r="M82" i="9" s="1"/>
  <c r="L82" i="9"/>
  <c r="M388" i="9"/>
  <c r="K249" i="9"/>
  <c r="O249" i="9"/>
  <c r="L249" i="9"/>
  <c r="O199" i="9"/>
  <c r="L199" i="9"/>
  <c r="K199" i="9"/>
  <c r="M199" i="9" s="1"/>
  <c r="R187" i="9"/>
  <c r="S187" i="9"/>
  <c r="Q187" i="9"/>
  <c r="T187" i="9"/>
  <c r="U187" i="9"/>
  <c r="U356" i="9"/>
  <c r="T356" i="9"/>
  <c r="R356" i="9"/>
  <c r="S356" i="9"/>
  <c r="P356" i="9"/>
  <c r="Q356" i="9"/>
  <c r="K69" i="9"/>
  <c r="L69" i="9"/>
  <c r="T352" i="9"/>
  <c r="U352" i="9"/>
  <c r="S352" i="9"/>
  <c r="R352" i="9"/>
  <c r="V352" i="9" s="1"/>
  <c r="W352" i="9" s="1"/>
  <c r="T333" i="9"/>
  <c r="U333" i="9"/>
  <c r="R333" i="9"/>
  <c r="Q333" i="9"/>
  <c r="S333" i="9"/>
  <c r="Q231" i="9"/>
  <c r="R231" i="9"/>
  <c r="S231" i="9"/>
  <c r="V231" i="9" s="1"/>
  <c r="W231" i="9" s="1"/>
  <c r="T191" i="9"/>
  <c r="U191" i="9"/>
  <c r="S191" i="9"/>
  <c r="R191" i="9"/>
  <c r="M345" i="9"/>
  <c r="M330" i="9"/>
  <c r="K266" i="9"/>
  <c r="M266" i="9" s="1"/>
  <c r="Q413" i="9"/>
  <c r="P321" i="9"/>
  <c r="N292" i="9"/>
  <c r="L269" i="9"/>
  <c r="M269" i="9" s="1"/>
  <c r="L207" i="9"/>
  <c r="M207" i="9" s="1"/>
  <c r="M183" i="9"/>
  <c r="S72" i="9"/>
  <c r="T72" i="9"/>
  <c r="P72" i="9"/>
  <c r="V72" i="9" s="1"/>
  <c r="W72" i="9" s="1"/>
  <c r="R72" i="9"/>
  <c r="V55" i="9"/>
  <c r="W55" i="9" s="1"/>
  <c r="M34" i="9"/>
  <c r="L347" i="9"/>
  <c r="K347" i="9"/>
  <c r="O347" i="9"/>
  <c r="K324" i="9"/>
  <c r="L324" i="9"/>
  <c r="O324" i="9"/>
  <c r="N112" i="9"/>
  <c r="K404" i="9"/>
  <c r="L404" i="9"/>
  <c r="O404" i="9"/>
  <c r="Q303" i="9"/>
  <c r="R303" i="9"/>
  <c r="S303" i="9"/>
  <c r="T303" i="9"/>
  <c r="U303" i="9"/>
  <c r="P232" i="9"/>
  <c r="U232" i="9"/>
  <c r="Q232" i="9"/>
  <c r="R232" i="9"/>
  <c r="S232" i="9"/>
  <c r="U99" i="9"/>
  <c r="P99" i="9"/>
  <c r="R99" i="9"/>
  <c r="T99" i="9"/>
  <c r="Q285" i="9"/>
  <c r="R285" i="9"/>
  <c r="S285" i="9"/>
  <c r="N274" i="9"/>
  <c r="V274" i="9"/>
  <c r="W274" i="9" s="1"/>
  <c r="K196" i="9"/>
  <c r="M196" i="9" s="1"/>
  <c r="L196" i="9"/>
  <c r="O341" i="9"/>
  <c r="K341" i="9"/>
  <c r="L341" i="9"/>
  <c r="O280" i="9"/>
  <c r="K280" i="9"/>
  <c r="L280" i="9"/>
  <c r="V102" i="9"/>
  <c r="W102" i="9" s="1"/>
  <c r="K88" i="9"/>
  <c r="M88" i="9" s="1"/>
  <c r="O88" i="9"/>
  <c r="L76" i="9"/>
  <c r="O76" i="9"/>
  <c r="K76" i="9"/>
  <c r="Q38" i="9"/>
  <c r="R38" i="9"/>
  <c r="S38" i="9"/>
  <c r="U38" i="9"/>
  <c r="O398" i="9"/>
  <c r="L398" i="9"/>
  <c r="M398" i="9" s="1"/>
  <c r="P206" i="9"/>
  <c r="Q206" i="9"/>
  <c r="S206" i="9"/>
  <c r="T206" i="9"/>
  <c r="U206" i="9"/>
  <c r="U358" i="9"/>
  <c r="R358" i="9"/>
  <c r="V358" i="9" s="1"/>
  <c r="W358" i="9" s="1"/>
  <c r="S358" i="9"/>
  <c r="T358" i="9"/>
  <c r="Q340" i="9"/>
  <c r="S340" i="9"/>
  <c r="P340" i="9"/>
  <c r="U340" i="9"/>
  <c r="R340" i="9"/>
  <c r="T340" i="9"/>
  <c r="K311" i="9"/>
  <c r="L311" i="9"/>
  <c r="O300" i="9"/>
  <c r="L300" i="9"/>
  <c r="M300" i="9" s="1"/>
  <c r="R276" i="9"/>
  <c r="S276" i="9"/>
  <c r="P276" i="9"/>
  <c r="Q276" i="9"/>
  <c r="T276" i="9"/>
  <c r="U276" i="9"/>
  <c r="T201" i="9"/>
  <c r="S201" i="9"/>
  <c r="U201" i="9"/>
  <c r="M178" i="9"/>
  <c r="S141" i="9"/>
  <c r="T141" i="9"/>
  <c r="Q141" i="9"/>
  <c r="R141" i="9"/>
  <c r="U141" i="9"/>
  <c r="N92" i="9"/>
  <c r="K377" i="9"/>
  <c r="L377" i="9"/>
  <c r="R364" i="9"/>
  <c r="Q364" i="9"/>
  <c r="S364" i="9"/>
  <c r="P364" i="9"/>
  <c r="T364" i="9"/>
  <c r="U364" i="9"/>
  <c r="V128" i="9"/>
  <c r="W128" i="9" s="1"/>
  <c r="V420" i="9"/>
  <c r="W420" i="9" s="1"/>
  <c r="N420" i="9"/>
  <c r="K397" i="9"/>
  <c r="O397" i="9"/>
  <c r="L397" i="9"/>
  <c r="L178" i="9"/>
  <c r="O178" i="9"/>
  <c r="N164" i="9"/>
  <c r="L84" i="9"/>
  <c r="K84" i="9"/>
  <c r="M84" i="9" s="1"/>
  <c r="S335" i="9"/>
  <c r="T335" i="9"/>
  <c r="P335" i="9"/>
  <c r="Q335" i="9"/>
  <c r="R335" i="9"/>
  <c r="U335" i="9"/>
  <c r="L287" i="9"/>
  <c r="K287" i="9"/>
  <c r="M287" i="9" s="1"/>
  <c r="O287" i="9"/>
  <c r="T412" i="9"/>
  <c r="Q393" i="9"/>
  <c r="R393" i="9"/>
  <c r="V393" i="9" s="1"/>
  <c r="W393" i="9" s="1"/>
  <c r="S393" i="9"/>
  <c r="U393" i="9"/>
  <c r="O361" i="9"/>
  <c r="K361" i="9"/>
  <c r="L361" i="9"/>
  <c r="M354" i="9"/>
  <c r="O286" i="9"/>
  <c r="U222" i="9"/>
  <c r="S222" i="9"/>
  <c r="T222" i="9"/>
  <c r="P222" i="9"/>
  <c r="Q222" i="9"/>
  <c r="R222" i="9"/>
  <c r="U214" i="9"/>
  <c r="S214" i="9"/>
  <c r="T214" i="9"/>
  <c r="R214" i="9"/>
  <c r="P214" i="9"/>
  <c r="Q214" i="9"/>
  <c r="R193" i="9"/>
  <c r="L173" i="9"/>
  <c r="O173" i="9"/>
  <c r="K173" i="9"/>
  <c r="V145" i="9"/>
  <c r="W145" i="9" s="1"/>
  <c r="K101" i="9"/>
  <c r="L101" i="9"/>
  <c r="O101" i="9"/>
  <c r="N96" i="9"/>
  <c r="V96" i="9"/>
  <c r="W96" i="9" s="1"/>
  <c r="R92" i="9"/>
  <c r="P92" i="9"/>
  <c r="V92" i="9" s="1"/>
  <c r="W92" i="9" s="1"/>
  <c r="Q92" i="9"/>
  <c r="U92" i="9"/>
  <c r="Q412" i="9"/>
  <c r="O332" i="9"/>
  <c r="L332" i="9"/>
  <c r="M332" i="9" s="1"/>
  <c r="K305" i="9"/>
  <c r="L305" i="9"/>
  <c r="O305" i="9"/>
  <c r="L286" i="9"/>
  <c r="M286" i="9" s="1"/>
  <c r="R246" i="9"/>
  <c r="U246" i="9"/>
  <c r="S246" i="9"/>
  <c r="Q193" i="9"/>
  <c r="S145" i="9"/>
  <c r="R145" i="9"/>
  <c r="U145" i="9"/>
  <c r="T145" i="9"/>
  <c r="P145" i="9"/>
  <c r="Q145" i="9"/>
  <c r="N136" i="9"/>
  <c r="V136" i="9"/>
  <c r="W136" i="9" s="1"/>
  <c r="V400" i="9"/>
  <c r="W400" i="9" s="1"/>
  <c r="M375" i="9"/>
  <c r="K135" i="9"/>
  <c r="O135" i="9"/>
  <c r="L135" i="9"/>
  <c r="P419" i="9"/>
  <c r="Q419" i="9"/>
  <c r="U419" i="9"/>
  <c r="T419" i="9"/>
  <c r="N232" i="9"/>
  <c r="S107" i="9"/>
  <c r="Q107" i="9"/>
  <c r="R107" i="9"/>
  <c r="T107" i="9"/>
  <c r="U107" i="9"/>
  <c r="L374" i="9"/>
  <c r="M374" i="9" s="1"/>
  <c r="O374" i="9"/>
  <c r="S344" i="9"/>
  <c r="R344" i="9"/>
  <c r="T344" i="9"/>
  <c r="U344" i="9"/>
  <c r="N215" i="9"/>
  <c r="P84" i="9"/>
  <c r="Q84" i="9"/>
  <c r="R84" i="9"/>
  <c r="K59" i="9"/>
  <c r="L59" i="9"/>
  <c r="N393" i="9"/>
  <c r="L383" i="9"/>
  <c r="K383" i="9"/>
  <c r="O383" i="9"/>
  <c r="M336" i="9"/>
  <c r="R328" i="9"/>
  <c r="S328" i="9"/>
  <c r="Q328" i="9"/>
  <c r="T328" i="9"/>
  <c r="P328" i="9"/>
  <c r="U328" i="9"/>
  <c r="Q317" i="9"/>
  <c r="V317" i="9" s="1"/>
  <c r="W317" i="9" s="1"/>
  <c r="R317" i="9"/>
  <c r="T317" i="9"/>
  <c r="U317" i="9"/>
  <c r="K306" i="9"/>
  <c r="L306" i="9"/>
  <c r="O306" i="9"/>
  <c r="K174" i="9"/>
  <c r="L174" i="9"/>
  <c r="O156" i="9"/>
  <c r="L156" i="9"/>
  <c r="M156" i="9" s="1"/>
  <c r="R4" i="9"/>
  <c r="S4" i="9"/>
  <c r="T4" i="9"/>
  <c r="U4" i="9"/>
  <c r="M413" i="9"/>
  <c r="S390" i="9"/>
  <c r="Q390" i="9"/>
  <c r="O325" i="9"/>
  <c r="L325" i="9"/>
  <c r="M325" i="9" s="1"/>
  <c r="R272" i="9"/>
  <c r="S272" i="9"/>
  <c r="U272" i="9"/>
  <c r="R164" i="9"/>
  <c r="Q164" i="9"/>
  <c r="S164" i="9"/>
  <c r="T164" i="9"/>
  <c r="U164" i="9"/>
  <c r="O125" i="9"/>
  <c r="K125" i="9"/>
  <c r="L125" i="9"/>
  <c r="O67" i="9"/>
  <c r="K67" i="9"/>
  <c r="M67" i="9" s="1"/>
  <c r="U63" i="9"/>
  <c r="S63" i="9"/>
  <c r="T63" i="9"/>
  <c r="L206" i="9"/>
  <c r="K206" i="9"/>
  <c r="N182" i="9"/>
  <c r="R113" i="9"/>
  <c r="S113" i="9"/>
  <c r="T113" i="9"/>
  <c r="U113" i="9"/>
  <c r="N27" i="9"/>
  <c r="V27" i="9"/>
  <c r="W27" i="9" s="1"/>
  <c r="Q351" i="9"/>
  <c r="T351" i="9"/>
  <c r="U351" i="9"/>
  <c r="K340" i="9"/>
  <c r="L340" i="9"/>
  <c r="M328" i="9"/>
  <c r="U218" i="9"/>
  <c r="P218" i="9"/>
  <c r="R218" i="9"/>
  <c r="S218" i="9"/>
  <c r="T218" i="9"/>
  <c r="L201" i="9"/>
  <c r="M201" i="9" s="1"/>
  <c r="P87" i="9"/>
  <c r="Q87" i="9"/>
  <c r="S87" i="9"/>
  <c r="T87" i="9"/>
  <c r="U71" i="9"/>
  <c r="P71" i="9"/>
  <c r="T71" i="9"/>
  <c r="S71" i="9"/>
  <c r="R71" i="9"/>
  <c r="S419" i="9"/>
  <c r="P412" i="9"/>
  <c r="K409" i="9"/>
  <c r="L409" i="9"/>
  <c r="O409" i="9"/>
  <c r="L354" i="9"/>
  <c r="O354" i="9"/>
  <c r="K309" i="9"/>
  <c r="L309" i="9"/>
  <c r="O309" i="9"/>
  <c r="S291" i="9"/>
  <c r="T291" i="9"/>
  <c r="U291" i="9"/>
  <c r="N246" i="9"/>
  <c r="O241" i="9"/>
  <c r="K241" i="9"/>
  <c r="L241" i="9"/>
  <c r="K237" i="9"/>
  <c r="L237" i="9"/>
  <c r="O237" i="9"/>
  <c r="L205" i="9"/>
  <c r="O205" i="9"/>
  <c r="K205" i="9"/>
  <c r="M205" i="9" s="1"/>
  <c r="P193" i="9"/>
  <c r="O177" i="9"/>
  <c r="P154" i="9"/>
  <c r="M372" i="9"/>
  <c r="L234" i="9"/>
  <c r="O234" i="9"/>
  <c r="K234" i="9"/>
  <c r="U227" i="9"/>
  <c r="R227" i="9"/>
  <c r="S227" i="9"/>
  <c r="T227" i="9"/>
  <c r="T197" i="9"/>
  <c r="U197" i="9"/>
  <c r="Q197" i="9"/>
  <c r="R197" i="9"/>
  <c r="S197" i="9"/>
  <c r="P366" i="9"/>
  <c r="Q366" i="9"/>
  <c r="R366" i="9"/>
  <c r="T366" i="9"/>
  <c r="Q320" i="9"/>
  <c r="S320" i="9"/>
  <c r="T320" i="9"/>
  <c r="U320" i="9"/>
  <c r="N314" i="9"/>
  <c r="R256" i="9"/>
  <c r="U256" i="9"/>
  <c r="S256" i="9"/>
  <c r="T256" i="9"/>
  <c r="K213" i="9"/>
  <c r="L213" i="9"/>
  <c r="O213" i="9"/>
  <c r="V197" i="9"/>
  <c r="W197" i="9" s="1"/>
  <c r="N197" i="9"/>
  <c r="N106" i="9"/>
  <c r="K63" i="9"/>
  <c r="M63" i="9" s="1"/>
  <c r="Q66" i="9"/>
  <c r="S66" i="9"/>
  <c r="R66" i="9"/>
  <c r="T66" i="9"/>
  <c r="K402" i="9"/>
  <c r="M402" i="9" s="1"/>
  <c r="O402" i="9"/>
  <c r="K376" i="9"/>
  <c r="L376" i="9"/>
  <c r="O376" i="9"/>
  <c r="V371" i="9"/>
  <c r="W371" i="9" s="1"/>
  <c r="U365" i="9"/>
  <c r="P365" i="9"/>
  <c r="R365" i="9"/>
  <c r="S365" i="9"/>
  <c r="Q365" i="9"/>
  <c r="T365" i="9"/>
  <c r="M351" i="9"/>
  <c r="P348" i="9"/>
  <c r="Q348" i="9"/>
  <c r="R274" i="9"/>
  <c r="S274" i="9"/>
  <c r="T274" i="9"/>
  <c r="U274" i="9"/>
  <c r="P274" i="9"/>
  <c r="L264" i="9"/>
  <c r="O264" i="9"/>
  <c r="P230" i="9"/>
  <c r="R230" i="9"/>
  <c r="U230" i="9"/>
  <c r="S230" i="9"/>
  <c r="T230" i="9"/>
  <c r="S190" i="9"/>
  <c r="U190" i="9"/>
  <c r="T190" i="9"/>
  <c r="N110" i="9"/>
  <c r="Q57" i="9"/>
  <c r="U57" i="9"/>
  <c r="R57" i="9"/>
  <c r="T57" i="9"/>
  <c r="S57" i="9"/>
  <c r="M46" i="9"/>
  <c r="U15" i="9"/>
  <c r="P15" i="9"/>
  <c r="Q15" i="9"/>
  <c r="P406" i="9"/>
  <c r="T406" i="9"/>
  <c r="U406" i="9"/>
  <c r="K152" i="9"/>
  <c r="L152" i="9"/>
  <c r="K95" i="9"/>
  <c r="M95" i="9" s="1"/>
  <c r="O95" i="9"/>
  <c r="T78" i="9"/>
  <c r="Q78" i="9"/>
  <c r="U78" i="9"/>
  <c r="M348" i="9"/>
  <c r="M303" i="9"/>
  <c r="M264" i="9"/>
  <c r="K124" i="9"/>
  <c r="M124" i="9" s="1"/>
  <c r="O124" i="9"/>
  <c r="K103" i="9"/>
  <c r="L103" i="9"/>
  <c r="T74" i="9"/>
  <c r="U74" i="9"/>
  <c r="S74" i="9"/>
  <c r="Q74" i="9"/>
  <c r="R74" i="9"/>
  <c r="P74" i="9"/>
  <c r="V74" i="9" s="1"/>
  <c r="W74" i="9" s="1"/>
  <c r="M28" i="9"/>
  <c r="T392" i="9"/>
  <c r="U392" i="9"/>
  <c r="T260" i="9"/>
  <c r="U260" i="9"/>
  <c r="N209" i="9"/>
  <c r="V209" i="9"/>
  <c r="W209" i="9" s="1"/>
  <c r="M389" i="9"/>
  <c r="Q382" i="9"/>
  <c r="V382" i="9" s="1"/>
  <c r="W382" i="9" s="1"/>
  <c r="R382" i="9"/>
  <c r="K260" i="9"/>
  <c r="L260" i="9"/>
  <c r="O245" i="9"/>
  <c r="K245" i="9"/>
  <c r="L245" i="9"/>
  <c r="S240" i="9"/>
  <c r="R240" i="9"/>
  <c r="T240" i="9"/>
  <c r="P240" i="9"/>
  <c r="V240" i="9" s="1"/>
  <c r="W240" i="9" s="1"/>
  <c r="L66" i="9"/>
  <c r="K66" i="9"/>
  <c r="M66" i="9" s="1"/>
  <c r="P259" i="9"/>
  <c r="Q259" i="9"/>
  <c r="R259" i="9"/>
  <c r="S259" i="9"/>
  <c r="T259" i="9"/>
  <c r="U259" i="9"/>
  <c r="O219" i="9"/>
  <c r="L219" i="9"/>
  <c r="M219" i="9" s="1"/>
  <c r="M216" i="9"/>
  <c r="M167" i="9"/>
  <c r="M151" i="9"/>
  <c r="R417" i="9"/>
  <c r="S417" i="9"/>
  <c r="Q417" i="9"/>
  <c r="T417" i="9"/>
  <c r="O401" i="9"/>
  <c r="L401" i="9"/>
  <c r="M401" i="9" s="1"/>
  <c r="S378" i="9"/>
  <c r="T378" i="9"/>
  <c r="Q378" i="9"/>
  <c r="V378" i="9" s="1"/>
  <c r="W378" i="9" s="1"/>
  <c r="L267" i="9"/>
  <c r="K267" i="9"/>
  <c r="O267" i="9"/>
  <c r="O255" i="9"/>
  <c r="K255" i="9"/>
  <c r="L255" i="9"/>
  <c r="T226" i="9"/>
  <c r="S226" i="9"/>
  <c r="U226" i="9"/>
  <c r="T134" i="9"/>
  <c r="U134" i="9"/>
  <c r="S134" i="9"/>
  <c r="Q81" i="9"/>
  <c r="S81" i="9"/>
  <c r="P81" i="9"/>
  <c r="R81" i="9"/>
  <c r="T81" i="9"/>
  <c r="K45" i="9"/>
  <c r="L45" i="9"/>
  <c r="O45" i="9"/>
  <c r="M411" i="9"/>
  <c r="U375" i="9"/>
  <c r="R375" i="9"/>
  <c r="S375" i="9"/>
  <c r="P375" i="9"/>
  <c r="Q375" i="9"/>
  <c r="M335" i="9"/>
  <c r="T294" i="9"/>
  <c r="P294" i="9"/>
  <c r="Q294" i="9"/>
  <c r="U294" i="9"/>
  <c r="K248" i="9"/>
  <c r="O248" i="9"/>
  <c r="L248" i="9"/>
  <c r="K222" i="9"/>
  <c r="L222" i="9"/>
  <c r="L216" i="9"/>
  <c r="M142" i="9"/>
  <c r="S93" i="9"/>
  <c r="U93" i="9"/>
  <c r="R93" i="9"/>
  <c r="T93" i="9"/>
  <c r="M49" i="9"/>
  <c r="N22" i="9"/>
  <c r="V22" i="9"/>
  <c r="W22" i="9" s="1"/>
  <c r="U10" i="9"/>
  <c r="P10" i="9"/>
  <c r="R10" i="9"/>
  <c r="Q10" i="9"/>
  <c r="P420" i="9"/>
  <c r="R420" i="9"/>
  <c r="T420" i="9"/>
  <c r="S420" i="9"/>
  <c r="U420" i="9"/>
  <c r="U394" i="9"/>
  <c r="R394" i="9"/>
  <c r="S394" i="9"/>
  <c r="T394" i="9"/>
  <c r="T283" i="9"/>
  <c r="U283" i="9"/>
  <c r="L193" i="9"/>
  <c r="K193" i="9"/>
  <c r="M193" i="9" s="1"/>
  <c r="L150" i="9"/>
  <c r="K150" i="9"/>
  <c r="M150" i="9" s="1"/>
  <c r="O150" i="9"/>
  <c r="O97" i="9"/>
  <c r="L97" i="9"/>
  <c r="M97" i="9" s="1"/>
  <c r="M61" i="9"/>
  <c r="P384" i="9"/>
  <c r="Q384" i="9"/>
  <c r="O381" i="9"/>
  <c r="K381" i="9"/>
  <c r="M381" i="9" s="1"/>
  <c r="P343" i="9"/>
  <c r="V343" i="9" s="1"/>
  <c r="W343" i="9" s="1"/>
  <c r="S343" i="9"/>
  <c r="T343" i="9"/>
  <c r="U343" i="9"/>
  <c r="L335" i="9"/>
  <c r="M263" i="9"/>
  <c r="K258" i="9"/>
  <c r="M258" i="9" s="1"/>
  <c r="O258" i="9"/>
  <c r="L162" i="9"/>
  <c r="O162" i="9"/>
  <c r="K162" i="9"/>
  <c r="S149" i="9"/>
  <c r="T149" i="9"/>
  <c r="U149" i="9"/>
  <c r="P149" i="9"/>
  <c r="Q149" i="9"/>
  <c r="R149" i="9"/>
  <c r="L142" i="9"/>
  <c r="O142" i="9"/>
  <c r="K118" i="9"/>
  <c r="L118" i="9"/>
  <c r="O118" i="9"/>
  <c r="U112" i="9"/>
  <c r="T112" i="9"/>
  <c r="Q112" i="9"/>
  <c r="V112" i="9" s="1"/>
  <c r="W112" i="9" s="1"/>
  <c r="R112" i="9"/>
  <c r="S112" i="9"/>
  <c r="K81" i="9"/>
  <c r="L81" i="9"/>
  <c r="O49" i="9"/>
  <c r="L49" i="9"/>
  <c r="R44" i="9"/>
  <c r="T44" i="9"/>
  <c r="Q44" i="9"/>
  <c r="S44" i="9"/>
  <c r="M321" i="9"/>
  <c r="T282" i="9"/>
  <c r="Q282" i="9"/>
  <c r="R282" i="9"/>
  <c r="U239" i="9"/>
  <c r="T239" i="9"/>
  <c r="P239" i="9"/>
  <c r="Q239" i="9"/>
  <c r="R239" i="9"/>
  <c r="S211" i="9"/>
  <c r="U211" i="9"/>
  <c r="P211" i="9"/>
  <c r="Q211" i="9"/>
  <c r="R211" i="9"/>
  <c r="V192" i="9"/>
  <c r="W192" i="9" s="1"/>
  <c r="O105" i="9"/>
  <c r="K105" i="9"/>
  <c r="M105" i="9" s="1"/>
  <c r="P18" i="9"/>
  <c r="T18" i="9"/>
  <c r="U18" i="9"/>
  <c r="Q11" i="9"/>
  <c r="P11" i="9"/>
  <c r="R11" i="9"/>
  <c r="S11" i="9"/>
  <c r="T11" i="9"/>
  <c r="O8" i="9"/>
  <c r="K8" i="9"/>
  <c r="L8" i="9"/>
  <c r="R405" i="9"/>
  <c r="P405" i="9"/>
  <c r="Q405" i="9"/>
  <c r="M379" i="9"/>
  <c r="K329" i="9"/>
  <c r="L329" i="9"/>
  <c r="O329" i="9"/>
  <c r="P279" i="9"/>
  <c r="Q279" i="9"/>
  <c r="T279" i="9"/>
  <c r="R208" i="9"/>
  <c r="S208" i="9"/>
  <c r="Q208" i="9"/>
  <c r="T208" i="9"/>
  <c r="R169" i="9"/>
  <c r="S169" i="9"/>
  <c r="N79" i="9"/>
  <c r="V79" i="9"/>
  <c r="W79" i="9" s="1"/>
  <c r="K52" i="9"/>
  <c r="L52" i="9"/>
  <c r="L44" i="9"/>
  <c r="M44" i="9" s="1"/>
  <c r="K15" i="9"/>
  <c r="L15" i="9"/>
  <c r="U400" i="9"/>
  <c r="P400" i="9"/>
  <c r="Q400" i="9"/>
  <c r="R400" i="9"/>
  <c r="P368" i="9"/>
  <c r="Q368" i="9"/>
  <c r="U368" i="9"/>
  <c r="S360" i="9"/>
  <c r="T360" i="9"/>
  <c r="L318" i="9"/>
  <c r="M318" i="9" s="1"/>
  <c r="O318" i="9"/>
  <c r="L224" i="9"/>
  <c r="M224" i="9" s="1"/>
  <c r="S165" i="9"/>
  <c r="T165" i="9"/>
  <c r="Q165" i="9"/>
  <c r="R165" i="9"/>
  <c r="U155" i="9"/>
  <c r="Q155" i="9"/>
  <c r="R155" i="9"/>
  <c r="S155" i="9"/>
  <c r="T155" i="9"/>
  <c r="M127" i="9"/>
  <c r="T410" i="9"/>
  <c r="U410" i="9"/>
  <c r="Q339" i="9"/>
  <c r="V339" i="9" s="1"/>
  <c r="W339" i="9" s="1"/>
  <c r="R339" i="9"/>
  <c r="T339" i="9"/>
  <c r="U339" i="9"/>
  <c r="M195" i="9"/>
  <c r="Q179" i="9"/>
  <c r="S179" i="9"/>
  <c r="U179" i="9"/>
  <c r="R179" i="9"/>
  <c r="T179" i="9"/>
  <c r="K140" i="9"/>
  <c r="L140" i="9"/>
  <c r="O140" i="9"/>
  <c r="U43" i="9"/>
  <c r="T43" i="9"/>
  <c r="Q43" i="9"/>
  <c r="R43" i="9"/>
  <c r="S43" i="9"/>
  <c r="P43" i="9"/>
  <c r="T22" i="9"/>
  <c r="Q22" i="9"/>
  <c r="U22" i="9"/>
  <c r="L418" i="9"/>
  <c r="M418" i="9" s="1"/>
  <c r="O418" i="9"/>
  <c r="K392" i="9"/>
  <c r="L392" i="9"/>
  <c r="M355" i="9"/>
  <c r="U336" i="9"/>
  <c r="U312" i="9"/>
  <c r="U298" i="9"/>
  <c r="K293" i="9"/>
  <c r="M293" i="9" s="1"/>
  <c r="L293" i="9"/>
  <c r="L290" i="9"/>
  <c r="M290" i="9" s="1"/>
  <c r="O290" i="9"/>
  <c r="R284" i="9"/>
  <c r="Q284" i="9"/>
  <c r="S284" i="9"/>
  <c r="U284" i="9"/>
  <c r="P284" i="9"/>
  <c r="K282" i="9"/>
  <c r="M282" i="9" s="1"/>
  <c r="T253" i="9"/>
  <c r="L239" i="9"/>
  <c r="M239" i="9" s="1"/>
  <c r="K208" i="9"/>
  <c r="M208" i="9" s="1"/>
  <c r="M169" i="9"/>
  <c r="M94" i="9"/>
  <c r="V89" i="9"/>
  <c r="W89" i="9" s="1"/>
  <c r="M86" i="9"/>
  <c r="M33" i="9"/>
  <c r="K285" i="9"/>
  <c r="M285" i="9" s="1"/>
  <c r="P195" i="9"/>
  <c r="Q195" i="9"/>
  <c r="M155" i="9"/>
  <c r="M108" i="9"/>
  <c r="P79" i="9"/>
  <c r="Q79" i="9"/>
  <c r="R79" i="9"/>
  <c r="T79" i="9"/>
  <c r="U79" i="9"/>
  <c r="S73" i="9"/>
  <c r="T73" i="9"/>
  <c r="M363" i="9"/>
  <c r="R337" i="9"/>
  <c r="S337" i="9"/>
  <c r="P337" i="9"/>
  <c r="K299" i="9"/>
  <c r="M299" i="9" s="1"/>
  <c r="O299" i="9"/>
  <c r="Q271" i="9"/>
  <c r="S271" i="9"/>
  <c r="M254" i="9"/>
  <c r="O189" i="9"/>
  <c r="K189" i="9"/>
  <c r="L189" i="9"/>
  <c r="V37" i="9"/>
  <c r="W37" i="9" s="1"/>
  <c r="L236" i="9"/>
  <c r="M236" i="9" s="1"/>
  <c r="O236" i="9"/>
  <c r="K137" i="9"/>
  <c r="L137" i="9"/>
  <c r="O137" i="9"/>
  <c r="P62" i="9"/>
  <c r="Q62" i="9"/>
  <c r="T62" i="9"/>
  <c r="U62" i="9"/>
  <c r="R389" i="9"/>
  <c r="S389" i="9"/>
  <c r="R307" i="9"/>
  <c r="S307" i="9"/>
  <c r="T307" i="9"/>
  <c r="S296" i="9"/>
  <c r="P296" i="9"/>
  <c r="S262" i="9"/>
  <c r="T262" i="9"/>
  <c r="R262" i="9"/>
  <c r="U262" i="9"/>
  <c r="L218" i="9"/>
  <c r="M218" i="9" s="1"/>
  <c r="O204" i="9"/>
  <c r="K204" i="9"/>
  <c r="M204" i="9" s="1"/>
  <c r="U111" i="9"/>
  <c r="S111" i="9"/>
  <c r="V111" i="9" s="1"/>
  <c r="W111" i="9" s="1"/>
  <c r="T111" i="9"/>
  <c r="O90" i="9"/>
  <c r="K90" i="9"/>
  <c r="M90" i="9" s="1"/>
  <c r="R407" i="9"/>
  <c r="Q407" i="9"/>
  <c r="S407" i="9"/>
  <c r="T407" i="9"/>
  <c r="V407" i="9" s="1"/>
  <c r="W407" i="9" s="1"/>
  <c r="K405" i="9"/>
  <c r="L405" i="9"/>
  <c r="L271" i="9"/>
  <c r="M271" i="9" s="1"/>
  <c r="L265" i="9"/>
  <c r="O265" i="9"/>
  <c r="K265" i="9"/>
  <c r="M265" i="9" s="1"/>
  <c r="S253" i="9"/>
  <c r="L242" i="9"/>
  <c r="K242" i="9"/>
  <c r="M242" i="9" s="1"/>
  <c r="O242" i="9"/>
  <c r="O172" i="9"/>
  <c r="K172" i="9"/>
  <c r="M172" i="9" s="1"/>
  <c r="P161" i="9"/>
  <c r="U161" i="9"/>
  <c r="S161" i="9"/>
  <c r="T161" i="9"/>
  <c r="V139" i="9"/>
  <c r="W139" i="9" s="1"/>
  <c r="Q123" i="9"/>
  <c r="S123" i="9"/>
  <c r="T123" i="9"/>
  <c r="U54" i="9"/>
  <c r="M51" i="9"/>
  <c r="Q47" i="9"/>
  <c r="R47" i="9"/>
  <c r="S47" i="9"/>
  <c r="V47" i="9" s="1"/>
  <c r="W47" i="9" s="1"/>
  <c r="T47" i="9"/>
  <c r="P47" i="9"/>
  <c r="U47" i="9"/>
  <c r="R336" i="9"/>
  <c r="P336" i="9"/>
  <c r="Q336" i="9"/>
  <c r="M320" i="9"/>
  <c r="M298" i="9"/>
  <c r="L256" i="9"/>
  <c r="K256" i="9"/>
  <c r="M256" i="9" s="1"/>
  <c r="M223" i="9"/>
  <c r="S210" i="9"/>
  <c r="T210" i="9"/>
  <c r="R210" i="9"/>
  <c r="M188" i="9"/>
  <c r="M57" i="9"/>
  <c r="P391" i="9"/>
  <c r="Q391" i="9"/>
  <c r="O386" i="9"/>
  <c r="L386" i="9"/>
  <c r="M386" i="9" s="1"/>
  <c r="K295" i="9"/>
  <c r="M295" i="9" s="1"/>
  <c r="O295" i="9"/>
  <c r="T281" i="9"/>
  <c r="U281" i="9"/>
  <c r="R278" i="9"/>
  <c r="S278" i="9"/>
  <c r="K226" i="9"/>
  <c r="L226" i="9"/>
  <c r="L214" i="9"/>
  <c r="M214" i="9" s="1"/>
  <c r="K191" i="9"/>
  <c r="L191" i="9"/>
  <c r="K168" i="9"/>
  <c r="L168" i="9"/>
  <c r="O168" i="9"/>
  <c r="P110" i="9"/>
  <c r="S110" i="9"/>
  <c r="T110" i="9"/>
  <c r="R110" i="9"/>
  <c r="V110" i="9" s="1"/>
  <c r="W110" i="9" s="1"/>
  <c r="U110" i="9"/>
  <c r="K20" i="9"/>
  <c r="L20" i="9"/>
  <c r="O20" i="9"/>
  <c r="S349" i="9"/>
  <c r="U349" i="9"/>
  <c r="R298" i="9"/>
  <c r="P298" i="9"/>
  <c r="M93" i="9"/>
  <c r="N85" i="9"/>
  <c r="V85" i="9"/>
  <c r="W85" i="9" s="1"/>
  <c r="P46" i="9"/>
  <c r="Q46" i="9"/>
  <c r="U46" i="9"/>
  <c r="T46" i="9"/>
  <c r="L370" i="9"/>
  <c r="O370" i="9"/>
  <c r="K370" i="9"/>
  <c r="M370" i="9" s="1"/>
  <c r="P314" i="9"/>
  <c r="V314" i="9" s="1"/>
  <c r="W314" i="9" s="1"/>
  <c r="T314" i="9"/>
  <c r="U314" i="9"/>
  <c r="K270" i="9"/>
  <c r="M270" i="9" s="1"/>
  <c r="O270" i="9"/>
  <c r="O175" i="9"/>
  <c r="K175" i="9"/>
  <c r="L175" i="9"/>
  <c r="S121" i="9"/>
  <c r="P121" i="9"/>
  <c r="Q121" i="9"/>
  <c r="R121" i="9"/>
  <c r="T121" i="9"/>
  <c r="V121" i="9" s="1"/>
  <c r="W121" i="9" s="1"/>
  <c r="K24" i="9"/>
  <c r="L24" i="9"/>
  <c r="R312" i="9"/>
  <c r="P312" i="9"/>
  <c r="Q312" i="9"/>
  <c r="S312" i="9"/>
  <c r="M273" i="9"/>
  <c r="P247" i="9"/>
  <c r="Q247" i="9"/>
  <c r="U247" i="9"/>
  <c r="R247" i="9"/>
  <c r="S247" i="9"/>
  <c r="T247" i="9"/>
  <c r="V217" i="9"/>
  <c r="W217" i="9" s="1"/>
  <c r="K154" i="9"/>
  <c r="L154" i="9"/>
  <c r="T126" i="9"/>
  <c r="S126" i="9"/>
  <c r="L122" i="9"/>
  <c r="K122" i="9"/>
  <c r="M122" i="9" s="1"/>
  <c r="Q75" i="9"/>
  <c r="R75" i="9"/>
  <c r="P75" i="9"/>
  <c r="S75" i="9"/>
  <c r="T75" i="9"/>
  <c r="R24" i="9"/>
  <c r="S24" i="9"/>
  <c r="Q24" i="9"/>
  <c r="T24" i="9"/>
  <c r="U24" i="9"/>
  <c r="M14" i="9"/>
  <c r="M412" i="9"/>
  <c r="O301" i="9"/>
  <c r="K301" i="9"/>
  <c r="M301" i="9" s="1"/>
  <c r="K32" i="9"/>
  <c r="O32" i="9"/>
  <c r="L32" i="9"/>
  <c r="L10" i="9"/>
  <c r="K10" i="9"/>
  <c r="M10" i="9" s="1"/>
  <c r="P414" i="9"/>
  <c r="Q414" i="9"/>
  <c r="S414" i="9"/>
  <c r="T414" i="9"/>
  <c r="R380" i="9"/>
  <c r="S380" i="9"/>
  <c r="U380" i="9"/>
  <c r="Q330" i="9"/>
  <c r="R330" i="9"/>
  <c r="U330" i="9"/>
  <c r="T330" i="9"/>
  <c r="U322" i="9"/>
  <c r="T322" i="9"/>
  <c r="V322" i="9" s="1"/>
  <c r="W322" i="9" s="1"/>
  <c r="K229" i="9"/>
  <c r="L229" i="9"/>
  <c r="O143" i="9"/>
  <c r="L143" i="9"/>
  <c r="M143" i="9" s="1"/>
  <c r="P42" i="9"/>
  <c r="S42" i="9"/>
  <c r="T42" i="9"/>
  <c r="S27" i="9"/>
  <c r="T27" i="9"/>
  <c r="U27" i="9"/>
  <c r="M403" i="9"/>
  <c r="Q379" i="9"/>
  <c r="S379" i="9"/>
  <c r="L327" i="9"/>
  <c r="M327" i="9" s="1"/>
  <c r="R223" i="9"/>
  <c r="S223" i="9"/>
  <c r="P223" i="9"/>
  <c r="Q215" i="9"/>
  <c r="S215" i="9"/>
  <c r="P215" i="9"/>
  <c r="V215" i="9" s="1"/>
  <c r="W215" i="9" s="1"/>
  <c r="R215" i="9"/>
  <c r="T215" i="9"/>
  <c r="S202" i="9"/>
  <c r="T202" i="9"/>
  <c r="Q185" i="9"/>
  <c r="R185" i="9"/>
  <c r="T185" i="9"/>
  <c r="U185" i="9"/>
  <c r="S157" i="9"/>
  <c r="T157" i="9"/>
  <c r="Q157" i="9"/>
  <c r="R157" i="9"/>
  <c r="M131" i="9"/>
  <c r="L114" i="9"/>
  <c r="M114" i="9" s="1"/>
  <c r="O114" i="9"/>
  <c r="K25" i="9"/>
  <c r="L25" i="9"/>
  <c r="O25" i="9"/>
  <c r="U421" i="9"/>
  <c r="K410" i="9"/>
  <c r="L410" i="9"/>
  <c r="L372" i="9"/>
  <c r="O372" i="9"/>
  <c r="L365" i="9"/>
  <c r="M365" i="9" s="1"/>
  <c r="T362" i="9"/>
  <c r="R362" i="9"/>
  <c r="S362" i="9"/>
  <c r="O273" i="9"/>
  <c r="L273" i="9"/>
  <c r="R268" i="9"/>
  <c r="S268" i="9"/>
  <c r="K194" i="9"/>
  <c r="L194" i="9"/>
  <c r="S182" i="9"/>
  <c r="R182" i="9"/>
  <c r="T182" i="9"/>
  <c r="P182" i="9"/>
  <c r="Q182" i="9"/>
  <c r="M170" i="9"/>
  <c r="M134" i="9"/>
  <c r="S65" i="9"/>
  <c r="U65" i="9"/>
  <c r="Q65" i="9"/>
  <c r="P65" i="9"/>
  <c r="R61" i="9"/>
  <c r="S61" i="9"/>
  <c r="T61" i="9"/>
  <c r="P61" i="9"/>
  <c r="Q61" i="9"/>
  <c r="U61" i="9"/>
  <c r="K310" i="9"/>
  <c r="M310" i="9" s="1"/>
  <c r="O310" i="9"/>
  <c r="L283" i="9"/>
  <c r="M283" i="9" s="1"/>
  <c r="M160" i="9"/>
  <c r="U104" i="9"/>
  <c r="P104" i="9"/>
  <c r="Q104" i="9"/>
  <c r="S94" i="9"/>
  <c r="Q94" i="9"/>
  <c r="R94" i="9"/>
  <c r="T94" i="9"/>
  <c r="O35" i="9"/>
  <c r="L35" i="9"/>
  <c r="K35" i="9"/>
  <c r="M35" i="9" s="1"/>
  <c r="L338" i="9"/>
  <c r="K338" i="9"/>
  <c r="U292" i="9"/>
  <c r="P292" i="9"/>
  <c r="Q198" i="9"/>
  <c r="R198" i="9"/>
  <c r="S198" i="9"/>
  <c r="T106" i="9"/>
  <c r="R106" i="9"/>
  <c r="S106" i="9"/>
  <c r="P106" i="9"/>
  <c r="V106" i="9" s="1"/>
  <c r="W106" i="9" s="1"/>
  <c r="O100" i="9"/>
  <c r="K100" i="9"/>
  <c r="M100" i="9" s="1"/>
  <c r="L100" i="9"/>
  <c r="S37" i="9"/>
  <c r="R37" i="9"/>
  <c r="U37" i="9"/>
  <c r="L34" i="9"/>
  <c r="M180" i="9"/>
  <c r="U119" i="9"/>
  <c r="P119" i="9"/>
  <c r="T119" i="9"/>
  <c r="M107" i="9"/>
  <c r="S98" i="9"/>
  <c r="R98" i="9"/>
  <c r="T98" i="9"/>
  <c r="Q89" i="9"/>
  <c r="R89" i="9"/>
  <c r="S36" i="9"/>
  <c r="V36" i="9" s="1"/>
  <c r="W36" i="9" s="1"/>
  <c r="L30" i="9"/>
  <c r="M30" i="9" s="1"/>
  <c r="O30" i="9"/>
  <c r="S17" i="9"/>
  <c r="T17" i="9"/>
  <c r="U17" i="9"/>
  <c r="R355" i="9"/>
  <c r="S355" i="9"/>
  <c r="K349" i="9"/>
  <c r="L349" i="9"/>
  <c r="Q243" i="9"/>
  <c r="V243" i="9" s="1"/>
  <c r="W243" i="9" s="1"/>
  <c r="S243" i="9"/>
  <c r="K221" i="9"/>
  <c r="M221" i="9" s="1"/>
  <c r="M157" i="9"/>
  <c r="T86" i="9"/>
  <c r="U86" i="9"/>
  <c r="Q86" i="9"/>
  <c r="R86" i="9"/>
  <c r="L51" i="9"/>
  <c r="O51" i="9"/>
  <c r="R48" i="9"/>
  <c r="S48" i="9"/>
  <c r="P48" i="9"/>
  <c r="V48" i="9" s="1"/>
  <c r="W48" i="9" s="1"/>
  <c r="Q48" i="9"/>
  <c r="M247" i="9"/>
  <c r="K202" i="9"/>
  <c r="L202" i="9"/>
  <c r="L115" i="9"/>
  <c r="K115" i="9"/>
  <c r="M115" i="9" s="1"/>
  <c r="O115" i="9"/>
  <c r="R109" i="9"/>
  <c r="T109" i="9"/>
  <c r="S109" i="9"/>
  <c r="L80" i="9"/>
  <c r="M80" i="9" s="1"/>
  <c r="M71" i="9"/>
  <c r="L390" i="9"/>
  <c r="M390" i="9" s="1"/>
  <c r="K357" i="9"/>
  <c r="M357" i="9" s="1"/>
  <c r="L342" i="9"/>
  <c r="K342" i="9"/>
  <c r="M342" i="9" s="1"/>
  <c r="K291" i="9"/>
  <c r="L291" i="9"/>
  <c r="T170" i="9"/>
  <c r="U170" i="9"/>
  <c r="S170" i="9"/>
  <c r="U127" i="9"/>
  <c r="P127" i="9"/>
  <c r="Q127" i="9"/>
  <c r="R127" i="9"/>
  <c r="P53" i="9"/>
  <c r="T41" i="9"/>
  <c r="S41" i="9"/>
  <c r="V41" i="9" s="1"/>
  <c r="W41" i="9" s="1"/>
  <c r="O29" i="9"/>
  <c r="K29" i="9"/>
  <c r="M29" i="9" s="1"/>
  <c r="L26" i="9"/>
  <c r="K26" i="9"/>
  <c r="M26" i="9" s="1"/>
  <c r="K13" i="9"/>
  <c r="M13" i="9" s="1"/>
  <c r="M277" i="9"/>
  <c r="K210" i="9"/>
  <c r="L210" i="9"/>
  <c r="K50" i="9"/>
  <c r="L50" i="9"/>
  <c r="M99" i="9"/>
  <c r="R83" i="9"/>
  <c r="T83" i="9"/>
  <c r="M43" i="9"/>
  <c r="L220" i="9"/>
  <c r="M220" i="9" s="1"/>
  <c r="O153" i="9"/>
  <c r="K153" i="9"/>
  <c r="L153" i="9"/>
  <c r="P133" i="9"/>
  <c r="T133" i="9"/>
  <c r="Q133" i="9"/>
  <c r="S133" i="9"/>
  <c r="L117" i="9"/>
  <c r="K117" i="9"/>
  <c r="M117" i="9" s="1"/>
  <c r="P96" i="9"/>
  <c r="K78" i="9"/>
  <c r="M78" i="9" s="1"/>
  <c r="K73" i="9"/>
  <c r="M73" i="9" s="1"/>
  <c r="K70" i="9"/>
  <c r="M70" i="9" s="1"/>
  <c r="L62" i="9"/>
  <c r="M62" i="9" s="1"/>
  <c r="O120" i="9"/>
  <c r="L120" i="9"/>
  <c r="M120" i="9" s="1"/>
  <c r="U176" i="9"/>
  <c r="R176" i="9"/>
  <c r="V176" i="9" s="1"/>
  <c r="W176" i="9" s="1"/>
  <c r="S176" i="9"/>
  <c r="N56" i="9"/>
  <c r="V56" i="9"/>
  <c r="W56" i="9" s="1"/>
  <c r="M54" i="9"/>
  <c r="L38" i="9"/>
  <c r="K38" i="9"/>
  <c r="M38" i="9" s="1"/>
  <c r="L170" i="9"/>
  <c r="K42" i="9"/>
  <c r="L42" i="9"/>
  <c r="K18" i="9"/>
  <c r="L18" i="9"/>
  <c r="K132" i="9"/>
  <c r="L132" i="9"/>
  <c r="O132" i="9"/>
  <c r="K98" i="9"/>
  <c r="M98" i="9" s="1"/>
  <c r="L98" i="9"/>
  <c r="L58" i="9"/>
  <c r="K58" i="9"/>
  <c r="O58" i="9"/>
  <c r="T50" i="9"/>
  <c r="U50" i="9"/>
  <c r="K165" i="9"/>
  <c r="L165" i="9"/>
  <c r="P146" i="9"/>
  <c r="Q146" i="9"/>
  <c r="U146" i="9"/>
  <c r="L94" i="9"/>
  <c r="T69" i="9"/>
  <c r="O33" i="9"/>
  <c r="L33" i="9"/>
  <c r="L23" i="9"/>
  <c r="M23" i="9" s="1"/>
  <c r="L262" i="9"/>
  <c r="M262" i="9" s="1"/>
  <c r="Q103" i="9"/>
  <c r="R103" i="9"/>
  <c r="Q159" i="9"/>
  <c r="R159" i="9"/>
  <c r="T159" i="9"/>
  <c r="V159" i="9" s="1"/>
  <c r="W159" i="9" s="1"/>
  <c r="Q131" i="9"/>
  <c r="R131" i="9"/>
  <c r="S131" i="9"/>
  <c r="K198" i="9"/>
  <c r="M198" i="9" s="1"/>
  <c r="U102" i="9"/>
  <c r="P102" i="9"/>
  <c r="L86" i="9"/>
  <c r="K68" i="9"/>
  <c r="M68" i="9" s="1"/>
  <c r="O68" i="9"/>
  <c r="L151" i="9"/>
  <c r="U13" i="9"/>
  <c r="K113" i="9"/>
  <c r="M113" i="9" s="1"/>
  <c r="K53" i="9"/>
  <c r="L53" i="9"/>
  <c r="T13" i="9"/>
  <c r="Q19" i="9"/>
  <c r="R19" i="9"/>
  <c r="K17" i="9"/>
  <c r="M17" i="9" s="1"/>
  <c r="K185" i="9"/>
  <c r="M185" i="9" s="1"/>
  <c r="K109" i="9"/>
  <c r="L109" i="9"/>
  <c r="O236" i="7"/>
  <c r="M384" i="8"/>
  <c r="M289" i="8"/>
  <c r="M305" i="8"/>
  <c r="J156" i="8"/>
  <c r="L394" i="8"/>
  <c r="M203" i="8"/>
  <c r="M176" i="8"/>
  <c r="L190" i="8"/>
  <c r="L206" i="8"/>
  <c r="L290" i="7"/>
  <c r="L186" i="8"/>
  <c r="L195" i="8"/>
  <c r="M220" i="8"/>
  <c r="M243" i="8"/>
  <c r="M312" i="8"/>
  <c r="L328" i="8"/>
  <c r="M360" i="8"/>
  <c r="M367" i="8"/>
  <c r="M264" i="8"/>
  <c r="M202" i="8"/>
  <c r="M359" i="8"/>
  <c r="L175" i="8"/>
  <c r="M184" i="8"/>
  <c r="M234" i="8"/>
  <c r="L264" i="8"/>
  <c r="M351" i="8"/>
  <c r="M400" i="8"/>
  <c r="M387" i="8"/>
  <c r="L313" i="10"/>
  <c r="L311" i="8"/>
  <c r="J166" i="8"/>
  <c r="L200" i="8"/>
  <c r="L241" i="8"/>
  <c r="L299" i="8"/>
  <c r="L365" i="8"/>
  <c r="M372" i="8"/>
  <c r="L406" i="8"/>
  <c r="M422" i="8"/>
  <c r="M228" i="8"/>
  <c r="L382" i="8"/>
  <c r="M416" i="8"/>
  <c r="M307" i="8"/>
  <c r="L215" i="8"/>
  <c r="L395" i="7"/>
  <c r="M189" i="8"/>
  <c r="L269" i="8"/>
  <c r="M299" i="8"/>
  <c r="M324" i="8"/>
  <c r="L379" i="8"/>
  <c r="O251" i="11"/>
  <c r="M309" i="8"/>
  <c r="L192" i="8"/>
  <c r="M407" i="8"/>
  <c r="L380" i="8"/>
  <c r="M339" i="8"/>
  <c r="M182" i="8"/>
  <c r="M232" i="8"/>
  <c r="M338" i="8"/>
  <c r="L404" i="8"/>
  <c r="L334" i="8"/>
  <c r="O320" i="7"/>
  <c r="P320" i="7" s="1"/>
  <c r="M180" i="8"/>
  <c r="M198" i="8"/>
  <c r="M214" i="8"/>
  <c r="M315" i="8"/>
  <c r="L388" i="8"/>
  <c r="O373" i="11"/>
  <c r="R373" i="11" s="1"/>
  <c r="M256" i="8"/>
  <c r="L267" i="8"/>
  <c r="M183" i="8"/>
  <c r="O404" i="7"/>
  <c r="L178" i="8"/>
  <c r="M187" i="8"/>
  <c r="L274" i="8"/>
  <c r="M327" i="8"/>
  <c r="M343" i="8"/>
  <c r="L213" i="8"/>
  <c r="L330" i="8"/>
  <c r="M212" i="8"/>
  <c r="L221" i="8"/>
  <c r="L258" i="8"/>
  <c r="L295" i="8"/>
  <c r="M329" i="8"/>
  <c r="M345" i="8"/>
  <c r="M361" i="8"/>
  <c r="L368" i="8"/>
  <c r="L402" i="8"/>
  <c r="M411" i="8"/>
  <c r="L183" i="8"/>
  <c r="L185" i="8"/>
  <c r="L187" i="8"/>
  <c r="M218" i="8"/>
  <c r="M260" i="8"/>
  <c r="L357" i="8"/>
  <c r="M401" i="8"/>
  <c r="L327" i="8"/>
  <c r="M355" i="8"/>
  <c r="M206" i="8"/>
  <c r="M258" i="8"/>
  <c r="J294" i="7"/>
  <c r="L294" i="7" s="1"/>
  <c r="J404" i="7"/>
  <c r="L204" i="8"/>
  <c r="L238" i="8"/>
  <c r="L256" i="8"/>
  <c r="M269" i="8"/>
  <c r="L271" i="8"/>
  <c r="L289" i="8"/>
  <c r="M291" i="8"/>
  <c r="L316" i="8"/>
  <c r="L325" i="8"/>
  <c r="L351" i="8"/>
  <c r="M373" i="8"/>
  <c r="J281" i="10"/>
  <c r="L234" i="8"/>
  <c r="L254" i="8"/>
  <c r="M267" i="8"/>
  <c r="L287" i="8"/>
  <c r="L302" i="8"/>
  <c r="M323" i="8"/>
  <c r="L332" i="8"/>
  <c r="L408" i="8"/>
  <c r="M414" i="8"/>
  <c r="L231" i="8"/>
  <c r="J300" i="7"/>
  <c r="J301" i="7"/>
  <c r="L347" i="8"/>
  <c r="J330" i="10"/>
  <c r="M150" i="8"/>
  <c r="L262" i="8"/>
  <c r="L297" i="8"/>
  <c r="M244" i="8"/>
  <c r="L208" i="8"/>
  <c r="L214" i="8"/>
  <c r="L282" i="8"/>
  <c r="M295" i="8"/>
  <c r="L366" i="8"/>
  <c r="M210" i="8"/>
  <c r="K300" i="7"/>
  <c r="L416" i="8"/>
  <c r="L198" i="8"/>
  <c r="M200" i="8"/>
  <c r="L306" i="8"/>
  <c r="J409" i="7"/>
  <c r="L173" i="8"/>
  <c r="J311" i="7"/>
  <c r="L311" i="7" s="1"/>
  <c r="J357" i="7"/>
  <c r="K357" i="7" s="1"/>
  <c r="J410" i="7"/>
  <c r="M408" i="8"/>
  <c r="J385" i="10"/>
  <c r="J349" i="7"/>
  <c r="K349" i="7" s="1"/>
  <c r="J314" i="7"/>
  <c r="M245" i="8"/>
  <c r="M263" i="8"/>
  <c r="L339" i="8"/>
  <c r="L345" i="8"/>
  <c r="M369" i="8"/>
  <c r="M406" i="8"/>
  <c r="J365" i="7"/>
  <c r="O349" i="7"/>
  <c r="P349" i="7" s="1"/>
  <c r="K367" i="7"/>
  <c r="J421" i="7"/>
  <c r="L207" i="8"/>
  <c r="L211" i="8"/>
  <c r="M213" i="8"/>
  <c r="L217" i="8"/>
  <c r="M219" i="8"/>
  <c r="L228" i="8"/>
  <c r="M241" i="8"/>
  <c r="L243" i="8"/>
  <c r="M354" i="8"/>
  <c r="L378" i="8"/>
  <c r="M402" i="8"/>
  <c r="M419" i="8"/>
  <c r="L184" i="8"/>
  <c r="M281" i="8"/>
  <c r="M365" i="8"/>
  <c r="L391" i="8"/>
  <c r="J404" i="11"/>
  <c r="J319" i="7"/>
  <c r="L319" i="7" s="1"/>
  <c r="M226" i="8"/>
  <c r="L239" i="8"/>
  <c r="M270" i="8"/>
  <c r="L272" i="8"/>
  <c r="M274" i="8"/>
  <c r="M292" i="8"/>
  <c r="M317" i="8"/>
  <c r="M326" i="8"/>
  <c r="L335" i="8"/>
  <c r="J419" i="11"/>
  <c r="J320" i="7"/>
  <c r="L240" i="8"/>
  <c r="J418" i="7"/>
  <c r="J369" i="7"/>
  <c r="K369" i="7" s="1"/>
  <c r="J322" i="7"/>
  <c r="J370" i="7"/>
  <c r="L176" i="8"/>
  <c r="L226" i="8"/>
  <c r="M239" i="8"/>
  <c r="L270" i="8"/>
  <c r="M272" i="8"/>
  <c r="M335" i="8"/>
  <c r="M363" i="8"/>
  <c r="M417" i="8"/>
  <c r="L242" i="8"/>
  <c r="M284" i="8"/>
  <c r="L338" i="8"/>
  <c r="M368" i="8"/>
  <c r="M379" i="8"/>
  <c r="L212" i="8"/>
  <c r="L236" i="8"/>
  <c r="J361" i="7"/>
  <c r="M230" i="8"/>
  <c r="J373" i="7"/>
  <c r="J323" i="7"/>
  <c r="L268" i="8"/>
  <c r="L305" i="8"/>
  <c r="L307" i="8"/>
  <c r="L413" i="8"/>
  <c r="J374" i="7"/>
  <c r="L374" i="7" s="1"/>
  <c r="L174" i="8"/>
  <c r="L199" i="8"/>
  <c r="L201" i="8"/>
  <c r="M333" i="8"/>
  <c r="L396" i="8"/>
  <c r="L411" i="8"/>
  <c r="L353" i="8"/>
  <c r="M197" i="8"/>
  <c r="M301" i="8"/>
  <c r="M385" i="8"/>
  <c r="J326" i="7"/>
  <c r="L326" i="7" s="1"/>
  <c r="J378" i="7"/>
  <c r="L378" i="7" s="1"/>
  <c r="L253" i="8"/>
  <c r="L266" i="8"/>
  <c r="M346" i="8"/>
  <c r="L361" i="8"/>
  <c r="M396" i="8"/>
  <c r="L409" i="8"/>
  <c r="L191" i="8"/>
  <c r="L340" i="8"/>
  <c r="L344" i="8"/>
  <c r="M348" i="8"/>
  <c r="L359" i="8"/>
  <c r="M370" i="8"/>
  <c r="M381" i="8"/>
  <c r="L410" i="7"/>
  <c r="O208" i="7"/>
  <c r="U208" i="7" s="1"/>
  <c r="O56" i="7"/>
  <c r="O300" i="7"/>
  <c r="P300" i="7" s="1"/>
  <c r="O369" i="7"/>
  <c r="R369" i="7" s="1"/>
  <c r="O348" i="7"/>
  <c r="Q348" i="7" s="1"/>
  <c r="S343" i="7"/>
  <c r="O413" i="7"/>
  <c r="Q413" i="7" s="1"/>
  <c r="O357" i="7"/>
  <c r="O384" i="7"/>
  <c r="Q384" i="7" s="1"/>
  <c r="O244" i="7"/>
  <c r="P244" i="7" s="1"/>
  <c r="O48" i="7"/>
  <c r="O374" i="7"/>
  <c r="Q341" i="7"/>
  <c r="O337" i="7"/>
  <c r="O416" i="7"/>
  <c r="R416" i="7" s="1"/>
  <c r="O361" i="7"/>
  <c r="U361" i="7" s="1"/>
  <c r="O298" i="7"/>
  <c r="O395" i="7"/>
  <c r="O367" i="7"/>
  <c r="U367" i="7" s="1"/>
  <c r="O311" i="7"/>
  <c r="Q311" i="7" s="1"/>
  <c r="R236" i="7"/>
  <c r="P236" i="7"/>
  <c r="S236" i="7"/>
  <c r="T236" i="7"/>
  <c r="U236" i="7"/>
  <c r="O400" i="7"/>
  <c r="P343" i="7"/>
  <c r="Q343" i="7"/>
  <c r="U343" i="7"/>
  <c r="T343" i="7"/>
  <c r="O158" i="7"/>
  <c r="U158" i="7" s="1"/>
  <c r="O326" i="7"/>
  <c r="U326" i="7" s="1"/>
  <c r="R408" i="7"/>
  <c r="T408" i="7"/>
  <c r="P408" i="7"/>
  <c r="Q408" i="7"/>
  <c r="S408" i="7"/>
  <c r="U408" i="7"/>
  <c r="O315" i="7"/>
  <c r="U315" i="7" s="1"/>
  <c r="Q236" i="7"/>
  <c r="O319" i="7"/>
  <c r="U319" i="7" s="1"/>
  <c r="O410" i="7"/>
  <c r="R158" i="7"/>
  <c r="O318" i="7"/>
  <c r="Q318" i="7" s="1"/>
  <c r="O290" i="7"/>
  <c r="S290" i="7" s="1"/>
  <c r="O150" i="7"/>
  <c r="T150" i="7" s="1"/>
  <c r="O345" i="7"/>
  <c r="O289" i="7"/>
  <c r="S341" i="7"/>
  <c r="T341" i="7"/>
  <c r="R341" i="7"/>
  <c r="P341" i="7"/>
  <c r="P369" i="7"/>
  <c r="O331" i="7"/>
  <c r="O273" i="7"/>
  <c r="P273" i="7" s="1"/>
  <c r="O323" i="7"/>
  <c r="P323" i="7" s="1"/>
  <c r="O406" i="7"/>
  <c r="O378" i="7"/>
  <c r="U378" i="7" s="1"/>
  <c r="O294" i="7"/>
  <c r="U294" i="7" s="1"/>
  <c r="B47" i="15"/>
  <c r="J266" i="11"/>
  <c r="J238" i="11"/>
  <c r="J210" i="11"/>
  <c r="J182" i="11"/>
  <c r="J249" i="11"/>
  <c r="J221" i="11"/>
  <c r="J193" i="11"/>
  <c r="J254" i="11"/>
  <c r="J252" i="11"/>
  <c r="J227" i="11"/>
  <c r="J225" i="11"/>
  <c r="J163" i="11"/>
  <c r="J146" i="11"/>
  <c r="J229" i="11"/>
  <c r="J161" i="11"/>
  <c r="J231" i="11"/>
  <c r="J256" i="11"/>
  <c r="J233" i="11"/>
  <c r="J157" i="11"/>
  <c r="J258" i="11"/>
  <c r="J235" i="11"/>
  <c r="J142" i="11"/>
  <c r="J272" i="11"/>
  <c r="J226" i="11"/>
  <c r="J224" i="11"/>
  <c r="J222" i="11"/>
  <c r="J220" i="11"/>
  <c r="J218" i="11"/>
  <c r="J216" i="11"/>
  <c r="J214" i="11"/>
  <c r="J212" i="11"/>
  <c r="J166" i="11"/>
  <c r="J147" i="11"/>
  <c r="J245" i="11"/>
  <c r="J145" i="11"/>
  <c r="J261" i="11"/>
  <c r="J253" i="11"/>
  <c r="J201" i="11"/>
  <c r="J188" i="11"/>
  <c r="J183" i="11"/>
  <c r="J269" i="11"/>
  <c r="J158" i="11"/>
  <c r="J126" i="11"/>
  <c r="J211" i="11"/>
  <c r="J198" i="11"/>
  <c r="J236" i="11"/>
  <c r="J223" i="11"/>
  <c r="J190" i="11"/>
  <c r="J187" i="11"/>
  <c r="J181" i="11"/>
  <c r="J140" i="11"/>
  <c r="J269" i="10"/>
  <c r="J241" i="10"/>
  <c r="J213" i="10"/>
  <c r="J185" i="10"/>
  <c r="J157" i="10"/>
  <c r="J263" i="11"/>
  <c r="J215" i="11"/>
  <c r="J209" i="11"/>
  <c r="J155" i="11"/>
  <c r="J254" i="10"/>
  <c r="J226" i="10"/>
  <c r="J250" i="11"/>
  <c r="J237" i="11"/>
  <c r="J169" i="11"/>
  <c r="J150" i="11"/>
  <c r="J130" i="11"/>
  <c r="J123" i="11"/>
  <c r="J265" i="11"/>
  <c r="J217" i="11"/>
  <c r="J165" i="11"/>
  <c r="J162" i="11"/>
  <c r="J257" i="10"/>
  <c r="J229" i="10"/>
  <c r="J201" i="10"/>
  <c r="J173" i="10"/>
  <c r="J145" i="10"/>
  <c r="J195" i="11"/>
  <c r="J139" i="11"/>
  <c r="J134" i="11"/>
  <c r="J270" i="10"/>
  <c r="J242" i="10"/>
  <c r="J177" i="11"/>
  <c r="J153" i="11"/>
  <c r="J258" i="10"/>
  <c r="J234" i="10"/>
  <c r="J207" i="11"/>
  <c r="J271" i="10"/>
  <c r="J247" i="10"/>
  <c r="J223" i="10"/>
  <c r="J180" i="11"/>
  <c r="J159" i="11"/>
  <c r="J156" i="11"/>
  <c r="J260" i="10"/>
  <c r="J236" i="10"/>
  <c r="J203" i="11"/>
  <c r="J184" i="11"/>
  <c r="J249" i="10"/>
  <c r="J225" i="10"/>
  <c r="J142" i="10"/>
  <c r="J140" i="10"/>
  <c r="J138" i="10"/>
  <c r="J257" i="11"/>
  <c r="J241" i="11"/>
  <c r="J173" i="11"/>
  <c r="J262" i="10"/>
  <c r="J238" i="10"/>
  <c r="J158" i="10"/>
  <c r="J156" i="10"/>
  <c r="J154" i="10"/>
  <c r="J152" i="10"/>
  <c r="J150" i="10"/>
  <c r="J148" i="10"/>
  <c r="J146" i="10"/>
  <c r="J144" i="10"/>
  <c r="J136" i="10"/>
  <c r="J213" i="11"/>
  <c r="J194" i="11"/>
  <c r="J179" i="11"/>
  <c r="J244" i="10"/>
  <c r="J220" i="10"/>
  <c r="J244" i="11"/>
  <c r="J232" i="11"/>
  <c r="J228" i="11"/>
  <c r="J233" i="10"/>
  <c r="J202" i="11"/>
  <c r="J253" i="10"/>
  <c r="J224" i="10"/>
  <c r="J194" i="10"/>
  <c r="J125" i="10"/>
  <c r="J270" i="11"/>
  <c r="J259" i="11"/>
  <c r="J243" i="11"/>
  <c r="J250" i="10"/>
  <c r="J264" i="11"/>
  <c r="J192" i="11"/>
  <c r="J172" i="11"/>
  <c r="J154" i="11"/>
  <c r="J138" i="11"/>
  <c r="J248" i="11"/>
  <c r="J176" i="11"/>
  <c r="J175" i="11"/>
  <c r="J255" i="10"/>
  <c r="J252" i="10"/>
  <c r="J209" i="10"/>
  <c r="J206" i="10"/>
  <c r="J152" i="11"/>
  <c r="J267" i="11"/>
  <c r="J260" i="11"/>
  <c r="J264" i="10"/>
  <c r="J261" i="10"/>
  <c r="J230" i="10"/>
  <c r="J203" i="10"/>
  <c r="J200" i="10"/>
  <c r="J206" i="11"/>
  <c r="J174" i="11"/>
  <c r="J131" i="11"/>
  <c r="J171" i="10"/>
  <c r="J168" i="10"/>
  <c r="J129" i="10"/>
  <c r="J246" i="11"/>
  <c r="J141" i="11"/>
  <c r="J239" i="10"/>
  <c r="J197" i="10"/>
  <c r="J135" i="11"/>
  <c r="J205" i="10"/>
  <c r="J199" i="10"/>
  <c r="J196" i="10"/>
  <c r="J123" i="10"/>
  <c r="J247" i="11"/>
  <c r="J231" i="10"/>
  <c r="J227" i="10"/>
  <c r="J204" i="10"/>
  <c r="J172" i="10"/>
  <c r="J165" i="10"/>
  <c r="J151" i="10"/>
  <c r="J134" i="10"/>
  <c r="J131" i="10"/>
  <c r="J189" i="11"/>
  <c r="J219" i="10"/>
  <c r="J193" i="10"/>
  <c r="J179" i="10"/>
  <c r="J204" i="11"/>
  <c r="J144" i="11"/>
  <c r="J243" i="10"/>
  <c r="J186" i="10"/>
  <c r="J255" i="11"/>
  <c r="J196" i="11"/>
  <c r="J266" i="10"/>
  <c r="J215" i="10"/>
  <c r="J211" i="10"/>
  <c r="J182" i="10"/>
  <c r="J137" i="11"/>
  <c r="J124" i="11"/>
  <c r="J161" i="10"/>
  <c r="J164" i="11"/>
  <c r="J222" i="10"/>
  <c r="J175" i="10"/>
  <c r="J147" i="10"/>
  <c r="J186" i="11"/>
  <c r="J149" i="11"/>
  <c r="J271" i="11"/>
  <c r="J245" i="10"/>
  <c r="J214" i="10"/>
  <c r="J183" i="10"/>
  <c r="J164" i="10"/>
  <c r="K131" i="8"/>
  <c r="J271" i="7"/>
  <c r="J243" i="7"/>
  <c r="J215" i="7"/>
  <c r="J187" i="7"/>
  <c r="J159" i="7"/>
  <c r="J131" i="7"/>
  <c r="J160" i="10"/>
  <c r="K144" i="8"/>
  <c r="J170" i="11"/>
  <c r="J160" i="11"/>
  <c r="J265" i="10"/>
  <c r="J191" i="10"/>
  <c r="J187" i="10"/>
  <c r="K129" i="8"/>
  <c r="J191" i="11"/>
  <c r="J125" i="11"/>
  <c r="J169" i="10"/>
  <c r="K142" i="8"/>
  <c r="J254" i="7"/>
  <c r="J226" i="7"/>
  <c r="J198" i="7"/>
  <c r="J170" i="7"/>
  <c r="J142" i="7"/>
  <c r="J151" i="11"/>
  <c r="K127" i="8"/>
  <c r="K140" i="8"/>
  <c r="J167" i="11"/>
  <c r="J132" i="11"/>
  <c r="J228" i="10"/>
  <c r="J163" i="10"/>
  <c r="K147" i="8"/>
  <c r="J259" i="7"/>
  <c r="J231" i="7"/>
  <c r="J203" i="7"/>
  <c r="J175" i="7"/>
  <c r="J147" i="7"/>
  <c r="J188" i="10"/>
  <c r="J235" i="7"/>
  <c r="J212" i="7"/>
  <c r="J166" i="7"/>
  <c r="J143" i="7"/>
  <c r="J258" i="7"/>
  <c r="J237" i="7"/>
  <c r="J214" i="7"/>
  <c r="J189" i="7"/>
  <c r="J168" i="7"/>
  <c r="J145" i="7"/>
  <c r="J148" i="11"/>
  <c r="J136" i="11"/>
  <c r="J127" i="11"/>
  <c r="J246" i="10"/>
  <c r="J240" i="10"/>
  <c r="J262" i="11"/>
  <c r="J176" i="10"/>
  <c r="J170" i="10"/>
  <c r="J137" i="10"/>
  <c r="J132" i="10"/>
  <c r="K134" i="8"/>
  <c r="J260" i="7"/>
  <c r="J239" i="7"/>
  <c r="J216" i="7"/>
  <c r="J191" i="7"/>
  <c r="J193" i="7"/>
  <c r="J124" i="7"/>
  <c r="J126" i="7"/>
  <c r="K139" i="8"/>
  <c r="J262" i="7"/>
  <c r="J232" i="10"/>
  <c r="J218" i="10"/>
  <c r="J127" i="10"/>
  <c r="K124" i="8"/>
  <c r="J264" i="7"/>
  <c r="J241" i="7"/>
  <c r="J218" i="7"/>
  <c r="J195" i="7"/>
  <c r="J172" i="7"/>
  <c r="J149" i="7"/>
  <c r="J200" i="11"/>
  <c r="J185" i="11"/>
  <c r="J259" i="10"/>
  <c r="J266" i="7"/>
  <c r="J220" i="7"/>
  <c r="J197" i="7"/>
  <c r="J151" i="7"/>
  <c r="J128" i="7"/>
  <c r="J168" i="11"/>
  <c r="J192" i="10"/>
  <c r="J180" i="10"/>
  <c r="J174" i="10"/>
  <c r="J162" i="10"/>
  <c r="K138" i="8"/>
  <c r="J255" i="7"/>
  <c r="J230" i="7"/>
  <c r="J209" i="7"/>
  <c r="J186" i="7"/>
  <c r="J161" i="7"/>
  <c r="J140" i="7"/>
  <c r="J248" i="10"/>
  <c r="J221" i="10"/>
  <c r="J177" i="10"/>
  <c r="J124" i="10"/>
  <c r="J196" i="7"/>
  <c r="J182" i="7"/>
  <c r="J207" i="7"/>
  <c r="J240" i="11"/>
  <c r="J197" i="11"/>
  <c r="J229" i="7"/>
  <c r="J199" i="11"/>
  <c r="J202" i="10"/>
  <c r="J185" i="7"/>
  <c r="J240" i="7"/>
  <c r="J128" i="11"/>
  <c r="J210" i="10"/>
  <c r="J167" i="10"/>
  <c r="J130" i="10"/>
  <c r="K132" i="8"/>
  <c r="J257" i="7"/>
  <c r="J232" i="7"/>
  <c r="J221" i="7"/>
  <c r="J210" i="7"/>
  <c r="J129" i="7"/>
  <c r="J165" i="7"/>
  <c r="J154" i="7"/>
  <c r="K135" i="8"/>
  <c r="J204" i="7"/>
  <c r="J239" i="11"/>
  <c r="J178" i="11"/>
  <c r="J143" i="11"/>
  <c r="J267" i="10"/>
  <c r="K145" i="8"/>
  <c r="K125" i="8"/>
  <c r="J268" i="7"/>
  <c r="J246" i="7"/>
  <c r="K128" i="8"/>
  <c r="J134" i="7"/>
  <c r="J143" i="10"/>
  <c r="J237" i="10"/>
  <c r="J184" i="10"/>
  <c r="J159" i="10"/>
  <c r="J201" i="7"/>
  <c r="J190" i="7"/>
  <c r="J179" i="7"/>
  <c r="J176" i="7"/>
  <c r="J217" i="10"/>
  <c r="J219" i="11"/>
  <c r="J123" i="7"/>
  <c r="J272" i="10"/>
  <c r="J190" i="10"/>
  <c r="J181" i="10"/>
  <c r="J128" i="10"/>
  <c r="J192" i="7"/>
  <c r="J181" i="7"/>
  <c r="J178" i="7"/>
  <c r="J216" i="10"/>
  <c r="J207" i="10"/>
  <c r="J198" i="10"/>
  <c r="J125" i="7"/>
  <c r="J234" i="11"/>
  <c r="J171" i="11"/>
  <c r="J235" i="10"/>
  <c r="J149" i="10"/>
  <c r="J256" i="7"/>
  <c r="J223" i="7"/>
  <c r="J155" i="10"/>
  <c r="J202" i="7"/>
  <c r="J156" i="7"/>
  <c r="J268" i="11"/>
  <c r="J152" i="7"/>
  <c r="J272" i="7"/>
  <c r="J219" i="7"/>
  <c r="J208" i="11"/>
  <c r="J252" i="7"/>
  <c r="J194" i="7"/>
  <c r="J141" i="7"/>
  <c r="J173" i="7"/>
  <c r="J136" i="7"/>
  <c r="J205" i="11"/>
  <c r="J133" i="10"/>
  <c r="J242" i="7"/>
  <c r="K137" i="8"/>
  <c r="J263" i="7"/>
  <c r="J242" i="11"/>
  <c r="K143" i="8"/>
  <c r="J251" i="7"/>
  <c r="J148" i="7"/>
  <c r="J267" i="7"/>
  <c r="J234" i="7"/>
  <c r="J177" i="7"/>
  <c r="J256" i="10"/>
  <c r="K133" i="8"/>
  <c r="J247" i="7"/>
  <c r="J227" i="7"/>
  <c r="J206" i="7"/>
  <c r="J169" i="7"/>
  <c r="J157" i="7"/>
  <c r="J212" i="10"/>
  <c r="J222" i="7"/>
  <c r="J132" i="7"/>
  <c r="J144" i="7"/>
  <c r="J230" i="11"/>
  <c r="J141" i="10"/>
  <c r="K141" i="8"/>
  <c r="J238" i="7"/>
  <c r="J217" i="7"/>
  <c r="J184" i="7"/>
  <c r="J208" i="10"/>
  <c r="J195" i="10"/>
  <c r="K136" i="8"/>
  <c r="K126" i="8"/>
  <c r="J250" i="7"/>
  <c r="J180" i="7"/>
  <c r="J160" i="7"/>
  <c r="J139" i="7"/>
  <c r="J133" i="11"/>
  <c r="J166" i="10"/>
  <c r="J270" i="7"/>
  <c r="J213" i="7"/>
  <c r="J155" i="7"/>
  <c r="J225" i="7"/>
  <c r="J188" i="7"/>
  <c r="J153" i="10"/>
  <c r="J135" i="7"/>
  <c r="J130" i="7"/>
  <c r="J268" i="10"/>
  <c r="J244" i="7"/>
  <c r="K244" i="7" s="1"/>
  <c r="J224" i="7"/>
  <c r="J233" i="7"/>
  <c r="J146" i="7"/>
  <c r="J183" i="7"/>
  <c r="J126" i="10"/>
  <c r="J129" i="11"/>
  <c r="J251" i="10"/>
  <c r="J249" i="7"/>
  <c r="J265" i="7"/>
  <c r="J208" i="7"/>
  <c r="L208" i="7" s="1"/>
  <c r="J139" i="10"/>
  <c r="J167" i="7"/>
  <c r="J251" i="11"/>
  <c r="K251" i="11" s="1"/>
  <c r="J269" i="7"/>
  <c r="J200" i="7"/>
  <c r="K146" i="8"/>
  <c r="J138" i="7"/>
  <c r="J135" i="10"/>
  <c r="J127" i="7"/>
  <c r="J164" i="7"/>
  <c r="J189" i="10"/>
  <c r="J261" i="7"/>
  <c r="J163" i="7"/>
  <c r="J174" i="7"/>
  <c r="J236" i="7"/>
  <c r="K236" i="7" s="1"/>
  <c r="J158" i="7"/>
  <c r="L158" i="7" s="1"/>
  <c r="J263" i="10"/>
  <c r="J137" i="7"/>
  <c r="K123" i="8"/>
  <c r="J211" i="7"/>
  <c r="J245" i="7"/>
  <c r="K130" i="8"/>
  <c r="J205" i="7"/>
  <c r="J153" i="7"/>
  <c r="J228" i="7"/>
  <c r="J162" i="7"/>
  <c r="J171" i="7"/>
  <c r="J248" i="7"/>
  <c r="J178" i="10"/>
  <c r="J133" i="7"/>
  <c r="J199" i="7"/>
  <c r="J150" i="7"/>
  <c r="J253" i="7"/>
  <c r="I10" i="14"/>
  <c r="I15" i="13"/>
  <c r="J118" i="11"/>
  <c r="J90" i="11"/>
  <c r="J62" i="11"/>
  <c r="J34" i="11"/>
  <c r="J6" i="11"/>
  <c r="J114" i="11"/>
  <c r="J86" i="11"/>
  <c r="J119" i="11"/>
  <c r="J91" i="11"/>
  <c r="J63" i="11"/>
  <c r="J35" i="11"/>
  <c r="J7" i="11"/>
  <c r="J122" i="11"/>
  <c r="J96" i="11"/>
  <c r="J61" i="11"/>
  <c r="J59" i="11"/>
  <c r="J57" i="11"/>
  <c r="J55" i="11"/>
  <c r="J53" i="11"/>
  <c r="J51" i="11"/>
  <c r="J49" i="11"/>
  <c r="J94" i="11"/>
  <c r="J50" i="11"/>
  <c r="J37" i="11"/>
  <c r="J24" i="11"/>
  <c r="J11" i="11"/>
  <c r="J65" i="11"/>
  <c r="J87" i="11"/>
  <c r="J78" i="11"/>
  <c r="J52" i="11"/>
  <c r="J39" i="11"/>
  <c r="J26" i="11"/>
  <c r="J13" i="11"/>
  <c r="J111" i="11"/>
  <c r="J93" i="11"/>
  <c r="J117" i="10"/>
  <c r="J89" i="10"/>
  <c r="J61" i="10"/>
  <c r="J33" i="10"/>
  <c r="J5" i="10"/>
  <c r="J120" i="11"/>
  <c r="J36" i="11"/>
  <c r="J23" i="11"/>
  <c r="J10" i="11"/>
  <c r="J82" i="11"/>
  <c r="J74" i="11"/>
  <c r="J66" i="11"/>
  <c r="J113" i="10"/>
  <c r="J84" i="10"/>
  <c r="J53" i="10"/>
  <c r="J24" i="10"/>
  <c r="J58" i="11"/>
  <c r="J29" i="11"/>
  <c r="J8" i="11"/>
  <c r="J111" i="10"/>
  <c r="J71" i="11"/>
  <c r="J109" i="10"/>
  <c r="J112" i="11"/>
  <c r="J101" i="11"/>
  <c r="J79" i="11"/>
  <c r="J42" i="11"/>
  <c r="J21" i="11"/>
  <c r="J107" i="10"/>
  <c r="J78" i="10"/>
  <c r="J47" i="10"/>
  <c r="J98" i="11"/>
  <c r="J5" i="11"/>
  <c r="J105" i="10"/>
  <c r="J76" i="10"/>
  <c r="J74" i="10"/>
  <c r="J45" i="10"/>
  <c r="J14" i="10"/>
  <c r="J100" i="11"/>
  <c r="J92" i="11"/>
  <c r="J89" i="11"/>
  <c r="J118" i="10"/>
  <c r="J41" i="11"/>
  <c r="J20" i="11"/>
  <c r="J12" i="11"/>
  <c r="J116" i="10"/>
  <c r="J85" i="10"/>
  <c r="J56" i="10"/>
  <c r="J25" i="10"/>
  <c r="J75" i="11"/>
  <c r="J68" i="11"/>
  <c r="J19" i="11"/>
  <c r="J64" i="10"/>
  <c r="J40" i="11"/>
  <c r="J15" i="11"/>
  <c r="J104" i="11"/>
  <c r="J64" i="11"/>
  <c r="J22" i="11"/>
  <c r="J4" i="11"/>
  <c r="J70" i="11"/>
  <c r="J117" i="11"/>
  <c r="J85" i="11"/>
  <c r="J80" i="11"/>
  <c r="J17" i="11"/>
  <c r="J68" i="10"/>
  <c r="J54" i="10"/>
  <c r="J40" i="10"/>
  <c r="J108" i="11"/>
  <c r="J75" i="10"/>
  <c r="J11" i="10"/>
  <c r="J84" i="11"/>
  <c r="J108" i="10"/>
  <c r="J103" i="10"/>
  <c r="J70" i="10"/>
  <c r="J42" i="10"/>
  <c r="J35" i="10"/>
  <c r="J26" i="10"/>
  <c r="J30" i="11"/>
  <c r="J25" i="11"/>
  <c r="J121" i="10"/>
  <c r="J77" i="10"/>
  <c r="J49" i="10"/>
  <c r="J15" i="10"/>
  <c r="J83" i="11"/>
  <c r="J115" i="10"/>
  <c r="J46" i="10"/>
  <c r="J32" i="10"/>
  <c r="J107" i="11"/>
  <c r="J43" i="11"/>
  <c r="J34" i="10"/>
  <c r="J23" i="10"/>
  <c r="J95" i="11"/>
  <c r="J60" i="11"/>
  <c r="J32" i="11"/>
  <c r="J94" i="10"/>
  <c r="J51" i="10"/>
  <c r="J113" i="11"/>
  <c r="J88" i="10"/>
  <c r="J77" i="11"/>
  <c r="J72" i="11"/>
  <c r="J106" i="11"/>
  <c r="J3" i="11"/>
  <c r="J14" i="11"/>
  <c r="J9" i="11"/>
  <c r="J88" i="11"/>
  <c r="J54" i="11"/>
  <c r="J48" i="11"/>
  <c r="J31" i="11"/>
  <c r="J110" i="11"/>
  <c r="J101" i="10"/>
  <c r="J13" i="10"/>
  <c r="K103" i="8"/>
  <c r="K75" i="8"/>
  <c r="K47" i="8"/>
  <c r="K19" i="8"/>
  <c r="J103" i="7"/>
  <c r="J75" i="7"/>
  <c r="J47" i="7"/>
  <c r="J21" i="10"/>
  <c r="J10" i="10"/>
  <c r="K116" i="8"/>
  <c r="K88" i="8"/>
  <c r="K60" i="8"/>
  <c r="K32" i="8"/>
  <c r="K4" i="8"/>
  <c r="J102" i="11"/>
  <c r="J33" i="11"/>
  <c r="J114" i="10"/>
  <c r="J91" i="10"/>
  <c r="K101" i="8"/>
  <c r="K73" i="8"/>
  <c r="J47" i="11"/>
  <c r="J104" i="10"/>
  <c r="J60" i="10"/>
  <c r="K114" i="8"/>
  <c r="K86" i="8"/>
  <c r="K58" i="8"/>
  <c r="K30" i="8"/>
  <c r="J114" i="7"/>
  <c r="J72" i="10"/>
  <c r="J63" i="10"/>
  <c r="J57" i="10"/>
  <c r="K99" i="8"/>
  <c r="K71" i="8"/>
  <c r="K43" i="8"/>
  <c r="J109" i="11"/>
  <c r="J66" i="10"/>
  <c r="J18" i="10"/>
  <c r="K112" i="8"/>
  <c r="K84" i="8"/>
  <c r="K56" i="8"/>
  <c r="K28" i="8"/>
  <c r="J99" i="11"/>
  <c r="J120" i="10"/>
  <c r="J62" i="10"/>
  <c r="K119" i="8"/>
  <c r="M119" i="8" s="1"/>
  <c r="K91" i="8"/>
  <c r="K63" i="8"/>
  <c r="K35" i="8"/>
  <c r="K7" i="8"/>
  <c r="J119" i="7"/>
  <c r="J115" i="11"/>
  <c r="J44" i="11"/>
  <c r="K111" i="8"/>
  <c r="K76" i="8"/>
  <c r="J118" i="7"/>
  <c r="J92" i="7"/>
  <c r="J61" i="7"/>
  <c r="J34" i="7"/>
  <c r="J6" i="7"/>
  <c r="J120" i="7"/>
  <c r="J90" i="7"/>
  <c r="J88" i="7"/>
  <c r="J19" i="7"/>
  <c r="J17" i="7"/>
  <c r="J82" i="7"/>
  <c r="J30" i="7"/>
  <c r="J73" i="11"/>
  <c r="K120" i="8"/>
  <c r="K96" i="8"/>
  <c r="K61" i="8"/>
  <c r="K49" i="8"/>
  <c r="K10" i="8"/>
  <c r="J59" i="7"/>
  <c r="J58" i="10"/>
  <c r="J22" i="10"/>
  <c r="J7" i="10"/>
  <c r="K118" i="8"/>
  <c r="K81" i="8"/>
  <c r="K44" i="8"/>
  <c r="K3" i="8"/>
  <c r="J122" i="7"/>
  <c r="J86" i="7"/>
  <c r="J57" i="7"/>
  <c r="J32" i="7"/>
  <c r="J4" i="7"/>
  <c r="J53" i="7"/>
  <c r="J99" i="10"/>
  <c r="J95" i="10"/>
  <c r="J41" i="10"/>
  <c r="J29" i="10"/>
  <c r="K66" i="8"/>
  <c r="K37" i="8"/>
  <c r="J84" i="7"/>
  <c r="J55" i="7"/>
  <c r="K108" i="8"/>
  <c r="K12" i="8"/>
  <c r="J37" i="10"/>
  <c r="K113" i="8"/>
  <c r="K93" i="8"/>
  <c r="K51" i="8"/>
  <c r="K5" i="8"/>
  <c r="J80" i="7"/>
  <c r="J51" i="7"/>
  <c r="J15" i="7"/>
  <c r="J121" i="11"/>
  <c r="J102" i="10"/>
  <c r="J98" i="10"/>
  <c r="K85" i="8"/>
  <c r="K65" i="8"/>
  <c r="K25" i="8"/>
  <c r="K9" i="8"/>
  <c r="J117" i="7"/>
  <c r="J115" i="7"/>
  <c r="J113" i="7"/>
  <c r="J111" i="7"/>
  <c r="J109" i="7"/>
  <c r="J107" i="7"/>
  <c r="J105" i="7"/>
  <c r="J95" i="7"/>
  <c r="J66" i="7"/>
  <c r="J22" i="7"/>
  <c r="J38" i="11"/>
  <c r="J28" i="11"/>
  <c r="J73" i="10"/>
  <c r="J52" i="10"/>
  <c r="K115" i="8"/>
  <c r="K95" i="8"/>
  <c r="K79" i="8"/>
  <c r="K72" i="8"/>
  <c r="J110" i="7"/>
  <c r="J102" i="7"/>
  <c r="J99" i="7"/>
  <c r="J81" i="7"/>
  <c r="J68" i="7"/>
  <c r="J50" i="7"/>
  <c r="J97" i="11"/>
  <c r="K36" i="8"/>
  <c r="J110" i="10"/>
  <c r="J86" i="10"/>
  <c r="J19" i="10"/>
  <c r="J9" i="10"/>
  <c r="J4" i="10"/>
  <c r="K92" i="8"/>
  <c r="K52" i="8"/>
  <c r="J37" i="7"/>
  <c r="J56" i="11"/>
  <c r="K105" i="8"/>
  <c r="K18" i="8"/>
  <c r="J94" i="7"/>
  <c r="J63" i="7"/>
  <c r="J7" i="7"/>
  <c r="J91" i="7"/>
  <c r="J78" i="7"/>
  <c r="J27" i="7"/>
  <c r="J80" i="10"/>
  <c r="J3" i="10"/>
  <c r="K98" i="8"/>
  <c r="K78" i="8"/>
  <c r="K62" i="8"/>
  <c r="K55" i="8"/>
  <c r="K39" i="8"/>
  <c r="K21" i="8"/>
  <c r="J60" i="7"/>
  <c r="K33" i="8"/>
  <c r="J97" i="10"/>
  <c r="J28" i="10"/>
  <c r="J3" i="9"/>
  <c r="K27" i="8"/>
  <c r="K15" i="8"/>
  <c r="J73" i="7"/>
  <c r="J12" i="7"/>
  <c r="J81" i="11"/>
  <c r="J67" i="11"/>
  <c r="J27" i="11"/>
  <c r="J92" i="10"/>
  <c r="K122" i="8"/>
  <c r="K68" i="8"/>
  <c r="K24" i="8"/>
  <c r="K6" i="8"/>
  <c r="J42" i="7"/>
  <c r="K74" i="8"/>
  <c r="K54" i="8"/>
  <c r="K20" i="8"/>
  <c r="J26" i="7"/>
  <c r="J67" i="10"/>
  <c r="J27" i="10"/>
  <c r="K110" i="8"/>
  <c r="K94" i="8"/>
  <c r="K87" i="8"/>
  <c r="K67" i="8"/>
  <c r="K41" i="8"/>
  <c r="K23" i="8"/>
  <c r="J85" i="7"/>
  <c r="J72" i="7"/>
  <c r="J54" i="7"/>
  <c r="J41" i="7"/>
  <c r="J31" i="7"/>
  <c r="J11" i="7"/>
  <c r="J38" i="10"/>
  <c r="J46" i="11"/>
  <c r="J44" i="10"/>
  <c r="J17" i="10"/>
  <c r="K104" i="8"/>
  <c r="J40" i="7"/>
  <c r="J43" i="7"/>
  <c r="J25" i="7"/>
  <c r="J116" i="11"/>
  <c r="K109" i="8"/>
  <c r="K48" i="8"/>
  <c r="K53" i="8"/>
  <c r="J46" i="7"/>
  <c r="J20" i="7"/>
  <c r="J112" i="10"/>
  <c r="K69" i="8"/>
  <c r="K64" i="8"/>
  <c r="J112" i="7"/>
  <c r="J89" i="7"/>
  <c r="J62" i="7"/>
  <c r="J39" i="7"/>
  <c r="J28" i="7"/>
  <c r="J21" i="7"/>
  <c r="J10" i="7"/>
  <c r="J8" i="10"/>
  <c r="J82" i="10"/>
  <c r="K89" i="8"/>
  <c r="J104" i="7"/>
  <c r="J24" i="7"/>
  <c r="J108" i="7"/>
  <c r="J13" i="7"/>
  <c r="J18" i="11"/>
  <c r="J69" i="7"/>
  <c r="K97" i="8"/>
  <c r="J122" i="10"/>
  <c r="K13" i="8"/>
  <c r="J9" i="7"/>
  <c r="J65" i="7"/>
  <c r="J90" i="10"/>
  <c r="J81" i="10"/>
  <c r="J43" i="10"/>
  <c r="K83" i="8"/>
  <c r="K59" i="8"/>
  <c r="K31" i="8"/>
  <c r="K22" i="8"/>
  <c r="J116" i="7"/>
  <c r="J96" i="7"/>
  <c r="J77" i="7"/>
  <c r="J100" i="10"/>
  <c r="J71" i="10"/>
  <c r="K8" i="8"/>
  <c r="J45" i="11"/>
  <c r="J69" i="11"/>
  <c r="K40" i="8"/>
  <c r="K26" i="8"/>
  <c r="J100" i="7"/>
  <c r="J58" i="7"/>
  <c r="K17" i="8"/>
  <c r="J35" i="7"/>
  <c r="J16" i="10"/>
  <c r="J16" i="7"/>
  <c r="K117" i="8"/>
  <c r="K107" i="8"/>
  <c r="K82" i="8"/>
  <c r="K16" i="8"/>
  <c r="J76" i="7"/>
  <c r="J49" i="7"/>
  <c r="J5" i="7"/>
  <c r="J50" i="10"/>
  <c r="K34" i="8"/>
  <c r="K29" i="8"/>
  <c r="J38" i="7"/>
  <c r="J69" i="10"/>
  <c r="K102" i="8"/>
  <c r="K38" i="8"/>
  <c r="K11" i="8"/>
  <c r="J87" i="7"/>
  <c r="J83" i="7"/>
  <c r="J64" i="7"/>
  <c r="J16" i="11"/>
  <c r="J59" i="10"/>
  <c r="J23" i="7"/>
  <c r="J39" i="10"/>
  <c r="J106" i="7"/>
  <c r="J45" i="7"/>
  <c r="K80" i="8"/>
  <c r="J29" i="7"/>
  <c r="K100" i="8"/>
  <c r="J97" i="7"/>
  <c r="J67" i="7"/>
  <c r="J87" i="10"/>
  <c r="J20" i="10"/>
  <c r="K57" i="8"/>
  <c r="J52" i="7"/>
  <c r="J71" i="7"/>
  <c r="J70" i="7"/>
  <c r="K46" i="8"/>
  <c r="J3" i="7"/>
  <c r="J83" i="10"/>
  <c r="K45" i="8"/>
  <c r="J79" i="7"/>
  <c r="K42" i="8"/>
  <c r="J14" i="7"/>
  <c r="J56" i="7"/>
  <c r="K56" i="7" s="1"/>
  <c r="J106" i="10"/>
  <c r="J98" i="7"/>
  <c r="K90" i="8"/>
  <c r="J79" i="10"/>
  <c r="J12" i="10"/>
  <c r="J48" i="7"/>
  <c r="L48" i="7" s="1"/>
  <c r="J65" i="10"/>
  <c r="K121" i="8"/>
  <c r="K14" i="8"/>
  <c r="J44" i="7"/>
  <c r="K106" i="8"/>
  <c r="J76" i="11"/>
  <c r="J36" i="7"/>
  <c r="K77" i="8"/>
  <c r="J18" i="7"/>
  <c r="J36" i="10"/>
  <c r="J93" i="10"/>
  <c r="J93" i="7"/>
  <c r="J31" i="10"/>
  <c r="J8" i="7"/>
  <c r="J96" i="10"/>
  <c r="J55" i="10"/>
  <c r="J33" i="7"/>
  <c r="J30" i="10"/>
  <c r="J119" i="10"/>
  <c r="J48" i="10"/>
  <c r="J105" i="11"/>
  <c r="J6" i="10"/>
  <c r="K50" i="8"/>
  <c r="J103" i="11"/>
  <c r="J121" i="7"/>
  <c r="J101" i="7"/>
  <c r="K70" i="8"/>
  <c r="M70" i="8" s="1"/>
  <c r="J74" i="7"/>
  <c r="L236" i="7"/>
  <c r="P70" i="8"/>
  <c r="P166" i="8"/>
  <c r="L273" i="8"/>
  <c r="M332" i="8"/>
  <c r="I93" i="7"/>
  <c r="O93" i="7" s="1"/>
  <c r="T93" i="7" s="1"/>
  <c r="K311" i="7"/>
  <c r="L245" i="8"/>
  <c r="L326" i="8"/>
  <c r="M330" i="8"/>
  <c r="I48" i="11"/>
  <c r="O48" i="11" s="1"/>
  <c r="U48" i="11" s="1"/>
  <c r="L150" i="7"/>
  <c r="L324" i="8"/>
  <c r="O199" i="7"/>
  <c r="S199" i="7" s="1"/>
  <c r="O265" i="7"/>
  <c r="K281" i="10"/>
  <c r="I113" i="7"/>
  <c r="O113" i="7" s="1"/>
  <c r="L322" i="8"/>
  <c r="I119" i="10"/>
  <c r="I51" i="11"/>
  <c r="O51" i="11" s="1"/>
  <c r="R51" i="11" s="1"/>
  <c r="I109" i="11"/>
  <c r="O109" i="11" s="1"/>
  <c r="I15" i="7"/>
  <c r="O15" i="7" s="1"/>
  <c r="R15" i="7" s="1"/>
  <c r="K400" i="7"/>
  <c r="M320" i="8"/>
  <c r="L320" i="8"/>
  <c r="I30" i="10"/>
  <c r="I51" i="7"/>
  <c r="O51" i="7" s="1"/>
  <c r="K361" i="7"/>
  <c r="L400" i="7"/>
  <c r="M235" i="8"/>
  <c r="L235" i="8"/>
  <c r="M259" i="8"/>
  <c r="L259" i="8"/>
  <c r="I33" i="7"/>
  <c r="O33" i="7" s="1"/>
  <c r="S33" i="7" s="1"/>
  <c r="I105" i="7"/>
  <c r="O105" i="7" s="1"/>
  <c r="Q105" i="7" s="1"/>
  <c r="O228" i="7"/>
  <c r="S228" i="7" s="1"/>
  <c r="J51" i="8"/>
  <c r="J110" i="8"/>
  <c r="L160" i="8"/>
  <c r="P160" i="8"/>
  <c r="O152" i="7"/>
  <c r="Q152" i="7" s="1"/>
  <c r="L361" i="7"/>
  <c r="J41" i="8"/>
  <c r="M293" i="8"/>
  <c r="L293" i="8"/>
  <c r="I6" i="11"/>
  <c r="O6" i="11" s="1"/>
  <c r="I8" i="7"/>
  <c r="O8" i="7" s="1"/>
  <c r="S8" i="7" s="1"/>
  <c r="O142" i="7"/>
  <c r="K323" i="7"/>
  <c r="L323" i="7"/>
  <c r="M160" i="8"/>
  <c r="M318" i="8"/>
  <c r="L318" i="8"/>
  <c r="I70" i="7"/>
  <c r="O70" i="7" s="1"/>
  <c r="R70" i="7" s="1"/>
  <c r="O200" i="7"/>
  <c r="J137" i="8"/>
  <c r="L233" i="8"/>
  <c r="M248" i="8"/>
  <c r="L248" i="8"/>
  <c r="I12" i="10"/>
  <c r="O12" i="10" s="1"/>
  <c r="H10" i="14"/>
  <c r="H15" i="13"/>
  <c r="J15" i="13" s="1"/>
  <c r="K15" i="13" s="1"/>
  <c r="I105" i="11"/>
  <c r="I77" i="11"/>
  <c r="O77" i="11" s="1"/>
  <c r="I49" i="11"/>
  <c r="O49" i="11" s="1"/>
  <c r="U49" i="11" s="1"/>
  <c r="I21" i="11"/>
  <c r="O21" i="11" s="1"/>
  <c r="Q21" i="11" s="1"/>
  <c r="I101" i="11"/>
  <c r="O101" i="11" s="1"/>
  <c r="P101" i="11" s="1"/>
  <c r="I106" i="11"/>
  <c r="I78" i="11"/>
  <c r="I50" i="11"/>
  <c r="O50" i="11" s="1"/>
  <c r="I22" i="11"/>
  <c r="I120" i="11"/>
  <c r="O120" i="11" s="1"/>
  <c r="I99" i="11"/>
  <c r="O99" i="11" s="1"/>
  <c r="I76" i="11"/>
  <c r="O76" i="11" s="1"/>
  <c r="I74" i="11"/>
  <c r="O74" i="11" s="1"/>
  <c r="I72" i="11"/>
  <c r="I70" i="11"/>
  <c r="O70" i="11" s="1"/>
  <c r="I68" i="11"/>
  <c r="O68" i="11" s="1"/>
  <c r="I66" i="11"/>
  <c r="O66" i="11" s="1"/>
  <c r="I64" i="11"/>
  <c r="O64" i="11" s="1"/>
  <c r="I119" i="11"/>
  <c r="O119" i="11" s="1"/>
  <c r="I94" i="11"/>
  <c r="O94" i="11" s="1"/>
  <c r="I47" i="11"/>
  <c r="O47" i="11" s="1"/>
  <c r="Q47" i="11" s="1"/>
  <c r="I45" i="11"/>
  <c r="O45" i="11" s="1"/>
  <c r="I43" i="11"/>
  <c r="O43" i="11" s="1"/>
  <c r="I41" i="11"/>
  <c r="O41" i="11" s="1"/>
  <c r="I39" i="11"/>
  <c r="O39" i="11" s="1"/>
  <c r="S39" i="11" s="1"/>
  <c r="I37" i="11"/>
  <c r="O37" i="11" s="1"/>
  <c r="I121" i="11"/>
  <c r="O121" i="11" s="1"/>
  <c r="I112" i="11"/>
  <c r="O112" i="11" s="1"/>
  <c r="I103" i="11"/>
  <c r="O103" i="11" s="1"/>
  <c r="R103" i="11" s="1"/>
  <c r="I85" i="11"/>
  <c r="O85" i="11" s="1"/>
  <c r="I24" i="11"/>
  <c r="O24" i="11" s="1"/>
  <c r="I11" i="11"/>
  <c r="O11" i="11" s="1"/>
  <c r="I65" i="11"/>
  <c r="I102" i="11"/>
  <c r="I84" i="11"/>
  <c r="O84" i="11" s="1"/>
  <c r="S84" i="11" s="1"/>
  <c r="I75" i="11"/>
  <c r="O75" i="11" s="1"/>
  <c r="I8" i="11"/>
  <c r="O8" i="11" s="1"/>
  <c r="I104" i="10"/>
  <c r="I76" i="10"/>
  <c r="L76" i="10" s="1"/>
  <c r="I48" i="10"/>
  <c r="I20" i="10"/>
  <c r="L20" i="10" s="1"/>
  <c r="I111" i="11"/>
  <c r="O111" i="11" s="1"/>
  <c r="I93" i="11"/>
  <c r="O93" i="11" s="1"/>
  <c r="I62" i="11"/>
  <c r="O62" i="11" s="1"/>
  <c r="I115" i="11"/>
  <c r="O115" i="11" s="1"/>
  <c r="I16" i="11"/>
  <c r="O16" i="11" s="1"/>
  <c r="I115" i="10"/>
  <c r="I86" i="10"/>
  <c r="I55" i="10"/>
  <c r="I26" i="10"/>
  <c r="L26" i="10" s="1"/>
  <c r="I82" i="11"/>
  <c r="O82" i="11" s="1"/>
  <c r="I113" i="10"/>
  <c r="I58" i="11"/>
  <c r="I29" i="11"/>
  <c r="O29" i="11" s="1"/>
  <c r="I111" i="10"/>
  <c r="I71" i="11"/>
  <c r="O71" i="11" s="1"/>
  <c r="I13" i="11"/>
  <c r="O13" i="11" s="1"/>
  <c r="I109" i="10"/>
  <c r="I80" i="10"/>
  <c r="I49" i="10"/>
  <c r="I90" i="11"/>
  <c r="O90" i="11" s="1"/>
  <c r="I79" i="11"/>
  <c r="O79" i="11" s="1"/>
  <c r="I42" i="11"/>
  <c r="O42" i="11" s="1"/>
  <c r="I107" i="10"/>
  <c r="I78" i="10"/>
  <c r="I47" i="10"/>
  <c r="I16" i="10"/>
  <c r="I122" i="11"/>
  <c r="O122" i="11" s="1"/>
  <c r="I81" i="11"/>
  <c r="O81" i="11" s="1"/>
  <c r="I57" i="11"/>
  <c r="I28" i="11"/>
  <c r="O28" i="11" s="1"/>
  <c r="U28" i="11" s="1"/>
  <c r="I7" i="11"/>
  <c r="O7" i="11" s="1"/>
  <c r="I120" i="10"/>
  <c r="I100" i="11"/>
  <c r="O100" i="11" s="1"/>
  <c r="I92" i="11"/>
  <c r="I89" i="11"/>
  <c r="I118" i="10"/>
  <c r="I87" i="10"/>
  <c r="I58" i="10"/>
  <c r="I27" i="10"/>
  <c r="I108" i="11"/>
  <c r="O108" i="11" s="1"/>
  <c r="P108" i="11" s="1"/>
  <c r="I97" i="11"/>
  <c r="O97" i="11" s="1"/>
  <c r="I54" i="11"/>
  <c r="O54" i="11" s="1"/>
  <c r="I33" i="11"/>
  <c r="O33" i="11" s="1"/>
  <c r="I98" i="10"/>
  <c r="I46" i="10"/>
  <c r="I37" i="10"/>
  <c r="I19" i="11"/>
  <c r="I40" i="11"/>
  <c r="O40" i="11" s="1"/>
  <c r="I61" i="11"/>
  <c r="I15" i="11"/>
  <c r="O15" i="11" s="1"/>
  <c r="I63" i="11"/>
  <c r="I14" i="11"/>
  <c r="O14" i="11" s="1"/>
  <c r="I106" i="10"/>
  <c r="I101" i="10"/>
  <c r="L101" i="10" s="1"/>
  <c r="I94" i="10"/>
  <c r="I33" i="10"/>
  <c r="L33" i="10" s="1"/>
  <c r="I22" i="10"/>
  <c r="I9" i="10"/>
  <c r="L9" i="10" s="1"/>
  <c r="I117" i="11"/>
  <c r="O117" i="11" s="1"/>
  <c r="I80" i="11"/>
  <c r="O80" i="11" s="1"/>
  <c r="I53" i="11"/>
  <c r="O53" i="11" s="1"/>
  <c r="I17" i="11"/>
  <c r="I68" i="10"/>
  <c r="L68" i="10" s="1"/>
  <c r="I54" i="10"/>
  <c r="I40" i="10"/>
  <c r="L40" i="10" s="1"/>
  <c r="I98" i="11"/>
  <c r="O98" i="11" s="1"/>
  <c r="I44" i="11"/>
  <c r="I96" i="10"/>
  <c r="O96" i="10" s="1"/>
  <c r="I13" i="10"/>
  <c r="I108" i="10"/>
  <c r="I103" i="10"/>
  <c r="I70" i="10"/>
  <c r="I56" i="10"/>
  <c r="I42" i="10"/>
  <c r="I35" i="10"/>
  <c r="I60" i="11"/>
  <c r="I100" i="10"/>
  <c r="I39" i="10"/>
  <c r="I21" i="10"/>
  <c r="I8" i="10"/>
  <c r="I27" i="11"/>
  <c r="O27" i="11" s="1"/>
  <c r="I91" i="10"/>
  <c r="I57" i="10"/>
  <c r="I18" i="10"/>
  <c r="I107" i="11"/>
  <c r="I34" i="10"/>
  <c r="I23" i="10"/>
  <c r="I95" i="11"/>
  <c r="O95" i="11" s="1"/>
  <c r="I32" i="11"/>
  <c r="O32" i="11" s="1"/>
  <c r="I113" i="11"/>
  <c r="O113" i="11" s="1"/>
  <c r="P113" i="11" s="1"/>
  <c r="I26" i="11"/>
  <c r="I20" i="11"/>
  <c r="I83" i="11"/>
  <c r="O83" i="11" s="1"/>
  <c r="I25" i="11"/>
  <c r="O25" i="11" s="1"/>
  <c r="I3" i="11"/>
  <c r="O3" i="11" s="1"/>
  <c r="I118" i="11"/>
  <c r="I56" i="11"/>
  <c r="O56" i="11" s="1"/>
  <c r="P56" i="11" s="1"/>
  <c r="I88" i="10"/>
  <c r="I45" i="10"/>
  <c r="J118" i="8"/>
  <c r="J90" i="8"/>
  <c r="J62" i="8"/>
  <c r="J34" i="8"/>
  <c r="J6" i="8"/>
  <c r="I118" i="7"/>
  <c r="O118" i="7" s="1"/>
  <c r="I90" i="7"/>
  <c r="O90" i="7" s="1"/>
  <c r="I62" i="7"/>
  <c r="O62" i="7" s="1"/>
  <c r="R62" i="7" s="1"/>
  <c r="I110" i="11"/>
  <c r="O110" i="11" s="1"/>
  <c r="I4" i="11"/>
  <c r="O4" i="11" s="1"/>
  <c r="I51" i="10"/>
  <c r="L51" i="10" s="1"/>
  <c r="I24" i="10"/>
  <c r="J103" i="8"/>
  <c r="J75" i="8"/>
  <c r="J47" i="8"/>
  <c r="J19" i="8"/>
  <c r="I10" i="10"/>
  <c r="J116" i="8"/>
  <c r="J88" i="8"/>
  <c r="J60" i="8"/>
  <c r="I86" i="11"/>
  <c r="O86" i="11" s="1"/>
  <c r="I10" i="11"/>
  <c r="I114" i="10"/>
  <c r="J101" i="8"/>
  <c r="J73" i="8"/>
  <c r="J45" i="8"/>
  <c r="J17" i="8"/>
  <c r="I101" i="7"/>
  <c r="O101" i="7" s="1"/>
  <c r="U101" i="7" s="1"/>
  <c r="I55" i="11"/>
  <c r="O55" i="11" s="1"/>
  <c r="Q55" i="11" s="1"/>
  <c r="I60" i="10"/>
  <c r="L60" i="10" s="1"/>
  <c r="J114" i="8"/>
  <c r="J86" i="8"/>
  <c r="J58" i="8"/>
  <c r="I121" i="10"/>
  <c r="I72" i="10"/>
  <c r="I63" i="10"/>
  <c r="J99" i="8"/>
  <c r="J71" i="8"/>
  <c r="J43" i="8"/>
  <c r="J15" i="8"/>
  <c r="I93" i="10"/>
  <c r="I90" i="10"/>
  <c r="L90" i="10" s="1"/>
  <c r="J106" i="8"/>
  <c r="J78" i="8"/>
  <c r="J50" i="8"/>
  <c r="J22" i="8"/>
  <c r="I52" i="11"/>
  <c r="O52" i="11" s="1"/>
  <c r="I5" i="11"/>
  <c r="O5" i="11" s="1"/>
  <c r="I50" i="10"/>
  <c r="J122" i="8"/>
  <c r="J91" i="8"/>
  <c r="J35" i="8"/>
  <c r="I94" i="7"/>
  <c r="O94" i="7" s="1"/>
  <c r="Q94" i="7" s="1"/>
  <c r="I63" i="7"/>
  <c r="O63" i="7" s="1"/>
  <c r="S63" i="7" s="1"/>
  <c r="I21" i="7"/>
  <c r="O21" i="7" s="1"/>
  <c r="S21" i="7" s="1"/>
  <c r="I61" i="7"/>
  <c r="O61" i="7" s="1"/>
  <c r="P61" i="7" s="1"/>
  <c r="I6" i="7"/>
  <c r="O6" i="7" s="1"/>
  <c r="I55" i="7"/>
  <c r="O55" i="7" s="1"/>
  <c r="I17" i="7"/>
  <c r="O17" i="7" s="1"/>
  <c r="I62" i="10"/>
  <c r="J111" i="8"/>
  <c r="J76" i="8"/>
  <c r="J56" i="8"/>
  <c r="I92" i="7"/>
  <c r="O92" i="7" s="1"/>
  <c r="P92" i="7" s="1"/>
  <c r="I34" i="7"/>
  <c r="O34" i="7" s="1"/>
  <c r="P34" i="7" s="1"/>
  <c r="I73" i="11"/>
  <c r="I31" i="11"/>
  <c r="O31" i="11" s="1"/>
  <c r="U31" i="11" s="1"/>
  <c r="I66" i="10"/>
  <c r="I11" i="10"/>
  <c r="J120" i="8"/>
  <c r="J96" i="8"/>
  <c r="J61" i="8"/>
  <c r="J49" i="8"/>
  <c r="J28" i="8"/>
  <c r="J10" i="8"/>
  <c r="I120" i="7"/>
  <c r="O120" i="7" s="1"/>
  <c r="P120" i="7" s="1"/>
  <c r="I88" i="7"/>
  <c r="O88" i="7" s="1"/>
  <c r="P88" i="7" s="1"/>
  <c r="I59" i="7"/>
  <c r="O59" i="7" s="1"/>
  <c r="P59" i="7" s="1"/>
  <c r="I19" i="7"/>
  <c r="O19" i="7" s="1"/>
  <c r="P19" i="7" s="1"/>
  <c r="I86" i="7"/>
  <c r="O86" i="7" s="1"/>
  <c r="P86" i="7" s="1"/>
  <c r="I57" i="7"/>
  <c r="O57" i="7" s="1"/>
  <c r="R57" i="7" s="1"/>
  <c r="I32" i="7"/>
  <c r="O32" i="7" s="1"/>
  <c r="U32" i="7" s="1"/>
  <c r="I4" i="7"/>
  <c r="O4" i="7" s="1"/>
  <c r="I114" i="11"/>
  <c r="O114" i="11" s="1"/>
  <c r="U114" i="11" s="1"/>
  <c r="I12" i="11"/>
  <c r="O12" i="11" s="1"/>
  <c r="I74" i="10"/>
  <c r="L74" i="10" s="1"/>
  <c r="I7" i="10"/>
  <c r="L7" i="10" s="1"/>
  <c r="J81" i="8"/>
  <c r="J44" i="8"/>
  <c r="J3" i="8"/>
  <c r="I122" i="7"/>
  <c r="O122" i="7" s="1"/>
  <c r="Q122" i="7" s="1"/>
  <c r="I104" i="11"/>
  <c r="I99" i="10"/>
  <c r="I95" i="10"/>
  <c r="I41" i="10"/>
  <c r="I29" i="10"/>
  <c r="J66" i="8"/>
  <c r="J37" i="8"/>
  <c r="I84" i="7"/>
  <c r="O84" i="7" s="1"/>
  <c r="S84" i="7" s="1"/>
  <c r="I30" i="11"/>
  <c r="I117" i="10"/>
  <c r="L117" i="10" s="1"/>
  <c r="I25" i="10"/>
  <c r="L25" i="10" s="1"/>
  <c r="I14" i="10"/>
  <c r="J108" i="8"/>
  <c r="J12" i="8"/>
  <c r="I82" i="7"/>
  <c r="O82" i="7" s="1"/>
  <c r="I53" i="7"/>
  <c r="O53" i="7" s="1"/>
  <c r="P53" i="7" s="1"/>
  <c r="I30" i="7"/>
  <c r="O30" i="7" s="1"/>
  <c r="I116" i="10"/>
  <c r="I44" i="10"/>
  <c r="J100" i="8"/>
  <c r="J80" i="8"/>
  <c r="I103" i="7"/>
  <c r="O103" i="7" s="1"/>
  <c r="S103" i="7" s="1"/>
  <c r="I97" i="7"/>
  <c r="O97" i="7" s="1"/>
  <c r="I68" i="7"/>
  <c r="O68" i="7" s="1"/>
  <c r="R68" i="7" s="1"/>
  <c r="I37" i="7"/>
  <c r="O37" i="7" s="1"/>
  <c r="T37" i="7" s="1"/>
  <c r="I9" i="7"/>
  <c r="O9" i="7" s="1"/>
  <c r="Q9" i="7" s="1"/>
  <c r="I102" i="10"/>
  <c r="I69" i="11"/>
  <c r="O69" i="11" s="1"/>
  <c r="I75" i="10"/>
  <c r="I69" i="10"/>
  <c r="I5" i="10"/>
  <c r="J59" i="8"/>
  <c r="I40" i="7"/>
  <c r="O40" i="7" s="1"/>
  <c r="P40" i="7" s="1"/>
  <c r="I10" i="7"/>
  <c r="O10" i="7" s="1"/>
  <c r="I110" i="7"/>
  <c r="O110" i="7" s="1"/>
  <c r="I102" i="7"/>
  <c r="O102" i="7" s="1"/>
  <c r="I60" i="7"/>
  <c r="O60" i="7" s="1"/>
  <c r="Q60" i="7" s="1"/>
  <c r="I47" i="7"/>
  <c r="O47" i="7" s="1"/>
  <c r="S47" i="7" s="1"/>
  <c r="I92" i="10"/>
  <c r="I52" i="10"/>
  <c r="J115" i="8"/>
  <c r="J95" i="8"/>
  <c r="J79" i="8"/>
  <c r="J72" i="8"/>
  <c r="I99" i="7"/>
  <c r="O99" i="7" s="1"/>
  <c r="S99" i="7" s="1"/>
  <c r="I3" i="10"/>
  <c r="O3" i="10" s="1"/>
  <c r="I110" i="10"/>
  <c r="I19" i="10"/>
  <c r="I4" i="10"/>
  <c r="L4" i="10" s="1"/>
  <c r="J92" i="8"/>
  <c r="J85" i="8"/>
  <c r="J65" i="8"/>
  <c r="J52" i="8"/>
  <c r="J9" i="8"/>
  <c r="I115" i="7"/>
  <c r="O115" i="7" s="1"/>
  <c r="I107" i="7"/>
  <c r="O107" i="7" s="1"/>
  <c r="S107" i="7" s="1"/>
  <c r="I81" i="7"/>
  <c r="O81" i="7" s="1"/>
  <c r="I50" i="7"/>
  <c r="O50" i="7" s="1"/>
  <c r="P50" i="7" s="1"/>
  <c r="I22" i="7"/>
  <c r="O22" i="7" s="1"/>
  <c r="P22" i="7" s="1"/>
  <c r="I7" i="7"/>
  <c r="O7" i="7" s="1"/>
  <c r="I67" i="11"/>
  <c r="I38" i="11"/>
  <c r="J68" i="8"/>
  <c r="J24" i="8"/>
  <c r="I42" i="7"/>
  <c r="O42" i="7" s="1"/>
  <c r="J105" i="8"/>
  <c r="J30" i="8"/>
  <c r="J18" i="8"/>
  <c r="I27" i="7"/>
  <c r="O27" i="7" s="1"/>
  <c r="R27" i="7" s="1"/>
  <c r="I85" i="10"/>
  <c r="J98" i="8"/>
  <c r="J55" i="8"/>
  <c r="J39" i="8"/>
  <c r="J21" i="8"/>
  <c r="I91" i="7"/>
  <c r="O91" i="7" s="1"/>
  <c r="I78" i="7"/>
  <c r="O78" i="7" s="1"/>
  <c r="I97" i="10"/>
  <c r="I28" i="10"/>
  <c r="I3" i="9"/>
  <c r="J27" i="8"/>
  <c r="I73" i="7"/>
  <c r="O73" i="7" s="1"/>
  <c r="I12" i="7"/>
  <c r="O12" i="7" s="1"/>
  <c r="I32" i="10"/>
  <c r="J117" i="8"/>
  <c r="J97" i="8"/>
  <c r="J14" i="8"/>
  <c r="J11" i="8"/>
  <c r="I44" i="7"/>
  <c r="O44" i="7" s="1"/>
  <c r="I61" i="10"/>
  <c r="L61" i="10" s="1"/>
  <c r="J74" i="8"/>
  <c r="J54" i="8"/>
  <c r="J20" i="8"/>
  <c r="I26" i="7"/>
  <c r="O26" i="7" s="1"/>
  <c r="T26" i="7" s="1"/>
  <c r="I67" i="10"/>
  <c r="I83" i="10"/>
  <c r="I73" i="10"/>
  <c r="I36" i="10"/>
  <c r="J94" i="8"/>
  <c r="I85" i="7"/>
  <c r="O85" i="7" s="1"/>
  <c r="T85" i="7" s="1"/>
  <c r="J109" i="8"/>
  <c r="I31" i="7"/>
  <c r="O31" i="7" s="1"/>
  <c r="J53" i="8"/>
  <c r="I111" i="7"/>
  <c r="O111" i="7" s="1"/>
  <c r="P111" i="7" s="1"/>
  <c r="I69" i="7"/>
  <c r="O69" i="7" s="1"/>
  <c r="T69" i="7" s="1"/>
  <c r="I95" i="7"/>
  <c r="O95" i="7" s="1"/>
  <c r="T95" i="7" s="1"/>
  <c r="I16" i="7"/>
  <c r="O16" i="7" s="1"/>
  <c r="S16" i="7" s="1"/>
  <c r="I46" i="11"/>
  <c r="I17" i="10"/>
  <c r="J104" i="8"/>
  <c r="I24" i="7"/>
  <c r="O24" i="7" s="1"/>
  <c r="T24" i="7" s="1"/>
  <c r="J40" i="8"/>
  <c r="I100" i="7"/>
  <c r="O100" i="7" s="1"/>
  <c r="I80" i="7"/>
  <c r="O80" i="7" s="1"/>
  <c r="I46" i="7"/>
  <c r="O46" i="7" s="1"/>
  <c r="U46" i="7" s="1"/>
  <c r="I96" i="11"/>
  <c r="O96" i="11" s="1"/>
  <c r="I112" i="10"/>
  <c r="I64" i="10"/>
  <c r="J69" i="8"/>
  <c r="J64" i="8"/>
  <c r="I112" i="7"/>
  <c r="O112" i="7" s="1"/>
  <c r="I89" i="7"/>
  <c r="O89" i="7" s="1"/>
  <c r="T89" i="7" s="1"/>
  <c r="I66" i="7"/>
  <c r="O66" i="7" s="1"/>
  <c r="P66" i="7" s="1"/>
  <c r="I43" i="7"/>
  <c r="O43" i="7" s="1"/>
  <c r="I39" i="7"/>
  <c r="O39" i="7" s="1"/>
  <c r="U39" i="7" s="1"/>
  <c r="I28" i="7"/>
  <c r="O28" i="7" s="1"/>
  <c r="I25" i="7"/>
  <c r="O25" i="7" s="1"/>
  <c r="U25" i="7" s="1"/>
  <c r="I104" i="7"/>
  <c r="O104" i="7" s="1"/>
  <c r="S104" i="7" s="1"/>
  <c r="J113" i="8"/>
  <c r="I35" i="7"/>
  <c r="O35" i="7" s="1"/>
  <c r="I88" i="11"/>
  <c r="O88" i="11" s="1"/>
  <c r="J8" i="8"/>
  <c r="I119" i="7"/>
  <c r="O119" i="7" s="1"/>
  <c r="J67" i="8"/>
  <c r="I82" i="10"/>
  <c r="L82" i="10" s="1"/>
  <c r="I53" i="10"/>
  <c r="L53" i="10" s="1"/>
  <c r="J93" i="8"/>
  <c r="J89" i="8"/>
  <c r="J26" i="8"/>
  <c r="I58" i="7"/>
  <c r="O58" i="7" s="1"/>
  <c r="P58" i="7" s="1"/>
  <c r="I116" i="11"/>
  <c r="I91" i="11"/>
  <c r="O91" i="11" s="1"/>
  <c r="I23" i="11"/>
  <c r="I122" i="10"/>
  <c r="J63" i="8"/>
  <c r="J13" i="8"/>
  <c r="I54" i="7"/>
  <c r="O54" i="7" s="1"/>
  <c r="I18" i="11"/>
  <c r="O18" i="11" s="1"/>
  <c r="J87" i="8"/>
  <c r="I20" i="7"/>
  <c r="O20" i="7" s="1"/>
  <c r="U20" i="7" s="1"/>
  <c r="I81" i="10"/>
  <c r="L81" i="10" s="1"/>
  <c r="I43" i="10"/>
  <c r="J83" i="8"/>
  <c r="J31" i="8"/>
  <c r="J4" i="8"/>
  <c r="I116" i="7"/>
  <c r="O116" i="7" s="1"/>
  <c r="I108" i="7"/>
  <c r="O108" i="7" s="1"/>
  <c r="I96" i="7"/>
  <c r="O96" i="7" s="1"/>
  <c r="T96" i="7" s="1"/>
  <c r="I77" i="7"/>
  <c r="O77" i="7" s="1"/>
  <c r="U77" i="7" s="1"/>
  <c r="I13" i="7"/>
  <c r="O13" i="7" s="1"/>
  <c r="T13" i="7" s="1"/>
  <c r="J48" i="8"/>
  <c r="I89" i="10"/>
  <c r="I71" i="10"/>
  <c r="I65" i="7"/>
  <c r="O65" i="7" s="1"/>
  <c r="T65" i="7" s="1"/>
  <c r="I79" i="10"/>
  <c r="I31" i="10"/>
  <c r="I6" i="10"/>
  <c r="J77" i="8"/>
  <c r="J57" i="8"/>
  <c r="J7" i="8"/>
  <c r="I36" i="11"/>
  <c r="O36" i="11" s="1"/>
  <c r="J107" i="8"/>
  <c r="J82" i="8"/>
  <c r="J25" i="8"/>
  <c r="J16" i="8"/>
  <c r="I76" i="7"/>
  <c r="O76" i="7" s="1"/>
  <c r="I49" i="7"/>
  <c r="O49" i="7" s="1"/>
  <c r="P49" i="7" s="1"/>
  <c r="I5" i="7"/>
  <c r="O5" i="7" s="1"/>
  <c r="I59" i="11"/>
  <c r="O59" i="11" s="1"/>
  <c r="J29" i="8"/>
  <c r="I38" i="7"/>
  <c r="O38" i="7" s="1"/>
  <c r="Q38" i="7" s="1"/>
  <c r="I77" i="10"/>
  <c r="J112" i="8"/>
  <c r="J102" i="8"/>
  <c r="J38" i="8"/>
  <c r="I87" i="7"/>
  <c r="O87" i="7" s="1"/>
  <c r="I83" i="7"/>
  <c r="O83" i="7" s="1"/>
  <c r="I64" i="7"/>
  <c r="O64" i="7" s="1"/>
  <c r="R64" i="7" s="1"/>
  <c r="I41" i="7"/>
  <c r="O41" i="7" s="1"/>
  <c r="I35" i="11"/>
  <c r="I59" i="10"/>
  <c r="I114" i="7"/>
  <c r="O114" i="7" s="1"/>
  <c r="I23" i="7"/>
  <c r="O23" i="7" s="1"/>
  <c r="I75" i="7"/>
  <c r="O75" i="7" s="1"/>
  <c r="L349" i="7"/>
  <c r="N2" i="4"/>
  <c r="I67" i="7"/>
  <c r="O67" i="7" s="1"/>
  <c r="I18" i="7"/>
  <c r="O18" i="7" s="1"/>
  <c r="S18" i="7" s="1"/>
  <c r="M376" i="8"/>
  <c r="I15" i="10"/>
  <c r="M225" i="8"/>
  <c r="L225" i="8"/>
  <c r="I3" i="7"/>
  <c r="O3" i="7" s="1"/>
  <c r="P3" i="7" s="1"/>
  <c r="O137" i="7"/>
  <c r="U137" i="7" s="1"/>
  <c r="J121" i="8"/>
  <c r="M277" i="8"/>
  <c r="M279" i="8"/>
  <c r="I71" i="7"/>
  <c r="O71" i="7" s="1"/>
  <c r="P71" i="7" s="1"/>
  <c r="O183" i="7"/>
  <c r="P183" i="7" s="1"/>
  <c r="M378" i="8"/>
  <c r="I9" i="11"/>
  <c r="O9" i="11" s="1"/>
  <c r="K326" i="7"/>
  <c r="J33" i="8"/>
  <c r="I98" i="7"/>
  <c r="O98" i="7" s="1"/>
  <c r="R98" i="7" s="1"/>
  <c r="O261" i="7"/>
  <c r="U261" i="7" s="1"/>
  <c r="K395" i="7"/>
  <c r="K404" i="7"/>
  <c r="I38" i="10"/>
  <c r="P130" i="8"/>
  <c r="M130" i="8"/>
  <c r="K294" i="7"/>
  <c r="I117" i="7"/>
  <c r="O117" i="7" s="1"/>
  <c r="P117" i="7" s="1"/>
  <c r="L404" i="7"/>
  <c r="M404" i="7" s="1"/>
  <c r="J36" i="8"/>
  <c r="J46" i="8"/>
  <c r="J140" i="8"/>
  <c r="L223" i="8"/>
  <c r="M223" i="8"/>
  <c r="L277" i="8"/>
  <c r="L357" i="7"/>
  <c r="L130" i="8"/>
  <c r="K378" i="7"/>
  <c r="M2" i="4"/>
  <c r="L331" i="7"/>
  <c r="P161" i="8"/>
  <c r="M161" i="8"/>
  <c r="L161" i="8"/>
  <c r="M314" i="8"/>
  <c r="L314" i="8"/>
  <c r="I36" i="7"/>
  <c r="O36" i="7" s="1"/>
  <c r="O240" i="7"/>
  <c r="L246" i="8"/>
  <c r="M246" i="8"/>
  <c r="J23" i="8"/>
  <c r="L283" i="8"/>
  <c r="L304" i="8"/>
  <c r="M304" i="8"/>
  <c r="V150" i="8"/>
  <c r="S150" i="8"/>
  <c r="R150" i="8"/>
  <c r="Q150" i="8"/>
  <c r="U150" i="8"/>
  <c r="M227" i="8"/>
  <c r="I72" i="7"/>
  <c r="O72" i="7" s="1"/>
  <c r="R72" i="7" s="1"/>
  <c r="M398" i="8"/>
  <c r="L398" i="8"/>
  <c r="I84" i="10"/>
  <c r="I14" i="7"/>
  <c r="O14" i="7" s="1"/>
  <c r="L369" i="7"/>
  <c r="O130" i="7"/>
  <c r="J32" i="8"/>
  <c r="O163" i="7"/>
  <c r="L285" i="8"/>
  <c r="K374" i="7"/>
  <c r="I45" i="7"/>
  <c r="O45" i="7" s="1"/>
  <c r="O175" i="7"/>
  <c r="R175" i="7" s="1"/>
  <c r="O224" i="7"/>
  <c r="U224" i="7" s="1"/>
  <c r="L406" i="7"/>
  <c r="K406" i="7"/>
  <c r="L260" i="8"/>
  <c r="M275" i="8"/>
  <c r="L275" i="8"/>
  <c r="I87" i="11"/>
  <c r="I121" i="7"/>
  <c r="O121" i="7" s="1"/>
  <c r="J84" i="8"/>
  <c r="L247" i="8"/>
  <c r="I34" i="11"/>
  <c r="O34" i="11" s="1"/>
  <c r="P156" i="8"/>
  <c r="M156" i="8"/>
  <c r="L156" i="8"/>
  <c r="M328" i="8"/>
  <c r="O253" i="11"/>
  <c r="S253" i="11" s="1"/>
  <c r="O225" i="11"/>
  <c r="R225" i="11" s="1"/>
  <c r="O197" i="11"/>
  <c r="T197" i="11" s="1"/>
  <c r="O180" i="11"/>
  <c r="O250" i="11"/>
  <c r="O223" i="11"/>
  <c r="U223" i="11" s="1"/>
  <c r="O165" i="11"/>
  <c r="O133" i="11"/>
  <c r="O252" i="11"/>
  <c r="S252" i="11" s="1"/>
  <c r="O227" i="11"/>
  <c r="O163" i="11"/>
  <c r="T163" i="11" s="1"/>
  <c r="O254" i="11"/>
  <c r="U254" i="11" s="1"/>
  <c r="O161" i="11"/>
  <c r="O231" i="11"/>
  <c r="O256" i="11"/>
  <c r="O233" i="11"/>
  <c r="O157" i="11"/>
  <c r="O129" i="11"/>
  <c r="O249" i="11"/>
  <c r="O210" i="11"/>
  <c r="O168" i="11"/>
  <c r="S168" i="11" s="1"/>
  <c r="O248" i="11"/>
  <c r="U248" i="11" s="1"/>
  <c r="O237" i="11"/>
  <c r="U237" i="11" s="1"/>
  <c r="O219" i="11"/>
  <c r="R219" i="11" s="1"/>
  <c r="O206" i="11"/>
  <c r="Q206" i="11" s="1"/>
  <c r="O173" i="11"/>
  <c r="O245" i="11"/>
  <c r="O145" i="11"/>
  <c r="O201" i="11"/>
  <c r="O188" i="11"/>
  <c r="O183" i="11"/>
  <c r="O258" i="11"/>
  <c r="S258" i="11" s="1"/>
  <c r="O216" i="11"/>
  <c r="O177" i="11"/>
  <c r="O167" i="11"/>
  <c r="O155" i="11"/>
  <c r="R155" i="11" s="1"/>
  <c r="O142" i="11"/>
  <c r="O212" i="11"/>
  <c r="P212" i="11" s="1"/>
  <c r="O175" i="11"/>
  <c r="Q175" i="11" s="1"/>
  <c r="O218" i="11"/>
  <c r="P218" i="11" s="1"/>
  <c r="O190" i="11"/>
  <c r="P190" i="11" s="1"/>
  <c r="O187" i="11"/>
  <c r="O181" i="11"/>
  <c r="O266" i="11"/>
  <c r="O193" i="11"/>
  <c r="T193" i="11" s="1"/>
  <c r="O166" i="11"/>
  <c r="U166" i="11" s="1"/>
  <c r="O226" i="11"/>
  <c r="O198" i="11"/>
  <c r="O189" i="11"/>
  <c r="O171" i="11"/>
  <c r="U171" i="11" s="1"/>
  <c r="O149" i="11"/>
  <c r="O265" i="11"/>
  <c r="T265" i="11" s="1"/>
  <c r="O238" i="11"/>
  <c r="T238" i="11" s="1"/>
  <c r="O150" i="11"/>
  <c r="R150" i="11" s="1"/>
  <c r="O126" i="11"/>
  <c r="O153" i="11"/>
  <c r="O123" i="11"/>
  <c r="O207" i="11"/>
  <c r="S207" i="11" s="1"/>
  <c r="O158" i="11"/>
  <c r="Q158" i="11" s="1"/>
  <c r="O213" i="11"/>
  <c r="O194" i="11"/>
  <c r="O179" i="11"/>
  <c r="O182" i="11"/>
  <c r="O130" i="11"/>
  <c r="O146" i="11"/>
  <c r="S146" i="11" s="1"/>
  <c r="O243" i="11"/>
  <c r="O232" i="11"/>
  <c r="O257" i="11"/>
  <c r="O195" i="11"/>
  <c r="O147" i="11"/>
  <c r="U147" i="11" s="1"/>
  <c r="L206" i="10"/>
  <c r="O239" i="11"/>
  <c r="U239" i="11" s="1"/>
  <c r="O200" i="11"/>
  <c r="Q200" i="11" s="1"/>
  <c r="O136" i="11"/>
  <c r="O267" i="11"/>
  <c r="Q267" i="11" s="1"/>
  <c r="O260" i="11"/>
  <c r="L137" i="10"/>
  <c r="O174" i="11"/>
  <c r="O131" i="11"/>
  <c r="O211" i="11"/>
  <c r="U211" i="11" s="1"/>
  <c r="L139" i="10"/>
  <c r="O221" i="11"/>
  <c r="O132" i="11"/>
  <c r="O247" i="11"/>
  <c r="S247" i="11" s="1"/>
  <c r="O172" i="11"/>
  <c r="R172" i="11" s="1"/>
  <c r="O138" i="11"/>
  <c r="L151" i="10"/>
  <c r="L242" i="10"/>
  <c r="O220" i="11"/>
  <c r="U220" i="11" s="1"/>
  <c r="O124" i="11"/>
  <c r="O164" i="11"/>
  <c r="O143" i="11"/>
  <c r="O127" i="11"/>
  <c r="T127" i="11" s="1"/>
  <c r="J146" i="8"/>
  <c r="O258" i="7"/>
  <c r="O230" i="7"/>
  <c r="U230" i="7" s="1"/>
  <c r="O202" i="7"/>
  <c r="P202" i="7" s="1"/>
  <c r="O174" i="7"/>
  <c r="Q174" i="7" s="1"/>
  <c r="O146" i="7"/>
  <c r="O271" i="11"/>
  <c r="R271" i="11" s="1"/>
  <c r="O192" i="11"/>
  <c r="P192" i="11" s="1"/>
  <c r="L214" i="10"/>
  <c r="J131" i="8"/>
  <c r="O235" i="11"/>
  <c r="J144" i="8"/>
  <c r="O224" i="11"/>
  <c r="O170" i="11"/>
  <c r="O160" i="11"/>
  <c r="O152" i="11"/>
  <c r="J129" i="8"/>
  <c r="O269" i="7"/>
  <c r="T269" i="7" s="1"/>
  <c r="O241" i="7"/>
  <c r="U241" i="7" s="1"/>
  <c r="O213" i="7"/>
  <c r="S213" i="7" s="1"/>
  <c r="O185" i="7"/>
  <c r="T185" i="7" s="1"/>
  <c r="O157" i="7"/>
  <c r="O129" i="7"/>
  <c r="P129" i="7" s="1"/>
  <c r="O191" i="11"/>
  <c r="P191" i="11" s="1"/>
  <c r="J142" i="8"/>
  <c r="O214" i="11"/>
  <c r="J127" i="8"/>
  <c r="O199" i="11"/>
  <c r="U199" i="11" s="1"/>
  <c r="J134" i="8"/>
  <c r="O246" i="7"/>
  <c r="O218" i="7"/>
  <c r="T218" i="7" s="1"/>
  <c r="O190" i="7"/>
  <c r="O162" i="7"/>
  <c r="S162" i="7" s="1"/>
  <c r="O134" i="7"/>
  <c r="P134" i="7" s="1"/>
  <c r="L123" i="10"/>
  <c r="O256" i="7"/>
  <c r="U256" i="7" s="1"/>
  <c r="O233" i="7"/>
  <c r="O210" i="7"/>
  <c r="O187" i="7"/>
  <c r="P187" i="7" s="1"/>
  <c r="O164" i="7"/>
  <c r="O141" i="7"/>
  <c r="T141" i="7" s="1"/>
  <c r="O235" i="7"/>
  <c r="T235" i="7" s="1"/>
  <c r="O212" i="7"/>
  <c r="O166" i="7"/>
  <c r="U166" i="7" s="1"/>
  <c r="O143" i="7"/>
  <c r="P143" i="7" s="1"/>
  <c r="O148" i="11"/>
  <c r="R148" i="11" s="1"/>
  <c r="O237" i="7"/>
  <c r="O214" i="7"/>
  <c r="T214" i="7" s="1"/>
  <c r="O189" i="7"/>
  <c r="O168" i="7"/>
  <c r="O145" i="7"/>
  <c r="U145" i="7" s="1"/>
  <c r="O216" i="7"/>
  <c r="U216" i="7" s="1"/>
  <c r="O147" i="7"/>
  <c r="R147" i="7" s="1"/>
  <c r="O262" i="11"/>
  <c r="S262" i="11" s="1"/>
  <c r="O260" i="7"/>
  <c r="O239" i="7"/>
  <c r="P239" i="7" s="1"/>
  <c r="O191" i="7"/>
  <c r="T191" i="7" s="1"/>
  <c r="O170" i="7"/>
  <c r="J139" i="8"/>
  <c r="O262" i="7"/>
  <c r="Q262" i="7" s="1"/>
  <c r="O193" i="7"/>
  <c r="O124" i="7"/>
  <c r="O244" i="11"/>
  <c r="L127" i="10"/>
  <c r="J124" i="8"/>
  <c r="O264" i="7"/>
  <c r="R264" i="7" s="1"/>
  <c r="O195" i="7"/>
  <c r="S195" i="7" s="1"/>
  <c r="O172" i="7"/>
  <c r="O149" i="7"/>
  <c r="O126" i="7"/>
  <c r="R126" i="7" s="1"/>
  <c r="O253" i="7"/>
  <c r="O207" i="7"/>
  <c r="S207" i="7" s="1"/>
  <c r="O184" i="7"/>
  <c r="U184" i="7" s="1"/>
  <c r="O138" i="7"/>
  <c r="S138" i="7" s="1"/>
  <c r="L156" i="10"/>
  <c r="O263" i="7"/>
  <c r="R263" i="7" s="1"/>
  <c r="O252" i="7"/>
  <c r="O249" i="7"/>
  <c r="P249" i="7" s="1"/>
  <c r="O171" i="7"/>
  <c r="O160" i="7"/>
  <c r="O135" i="7"/>
  <c r="S135" i="7" s="1"/>
  <c r="O196" i="7"/>
  <c r="U196" i="7" s="1"/>
  <c r="O182" i="7"/>
  <c r="J128" i="8"/>
  <c r="O123" i="7"/>
  <c r="O140" i="7"/>
  <c r="O243" i="7"/>
  <c r="U243" i="7" s="1"/>
  <c r="O151" i="7"/>
  <c r="S151" i="7" s="1"/>
  <c r="O176" i="11"/>
  <c r="O226" i="7"/>
  <c r="U226" i="7" s="1"/>
  <c r="J135" i="8"/>
  <c r="O128" i="11"/>
  <c r="T128" i="11" s="1"/>
  <c r="J132" i="8"/>
  <c r="O257" i="7"/>
  <c r="U257" i="7" s="1"/>
  <c r="O232" i="7"/>
  <c r="S232" i="7" s="1"/>
  <c r="O221" i="7"/>
  <c r="Q221" i="7" s="1"/>
  <c r="O141" i="11"/>
  <c r="S141" i="11" s="1"/>
  <c r="J145" i="8"/>
  <c r="J125" i="8"/>
  <c r="O268" i="7"/>
  <c r="U268" i="7" s="1"/>
  <c r="O165" i="7"/>
  <c r="O154" i="7"/>
  <c r="U154" i="7" s="1"/>
  <c r="O215" i="7"/>
  <c r="T215" i="7" s="1"/>
  <c r="J138" i="8"/>
  <c r="O271" i="7"/>
  <c r="Q271" i="7" s="1"/>
  <c r="O201" i="7"/>
  <c r="U201" i="7" s="1"/>
  <c r="O179" i="7"/>
  <c r="O176" i="7"/>
  <c r="O154" i="11"/>
  <c r="Q154" i="11" s="1"/>
  <c r="O139" i="11"/>
  <c r="L263" i="10"/>
  <c r="O270" i="7"/>
  <c r="S270" i="7" s="1"/>
  <c r="O248" i="7"/>
  <c r="O245" i="7"/>
  <c r="O167" i="7"/>
  <c r="O156" i="7"/>
  <c r="U156" i="7" s="1"/>
  <c r="N3" i="4"/>
  <c r="O203" i="7"/>
  <c r="P203" i="7" s="1"/>
  <c r="O192" i="7"/>
  <c r="O181" i="7"/>
  <c r="O178" i="7"/>
  <c r="M3" i="4"/>
  <c r="J123" i="8"/>
  <c r="O153" i="7"/>
  <c r="O133" i="7"/>
  <c r="P133" i="7" s="1"/>
  <c r="O255" i="7"/>
  <c r="O144" i="7"/>
  <c r="O177" i="7"/>
  <c r="S177" i="7" s="1"/>
  <c r="J147" i="8"/>
  <c r="O209" i="7"/>
  <c r="U209" i="7" s="1"/>
  <c r="L146" i="10"/>
  <c r="O223" i="7"/>
  <c r="O132" i="7"/>
  <c r="O148" i="7"/>
  <c r="O230" i="11"/>
  <c r="O272" i="7"/>
  <c r="Q272" i="7" s="1"/>
  <c r="O231" i="7"/>
  <c r="O219" i="7"/>
  <c r="S219" i="7" s="1"/>
  <c r="O198" i="7"/>
  <c r="S198" i="7" s="1"/>
  <c r="O161" i="7"/>
  <c r="O128" i="7"/>
  <c r="O194" i="7"/>
  <c r="R194" i="7" s="1"/>
  <c r="O205" i="11"/>
  <c r="U205" i="11" s="1"/>
  <c r="O242" i="7"/>
  <c r="U242" i="7" s="1"/>
  <c r="J143" i="8"/>
  <c r="O251" i="7"/>
  <c r="S251" i="7" s="1"/>
  <c r="O173" i="7"/>
  <c r="P173" i="7" s="1"/>
  <c r="O136" i="7"/>
  <c r="O197" i="7"/>
  <c r="T197" i="7" s="1"/>
  <c r="O234" i="7"/>
  <c r="J133" i="8"/>
  <c r="O247" i="7"/>
  <c r="O227" i="7"/>
  <c r="Q227" i="7" s="1"/>
  <c r="O206" i="7"/>
  <c r="Q206" i="7" s="1"/>
  <c r="O169" i="7"/>
  <c r="O259" i="7"/>
  <c r="O222" i="7"/>
  <c r="U222" i="7" s="1"/>
  <c r="O267" i="7"/>
  <c r="P267" i="7" s="1"/>
  <c r="O135" i="11"/>
  <c r="U135" i="11" s="1"/>
  <c r="O205" i="7"/>
  <c r="R205" i="7" s="1"/>
  <c r="O131" i="7"/>
  <c r="O127" i="7"/>
  <c r="Q127" i="7" s="1"/>
  <c r="J141" i="8"/>
  <c r="O254" i="7"/>
  <c r="U254" i="7" s="1"/>
  <c r="O238" i="7"/>
  <c r="U238" i="7" s="1"/>
  <c r="O217" i="7"/>
  <c r="J136" i="8"/>
  <c r="J126" i="8"/>
  <c r="O250" i="7"/>
  <c r="U250" i="7" s="1"/>
  <c r="O180" i="7"/>
  <c r="O139" i="7"/>
  <c r="P139" i="7" s="1"/>
  <c r="O229" i="7"/>
  <c r="R229" i="7" s="1"/>
  <c r="O159" i="7"/>
  <c r="O155" i="7"/>
  <c r="P155" i="7" s="1"/>
  <c r="O266" i="7"/>
  <c r="U266" i="7" s="1"/>
  <c r="O225" i="7"/>
  <c r="U225" i="7" s="1"/>
  <c r="O188" i="7"/>
  <c r="R188" i="7" s="1"/>
  <c r="K150" i="7"/>
  <c r="M150" i="7" s="1"/>
  <c r="K208" i="7"/>
  <c r="K331" i="7"/>
  <c r="O211" i="7"/>
  <c r="P211" i="7" s="1"/>
  <c r="J42" i="8"/>
  <c r="I79" i="7"/>
  <c r="O79" i="7" s="1"/>
  <c r="U79" i="7" s="1"/>
  <c r="L150" i="8"/>
  <c r="N150" i="8" s="1"/>
  <c r="M229" i="8"/>
  <c r="L229" i="8"/>
  <c r="I52" i="7"/>
  <c r="O52" i="7" s="1"/>
  <c r="U52" i="7" s="1"/>
  <c r="O125" i="7"/>
  <c r="S125" i="7" s="1"/>
  <c r="O220" i="7"/>
  <c r="L281" i="8"/>
  <c r="K330" i="10"/>
  <c r="I106" i="7"/>
  <c r="O106" i="7" s="1"/>
  <c r="U106" i="7" s="1"/>
  <c r="I105" i="10"/>
  <c r="L105" i="10" s="1"/>
  <c r="L345" i="7"/>
  <c r="K345" i="7"/>
  <c r="I11" i="7"/>
  <c r="O11" i="7" s="1"/>
  <c r="I29" i="7"/>
  <c r="O29" i="7" s="1"/>
  <c r="O186" i="7"/>
  <c r="I74" i="7"/>
  <c r="O74" i="7" s="1"/>
  <c r="I109" i="7"/>
  <c r="O109" i="7" s="1"/>
  <c r="P109" i="7" s="1"/>
  <c r="O204" i="7"/>
  <c r="K290" i="7"/>
  <c r="M290" i="7" s="1"/>
  <c r="K319" i="7"/>
  <c r="J5" i="8"/>
  <c r="J10" i="17"/>
  <c r="J8" i="17"/>
  <c r="J11" i="17"/>
  <c r="J1" i="17"/>
  <c r="J7" i="17"/>
  <c r="J5" i="17"/>
  <c r="J9" i="17"/>
  <c r="J3" i="17"/>
  <c r="J4" i="17"/>
  <c r="J2" i="17"/>
  <c r="O403" i="11"/>
  <c r="O409" i="11"/>
  <c r="U409" i="11" s="1"/>
  <c r="O407" i="11"/>
  <c r="O388" i="11"/>
  <c r="O360" i="11"/>
  <c r="T360" i="11" s="1"/>
  <c r="O332" i="11"/>
  <c r="O419" i="11"/>
  <c r="O384" i="11"/>
  <c r="O382" i="11"/>
  <c r="Q382" i="11" s="1"/>
  <c r="O353" i="11"/>
  <c r="O309" i="11"/>
  <c r="Q309" i="11" s="1"/>
  <c r="O281" i="11"/>
  <c r="U281" i="11" s="1"/>
  <c r="O380" i="11"/>
  <c r="O351" i="11"/>
  <c r="Q351" i="11" s="1"/>
  <c r="O322" i="11"/>
  <c r="S322" i="11" s="1"/>
  <c r="O376" i="11"/>
  <c r="R376" i="11" s="1"/>
  <c r="O345" i="11"/>
  <c r="P345" i="11" s="1"/>
  <c r="O320" i="11"/>
  <c r="O292" i="11"/>
  <c r="T292" i="11" s="1"/>
  <c r="O327" i="11"/>
  <c r="O297" i="11"/>
  <c r="T297" i="11" s="1"/>
  <c r="O418" i="11"/>
  <c r="O354" i="11"/>
  <c r="Q354" i="11" s="1"/>
  <c r="O414" i="11"/>
  <c r="O379" i="11"/>
  <c r="O344" i="11"/>
  <c r="O406" i="11"/>
  <c r="T406" i="11" s="1"/>
  <c r="O296" i="11"/>
  <c r="O275" i="11"/>
  <c r="O337" i="11"/>
  <c r="O317" i="11"/>
  <c r="O277" i="11"/>
  <c r="S277" i="11" s="1"/>
  <c r="O374" i="11"/>
  <c r="O367" i="11"/>
  <c r="P367" i="11" s="1"/>
  <c r="O346" i="11"/>
  <c r="O328" i="11"/>
  <c r="O300" i="11"/>
  <c r="O302" i="11"/>
  <c r="P302" i="11" s="1"/>
  <c r="O279" i="11"/>
  <c r="R279" i="11" s="1"/>
  <c r="O413" i="11"/>
  <c r="O334" i="11"/>
  <c r="O301" i="11"/>
  <c r="O285" i="11"/>
  <c r="O394" i="11"/>
  <c r="O340" i="11"/>
  <c r="S340" i="11" s="1"/>
  <c r="O420" i="11"/>
  <c r="O417" i="11"/>
  <c r="U417" i="11" s="1"/>
  <c r="O306" i="11"/>
  <c r="U306" i="11" s="1"/>
  <c r="O369" i="11"/>
  <c r="Q369" i="11" s="1"/>
  <c r="O378" i="11"/>
  <c r="O366" i="11"/>
  <c r="O331" i="11"/>
  <c r="O412" i="11"/>
  <c r="T412" i="11" s="1"/>
  <c r="O402" i="11"/>
  <c r="O284" i="11"/>
  <c r="O286" i="11"/>
  <c r="O362" i="11"/>
  <c r="O329" i="11"/>
  <c r="O276" i="11"/>
  <c r="R276" i="11" s="1"/>
  <c r="O336" i="11"/>
  <c r="T336" i="11" s="1"/>
  <c r="O305" i="11"/>
  <c r="O404" i="11"/>
  <c r="O361" i="11"/>
  <c r="O335" i="11"/>
  <c r="Q335" i="11" s="1"/>
  <c r="O291" i="11"/>
  <c r="O288" i="11"/>
  <c r="O278" i="11"/>
  <c r="O388" i="10"/>
  <c r="R388" i="10" s="1"/>
  <c r="O372" i="11"/>
  <c r="O310" i="11"/>
  <c r="O399" i="11"/>
  <c r="O318" i="11"/>
  <c r="R318" i="11" s="1"/>
  <c r="O389" i="11"/>
  <c r="O355" i="11"/>
  <c r="O415" i="11"/>
  <c r="O383" i="11"/>
  <c r="O364" i="11"/>
  <c r="O377" i="11"/>
  <c r="R377" i="11" s="1"/>
  <c r="O287" i="11"/>
  <c r="O375" i="11"/>
  <c r="O313" i="11"/>
  <c r="P313" i="11" s="1"/>
  <c r="O349" i="11"/>
  <c r="R349" i="11" s="1"/>
  <c r="O387" i="11"/>
  <c r="O280" i="11"/>
  <c r="Q280" i="11" s="1"/>
  <c r="O401" i="11"/>
  <c r="O290" i="11"/>
  <c r="P290" i="11" s="1"/>
  <c r="O274" i="11"/>
  <c r="O392" i="11"/>
  <c r="O359" i="11"/>
  <c r="U359" i="11" s="1"/>
  <c r="O395" i="11"/>
  <c r="O343" i="11"/>
  <c r="O393" i="11"/>
  <c r="P393" i="11" s="1"/>
  <c r="O385" i="11"/>
  <c r="T385" i="11" s="1"/>
  <c r="L403" i="10"/>
  <c r="O350" i="11"/>
  <c r="Q350" i="11" s="1"/>
  <c r="O333" i="11"/>
  <c r="O321" i="11"/>
  <c r="L371" i="10"/>
  <c r="O311" i="11"/>
  <c r="T311" i="11" s="1"/>
  <c r="O398" i="11"/>
  <c r="O398" i="7"/>
  <c r="T398" i="7" s="1"/>
  <c r="O370" i="7"/>
  <c r="U370" i="7" s="1"/>
  <c r="O342" i="7"/>
  <c r="O314" i="7"/>
  <c r="O286" i="7"/>
  <c r="O323" i="11"/>
  <c r="O308" i="11"/>
  <c r="T308" i="11" s="1"/>
  <c r="J159" i="8"/>
  <c r="O411" i="7"/>
  <c r="O383" i="7"/>
  <c r="U383" i="7" s="1"/>
  <c r="O355" i="7"/>
  <c r="U355" i="7" s="1"/>
  <c r="O327" i="7"/>
  <c r="U327" i="7" s="1"/>
  <c r="L317" i="10"/>
  <c r="J172" i="8"/>
  <c r="J157" i="8"/>
  <c r="O409" i="7"/>
  <c r="O381" i="7"/>
  <c r="O353" i="7"/>
  <c r="P353" i="7" s="1"/>
  <c r="O325" i="7"/>
  <c r="O297" i="7"/>
  <c r="J170" i="8"/>
  <c r="L389" i="10"/>
  <c r="J155" i="8"/>
  <c r="J162" i="8"/>
  <c r="O414" i="7"/>
  <c r="O386" i="7"/>
  <c r="U386" i="7" s="1"/>
  <c r="O358" i="7"/>
  <c r="U358" i="7" s="1"/>
  <c r="O330" i="7"/>
  <c r="O302" i="7"/>
  <c r="O274" i="7"/>
  <c r="T274" i="7" s="1"/>
  <c r="O421" i="7"/>
  <c r="O399" i="7"/>
  <c r="Q399" i="7" s="1"/>
  <c r="O362" i="7"/>
  <c r="U362" i="7" s="1"/>
  <c r="O338" i="7"/>
  <c r="O279" i="7"/>
  <c r="O304" i="7"/>
  <c r="T304" i="7" s="1"/>
  <c r="O281" i="7"/>
  <c r="O352" i="11"/>
  <c r="Q352" i="11" s="1"/>
  <c r="J164" i="8"/>
  <c r="O412" i="7"/>
  <c r="R412" i="7" s="1"/>
  <c r="O375" i="7"/>
  <c r="O351" i="7"/>
  <c r="P351" i="7" s="1"/>
  <c r="O371" i="11"/>
  <c r="O294" i="11"/>
  <c r="J169" i="8"/>
  <c r="J149" i="8"/>
  <c r="O388" i="7"/>
  <c r="O364" i="7"/>
  <c r="O306" i="7"/>
  <c r="T306" i="7" s="1"/>
  <c r="O283" i="7"/>
  <c r="O314" i="11"/>
  <c r="J154" i="8"/>
  <c r="O401" i="7"/>
  <c r="R401" i="7" s="1"/>
  <c r="O377" i="7"/>
  <c r="R377" i="7" s="1"/>
  <c r="O340" i="7"/>
  <c r="O308" i="7"/>
  <c r="O285" i="7"/>
  <c r="Q285" i="7" s="1"/>
  <c r="L352" i="10"/>
  <c r="O390" i="7"/>
  <c r="O366" i="7"/>
  <c r="O310" i="7"/>
  <c r="O287" i="7"/>
  <c r="O403" i="7"/>
  <c r="T403" i="7" s="1"/>
  <c r="O379" i="7"/>
  <c r="P379" i="7" s="1"/>
  <c r="J153" i="8"/>
  <c r="O359" i="7"/>
  <c r="S359" i="7" s="1"/>
  <c r="O335" i="7"/>
  <c r="P335" i="7" s="1"/>
  <c r="O322" i="7"/>
  <c r="U322" i="7" s="1"/>
  <c r="O299" i="7"/>
  <c r="O276" i="7"/>
  <c r="R276" i="7" s="1"/>
  <c r="O365" i="7"/>
  <c r="O333" i="7"/>
  <c r="R333" i="7" s="1"/>
  <c r="O397" i="7"/>
  <c r="O336" i="7"/>
  <c r="S336" i="7" s="1"/>
  <c r="O307" i="7"/>
  <c r="O296" i="7"/>
  <c r="O363" i="11"/>
  <c r="O420" i="7"/>
  <c r="T420" i="7" s="1"/>
  <c r="O338" i="11"/>
  <c r="O391" i="7"/>
  <c r="O324" i="7"/>
  <c r="R324" i="7" s="1"/>
  <c r="O313" i="7"/>
  <c r="O288" i="7"/>
  <c r="T288" i="7" s="1"/>
  <c r="O277" i="7"/>
  <c r="R277" i="7" s="1"/>
  <c r="O376" i="7"/>
  <c r="O344" i="7"/>
  <c r="Q344" i="7" s="1"/>
  <c r="J171" i="8"/>
  <c r="O385" i="7"/>
  <c r="O356" i="7"/>
  <c r="J168" i="8"/>
  <c r="J152" i="8"/>
  <c r="O417" i="7"/>
  <c r="S417" i="7" s="1"/>
  <c r="O405" i="7"/>
  <c r="T405" i="7" s="1"/>
  <c r="O350" i="7"/>
  <c r="U350" i="7" s="1"/>
  <c r="O282" i="7"/>
  <c r="U282" i="7" s="1"/>
  <c r="O390" i="11"/>
  <c r="J165" i="8"/>
  <c r="J158" i="8"/>
  <c r="O382" i="7"/>
  <c r="O293" i="7"/>
  <c r="R293" i="7" s="1"/>
  <c r="J151" i="8"/>
  <c r="O387" i="7"/>
  <c r="O407" i="7"/>
  <c r="O352" i="7"/>
  <c r="R352" i="7" s="1"/>
  <c r="O295" i="7"/>
  <c r="P295" i="7" s="1"/>
  <c r="O284" i="7"/>
  <c r="P284" i="7" s="1"/>
  <c r="O278" i="7"/>
  <c r="R278" i="7" s="1"/>
  <c r="O332" i="7"/>
  <c r="Q332" i="7" s="1"/>
  <c r="O371" i="7"/>
  <c r="M420" i="8"/>
  <c r="L420" i="8"/>
  <c r="O339" i="11"/>
  <c r="U339" i="11" s="1"/>
  <c r="K10" i="17"/>
  <c r="K8" i="17"/>
  <c r="K5" i="17"/>
  <c r="K4" i="17"/>
  <c r="K7" i="17"/>
  <c r="K1" i="17"/>
  <c r="K11" i="17"/>
  <c r="K2" i="17"/>
  <c r="K3" i="17"/>
  <c r="K9" i="17"/>
  <c r="J416" i="11"/>
  <c r="J407" i="11"/>
  <c r="J388" i="11"/>
  <c r="J405" i="11"/>
  <c r="J373" i="11"/>
  <c r="J345" i="11"/>
  <c r="J380" i="11"/>
  <c r="J351" i="11"/>
  <c r="J322" i="11"/>
  <c r="J294" i="11"/>
  <c r="J421" i="11"/>
  <c r="J398" i="11"/>
  <c r="J396" i="11"/>
  <c r="J394" i="11"/>
  <c r="J392" i="11"/>
  <c r="J390" i="11"/>
  <c r="J378" i="11"/>
  <c r="J349" i="11"/>
  <c r="J402" i="11"/>
  <c r="J374" i="11"/>
  <c r="J343" i="11"/>
  <c r="J305" i="11"/>
  <c r="J277" i="11"/>
  <c r="J418" i="11"/>
  <c r="J354" i="11"/>
  <c r="J325" i="11"/>
  <c r="J310" i="11"/>
  <c r="J282" i="11"/>
  <c r="J352" i="11"/>
  <c r="J422" i="11"/>
  <c r="J406" i="11"/>
  <c r="J391" i="11"/>
  <c r="J296" i="11"/>
  <c r="J275" i="11"/>
  <c r="J398" i="10"/>
  <c r="J370" i="10"/>
  <c r="J342" i="10"/>
  <c r="J337" i="11"/>
  <c r="J317" i="11"/>
  <c r="J298" i="11"/>
  <c r="J367" i="11"/>
  <c r="J360" i="11"/>
  <c r="J353" i="11"/>
  <c r="J346" i="11"/>
  <c r="J328" i="11"/>
  <c r="J300" i="11"/>
  <c r="J386" i="11"/>
  <c r="J381" i="11"/>
  <c r="J319" i="11"/>
  <c r="J302" i="11"/>
  <c r="J279" i="11"/>
  <c r="J339" i="11"/>
  <c r="J304" i="11"/>
  <c r="J410" i="11"/>
  <c r="J385" i="11"/>
  <c r="J316" i="11"/>
  <c r="J340" i="11"/>
  <c r="J406" i="10"/>
  <c r="J375" i="10"/>
  <c r="J346" i="10"/>
  <c r="J312" i="10"/>
  <c r="J284" i="10"/>
  <c r="J420" i="11"/>
  <c r="J417" i="11"/>
  <c r="J403" i="11"/>
  <c r="J400" i="11"/>
  <c r="J309" i="11"/>
  <c r="J306" i="11"/>
  <c r="J369" i="11"/>
  <c r="J334" i="11"/>
  <c r="J366" i="11"/>
  <c r="J348" i="11"/>
  <c r="J331" i="11"/>
  <c r="J314" i="11"/>
  <c r="J274" i="11"/>
  <c r="J413" i="11"/>
  <c r="J375" i="11"/>
  <c r="J357" i="11"/>
  <c r="J383" i="11"/>
  <c r="J371" i="11"/>
  <c r="J362" i="11"/>
  <c r="J350" i="11"/>
  <c r="J333" i="11"/>
  <c r="J292" i="11"/>
  <c r="J409" i="10"/>
  <c r="J380" i="10"/>
  <c r="J349" i="10"/>
  <c r="J329" i="11"/>
  <c r="J276" i="11"/>
  <c r="J273" i="11"/>
  <c r="J418" i="10"/>
  <c r="J393" i="10"/>
  <c r="J345" i="10"/>
  <c r="J321" i="10"/>
  <c r="J292" i="10"/>
  <c r="J370" i="11"/>
  <c r="J347" i="11"/>
  <c r="J336" i="11"/>
  <c r="J395" i="10"/>
  <c r="J347" i="10"/>
  <c r="J319" i="10"/>
  <c r="J290" i="10"/>
  <c r="J414" i="11"/>
  <c r="J397" i="11"/>
  <c r="J389" i="11"/>
  <c r="J308" i="11"/>
  <c r="J420" i="10"/>
  <c r="J397" i="10"/>
  <c r="J372" i="10"/>
  <c r="J412" i="11"/>
  <c r="J372" i="11"/>
  <c r="J342" i="11"/>
  <c r="J324" i="11"/>
  <c r="J281" i="11"/>
  <c r="J413" i="10"/>
  <c r="J390" i="10"/>
  <c r="J365" i="10"/>
  <c r="J326" i="10"/>
  <c r="J295" i="10"/>
  <c r="J368" i="11"/>
  <c r="J327" i="11"/>
  <c r="J415" i="10"/>
  <c r="J392" i="10"/>
  <c r="J367" i="10"/>
  <c r="J324" i="10"/>
  <c r="J293" i="10"/>
  <c r="J399" i="11"/>
  <c r="J395" i="11"/>
  <c r="J387" i="11"/>
  <c r="J307" i="11"/>
  <c r="J297" i="11"/>
  <c r="J289" i="11"/>
  <c r="J410" i="10"/>
  <c r="J382" i="10"/>
  <c r="J339" i="10"/>
  <c r="J316" i="10"/>
  <c r="J307" i="10"/>
  <c r="J298" i="10"/>
  <c r="J355" i="11"/>
  <c r="J285" i="11"/>
  <c r="J354" i="10"/>
  <c r="J325" i="10"/>
  <c r="J291" i="10"/>
  <c r="J282" i="10"/>
  <c r="J384" i="11"/>
  <c r="J293" i="11"/>
  <c r="J387" i="10"/>
  <c r="J369" i="10"/>
  <c r="J359" i="10"/>
  <c r="J334" i="10"/>
  <c r="J415" i="11"/>
  <c r="J379" i="11"/>
  <c r="J364" i="11"/>
  <c r="J407" i="10"/>
  <c r="J402" i="10"/>
  <c r="J374" i="10"/>
  <c r="J364" i="10"/>
  <c r="J318" i="10"/>
  <c r="J309" i="10"/>
  <c r="J300" i="10"/>
  <c r="J273" i="10"/>
  <c r="J359" i="11"/>
  <c r="J301" i="11"/>
  <c r="J377" i="11"/>
  <c r="J358" i="11"/>
  <c r="J287" i="11"/>
  <c r="J414" i="10"/>
  <c r="J396" i="10"/>
  <c r="J386" i="10"/>
  <c r="J315" i="10"/>
  <c r="J306" i="10"/>
  <c r="J297" i="10"/>
  <c r="J312" i="11"/>
  <c r="J295" i="11"/>
  <c r="J401" i="10"/>
  <c r="J358" i="10"/>
  <c r="J330" i="11"/>
  <c r="J286" i="11"/>
  <c r="J411" i="10"/>
  <c r="J340" i="10"/>
  <c r="J337" i="10"/>
  <c r="J408" i="11"/>
  <c r="J357" i="10"/>
  <c r="J350" i="10"/>
  <c r="J280" i="11"/>
  <c r="J421" i="10"/>
  <c r="J404" i="10"/>
  <c r="J401" i="11"/>
  <c r="J360" i="10"/>
  <c r="J318" i="11"/>
  <c r="J290" i="11"/>
  <c r="J393" i="11"/>
  <c r="J417" i="10"/>
  <c r="J373" i="10"/>
  <c r="J363" i="10"/>
  <c r="J303" i="11"/>
  <c r="J403" i="10"/>
  <c r="J366" i="10"/>
  <c r="J329" i="10"/>
  <c r="J274" i="10"/>
  <c r="J391" i="10"/>
  <c r="J303" i="10"/>
  <c r="J277" i="10"/>
  <c r="J341" i="11"/>
  <c r="J326" i="11"/>
  <c r="J288" i="11"/>
  <c r="J378" i="10"/>
  <c r="J376" i="11"/>
  <c r="J332" i="10"/>
  <c r="J322" i="10"/>
  <c r="J419" i="10"/>
  <c r="J353" i="10"/>
  <c r="J335" i="10"/>
  <c r="J283" i="10"/>
  <c r="J280" i="10"/>
  <c r="J365" i="11"/>
  <c r="J356" i="10"/>
  <c r="J341" i="10"/>
  <c r="J331" i="10"/>
  <c r="J308" i="10"/>
  <c r="J376" i="10"/>
  <c r="J299" i="10"/>
  <c r="J332" i="11"/>
  <c r="J371" i="10"/>
  <c r="J328" i="10"/>
  <c r="J287" i="10"/>
  <c r="J344" i="11"/>
  <c r="J311" i="11"/>
  <c r="J355" i="10"/>
  <c r="J311" i="10"/>
  <c r="J408" i="10"/>
  <c r="J381" i="10"/>
  <c r="J336" i="10"/>
  <c r="J291" i="11"/>
  <c r="J286" i="10"/>
  <c r="J411" i="11"/>
  <c r="J320" i="11"/>
  <c r="J323" i="11"/>
  <c r="K159" i="8"/>
  <c r="J411" i="7"/>
  <c r="J383" i="7"/>
  <c r="J355" i="7"/>
  <c r="J327" i="7"/>
  <c r="J299" i="7"/>
  <c r="J377" i="10"/>
  <c r="J333" i="10"/>
  <c r="J327" i="10"/>
  <c r="J317" i="10"/>
  <c r="K172" i="8"/>
  <c r="J396" i="7"/>
  <c r="J368" i="7"/>
  <c r="J340" i="7"/>
  <c r="J344" i="10"/>
  <c r="J285" i="10"/>
  <c r="J275" i="10"/>
  <c r="K157" i="8"/>
  <c r="J383" i="10"/>
  <c r="J338" i="10"/>
  <c r="J296" i="10"/>
  <c r="K170" i="8"/>
  <c r="J422" i="7"/>
  <c r="J394" i="7"/>
  <c r="J366" i="7"/>
  <c r="J338" i="7"/>
  <c r="J310" i="7"/>
  <c r="J282" i="7"/>
  <c r="J382" i="11"/>
  <c r="J283" i="11"/>
  <c r="J422" i="10"/>
  <c r="J389" i="10"/>
  <c r="J301" i="10"/>
  <c r="K155" i="8"/>
  <c r="J321" i="11"/>
  <c r="J416" i="10"/>
  <c r="K168" i="8"/>
  <c r="J420" i="7"/>
  <c r="J278" i="11"/>
  <c r="J388" i="10"/>
  <c r="J361" i="10"/>
  <c r="J294" i="10"/>
  <c r="J278" i="10"/>
  <c r="J399" i="7"/>
  <c r="J371" i="7"/>
  <c r="J343" i="7"/>
  <c r="K343" i="7" s="1"/>
  <c r="J315" i="7"/>
  <c r="L315" i="7" s="1"/>
  <c r="J287" i="7"/>
  <c r="K164" i="8"/>
  <c r="J412" i="7"/>
  <c r="J375" i="7"/>
  <c r="J351" i="7"/>
  <c r="J304" i="7"/>
  <c r="J281" i="7"/>
  <c r="J323" i="10"/>
  <c r="K169" i="8"/>
  <c r="K149" i="8"/>
  <c r="J388" i="7"/>
  <c r="J364" i="7"/>
  <c r="J306" i="7"/>
  <c r="J283" i="7"/>
  <c r="K154" i="8"/>
  <c r="J401" i="7"/>
  <c r="J377" i="7"/>
  <c r="J308" i="7"/>
  <c r="J285" i="7"/>
  <c r="J352" i="10"/>
  <c r="J414" i="7"/>
  <c r="J390" i="7"/>
  <c r="J353" i="7"/>
  <c r="J405" i="10"/>
  <c r="J343" i="10"/>
  <c r="J403" i="7"/>
  <c r="J379" i="7"/>
  <c r="J368" i="10"/>
  <c r="J279" i="10"/>
  <c r="K166" i="8"/>
  <c r="J416" i="7"/>
  <c r="J392" i="7"/>
  <c r="J329" i="7"/>
  <c r="J312" i="7"/>
  <c r="J289" i="7"/>
  <c r="K158" i="8"/>
  <c r="J372" i="7"/>
  <c r="J348" i="7"/>
  <c r="J324" i="7"/>
  <c r="J278" i="7"/>
  <c r="J348" i="10"/>
  <c r="J313" i="10"/>
  <c r="J305" i="10"/>
  <c r="J363" i="11"/>
  <c r="J313" i="11"/>
  <c r="J397" i="7"/>
  <c r="J336" i="7"/>
  <c r="J274" i="7"/>
  <c r="J391" i="7"/>
  <c r="J359" i="7"/>
  <c r="J330" i="7"/>
  <c r="J313" i="7"/>
  <c r="J288" i="7"/>
  <c r="J284" i="11"/>
  <c r="K151" i="8"/>
  <c r="J347" i="7"/>
  <c r="J341" i="7"/>
  <c r="J338" i="11"/>
  <c r="J394" i="10"/>
  <c r="K162" i="8"/>
  <c r="J277" i="7"/>
  <c r="J408" i="7"/>
  <c r="L408" i="7" s="1"/>
  <c r="J318" i="7"/>
  <c r="J276" i="10"/>
  <c r="J385" i="7"/>
  <c r="J362" i="7"/>
  <c r="J356" i="7"/>
  <c r="J302" i="7"/>
  <c r="K171" i="8"/>
  <c r="J321" i="7"/>
  <c r="K148" i="8"/>
  <c r="J361" i="11"/>
  <c r="K152" i="8"/>
  <c r="J417" i="7"/>
  <c r="J405" i="7"/>
  <c r="J350" i="7"/>
  <c r="J314" i="10"/>
  <c r="K165" i="8"/>
  <c r="J382" i="7"/>
  <c r="J293" i="7"/>
  <c r="J304" i="10"/>
  <c r="J335" i="11"/>
  <c r="J376" i="7"/>
  <c r="J344" i="7"/>
  <c r="J307" i="7"/>
  <c r="J296" i="7"/>
  <c r="J302" i="10"/>
  <c r="J407" i="7"/>
  <c r="J358" i="7"/>
  <c r="J352" i="7"/>
  <c r="J295" i="7"/>
  <c r="J284" i="7"/>
  <c r="J409" i="11"/>
  <c r="J419" i="7"/>
  <c r="J413" i="7"/>
  <c r="J384" i="7"/>
  <c r="J309" i="7"/>
  <c r="J298" i="7"/>
  <c r="L298" i="7" s="1"/>
  <c r="J273" i="7"/>
  <c r="L273" i="7" s="1"/>
  <c r="J356" i="11"/>
  <c r="J299" i="11"/>
  <c r="O303" i="7"/>
  <c r="J332" i="7"/>
  <c r="O396" i="7"/>
  <c r="O422" i="7"/>
  <c r="R422" i="7" s="1"/>
  <c r="J167" i="8"/>
  <c r="J351" i="10"/>
  <c r="M4" i="4"/>
  <c r="O291" i="7"/>
  <c r="U291" i="7" s="1"/>
  <c r="J303" i="7"/>
  <c r="O328" i="7"/>
  <c r="U328" i="7" s="1"/>
  <c r="K167" i="8"/>
  <c r="L205" i="8"/>
  <c r="L387" i="8"/>
  <c r="J412" i="10"/>
  <c r="N4" i="4"/>
  <c r="O275" i="7"/>
  <c r="J291" i="7"/>
  <c r="O316" i="7"/>
  <c r="S316" i="7" s="1"/>
  <c r="J328" i="7"/>
  <c r="O354" i="7"/>
  <c r="Q354" i="7" s="1"/>
  <c r="O392" i="7"/>
  <c r="T392" i="7" s="1"/>
  <c r="M207" i="8"/>
  <c r="L219" i="8"/>
  <c r="L389" i="8"/>
  <c r="L410" i="8"/>
  <c r="L412" i="8"/>
  <c r="M412" i="8"/>
  <c r="O299" i="11"/>
  <c r="T299" i="11" s="1"/>
  <c r="J275" i="7"/>
  <c r="J316" i="7"/>
  <c r="J354" i="7"/>
  <c r="O380" i="7"/>
  <c r="O418" i="7"/>
  <c r="L244" i="8"/>
  <c r="L418" i="8"/>
  <c r="J288" i="10"/>
  <c r="K337" i="7"/>
  <c r="J320" i="10"/>
  <c r="J342" i="7"/>
  <c r="O419" i="7"/>
  <c r="L354" i="8"/>
  <c r="O280" i="7"/>
  <c r="P280" i="7" s="1"/>
  <c r="O317" i="7"/>
  <c r="O368" i="7"/>
  <c r="P368" i="7" s="1"/>
  <c r="O372" i="7"/>
  <c r="Q372" i="7" s="1"/>
  <c r="O402" i="7"/>
  <c r="M175" i="8"/>
  <c r="M253" i="8"/>
  <c r="M280" i="8"/>
  <c r="L280" i="8"/>
  <c r="M392" i="8"/>
  <c r="L392" i="8"/>
  <c r="J379" i="10"/>
  <c r="O357" i="11"/>
  <c r="J163" i="8"/>
  <c r="M290" i="8"/>
  <c r="L290" i="8"/>
  <c r="K410" i="7"/>
  <c r="J346" i="7"/>
  <c r="J280" i="7"/>
  <c r="O305" i="7"/>
  <c r="T305" i="7" s="1"/>
  <c r="J317" i="7"/>
  <c r="O321" i="7"/>
  <c r="O334" i="7"/>
  <c r="U334" i="7" s="1"/>
  <c r="J402" i="7"/>
  <c r="J148" i="8"/>
  <c r="K153" i="8"/>
  <c r="M278" i="8"/>
  <c r="L278" i="8"/>
  <c r="M321" i="8"/>
  <c r="L321" i="8"/>
  <c r="L352" i="8"/>
  <c r="O393" i="7"/>
  <c r="R393" i="7" s="1"/>
  <c r="L337" i="7"/>
  <c r="J305" i="7"/>
  <c r="J334" i="7"/>
  <c r="O360" i="7"/>
  <c r="Q360" i="7" s="1"/>
  <c r="O394" i="7"/>
  <c r="J398" i="7"/>
  <c r="L276" i="8"/>
  <c r="M276" i="8"/>
  <c r="M350" i="8"/>
  <c r="L350" i="8"/>
  <c r="L367" i="7"/>
  <c r="M367" i="7" s="1"/>
  <c r="O363" i="7"/>
  <c r="P363" i="7" s="1"/>
  <c r="O312" i="7"/>
  <c r="U312" i="7" s="1"/>
  <c r="J363" i="7"/>
  <c r="O389" i="7"/>
  <c r="P389" i="7" s="1"/>
  <c r="K163" i="8"/>
  <c r="M257" i="8"/>
  <c r="L257" i="8"/>
  <c r="J315" i="11"/>
  <c r="O346" i="7"/>
  <c r="R346" i="7" s="1"/>
  <c r="M255" i="8"/>
  <c r="L255" i="8"/>
  <c r="M286" i="8"/>
  <c r="L286" i="8"/>
  <c r="J360" i="7"/>
  <c r="L317" i="8"/>
  <c r="L319" i="8"/>
  <c r="M390" i="8"/>
  <c r="L390" i="8"/>
  <c r="J362" i="10"/>
  <c r="J400" i="10"/>
  <c r="J325" i="7"/>
  <c r="J289" i="10"/>
  <c r="O415" i="7"/>
  <c r="J399" i="10"/>
  <c r="J276" i="7"/>
  <c r="O309" i="7"/>
  <c r="T309" i="7" s="1"/>
  <c r="O347" i="7"/>
  <c r="J381" i="7"/>
  <c r="J386" i="7"/>
  <c r="M251" i="8"/>
  <c r="L251" i="8"/>
  <c r="J384" i="10"/>
  <c r="L320" i="7"/>
  <c r="K320" i="7"/>
  <c r="L300" i="7"/>
  <c r="J393" i="7"/>
  <c r="M177" i="8"/>
  <c r="L177" i="8"/>
  <c r="M288" i="8"/>
  <c r="L288" i="8"/>
  <c r="O292" i="7"/>
  <c r="J389" i="7"/>
  <c r="J292" i="7"/>
  <c r="O329" i="7"/>
  <c r="T329" i="7" s="1"/>
  <c r="J415" i="7"/>
  <c r="L356" i="8"/>
  <c r="M356" i="8"/>
  <c r="J297" i="7"/>
  <c r="O301" i="7"/>
  <c r="O339" i="7"/>
  <c r="S339" i="7" s="1"/>
  <c r="O373" i="7"/>
  <c r="Q373" i="7" s="1"/>
  <c r="L216" i="8"/>
  <c r="M216" i="8"/>
  <c r="M262" i="8"/>
  <c r="L346" i="8"/>
  <c r="L384" i="8"/>
  <c r="M386" i="8"/>
  <c r="L386" i="8"/>
  <c r="D13" i="5"/>
  <c r="M179" i="8"/>
  <c r="L179" i="8"/>
  <c r="M237" i="8"/>
  <c r="L237" i="8"/>
  <c r="M308" i="8"/>
  <c r="L308" i="8"/>
  <c r="M336" i="8"/>
  <c r="L336" i="8"/>
  <c r="M358" i="8"/>
  <c r="L358" i="8"/>
  <c r="M209" i="8"/>
  <c r="L209" i="8"/>
  <c r="M249" i="8"/>
  <c r="L249" i="8"/>
  <c r="M268" i="8"/>
  <c r="M334" i="8"/>
  <c r="D16" i="5"/>
  <c r="L371" i="8"/>
  <c r="L373" i="8"/>
  <c r="M397" i="8"/>
  <c r="M399" i="8"/>
  <c r="L399" i="8"/>
  <c r="M252" i="8"/>
  <c r="L252" i="8"/>
  <c r="D17" i="5"/>
  <c r="D7" i="5"/>
  <c r="M196" i="8"/>
  <c r="L196" i="8"/>
  <c r="L202" i="8"/>
  <c r="L363" i="8"/>
  <c r="L367" i="8"/>
  <c r="L369" i="8"/>
  <c r="M375" i="8"/>
  <c r="L393" i="8"/>
  <c r="L397" i="8"/>
  <c r="L415" i="8"/>
  <c r="L421" i="8"/>
  <c r="M194" i="8"/>
  <c r="L194" i="8"/>
  <c r="L395" i="8"/>
  <c r="L417" i="8"/>
  <c r="L419" i="8"/>
  <c r="D6" i="5"/>
  <c r="L188" i="8"/>
  <c r="M250" i="8"/>
  <c r="L303" i="8"/>
  <c r="M349" i="8"/>
  <c r="L349" i="8"/>
  <c r="M173" i="8"/>
  <c r="M377" i="8"/>
  <c r="L377" i="8"/>
  <c r="M181" i="8"/>
  <c r="L181" i="8"/>
  <c r="M364" i="8"/>
  <c r="L364" i="8"/>
  <c r="M224" i="8"/>
  <c r="L224" i="8"/>
  <c r="L329" i="8"/>
  <c r="L360" i="8"/>
  <c r="L370" i="8"/>
  <c r="L401" i="8"/>
  <c r="L189" i="8"/>
  <c r="L220" i="8"/>
  <c r="L230" i="8"/>
  <c r="L261" i="8"/>
  <c r="L292" i="8"/>
  <c r="L294" i="8"/>
  <c r="L296" i="8"/>
  <c r="L298" i="8"/>
  <c r="L300" i="8"/>
  <c r="M341" i="8"/>
  <c r="L362" i="8"/>
  <c r="L222" i="8"/>
  <c r="L331" i="8"/>
  <c r="L337" i="8"/>
  <c r="L372" i="8"/>
  <c r="L403" i="8"/>
  <c r="M405" i="8"/>
  <c r="L405" i="8"/>
  <c r="M265" i="8"/>
  <c r="L265" i="8"/>
  <c r="M300" i="8"/>
  <c r="L341" i="8"/>
  <c r="L422" i="8"/>
  <c r="B53" i="15"/>
  <c r="B12" i="16"/>
  <c r="B438" i="13"/>
  <c r="B54" i="15"/>
  <c r="B13" i="16"/>
  <c r="B433" i="14"/>
  <c r="U27" i="14" l="1"/>
  <c r="V27" i="14"/>
  <c r="W27" i="14" s="1"/>
  <c r="K115" i="14"/>
  <c r="O115" i="14"/>
  <c r="P115" i="14"/>
  <c r="N115" i="14"/>
  <c r="L115" i="14"/>
  <c r="M115" i="14"/>
  <c r="O125" i="14"/>
  <c r="L125" i="14"/>
  <c r="M125" i="14"/>
  <c r="N125" i="14"/>
  <c r="P125" i="14"/>
  <c r="K125" i="14"/>
  <c r="Q125" i="14" s="1"/>
  <c r="M93" i="14"/>
  <c r="O93" i="14"/>
  <c r="P93" i="14"/>
  <c r="K93" i="14"/>
  <c r="L93" i="14"/>
  <c r="N45" i="14"/>
  <c r="M45" i="14"/>
  <c r="P45" i="14"/>
  <c r="O45" i="14"/>
  <c r="K45" i="14"/>
  <c r="R45" i="14" s="1"/>
  <c r="L45" i="14"/>
  <c r="K19" i="14"/>
  <c r="N19" i="14"/>
  <c r="L19" i="14"/>
  <c r="M19" i="14"/>
  <c r="P19" i="14"/>
  <c r="O19" i="14"/>
  <c r="O87" i="14"/>
  <c r="K174" i="14"/>
  <c r="K155" i="14"/>
  <c r="M103" i="14"/>
  <c r="R315" i="14"/>
  <c r="T93" i="14"/>
  <c r="U93" i="14" s="1"/>
  <c r="M387" i="14"/>
  <c r="U317" i="14"/>
  <c r="O47" i="14"/>
  <c r="L103" i="14"/>
  <c r="V103" i="14" s="1"/>
  <c r="W103" i="14" s="1"/>
  <c r="N380" i="14"/>
  <c r="Q380" i="14" s="1"/>
  <c r="L345" i="14"/>
  <c r="Q345" i="14" s="1"/>
  <c r="Q262" i="14"/>
  <c r="P272" i="14"/>
  <c r="V272" i="14" s="1"/>
  <c r="W272" i="14" s="1"/>
  <c r="P123" i="14"/>
  <c r="L89" i="14"/>
  <c r="V89" i="14" s="1"/>
  <c r="W89" i="14" s="1"/>
  <c r="N272" i="14"/>
  <c r="R272" i="14" s="1"/>
  <c r="O83" i="14"/>
  <c r="M47" i="14"/>
  <c r="Q47" i="14" s="1"/>
  <c r="U154" i="14"/>
  <c r="K52" i="14"/>
  <c r="V52" i="14" s="1"/>
  <c r="W52" i="14" s="1"/>
  <c r="N120" i="14"/>
  <c r="R312" i="14"/>
  <c r="K173" i="14"/>
  <c r="P102" i="14"/>
  <c r="L387" i="14"/>
  <c r="M249" i="14"/>
  <c r="O89" i="14"/>
  <c r="L272" i="14"/>
  <c r="N83" i="14"/>
  <c r="L47" i="14"/>
  <c r="O120" i="14"/>
  <c r="K374" i="14"/>
  <c r="V374" i="14" s="1"/>
  <c r="W374" i="14" s="1"/>
  <c r="J56" i="14"/>
  <c r="N89" i="14"/>
  <c r="M272" i="14"/>
  <c r="M83" i="14"/>
  <c r="Q83" i="14" s="1"/>
  <c r="V183" i="14"/>
  <c r="W183" i="14" s="1"/>
  <c r="Q402" i="14"/>
  <c r="Q241" i="14"/>
  <c r="N219" i="14"/>
  <c r="R219" i="14" s="1"/>
  <c r="M120" i="14"/>
  <c r="V120" i="14" s="1"/>
  <c r="W120" i="14" s="1"/>
  <c r="V235" i="14"/>
  <c r="W235" i="14" s="1"/>
  <c r="P20" i="14"/>
  <c r="M87" i="14"/>
  <c r="V87" i="14" s="1"/>
  <c r="W87" i="14" s="1"/>
  <c r="L37" i="14"/>
  <c r="M12" i="14"/>
  <c r="M345" i="14"/>
  <c r="L126" i="14"/>
  <c r="K272" i="14"/>
  <c r="P83" i="14"/>
  <c r="N39" i="14"/>
  <c r="L400" i="14"/>
  <c r="P219" i="14"/>
  <c r="N77" i="14"/>
  <c r="V403" i="14"/>
  <c r="W403" i="14" s="1"/>
  <c r="L337" i="14"/>
  <c r="L120" i="14"/>
  <c r="U292" i="14"/>
  <c r="V11" i="14"/>
  <c r="W11" i="14" s="1"/>
  <c r="L12" i="14"/>
  <c r="K126" i="14"/>
  <c r="J114" i="14"/>
  <c r="O399" i="14"/>
  <c r="V399" i="14" s="1"/>
  <c r="W399" i="14" s="1"/>
  <c r="P39" i="14"/>
  <c r="K400" i="14"/>
  <c r="O219" i="14"/>
  <c r="O421" i="14"/>
  <c r="R421" i="14" s="1"/>
  <c r="L77" i="14"/>
  <c r="V77" i="14" s="1"/>
  <c r="W77" i="14" s="1"/>
  <c r="M340" i="14"/>
  <c r="V340" i="14" s="1"/>
  <c r="W340" i="14" s="1"/>
  <c r="P108" i="14"/>
  <c r="P120" i="14"/>
  <c r="N275" i="14"/>
  <c r="V275" i="14" s="1"/>
  <c r="W275" i="14" s="1"/>
  <c r="M261" i="14"/>
  <c r="Q15" i="14"/>
  <c r="O298" i="14"/>
  <c r="R298" i="14" s="1"/>
  <c r="L423" i="14"/>
  <c r="P121" i="14"/>
  <c r="P163" i="14"/>
  <c r="O333" i="14"/>
  <c r="K282" i="14"/>
  <c r="M282" i="14"/>
  <c r="K12" i="14"/>
  <c r="L155" i="14"/>
  <c r="L424" i="14"/>
  <c r="M424" i="14"/>
  <c r="L113" i="14"/>
  <c r="R113" i="14" s="1"/>
  <c r="K275" i="14"/>
  <c r="P275" i="14"/>
  <c r="O258" i="14"/>
  <c r="K208" i="14"/>
  <c r="R208" i="14" s="1"/>
  <c r="P113" i="14"/>
  <c r="O345" i="14"/>
  <c r="O113" i="14"/>
  <c r="Q113" i="14" s="1"/>
  <c r="O176" i="14"/>
  <c r="R138" i="14"/>
  <c r="Q73" i="14"/>
  <c r="V382" i="14"/>
  <c r="W382" i="14" s="1"/>
  <c r="L87" i="14"/>
  <c r="Q87" i="14" s="1"/>
  <c r="N208" i="14"/>
  <c r="V29" i="14"/>
  <c r="W29" i="14" s="1"/>
  <c r="O77" i="14"/>
  <c r="J60" i="14"/>
  <c r="M77" i="14"/>
  <c r="M108" i="14"/>
  <c r="Q150" i="14"/>
  <c r="M72" i="14"/>
  <c r="V72" i="14" s="1"/>
  <c r="W72" i="14" s="1"/>
  <c r="N399" i="14"/>
  <c r="P112" i="14"/>
  <c r="N72" i="14"/>
  <c r="R72" i="14" s="1"/>
  <c r="O238" i="14"/>
  <c r="N55" i="14"/>
  <c r="P249" i="14"/>
  <c r="M399" i="14"/>
  <c r="N112" i="14"/>
  <c r="V19" i="14"/>
  <c r="W19" i="14" s="1"/>
  <c r="K58" i="14"/>
  <c r="V58" i="14" s="1"/>
  <c r="W58" i="14" s="1"/>
  <c r="P77" i="14"/>
  <c r="N340" i="14"/>
  <c r="K108" i="14"/>
  <c r="V108" i="14" s="1"/>
  <c r="W108" i="14" s="1"/>
  <c r="V182" i="14"/>
  <c r="W182" i="14" s="1"/>
  <c r="O276" i="14"/>
  <c r="L330" i="14"/>
  <c r="Q330" i="14" s="1"/>
  <c r="T126" i="14"/>
  <c r="U126" i="14" s="1"/>
  <c r="N12" i="14"/>
  <c r="N87" i="14"/>
  <c r="L174" i="14"/>
  <c r="P208" i="14"/>
  <c r="K113" i="14"/>
  <c r="K419" i="14"/>
  <c r="V419" i="14" s="1"/>
  <c r="W419" i="14" s="1"/>
  <c r="Q50" i="14"/>
  <c r="M39" i="14"/>
  <c r="V39" i="14" s="1"/>
  <c r="W39" i="14" s="1"/>
  <c r="L340" i="14"/>
  <c r="R340" i="14" s="1"/>
  <c r="P72" i="14"/>
  <c r="K55" i="14"/>
  <c r="K399" i="14"/>
  <c r="P340" i="14"/>
  <c r="V127" i="14"/>
  <c r="W127" i="14" s="1"/>
  <c r="V257" i="14"/>
  <c r="W257" i="14" s="1"/>
  <c r="T125" i="14"/>
  <c r="U125" i="14" s="1"/>
  <c r="P132" i="14"/>
  <c r="P12" i="14"/>
  <c r="O72" i="14"/>
  <c r="Q72" i="14" s="1"/>
  <c r="O55" i="14"/>
  <c r="V55" i="14" s="1"/>
  <c r="W55" i="14" s="1"/>
  <c r="O70" i="14"/>
  <c r="M58" i="14"/>
  <c r="L108" i="14"/>
  <c r="R160" i="14"/>
  <c r="R175" i="14"/>
  <c r="T28" i="14"/>
  <c r="J24" i="14"/>
  <c r="P55" i="14"/>
  <c r="Q55" i="14" s="1"/>
  <c r="O249" i="14"/>
  <c r="L399" i="14"/>
  <c r="O106" i="14"/>
  <c r="L58" i="14"/>
  <c r="R58" i="14" s="1"/>
  <c r="M105" i="14"/>
  <c r="V170" i="14"/>
  <c r="W170" i="14" s="1"/>
  <c r="N230" i="14"/>
  <c r="O346" i="14"/>
  <c r="R346" i="14" s="1"/>
  <c r="P333" i="14"/>
  <c r="Q171" i="14"/>
  <c r="O337" i="14"/>
  <c r="P37" i="14"/>
  <c r="N113" i="14"/>
  <c r="N345" i="14"/>
  <c r="O102" i="14"/>
  <c r="K110" i="14"/>
  <c r="V283" i="14"/>
  <c r="W283" i="14" s="1"/>
  <c r="K219" i="14"/>
  <c r="P58" i="14"/>
  <c r="K181" i="14"/>
  <c r="N249" i="14"/>
  <c r="L412" i="14"/>
  <c r="P95" i="14"/>
  <c r="N106" i="14"/>
  <c r="O58" i="14"/>
  <c r="V96" i="14"/>
  <c r="W96" i="14" s="1"/>
  <c r="L105" i="14"/>
  <c r="M16" i="14"/>
  <c r="R16" i="14" s="1"/>
  <c r="R171" i="14"/>
  <c r="K121" i="14"/>
  <c r="P50" i="14"/>
  <c r="R50" i="14" s="1"/>
  <c r="S50" i="14" s="1"/>
  <c r="X50" i="14" s="1"/>
  <c r="O255" i="14"/>
  <c r="K350" i="14"/>
  <c r="P345" i="14"/>
  <c r="O59" i="14"/>
  <c r="L102" i="14"/>
  <c r="Q102" i="14" s="1"/>
  <c r="S102" i="14" s="1"/>
  <c r="X102" i="14" s="1"/>
  <c r="P155" i="14"/>
  <c r="K140" i="14"/>
  <c r="O412" i="14"/>
  <c r="K352" i="14"/>
  <c r="L106" i="14"/>
  <c r="P106" i="14"/>
  <c r="P129" i="14"/>
  <c r="P334" i="14"/>
  <c r="U287" i="14"/>
  <c r="O105" i="14"/>
  <c r="R207" i="14"/>
  <c r="N286" i="14"/>
  <c r="N419" i="14"/>
  <c r="M26" i="14"/>
  <c r="Q13" i="14"/>
  <c r="M41" i="14"/>
  <c r="V41" i="14" s="1"/>
  <c r="W41" i="14" s="1"/>
  <c r="M248" i="14"/>
  <c r="N18" i="14"/>
  <c r="N400" i="14"/>
  <c r="R400" i="14" s="1"/>
  <c r="M106" i="14"/>
  <c r="R106" i="14" s="1"/>
  <c r="L350" i="14"/>
  <c r="V350" i="14" s="1"/>
  <c r="W350" i="14" s="1"/>
  <c r="N59" i="14"/>
  <c r="N102" i="14"/>
  <c r="O155" i="14"/>
  <c r="L140" i="14"/>
  <c r="L121" i="14"/>
  <c r="P352" i="14"/>
  <c r="N176" i="14"/>
  <c r="Q176" i="14" s="1"/>
  <c r="O138" i="14"/>
  <c r="Q138" i="14" s="1"/>
  <c r="S138" i="14" s="1"/>
  <c r="X138" i="14" s="1"/>
  <c r="V158" i="14"/>
  <c r="W158" i="14" s="1"/>
  <c r="O129" i="14"/>
  <c r="O334" i="14"/>
  <c r="N105" i="14"/>
  <c r="O286" i="14"/>
  <c r="M419" i="14"/>
  <c r="N25" i="14"/>
  <c r="L26" i="14"/>
  <c r="R26" i="14" s="1"/>
  <c r="K41" i="14"/>
  <c r="K248" i="14"/>
  <c r="V248" i="14" s="1"/>
  <c r="W248" i="14" s="1"/>
  <c r="P148" i="14"/>
  <c r="M148" i="14"/>
  <c r="Q148" i="14" s="1"/>
  <c r="S148" i="14" s="1"/>
  <c r="X148" i="14" s="1"/>
  <c r="M37" i="14"/>
  <c r="M428" i="14"/>
  <c r="V428" i="14" s="1"/>
  <c r="W428" i="14" s="1"/>
  <c r="R148" i="14"/>
  <c r="O208" i="14"/>
  <c r="V308" i="14"/>
  <c r="W308" i="14" s="1"/>
  <c r="U308" i="14"/>
  <c r="K249" i="14"/>
  <c r="R249" i="14" s="1"/>
  <c r="M164" i="14"/>
  <c r="N155" i="14"/>
  <c r="O121" i="14"/>
  <c r="N352" i="14"/>
  <c r="V352" i="14" s="1"/>
  <c r="W352" i="14" s="1"/>
  <c r="L176" i="14"/>
  <c r="M129" i="14"/>
  <c r="R129" i="14" s="1"/>
  <c r="O169" i="14"/>
  <c r="Q169" i="14" s="1"/>
  <c r="O295" i="14"/>
  <c r="N334" i="14"/>
  <c r="P82" i="14"/>
  <c r="O230" i="14"/>
  <c r="Q228" i="14"/>
  <c r="V391" i="14"/>
  <c r="W391" i="14" s="1"/>
  <c r="T25" i="14"/>
  <c r="U25" i="14" s="1"/>
  <c r="Q151" i="14"/>
  <c r="Q180" i="14"/>
  <c r="N20" i="14"/>
  <c r="M230" i="14"/>
  <c r="L280" i="14"/>
  <c r="R280" i="14" s="1"/>
  <c r="V163" i="14"/>
  <c r="W163" i="14" s="1"/>
  <c r="N123" i="14"/>
  <c r="Q134" i="14"/>
  <c r="O37" i="14"/>
  <c r="K105" i="14"/>
  <c r="Q105" i="14" s="1"/>
  <c r="O103" i="14"/>
  <c r="P103" i="14"/>
  <c r="N37" i="14"/>
  <c r="R37" i="14" s="1"/>
  <c r="O275" i="14"/>
  <c r="V150" i="14"/>
  <c r="W150" i="14" s="1"/>
  <c r="P419" i="14"/>
  <c r="Q419" i="14" s="1"/>
  <c r="R97" i="14"/>
  <c r="N69" i="14"/>
  <c r="M25" i="14"/>
  <c r="Q25" i="14" s="1"/>
  <c r="P227" i="14"/>
  <c r="P371" i="14"/>
  <c r="R371" i="14" s="1"/>
  <c r="M176" i="14"/>
  <c r="N129" i="14"/>
  <c r="N295" i="14"/>
  <c r="M334" i="14"/>
  <c r="Q334" i="14" s="1"/>
  <c r="S334" i="14" s="1"/>
  <c r="X334" i="14" s="1"/>
  <c r="V33" i="14"/>
  <c r="W33" i="14" s="1"/>
  <c r="O132" i="14"/>
  <c r="M281" i="14"/>
  <c r="L41" i="14"/>
  <c r="N192" i="14"/>
  <c r="M208" i="14"/>
  <c r="V208" i="14" s="1"/>
  <c r="W208" i="14" s="1"/>
  <c r="L230" i="14"/>
  <c r="V230" i="14" s="1"/>
  <c r="W230" i="14" s="1"/>
  <c r="L419" i="14"/>
  <c r="K176" i="14"/>
  <c r="R42" i="14"/>
  <c r="Q290" i="14"/>
  <c r="R290" i="14"/>
  <c r="L270" i="14"/>
  <c r="V270" i="14" s="1"/>
  <c r="W270" i="14" s="1"/>
  <c r="M270" i="14"/>
  <c r="O270" i="14"/>
  <c r="N270" i="14"/>
  <c r="M370" i="14"/>
  <c r="L370" i="14"/>
  <c r="O370" i="14"/>
  <c r="K370" i="14"/>
  <c r="P370" i="14"/>
  <c r="N370" i="14"/>
  <c r="U252" i="14"/>
  <c r="O233" i="14"/>
  <c r="M233" i="14"/>
  <c r="K233" i="14"/>
  <c r="L233" i="14"/>
  <c r="P233" i="14"/>
  <c r="N233" i="14"/>
  <c r="N410" i="14"/>
  <c r="P410" i="14"/>
  <c r="L410" i="14"/>
  <c r="K410" i="14"/>
  <c r="U123" i="14"/>
  <c r="S190" i="14"/>
  <c r="X190" i="14" s="1"/>
  <c r="J10" i="14"/>
  <c r="T10" i="14"/>
  <c r="U10" i="14" s="1"/>
  <c r="O410" i="14"/>
  <c r="U284" i="14"/>
  <c r="V284" i="14"/>
  <c r="W284" i="14" s="1"/>
  <c r="R102" i="14"/>
  <c r="U270" i="14"/>
  <c r="U135" i="14"/>
  <c r="Q286" i="14"/>
  <c r="M348" i="14"/>
  <c r="P348" i="14"/>
  <c r="N348" i="14"/>
  <c r="O348" i="14"/>
  <c r="R180" i="14"/>
  <c r="S180" i="14" s="1"/>
  <c r="X180" i="14" s="1"/>
  <c r="O110" i="14"/>
  <c r="P110" i="14"/>
  <c r="N110" i="14"/>
  <c r="V110" i="14" s="1"/>
  <c r="W110" i="14" s="1"/>
  <c r="O342" i="14"/>
  <c r="L110" i="14"/>
  <c r="V99" i="14"/>
  <c r="W99" i="14" s="1"/>
  <c r="V335" i="14"/>
  <c r="W335" i="14" s="1"/>
  <c r="R335" i="14"/>
  <c r="R33" i="14"/>
  <c r="Q33" i="14"/>
  <c r="Q369" i="14"/>
  <c r="R369" i="14"/>
  <c r="V165" i="14"/>
  <c r="W165" i="14" s="1"/>
  <c r="Q165" i="14"/>
  <c r="U20" i="14"/>
  <c r="V20" i="14"/>
  <c r="W20" i="14" s="1"/>
  <c r="N70" i="14"/>
  <c r="L70" i="14"/>
  <c r="K70" i="14"/>
  <c r="V70" i="14" s="1"/>
  <c r="W70" i="14" s="1"/>
  <c r="M70" i="14"/>
  <c r="N136" i="14"/>
  <c r="M136" i="14"/>
  <c r="L136" i="14"/>
  <c r="K136" i="14"/>
  <c r="O136" i="14"/>
  <c r="P136" i="14"/>
  <c r="K354" i="14"/>
  <c r="M354" i="14"/>
  <c r="P354" i="14"/>
  <c r="O354" i="14"/>
  <c r="N354" i="14"/>
  <c r="R329" i="14"/>
  <c r="K84" i="14"/>
  <c r="V84" i="14" s="1"/>
  <c r="W84" i="14" s="1"/>
  <c r="L84" i="14"/>
  <c r="N84" i="14"/>
  <c r="O84" i="14"/>
  <c r="M84" i="14"/>
  <c r="P84" i="14"/>
  <c r="U72" i="14"/>
  <c r="R99" i="14"/>
  <c r="Q99" i="14"/>
  <c r="S99" i="14" s="1"/>
  <c r="X99" i="14" s="1"/>
  <c r="U100" i="14"/>
  <c r="U136" i="14"/>
  <c r="V136" i="14"/>
  <c r="W136" i="14" s="1"/>
  <c r="M328" i="14"/>
  <c r="K411" i="14"/>
  <c r="L411" i="14"/>
  <c r="N411" i="14"/>
  <c r="M411" i="14"/>
  <c r="P411" i="14"/>
  <c r="V210" i="14"/>
  <c r="W210" i="14" s="1"/>
  <c r="Q210" i="14"/>
  <c r="S210" i="14" s="1"/>
  <c r="X210" i="14" s="1"/>
  <c r="R168" i="14"/>
  <c r="V168" i="14"/>
  <c r="W168" i="14" s="1"/>
  <c r="Q168" i="14"/>
  <c r="U291" i="14"/>
  <c r="V291" i="14"/>
  <c r="W291" i="14" s="1"/>
  <c r="L101" i="14"/>
  <c r="Q101" i="14" s="1"/>
  <c r="N101" i="14"/>
  <c r="O101" i="14"/>
  <c r="M101" i="14"/>
  <c r="K101" i="14"/>
  <c r="R150" i="14"/>
  <c r="P62" i="14"/>
  <c r="M62" i="14"/>
  <c r="N62" i="14"/>
  <c r="O62" i="14"/>
  <c r="K62" i="14"/>
  <c r="L62" i="14"/>
  <c r="L328" i="14"/>
  <c r="O328" i="14"/>
  <c r="N328" i="14"/>
  <c r="Q238" i="14"/>
  <c r="Q308" i="14"/>
  <c r="S308" i="14" s="1"/>
  <c r="X308" i="14" s="1"/>
  <c r="P326" i="14"/>
  <c r="R54" i="14"/>
  <c r="R201" i="14"/>
  <c r="S201" i="14" s="1"/>
  <c r="X201" i="14" s="1"/>
  <c r="L189" i="14"/>
  <c r="P189" i="14"/>
  <c r="U171" i="14"/>
  <c r="V171" i="14"/>
  <c r="W171" i="14" s="1"/>
  <c r="P328" i="14"/>
  <c r="O326" i="14"/>
  <c r="K326" i="14"/>
  <c r="M326" i="14"/>
  <c r="V263" i="14"/>
  <c r="W263" i="14" s="1"/>
  <c r="Q382" i="14"/>
  <c r="R217" i="14"/>
  <c r="R254" i="14"/>
  <c r="L224" i="14"/>
  <c r="R224" i="14" s="1"/>
  <c r="K224" i="14"/>
  <c r="M224" i="14"/>
  <c r="O224" i="14"/>
  <c r="N224" i="14"/>
  <c r="P224" i="14"/>
  <c r="O189" i="14"/>
  <c r="R189" i="14" s="1"/>
  <c r="N67" i="14"/>
  <c r="O67" i="14"/>
  <c r="P67" i="14"/>
  <c r="K67" i="14"/>
  <c r="L67" i="14"/>
  <c r="M67" i="14"/>
  <c r="N189" i="14"/>
  <c r="K361" i="14"/>
  <c r="O361" i="14"/>
  <c r="L361" i="14"/>
  <c r="V361" i="14" s="1"/>
  <c r="W361" i="14" s="1"/>
  <c r="P361" i="14"/>
  <c r="M361" i="14"/>
  <c r="M74" i="14"/>
  <c r="P74" i="14"/>
  <c r="L74" i="14"/>
  <c r="K74" i="14"/>
  <c r="N74" i="14"/>
  <c r="O74" i="14"/>
  <c r="U104" i="14"/>
  <c r="L321" i="14"/>
  <c r="K321" i="14"/>
  <c r="N321" i="14"/>
  <c r="O321" i="14"/>
  <c r="P321" i="14"/>
  <c r="L195" i="14"/>
  <c r="P195" i="14"/>
  <c r="M195" i="14"/>
  <c r="U209" i="14"/>
  <c r="S13" i="14"/>
  <c r="X13" i="14" s="1"/>
  <c r="N318" i="14"/>
  <c r="O318" i="14"/>
  <c r="P318" i="14"/>
  <c r="K318" i="14"/>
  <c r="V318" i="14" s="1"/>
  <c r="W318" i="14" s="1"/>
  <c r="M318" i="14"/>
  <c r="L318" i="14"/>
  <c r="P342" i="14"/>
  <c r="L342" i="14"/>
  <c r="K342" i="14"/>
  <c r="M342" i="14"/>
  <c r="P164" i="14"/>
  <c r="O164" i="14"/>
  <c r="M28" i="14"/>
  <c r="N28" i="14"/>
  <c r="O28" i="14"/>
  <c r="L28" i="14"/>
  <c r="K28" i="14"/>
  <c r="P28" i="14"/>
  <c r="L239" i="14"/>
  <c r="V239" i="14" s="1"/>
  <c r="W239" i="14" s="1"/>
  <c r="N239" i="14"/>
  <c r="O239" i="14"/>
  <c r="P239" i="14"/>
  <c r="M239" i="14"/>
  <c r="R239" i="14" s="1"/>
  <c r="U233" i="14"/>
  <c r="M321" i="14"/>
  <c r="M242" i="14"/>
  <c r="V228" i="14"/>
  <c r="W228" i="14" s="1"/>
  <c r="N107" i="14"/>
  <c r="L107" i="14"/>
  <c r="O172" i="14"/>
  <c r="R336" i="14"/>
  <c r="S336" i="14" s="1"/>
  <c r="X336" i="14" s="1"/>
  <c r="P395" i="14"/>
  <c r="V303" i="14"/>
  <c r="W303" i="14" s="1"/>
  <c r="U303" i="14"/>
  <c r="N172" i="14"/>
  <c r="N93" i="14"/>
  <c r="O360" i="14"/>
  <c r="M309" i="14"/>
  <c r="N395" i="14"/>
  <c r="Q381" i="14"/>
  <c r="K100" i="14"/>
  <c r="L100" i="14"/>
  <c r="M100" i="14"/>
  <c r="N100" i="14"/>
  <c r="O100" i="14"/>
  <c r="P100" i="14"/>
  <c r="V297" i="14"/>
  <c r="W297" i="14" s="1"/>
  <c r="L360" i="14"/>
  <c r="N309" i="14"/>
  <c r="L242" i="14"/>
  <c r="V242" i="14" s="1"/>
  <c r="W242" i="14" s="1"/>
  <c r="N256" i="14"/>
  <c r="Q256" i="14" s="1"/>
  <c r="L359" i="14"/>
  <c r="R359" i="14" s="1"/>
  <c r="P284" i="14"/>
  <c r="V138" i="14"/>
  <c r="W138" i="14" s="1"/>
  <c r="U138" i="14"/>
  <c r="K304" i="14"/>
  <c r="R304" i="14" s="1"/>
  <c r="M304" i="14"/>
  <c r="N304" i="14"/>
  <c r="P52" i="14"/>
  <c r="R128" i="14"/>
  <c r="S199" i="14"/>
  <c r="X199" i="14" s="1"/>
  <c r="P29" i="14"/>
  <c r="N360" i="14"/>
  <c r="L309" i="14"/>
  <c r="O95" i="14"/>
  <c r="L395" i="14"/>
  <c r="Q245" i="14"/>
  <c r="L133" i="14"/>
  <c r="R133" i="14" s="1"/>
  <c r="U300" i="14"/>
  <c r="V300" i="14"/>
  <c r="W300" i="14" s="1"/>
  <c r="V26" i="14"/>
  <c r="W26" i="14" s="1"/>
  <c r="K18" i="14"/>
  <c r="R18" i="14" s="1"/>
  <c r="V309" i="14"/>
  <c r="W309" i="14" s="1"/>
  <c r="U309" i="14"/>
  <c r="M174" i="14"/>
  <c r="Q174" i="14" s="1"/>
  <c r="Q235" i="14"/>
  <c r="V333" i="14"/>
  <c r="W333" i="14" s="1"/>
  <c r="P242" i="14"/>
  <c r="O29" i="14"/>
  <c r="Q312" i="14"/>
  <c r="S312" i="14" s="1"/>
  <c r="X312" i="14" s="1"/>
  <c r="O221" i="14"/>
  <c r="M221" i="14"/>
  <c r="N221" i="14"/>
  <c r="L221" i="14"/>
  <c r="Q257" i="14"/>
  <c r="Q300" i="14"/>
  <c r="V46" i="14"/>
  <c r="W46" i="14" s="1"/>
  <c r="O309" i="14"/>
  <c r="O174" i="14"/>
  <c r="V175" i="14"/>
  <c r="W175" i="14" s="1"/>
  <c r="N278" i="14"/>
  <c r="L95" i="14"/>
  <c r="R262" i="14"/>
  <c r="K362" i="14"/>
  <c r="N252" i="14"/>
  <c r="V252" i="14" s="1"/>
  <c r="W252" i="14" s="1"/>
  <c r="P252" i="14"/>
  <c r="P107" i="14"/>
  <c r="M278" i="14"/>
  <c r="M161" i="14"/>
  <c r="V161" i="14" s="1"/>
  <c r="W161" i="14" s="1"/>
  <c r="O281" i="14"/>
  <c r="R19" i="14"/>
  <c r="K29" i="14"/>
  <c r="R29" i="14" s="1"/>
  <c r="P376" i="14"/>
  <c r="M112" i="14"/>
  <c r="N250" i="14"/>
  <c r="L258" i="14"/>
  <c r="N423" i="14"/>
  <c r="Q76" i="14"/>
  <c r="N362" i="14"/>
  <c r="P303" i="14"/>
  <c r="Q303" i="14" s="1"/>
  <c r="P215" i="14"/>
  <c r="R210" i="14"/>
  <c r="M359" i="14"/>
  <c r="R381" i="14"/>
  <c r="P416" i="14"/>
  <c r="N104" i="14"/>
  <c r="M20" i="14"/>
  <c r="O424" i="14"/>
  <c r="N424" i="14"/>
  <c r="P424" i="14"/>
  <c r="V151" i="14"/>
  <c r="W151" i="14" s="1"/>
  <c r="K250" i="14"/>
  <c r="M295" i="14"/>
  <c r="Q124" i="14"/>
  <c r="R334" i="14"/>
  <c r="Q11" i="14"/>
  <c r="Q97" i="14"/>
  <c r="S97" i="14" s="1"/>
  <c r="X97" i="14" s="1"/>
  <c r="Q230" i="14"/>
  <c r="L29" i="14"/>
  <c r="V73" i="14"/>
  <c r="W73" i="14" s="1"/>
  <c r="L304" i="14"/>
  <c r="M219" i="14"/>
  <c r="V219" i="14" s="1"/>
  <c r="W219" i="14" s="1"/>
  <c r="N29" i="14"/>
  <c r="Q193" i="14"/>
  <c r="R241" i="14"/>
  <c r="P392" i="14"/>
  <c r="K107" i="14"/>
  <c r="Q107" i="14" s="1"/>
  <c r="O376" i="14"/>
  <c r="P423" i="14"/>
  <c r="M314" i="14"/>
  <c r="V396" i="14"/>
  <c r="W396" i="14" s="1"/>
  <c r="K295" i="14"/>
  <c r="R73" i="14"/>
  <c r="O107" i="14"/>
  <c r="L278" i="14"/>
  <c r="L161" i="14"/>
  <c r="Q21" i="14"/>
  <c r="N281" i="14"/>
  <c r="M227" i="14"/>
  <c r="R227" i="14" s="1"/>
  <c r="P379" i="14"/>
  <c r="M376" i="14"/>
  <c r="L112" i="14"/>
  <c r="Q112" i="14" s="1"/>
  <c r="P429" i="14"/>
  <c r="M250" i="14"/>
  <c r="P258" i="14"/>
  <c r="O423" i="14"/>
  <c r="V105" i="14"/>
  <c r="W105" i="14" s="1"/>
  <c r="M362" i="14"/>
  <c r="Q217" i="14"/>
  <c r="L20" i="14"/>
  <c r="L295" i="14"/>
  <c r="L281" i="14"/>
  <c r="M264" i="14"/>
  <c r="O429" i="14"/>
  <c r="M284" i="14"/>
  <c r="M423" i="14"/>
  <c r="L362" i="14"/>
  <c r="P221" i="14"/>
  <c r="K20" i="14"/>
  <c r="L264" i="14"/>
  <c r="L355" i="14"/>
  <c r="P355" i="14"/>
  <c r="M355" i="14"/>
  <c r="N355" i="14"/>
  <c r="O355" i="14"/>
  <c r="K104" i="14"/>
  <c r="P104" i="14"/>
  <c r="K355" i="14"/>
  <c r="O314" i="14"/>
  <c r="M395" i="14"/>
  <c r="M360" i="14"/>
  <c r="O395" i="14"/>
  <c r="R11" i="14"/>
  <c r="Q346" i="14"/>
  <c r="L376" i="14"/>
  <c r="M107" i="14"/>
  <c r="N161" i="14"/>
  <c r="K281" i="14"/>
  <c r="N376" i="14"/>
  <c r="K161" i="14"/>
  <c r="R161" i="14" s="1"/>
  <c r="Q19" i="14"/>
  <c r="O227" i="14"/>
  <c r="V227" i="14" s="1"/>
  <c r="W227" i="14" s="1"/>
  <c r="P387" i="14"/>
  <c r="N429" i="14"/>
  <c r="L284" i="14"/>
  <c r="M276" i="14"/>
  <c r="Q63" i="14"/>
  <c r="S63" i="14" s="1"/>
  <c r="X63" i="14" s="1"/>
  <c r="N181" i="14"/>
  <c r="R181" i="14" s="1"/>
  <c r="M258" i="14"/>
  <c r="M140" i="14"/>
  <c r="P140" i="14"/>
  <c r="N140" i="14"/>
  <c r="P400" i="14"/>
  <c r="N227" i="14"/>
  <c r="N92" i="14"/>
  <c r="L379" i="14"/>
  <c r="K286" i="14"/>
  <c r="R286" i="14" s="1"/>
  <c r="N330" i="14"/>
  <c r="M192" i="14"/>
  <c r="N255" i="14"/>
  <c r="R255" i="14" s="1"/>
  <c r="K59" i="14"/>
  <c r="L23" i="14"/>
  <c r="R124" i="14"/>
  <c r="S124" i="14" s="1"/>
  <c r="X124" i="14" s="1"/>
  <c r="P161" i="14"/>
  <c r="P69" i="14"/>
  <c r="M429" i="14"/>
  <c r="K284" i="14"/>
  <c r="M416" i="14"/>
  <c r="R236" i="14"/>
  <c r="P278" i="14"/>
  <c r="Q285" i="14"/>
  <c r="S285" i="14" s="1"/>
  <c r="X285" i="14" s="1"/>
  <c r="P309" i="14"/>
  <c r="Q320" i="14"/>
  <c r="O104" i="14"/>
  <c r="K69" i="14"/>
  <c r="R69" i="14" s="1"/>
  <c r="L429" i="14"/>
  <c r="R429" i="14" s="1"/>
  <c r="V44" i="14"/>
  <c r="W44" i="14" s="1"/>
  <c r="L416" i="14"/>
  <c r="Q416" i="14" s="1"/>
  <c r="M133" i="14"/>
  <c r="P256" i="14"/>
  <c r="U37" i="14"/>
  <c r="V37" i="14"/>
  <c r="W37" i="14" s="1"/>
  <c r="Q302" i="14"/>
  <c r="S302" i="14" s="1"/>
  <c r="X302" i="14" s="1"/>
  <c r="M379" i="14"/>
  <c r="V286" i="14"/>
  <c r="W286" i="14" s="1"/>
  <c r="Q201" i="14"/>
  <c r="V97" i="14"/>
  <c r="W97" i="14" s="1"/>
  <c r="V262" i="14"/>
  <c r="W262" i="14" s="1"/>
  <c r="O52" i="14"/>
  <c r="Q375" i="14"/>
  <c r="K153" i="14"/>
  <c r="Q153" i="14" s="1"/>
  <c r="M59" i="14"/>
  <c r="M69" i="14"/>
  <c r="Q69" i="14" s="1"/>
  <c r="V18" i="14"/>
  <c r="W18" i="14" s="1"/>
  <c r="M404" i="14"/>
  <c r="P47" i="14"/>
  <c r="V261" i="14"/>
  <c r="W261" i="14" s="1"/>
  <c r="L247" i="14"/>
  <c r="O23" i="14"/>
  <c r="K416" i="14"/>
  <c r="R257" i="14"/>
  <c r="V259" i="14"/>
  <c r="W259" i="14" s="1"/>
  <c r="L314" i="14"/>
  <c r="L92" i="14"/>
  <c r="K47" i="14"/>
  <c r="K16" i="14"/>
  <c r="N267" i="14"/>
  <c r="L123" i="14"/>
  <c r="P192" i="14"/>
  <c r="N261" i="14"/>
  <c r="R261" i="14" s="1"/>
  <c r="P59" i="14"/>
  <c r="P236" i="14"/>
  <c r="O284" i="14"/>
  <c r="Q284" i="14" s="1"/>
  <c r="R308" i="14"/>
  <c r="L392" i="14"/>
  <c r="V392" i="14" s="1"/>
  <c r="W392" i="14" s="1"/>
  <c r="M52" i="14"/>
  <c r="R27" i="14"/>
  <c r="V133" i="14"/>
  <c r="W133" i="14" s="1"/>
  <c r="L69" i="14"/>
  <c r="V200" i="14"/>
  <c r="W200" i="14" s="1"/>
  <c r="L404" i="14"/>
  <c r="Q404" i="14" s="1"/>
  <c r="Q417" i="14"/>
  <c r="P247" i="14"/>
  <c r="Q279" i="14"/>
  <c r="R209" i="14"/>
  <c r="R306" i="14"/>
  <c r="N359" i="14"/>
  <c r="M92" i="14"/>
  <c r="M49" i="14"/>
  <c r="Q49" i="14" s="1"/>
  <c r="O49" i="14"/>
  <c r="P49" i="14"/>
  <c r="N49" i="14"/>
  <c r="K267" i="14"/>
  <c r="V267" i="14" s="1"/>
  <c r="W267" i="14" s="1"/>
  <c r="O304" i="14"/>
  <c r="O192" i="14"/>
  <c r="V53" i="14"/>
  <c r="W53" i="14" s="1"/>
  <c r="R88" i="14"/>
  <c r="S88" i="14" s="1"/>
  <c r="X88" i="14" s="1"/>
  <c r="K360" i="14"/>
  <c r="M255" i="14"/>
  <c r="Q255" i="14" s="1"/>
  <c r="V50" i="14"/>
  <c r="W50" i="14" s="1"/>
  <c r="O247" i="14"/>
  <c r="Q323" i="14"/>
  <c r="R287" i="14"/>
  <c r="V25" i="14"/>
  <c r="W25" i="14" s="1"/>
  <c r="R396" i="14"/>
  <c r="S396" i="14" s="1"/>
  <c r="X396" i="14" s="1"/>
  <c r="O252" i="14"/>
  <c r="Q252" i="14" s="1"/>
  <c r="N258" i="14"/>
  <c r="R364" i="14"/>
  <c r="S364" i="14" s="1"/>
  <c r="X364" i="14" s="1"/>
  <c r="K92" i="14"/>
  <c r="Q92" i="14" s="1"/>
  <c r="V372" i="14"/>
  <c r="W372" i="14" s="1"/>
  <c r="R15" i="14"/>
  <c r="S15" i="14" s="1"/>
  <c r="X15" i="14" s="1"/>
  <c r="P359" i="14"/>
  <c r="N247" i="14"/>
  <c r="Q396" i="14"/>
  <c r="V364" i="14"/>
  <c r="W364" i="14" s="1"/>
  <c r="N52" i="14"/>
  <c r="L276" i="14"/>
  <c r="N133" i="14"/>
  <c r="Q152" i="14"/>
  <c r="M209" i="14"/>
  <c r="V209" i="14" s="1"/>
  <c r="W209" i="14" s="1"/>
  <c r="N209" i="14"/>
  <c r="O209" i="14"/>
  <c r="K255" i="14"/>
  <c r="O359" i="14"/>
  <c r="O352" i="14"/>
  <c r="N236" i="14"/>
  <c r="V236" i="14" s="1"/>
  <c r="W236" i="14" s="1"/>
  <c r="V146" i="14"/>
  <c r="W146" i="14" s="1"/>
  <c r="P269" i="14"/>
  <c r="R269" i="14" s="1"/>
  <c r="R170" i="14"/>
  <c r="Q182" i="14"/>
  <c r="S182" i="14" s="1"/>
  <c r="X182" i="14" s="1"/>
  <c r="V202" i="14"/>
  <c r="W202" i="14" s="1"/>
  <c r="O384" i="14"/>
  <c r="Q384" i="14" s="1"/>
  <c r="O400" i="14"/>
  <c r="Q335" i="14"/>
  <c r="S335" i="14" s="1"/>
  <c r="X335" i="14" s="1"/>
  <c r="M51" i="14"/>
  <c r="K51" i="14"/>
  <c r="O51" i="14"/>
  <c r="N132" i="14"/>
  <c r="L62" i="13"/>
  <c r="M62" i="13"/>
  <c r="N62" i="13" s="1"/>
  <c r="L123" i="13"/>
  <c r="M123" i="13"/>
  <c r="N123" i="13" s="1"/>
  <c r="M60" i="13"/>
  <c r="N60" i="13" s="1"/>
  <c r="L60" i="13"/>
  <c r="M189" i="13"/>
  <c r="N189" i="13" s="1"/>
  <c r="L189" i="13"/>
  <c r="M410" i="13"/>
  <c r="N410" i="13" s="1"/>
  <c r="L410" i="13"/>
  <c r="P111" i="13"/>
  <c r="S111" i="13"/>
  <c r="Q111" i="13"/>
  <c r="R111" i="13"/>
  <c r="T111" i="13"/>
  <c r="U111" i="13"/>
  <c r="U148" i="13"/>
  <c r="R148" i="13"/>
  <c r="S148" i="13"/>
  <c r="T148" i="13"/>
  <c r="R229" i="13"/>
  <c r="T350" i="13"/>
  <c r="R350" i="13"/>
  <c r="T273" i="13"/>
  <c r="P273" i="13"/>
  <c r="U192" i="13"/>
  <c r="V192" i="13" s="1"/>
  <c r="W192" i="13" s="1"/>
  <c r="L271" i="13"/>
  <c r="M271" i="13"/>
  <c r="N271" i="13" s="1"/>
  <c r="Q33" i="13"/>
  <c r="R33" i="13"/>
  <c r="R26" i="13"/>
  <c r="Q221" i="13"/>
  <c r="P221" i="13"/>
  <c r="Q156" i="13"/>
  <c r="U271" i="13"/>
  <c r="Q271" i="13"/>
  <c r="O123" i="13"/>
  <c r="O124" i="13"/>
  <c r="T124" i="13" s="1"/>
  <c r="J124" i="13"/>
  <c r="K124" i="13" s="1"/>
  <c r="L155" i="13"/>
  <c r="T62" i="13"/>
  <c r="R62" i="13"/>
  <c r="M221" i="13"/>
  <c r="L221" i="13"/>
  <c r="T158" i="13"/>
  <c r="Q158" i="13"/>
  <c r="R158" i="13"/>
  <c r="Q132" i="13"/>
  <c r="P132" i="13"/>
  <c r="R132" i="13"/>
  <c r="S132" i="13"/>
  <c r="O40" i="13"/>
  <c r="J40" i="13"/>
  <c r="K40" i="13" s="1"/>
  <c r="R100" i="13"/>
  <c r="T100" i="13"/>
  <c r="U100" i="13"/>
  <c r="Q100" i="13"/>
  <c r="S100" i="13"/>
  <c r="L28" i="13"/>
  <c r="M28" i="13"/>
  <c r="P239" i="13"/>
  <c r="S239" i="13"/>
  <c r="M329" i="13"/>
  <c r="L329" i="13"/>
  <c r="T250" i="13"/>
  <c r="S250" i="13"/>
  <c r="P250" i="13"/>
  <c r="Q250" i="13"/>
  <c r="R250" i="13"/>
  <c r="U250" i="13"/>
  <c r="P214" i="13"/>
  <c r="Q214" i="13"/>
  <c r="R214" i="13"/>
  <c r="Q137" i="13"/>
  <c r="S137" i="13"/>
  <c r="S16" i="13"/>
  <c r="T16" i="13"/>
  <c r="R16" i="13"/>
  <c r="P389" i="13"/>
  <c r="V389" i="13" s="1"/>
  <c r="W389" i="13" s="1"/>
  <c r="S389" i="13"/>
  <c r="T389" i="13"/>
  <c r="Q389" i="13"/>
  <c r="U229" i="13"/>
  <c r="T229" i="13"/>
  <c r="T214" i="13"/>
  <c r="S186" i="13"/>
  <c r="T186" i="13"/>
  <c r="L205" i="13"/>
  <c r="M205" i="13"/>
  <c r="S214" i="13"/>
  <c r="S28" i="13"/>
  <c r="Q186" i="13"/>
  <c r="M179" i="13"/>
  <c r="N179" i="13" s="1"/>
  <c r="L179" i="13"/>
  <c r="S73" i="13"/>
  <c r="U73" i="13"/>
  <c r="V197" i="13"/>
  <c r="W197" i="13" s="1"/>
  <c r="Q229" i="13"/>
  <c r="Q192" i="13"/>
  <c r="T192" i="13"/>
  <c r="P192" i="13"/>
  <c r="P286" i="13"/>
  <c r="S286" i="13"/>
  <c r="L41" i="13"/>
  <c r="M41" i="13"/>
  <c r="V41" i="13" s="1"/>
  <c r="W41" i="13" s="1"/>
  <c r="J112" i="13"/>
  <c r="K112" i="13" s="1"/>
  <c r="M112" i="13" s="1"/>
  <c r="N112" i="13" s="1"/>
  <c r="O112" i="13"/>
  <c r="U389" i="13"/>
  <c r="P186" i="13"/>
  <c r="V186" i="13" s="1"/>
  <c r="W186" i="13" s="1"/>
  <c r="Q211" i="13"/>
  <c r="U62" i="13"/>
  <c r="S229" i="13"/>
  <c r="P211" i="13"/>
  <c r="Q62" i="13"/>
  <c r="P128" i="13"/>
  <c r="T128" i="13"/>
  <c r="R128" i="13"/>
  <c r="S128" i="13"/>
  <c r="U128" i="13"/>
  <c r="R92" i="13"/>
  <c r="S92" i="13"/>
  <c r="Q92" i="13"/>
  <c r="V92" i="13" s="1"/>
  <c r="W92" i="13" s="1"/>
  <c r="P368" i="13"/>
  <c r="V368" i="13" s="1"/>
  <c r="W368" i="13" s="1"/>
  <c r="Q368" i="13"/>
  <c r="S368" i="13"/>
  <c r="U102" i="13"/>
  <c r="R271" i="13"/>
  <c r="T92" i="13"/>
  <c r="M77" i="13"/>
  <c r="N77" i="13" s="1"/>
  <c r="L77" i="13"/>
  <c r="L402" i="13"/>
  <c r="M402" i="13"/>
  <c r="N402" i="13" s="1"/>
  <c r="M279" i="13"/>
  <c r="V279" i="13" s="1"/>
  <c r="W279" i="13" s="1"/>
  <c r="L279" i="13"/>
  <c r="S405" i="13"/>
  <c r="V405" i="13" s="1"/>
  <c r="W405" i="13" s="1"/>
  <c r="T405" i="13"/>
  <c r="U405" i="13"/>
  <c r="L427" i="13"/>
  <c r="S266" i="13"/>
  <c r="R266" i="13"/>
  <c r="J75" i="13"/>
  <c r="K75" i="13" s="1"/>
  <c r="O75" i="13"/>
  <c r="O95" i="13"/>
  <c r="J95" i="13"/>
  <c r="K95" i="13" s="1"/>
  <c r="L33" i="13"/>
  <c r="M33" i="13"/>
  <c r="L334" i="13"/>
  <c r="M334" i="13"/>
  <c r="N334" i="13" s="1"/>
  <c r="P102" i="13"/>
  <c r="M327" i="13"/>
  <c r="N327" i="13" s="1"/>
  <c r="U26" i="13"/>
  <c r="P26" i="13"/>
  <c r="U27" i="13"/>
  <c r="Q27" i="13"/>
  <c r="R27" i="13"/>
  <c r="P27" i="13"/>
  <c r="S27" i="13"/>
  <c r="T27" i="13"/>
  <c r="R286" i="13"/>
  <c r="P105" i="13"/>
  <c r="V105" i="13" s="1"/>
  <c r="W105" i="13" s="1"/>
  <c r="T105" i="13"/>
  <c r="R105" i="13"/>
  <c r="S105" i="13"/>
  <c r="R400" i="13"/>
  <c r="T400" i="13"/>
  <c r="S400" i="13"/>
  <c r="U400" i="13"/>
  <c r="Q400" i="13"/>
  <c r="V400" i="13" s="1"/>
  <c r="W400" i="13" s="1"/>
  <c r="M229" i="13"/>
  <c r="N229" i="13" s="1"/>
  <c r="M197" i="13"/>
  <c r="N197" i="13" s="1"/>
  <c r="L197" i="13"/>
  <c r="T33" i="13"/>
  <c r="Q96" i="13"/>
  <c r="U96" i="13"/>
  <c r="R96" i="13"/>
  <c r="M392" i="13"/>
  <c r="N392" i="13" s="1"/>
  <c r="L392" i="13"/>
  <c r="M431" i="13"/>
  <c r="N431" i="13" s="1"/>
  <c r="L431" i="13"/>
  <c r="T144" i="13"/>
  <c r="Q144" i="13"/>
  <c r="S72" i="13"/>
  <c r="P72" i="13"/>
  <c r="Q72" i="13"/>
  <c r="P358" i="13"/>
  <c r="T358" i="13"/>
  <c r="P33" i="13"/>
  <c r="U311" i="13"/>
  <c r="M311" i="13"/>
  <c r="V311" i="13" s="1"/>
  <c r="W311" i="13" s="1"/>
  <c r="P350" i="13"/>
  <c r="M231" i="13"/>
  <c r="N231" i="13" s="1"/>
  <c r="P353" i="13"/>
  <c r="V353" i="13" s="1"/>
  <c r="W353" i="13" s="1"/>
  <c r="S353" i="13"/>
  <c r="T353" i="13"/>
  <c r="U353" i="13"/>
  <c r="S392" i="13"/>
  <c r="V392" i="13" s="1"/>
  <c r="W392" i="13" s="1"/>
  <c r="T392" i="13"/>
  <c r="U392" i="13"/>
  <c r="R392" i="13"/>
  <c r="U423" i="13"/>
  <c r="Q423" i="13"/>
  <c r="P423" i="13"/>
  <c r="L397" i="13"/>
  <c r="M397" i="13"/>
  <c r="N397" i="13" s="1"/>
  <c r="Q170" i="13"/>
  <c r="T17" i="13"/>
  <c r="P17" i="13"/>
  <c r="L287" i="13"/>
  <c r="M287" i="13"/>
  <c r="V287" i="13" s="1"/>
  <c r="W287" i="13" s="1"/>
  <c r="L125" i="13"/>
  <c r="M125" i="13"/>
  <c r="N125" i="13" s="1"/>
  <c r="P125" i="13"/>
  <c r="S125" i="13"/>
  <c r="R125" i="13"/>
  <c r="Q125" i="13"/>
  <c r="U125" i="13"/>
  <c r="T125" i="13"/>
  <c r="V125" i="13" s="1"/>
  <c r="W125" i="13" s="1"/>
  <c r="T311" i="13"/>
  <c r="T211" i="13"/>
  <c r="Q163" i="13"/>
  <c r="S163" i="13"/>
  <c r="R325" i="13"/>
  <c r="U325" i="13"/>
  <c r="Q325" i="13"/>
  <c r="S325" i="13"/>
  <c r="M423" i="13"/>
  <c r="L423" i="13"/>
  <c r="R85" i="13"/>
  <c r="T85" i="13"/>
  <c r="U85" i="13"/>
  <c r="Q85" i="13"/>
  <c r="S85" i="13"/>
  <c r="R89" i="13"/>
  <c r="Q89" i="13"/>
  <c r="T386" i="13"/>
  <c r="R386" i="13"/>
  <c r="P386" i="13"/>
  <c r="Q386" i="13"/>
  <c r="S386" i="13"/>
  <c r="U386" i="13"/>
  <c r="O44" i="13"/>
  <c r="J44" i="13"/>
  <c r="K44" i="13" s="1"/>
  <c r="U170" i="13"/>
  <c r="S311" i="13"/>
  <c r="U22" i="13"/>
  <c r="M19" i="13"/>
  <c r="V19" i="13" s="1"/>
  <c r="W19" i="13" s="1"/>
  <c r="L36" i="13"/>
  <c r="M36" i="13"/>
  <c r="T262" i="13"/>
  <c r="U262" i="13"/>
  <c r="P262" i="13"/>
  <c r="V262" i="13" s="1"/>
  <c r="W262" i="13" s="1"/>
  <c r="Q305" i="13"/>
  <c r="T305" i="13"/>
  <c r="T362" i="13"/>
  <c r="S362" i="13"/>
  <c r="U362" i="13"/>
  <c r="P362" i="13"/>
  <c r="R362" i="13"/>
  <c r="L406" i="13"/>
  <c r="M406" i="13"/>
  <c r="M256" i="13"/>
  <c r="N256" i="13" s="1"/>
  <c r="L256" i="13"/>
  <c r="O90" i="13"/>
  <c r="Q90" i="13" s="1"/>
  <c r="J90" i="13"/>
  <c r="K90" i="13" s="1"/>
  <c r="Q148" i="13"/>
  <c r="S305" i="13"/>
  <c r="S170" i="13"/>
  <c r="R311" i="13"/>
  <c r="R157" i="13"/>
  <c r="Q83" i="13"/>
  <c r="S83" i="13"/>
  <c r="L85" i="13"/>
  <c r="M85" i="13"/>
  <c r="N85" i="13" s="1"/>
  <c r="O79" i="13"/>
  <c r="J79" i="13"/>
  <c r="K79" i="13" s="1"/>
  <c r="L79" i="13" s="1"/>
  <c r="M159" i="13"/>
  <c r="V159" i="13" s="1"/>
  <c r="W159" i="13" s="1"/>
  <c r="L159" i="13"/>
  <c r="U78" i="13"/>
  <c r="T78" i="13"/>
  <c r="S78" i="13"/>
  <c r="Q78" i="13"/>
  <c r="V78" i="13" s="1"/>
  <c r="W78" i="13" s="1"/>
  <c r="P148" i="13"/>
  <c r="P305" i="13"/>
  <c r="R170" i="13"/>
  <c r="P311" i="13"/>
  <c r="P78" i="13"/>
  <c r="R211" i="13"/>
  <c r="U54" i="13"/>
  <c r="S54" i="13"/>
  <c r="Q54" i="13"/>
  <c r="Q433" i="13"/>
  <c r="V433" i="13" s="1"/>
  <c r="W433" i="13" s="1"/>
  <c r="R433" i="13"/>
  <c r="T433" i="13"/>
  <c r="U433" i="13"/>
  <c r="J24" i="13"/>
  <c r="K24" i="13" s="1"/>
  <c r="O24" i="13"/>
  <c r="R24" i="13" s="1"/>
  <c r="L27" i="13"/>
  <c r="M27" i="13"/>
  <c r="R372" i="13"/>
  <c r="S372" i="13"/>
  <c r="T372" i="13"/>
  <c r="P425" i="13"/>
  <c r="V425" i="13" s="1"/>
  <c r="W425" i="13" s="1"/>
  <c r="Q425" i="13"/>
  <c r="R425" i="13"/>
  <c r="S425" i="13"/>
  <c r="T425" i="13"/>
  <c r="U425" i="13"/>
  <c r="U256" i="13"/>
  <c r="V256" i="13" s="1"/>
  <c r="W256" i="13" s="1"/>
  <c r="P256" i="13"/>
  <c r="Q256" i="13"/>
  <c r="T256" i="13"/>
  <c r="S256" i="13"/>
  <c r="L35" i="13"/>
  <c r="M35" i="13"/>
  <c r="M186" i="13"/>
  <c r="L214" i="13"/>
  <c r="M298" i="13"/>
  <c r="M338" i="13"/>
  <c r="L338" i="13"/>
  <c r="R232" i="13"/>
  <c r="U232" i="13"/>
  <c r="S232" i="13"/>
  <c r="P232" i="13"/>
  <c r="Q232" i="13"/>
  <c r="T232" i="13"/>
  <c r="S51" i="13"/>
  <c r="P51" i="13"/>
  <c r="V51" i="13" s="1"/>
  <c r="W51" i="13" s="1"/>
  <c r="R51" i="13"/>
  <c r="U51" i="13"/>
  <c r="T51" i="13"/>
  <c r="Q240" i="13"/>
  <c r="T240" i="13"/>
  <c r="S240" i="13"/>
  <c r="Q372" i="13"/>
  <c r="V372" i="13" s="1"/>
  <c r="W372" i="13" s="1"/>
  <c r="U305" i="13"/>
  <c r="T28" i="13"/>
  <c r="U239" i="13"/>
  <c r="V304" i="13"/>
  <c r="W304" i="13" s="1"/>
  <c r="N304" i="13"/>
  <c r="N305" i="13"/>
  <c r="M332" i="13"/>
  <c r="N332" i="13" s="1"/>
  <c r="P55" i="13"/>
  <c r="T55" i="13"/>
  <c r="S55" i="13"/>
  <c r="S241" i="13"/>
  <c r="P241" i="13"/>
  <c r="M343" i="13"/>
  <c r="N343" i="13" s="1"/>
  <c r="L343" i="13"/>
  <c r="S22" i="13"/>
  <c r="P22" i="13"/>
  <c r="L420" i="13"/>
  <c r="M420" i="13"/>
  <c r="N420" i="13" s="1"/>
  <c r="L274" i="13"/>
  <c r="M274" i="13"/>
  <c r="N274" i="13" s="1"/>
  <c r="T239" i="13"/>
  <c r="L45" i="13"/>
  <c r="M45" i="13"/>
  <c r="N45" i="13" s="1"/>
  <c r="L171" i="13"/>
  <c r="M171" i="13"/>
  <c r="V171" i="13" s="1"/>
  <c r="W171" i="13" s="1"/>
  <c r="L357" i="13"/>
  <c r="M357" i="13"/>
  <c r="N357" i="13" s="1"/>
  <c r="L358" i="13"/>
  <c r="M358" i="13"/>
  <c r="N358" i="13" s="1"/>
  <c r="Q157" i="13"/>
  <c r="T157" i="13"/>
  <c r="S157" i="13"/>
  <c r="U157" i="13"/>
  <c r="L240" i="13"/>
  <c r="M240" i="13"/>
  <c r="N240" i="13" s="1"/>
  <c r="P314" i="13"/>
  <c r="Q314" i="13"/>
  <c r="R314" i="13"/>
  <c r="T314" i="13"/>
  <c r="U314" i="13"/>
  <c r="U114" i="13"/>
  <c r="Q114" i="13"/>
  <c r="S114" i="13"/>
  <c r="P114" i="13"/>
  <c r="V114" i="13" s="1"/>
  <c r="W114" i="13" s="1"/>
  <c r="L383" i="13"/>
  <c r="M383" i="13"/>
  <c r="N383" i="13" s="1"/>
  <c r="R68" i="13"/>
  <c r="Q68" i="13"/>
  <c r="P68" i="13"/>
  <c r="S45" i="13"/>
  <c r="P45" i="13"/>
  <c r="U45" i="13"/>
  <c r="T159" i="13"/>
  <c r="M282" i="13"/>
  <c r="N282" i="13" s="1"/>
  <c r="Q23" i="13"/>
  <c r="Q248" i="13"/>
  <c r="V248" i="13" s="1"/>
  <c r="W248" i="13" s="1"/>
  <c r="U127" i="13"/>
  <c r="V127" i="13" s="1"/>
  <c r="W127" i="13" s="1"/>
  <c r="T342" i="13"/>
  <c r="U159" i="13"/>
  <c r="M146" i="13"/>
  <c r="M167" i="13"/>
  <c r="Q410" i="13"/>
  <c r="Q299" i="13"/>
  <c r="R159" i="13"/>
  <c r="T48" i="13"/>
  <c r="U32" i="13"/>
  <c r="Q379" i="13"/>
  <c r="S319" i="13"/>
  <c r="Q133" i="13"/>
  <c r="V133" i="13" s="1"/>
  <c r="W133" i="13" s="1"/>
  <c r="Q129" i="13"/>
  <c r="L288" i="13"/>
  <c r="M288" i="13"/>
  <c r="L384" i="13"/>
  <c r="L266" i="13"/>
  <c r="R97" i="13"/>
  <c r="Q342" i="13"/>
  <c r="Q116" i="13"/>
  <c r="V116" i="13" s="1"/>
  <c r="W116" i="13" s="1"/>
  <c r="S107" i="13"/>
  <c r="S70" i="13"/>
  <c r="P381" i="13"/>
  <c r="Q91" i="13"/>
  <c r="R334" i="13"/>
  <c r="V334" i="13" s="1"/>
  <c r="W334" i="13" s="1"/>
  <c r="U231" i="13"/>
  <c r="T88" i="13"/>
  <c r="S324" i="13"/>
  <c r="J17" i="13"/>
  <c r="K17" i="13" s="1"/>
  <c r="T252" i="13"/>
  <c r="U20" i="13"/>
  <c r="P20" i="13"/>
  <c r="S20" i="13"/>
  <c r="O86" i="13"/>
  <c r="O122" i="13"/>
  <c r="U23" i="13"/>
  <c r="P235" i="13"/>
  <c r="J23" i="13"/>
  <c r="K23" i="13" s="1"/>
  <c r="R23" i="13"/>
  <c r="U318" i="13"/>
  <c r="S382" i="13"/>
  <c r="M352" i="13"/>
  <c r="N352" i="13" s="1"/>
  <c r="L86" i="13"/>
  <c r="M86" i="13"/>
  <c r="N86" i="13" s="1"/>
  <c r="S23" i="13"/>
  <c r="Q318" i="13"/>
  <c r="V283" i="13"/>
  <c r="W283" i="13" s="1"/>
  <c r="S304" i="13"/>
  <c r="R140" i="13"/>
  <c r="Q371" i="13"/>
  <c r="V371" i="13" s="1"/>
  <c r="W371" i="13" s="1"/>
  <c r="T107" i="13"/>
  <c r="P88" i="13"/>
  <c r="V88" i="13" s="1"/>
  <c r="W88" i="13" s="1"/>
  <c r="M417" i="13"/>
  <c r="V417" i="13" s="1"/>
  <c r="W417" i="13" s="1"/>
  <c r="T318" i="13"/>
  <c r="T277" i="13"/>
  <c r="R391" i="13"/>
  <c r="R70" i="13"/>
  <c r="Q106" i="13"/>
  <c r="R106" i="13"/>
  <c r="R351" i="13"/>
  <c r="V138" i="13"/>
  <c r="W138" i="13" s="1"/>
  <c r="S391" i="13"/>
  <c r="P252" i="13"/>
  <c r="O113" i="13"/>
  <c r="J113" i="13"/>
  <c r="K113" i="13" s="1"/>
  <c r="T371" i="13"/>
  <c r="M107" i="13"/>
  <c r="N127" i="13"/>
  <c r="S318" i="13"/>
  <c r="M162" i="13"/>
  <c r="P431" i="13"/>
  <c r="T97" i="13"/>
  <c r="R126" i="13"/>
  <c r="M375" i="13"/>
  <c r="N375" i="13" s="1"/>
  <c r="U248" i="13"/>
  <c r="U126" i="13"/>
  <c r="V126" i="13" s="1"/>
  <c r="W126" i="13" s="1"/>
  <c r="M83" i="13"/>
  <c r="N83" i="13" s="1"/>
  <c r="P318" i="13"/>
  <c r="V318" i="13" s="1"/>
  <c r="W318" i="13" s="1"/>
  <c r="M299" i="13"/>
  <c r="V299" i="13" s="1"/>
  <c r="W299" i="13" s="1"/>
  <c r="Q222" i="13"/>
  <c r="V222" i="13" s="1"/>
  <c r="W222" i="13" s="1"/>
  <c r="U304" i="13"/>
  <c r="R94" i="13"/>
  <c r="P285" i="13"/>
  <c r="P323" i="13"/>
  <c r="Q61" i="13"/>
  <c r="T248" i="13"/>
  <c r="T126" i="13"/>
  <c r="P222" i="13"/>
  <c r="T304" i="13"/>
  <c r="Q94" i="13"/>
  <c r="M301" i="13"/>
  <c r="Q98" i="13"/>
  <c r="L280" i="13"/>
  <c r="L247" i="13"/>
  <c r="M247" i="13"/>
  <c r="N247" i="13" s="1"/>
  <c r="R309" i="13"/>
  <c r="S126" i="13"/>
  <c r="U98" i="13"/>
  <c r="V98" i="13" s="1"/>
  <c r="W98" i="13" s="1"/>
  <c r="R222" i="13"/>
  <c r="P304" i="13"/>
  <c r="U94" i="13"/>
  <c r="S313" i="13"/>
  <c r="S248" i="13"/>
  <c r="R285" i="13"/>
  <c r="T106" i="13"/>
  <c r="Q407" i="14"/>
  <c r="Q306" i="14"/>
  <c r="S306" i="14" s="1"/>
  <c r="X306" i="14" s="1"/>
  <c r="V334" i="14"/>
  <c r="W334" i="14" s="1"/>
  <c r="Q366" i="14"/>
  <c r="R366" i="14"/>
  <c r="V310" i="14"/>
  <c r="W310" i="14" s="1"/>
  <c r="V375" i="14"/>
  <c r="W375" i="14" s="1"/>
  <c r="R291" i="14"/>
  <c r="Q317" i="14"/>
  <c r="Q374" i="14"/>
  <c r="V336" i="14"/>
  <c r="W336" i="14" s="1"/>
  <c r="R422" i="14"/>
  <c r="Q347" i="14"/>
  <c r="R389" i="14"/>
  <c r="V368" i="14"/>
  <c r="W368" i="14" s="1"/>
  <c r="S315" i="14"/>
  <c r="X315" i="14" s="1"/>
  <c r="V353" i="14"/>
  <c r="W353" i="14" s="1"/>
  <c r="Q403" i="14"/>
  <c r="R320" i="14"/>
  <c r="R297" i="14"/>
  <c r="R413" i="14"/>
  <c r="R403" i="14"/>
  <c r="S403" i="14" s="1"/>
  <c r="X403" i="14" s="1"/>
  <c r="Q297" i="14"/>
  <c r="Q379" i="14"/>
  <c r="S379" i="14" s="1"/>
  <c r="X379" i="14" s="1"/>
  <c r="R356" i="14"/>
  <c r="V366" i="14"/>
  <c r="W366" i="14" s="1"/>
  <c r="Q337" i="14"/>
  <c r="R393" i="14"/>
  <c r="R401" i="14"/>
  <c r="Q307" i="14"/>
  <c r="Q405" i="14"/>
  <c r="V343" i="14"/>
  <c r="W343" i="14" s="1"/>
  <c r="R300" i="14"/>
  <c r="S300" i="14" s="1"/>
  <c r="X300" i="14" s="1"/>
  <c r="R374" i="14"/>
  <c r="R317" i="14"/>
  <c r="Q160" i="14"/>
  <c r="R165" i="14"/>
  <c r="R232" i="14"/>
  <c r="R182" i="14"/>
  <c r="Q143" i="14"/>
  <c r="V273" i="14"/>
  <c r="W273" i="14" s="1"/>
  <c r="V169" i="14"/>
  <c r="W169" i="14" s="1"/>
  <c r="Q213" i="14"/>
  <c r="Q175" i="14"/>
  <c r="Q170" i="14"/>
  <c r="R134" i="14"/>
  <c r="Q178" i="14"/>
  <c r="Q146" i="14"/>
  <c r="R178" i="14"/>
  <c r="Q214" i="14"/>
  <c r="Q183" i="14"/>
  <c r="Q232" i="14"/>
  <c r="Q158" i="14"/>
  <c r="R279" i="14"/>
  <c r="R274" i="14"/>
  <c r="Q202" i="14"/>
  <c r="Q259" i="14"/>
  <c r="R228" i="14"/>
  <c r="S228" i="14" s="1"/>
  <c r="X228" i="14" s="1"/>
  <c r="Q185" i="14"/>
  <c r="V217" i="14"/>
  <c r="W217" i="14" s="1"/>
  <c r="S151" i="14"/>
  <c r="X151" i="14" s="1"/>
  <c r="R214" i="14"/>
  <c r="R193" i="14"/>
  <c r="S193" i="14" s="1"/>
  <c r="X193" i="14" s="1"/>
  <c r="V160" i="14"/>
  <c r="W160" i="14" s="1"/>
  <c r="Q254" i="14"/>
  <c r="S254" i="14" s="1"/>
  <c r="X254" i="14" s="1"/>
  <c r="R202" i="14"/>
  <c r="S171" i="14"/>
  <c r="X171" i="14" s="1"/>
  <c r="R259" i="14"/>
  <c r="S259" i="14" s="1"/>
  <c r="X259" i="14" s="1"/>
  <c r="V220" i="14"/>
  <c r="W220" i="14" s="1"/>
  <c r="V178" i="14"/>
  <c r="W178" i="14" s="1"/>
  <c r="R152" i="14"/>
  <c r="S152" i="14" s="1"/>
  <c r="X152" i="14" s="1"/>
  <c r="R235" i="14"/>
  <c r="R139" i="14"/>
  <c r="V194" i="14"/>
  <c r="W194" i="14" s="1"/>
  <c r="R183" i="14"/>
  <c r="V225" i="14"/>
  <c r="W225" i="14" s="1"/>
  <c r="V201" i="14"/>
  <c r="W201" i="14" s="1"/>
  <c r="U134" i="14"/>
  <c r="V134" i="14"/>
  <c r="W134" i="14" s="1"/>
  <c r="U120" i="14"/>
  <c r="Q344" i="14"/>
  <c r="R344" i="14"/>
  <c r="U130" i="14"/>
  <c r="V130" i="14"/>
  <c r="W130" i="14" s="1"/>
  <c r="N191" i="14"/>
  <c r="O191" i="14"/>
  <c r="P191" i="14"/>
  <c r="L191" i="14"/>
  <c r="K191" i="14"/>
  <c r="M191" i="14"/>
  <c r="O114" i="14"/>
  <c r="P114" i="14"/>
  <c r="K114" i="14"/>
  <c r="L114" i="14"/>
  <c r="M114" i="14"/>
  <c r="N114" i="14"/>
  <c r="U187" i="14"/>
  <c r="Q412" i="14"/>
  <c r="S412" i="14" s="1"/>
  <c r="X412" i="14" s="1"/>
  <c r="R412" i="14"/>
  <c r="U407" i="14"/>
  <c r="V407" i="14"/>
  <c r="W407" i="14" s="1"/>
  <c r="K377" i="14"/>
  <c r="L377" i="14"/>
  <c r="M377" i="14"/>
  <c r="N377" i="14"/>
  <c r="O377" i="14"/>
  <c r="P377" i="14"/>
  <c r="R390" i="14"/>
  <c r="Q390" i="14"/>
  <c r="S390" i="14" s="1"/>
  <c r="X390" i="14" s="1"/>
  <c r="R358" i="14"/>
  <c r="Q358" i="14"/>
  <c r="Q408" i="14"/>
  <c r="R408" i="14"/>
  <c r="V408" i="14"/>
  <c r="W408" i="14" s="1"/>
  <c r="U206" i="14"/>
  <c r="S150" i="14"/>
  <c r="X150" i="14" s="1"/>
  <c r="Q356" i="14"/>
  <c r="V356" i="14"/>
  <c r="W356" i="14" s="1"/>
  <c r="U271" i="14"/>
  <c r="Q173" i="14"/>
  <c r="R173" i="14"/>
  <c r="V173" i="14"/>
  <c r="W173" i="14" s="1"/>
  <c r="R155" i="14"/>
  <c r="Q204" i="14"/>
  <c r="V204" i="14"/>
  <c r="W204" i="14" s="1"/>
  <c r="R204" i="14"/>
  <c r="U191" i="14"/>
  <c r="U114" i="14"/>
  <c r="U143" i="14"/>
  <c r="V143" i="14"/>
  <c r="W143" i="14" s="1"/>
  <c r="Q156" i="14"/>
  <c r="R156" i="14"/>
  <c r="R407" i="14"/>
  <c r="S407" i="14" s="1"/>
  <c r="X407" i="14" s="1"/>
  <c r="Q61" i="14"/>
  <c r="R61" i="14"/>
  <c r="L299" i="14"/>
  <c r="K299" i="14"/>
  <c r="M299" i="14"/>
  <c r="O299" i="14"/>
  <c r="N299" i="14"/>
  <c r="P299" i="14"/>
  <c r="U369" i="14"/>
  <c r="V369" i="14"/>
  <c r="W369" i="14" s="1"/>
  <c r="U416" i="14"/>
  <c r="U167" i="14"/>
  <c r="N296" i="14"/>
  <c r="O296" i="14"/>
  <c r="P296" i="14"/>
  <c r="K296" i="14"/>
  <c r="L296" i="14"/>
  <c r="M296" i="14"/>
  <c r="U269" i="14"/>
  <c r="R343" i="14"/>
  <c r="Q130" i="14"/>
  <c r="R130" i="14"/>
  <c r="Q288" i="14"/>
  <c r="R288" i="14"/>
  <c r="R146" i="14"/>
  <c r="N65" i="14"/>
  <c r="O65" i="14"/>
  <c r="L65" i="14"/>
  <c r="M65" i="14"/>
  <c r="K65" i="14"/>
  <c r="P65" i="14"/>
  <c r="U299" i="14"/>
  <c r="V299" i="14"/>
  <c r="W299" i="14" s="1"/>
  <c r="V213" i="14"/>
  <c r="W213" i="14" s="1"/>
  <c r="U380" i="14"/>
  <c r="V380" i="14"/>
  <c r="W380" i="14" s="1"/>
  <c r="R388" i="14"/>
  <c r="Q388" i="14"/>
  <c r="V388" i="14"/>
  <c r="W388" i="14" s="1"/>
  <c r="Q129" i="14"/>
  <c r="Q310" i="14"/>
  <c r="R310" i="14"/>
  <c r="R188" i="14"/>
  <c r="Q188" i="14"/>
  <c r="U327" i="14"/>
  <c r="V327" i="14"/>
  <c r="W327" i="14" s="1"/>
  <c r="P167" i="14"/>
  <c r="O167" i="14"/>
  <c r="L167" i="14"/>
  <c r="K167" i="14"/>
  <c r="N167" i="14"/>
  <c r="M167" i="14"/>
  <c r="V296" i="14"/>
  <c r="W296" i="14" s="1"/>
  <c r="U296" i="14"/>
  <c r="R367" i="14"/>
  <c r="Q367" i="14"/>
  <c r="Q422" i="14"/>
  <c r="Q343" i="14"/>
  <c r="R327" i="14"/>
  <c r="Q327" i="14"/>
  <c r="R108" i="14"/>
  <c r="Q108" i="14"/>
  <c r="U61" i="14"/>
  <c r="V61" i="14"/>
  <c r="W61" i="14" s="1"/>
  <c r="K293" i="14"/>
  <c r="L293" i="14"/>
  <c r="N293" i="14"/>
  <c r="O293" i="14"/>
  <c r="P293" i="14"/>
  <c r="M293" i="14"/>
  <c r="K184" i="14"/>
  <c r="L184" i="14"/>
  <c r="M184" i="14"/>
  <c r="O184" i="14"/>
  <c r="N184" i="14"/>
  <c r="P184" i="14"/>
  <c r="P81" i="14"/>
  <c r="K81" i="14"/>
  <c r="M81" i="14"/>
  <c r="L81" i="14"/>
  <c r="N81" i="14"/>
  <c r="O81" i="14"/>
  <c r="U122" i="14"/>
  <c r="R89" i="14"/>
  <c r="Q89" i="14"/>
  <c r="O177" i="14"/>
  <c r="M177" i="14"/>
  <c r="K177" i="14"/>
  <c r="L177" i="14"/>
  <c r="P177" i="14"/>
  <c r="N177" i="14"/>
  <c r="L78" i="14"/>
  <c r="M78" i="14"/>
  <c r="K78" i="14"/>
  <c r="N78" i="14"/>
  <c r="P78" i="14"/>
  <c r="O78" i="14"/>
  <c r="U304" i="14"/>
  <c r="V304" i="14"/>
  <c r="W304" i="14" s="1"/>
  <c r="K420" i="14"/>
  <c r="L420" i="14"/>
  <c r="M420" i="14"/>
  <c r="N420" i="14"/>
  <c r="O420" i="14"/>
  <c r="P420" i="14"/>
  <c r="U117" i="14"/>
  <c r="V124" i="14"/>
  <c r="W124" i="14" s="1"/>
  <c r="Q79" i="14"/>
  <c r="R79" i="14"/>
  <c r="Q386" i="14"/>
  <c r="R386" i="14"/>
  <c r="V386" i="14"/>
  <c r="W386" i="14" s="1"/>
  <c r="U358" i="14"/>
  <c r="V358" i="14"/>
  <c r="W358" i="14" s="1"/>
  <c r="Q96" i="14"/>
  <c r="R96" i="14"/>
  <c r="Q329" i="14"/>
  <c r="Q251" i="14"/>
  <c r="R251" i="14"/>
  <c r="V251" i="14"/>
  <c r="W251" i="14" s="1"/>
  <c r="Q427" i="14"/>
  <c r="R427" i="14"/>
  <c r="U90" i="14"/>
  <c r="S207" i="14"/>
  <c r="X207" i="14" s="1"/>
  <c r="O186" i="14"/>
  <c r="P186" i="14"/>
  <c r="M186" i="14"/>
  <c r="N186" i="14"/>
  <c r="K186" i="14"/>
  <c r="L186" i="14"/>
  <c r="O222" i="14"/>
  <c r="P222" i="14"/>
  <c r="N222" i="14"/>
  <c r="K222" i="14"/>
  <c r="M222" i="14"/>
  <c r="L222" i="14"/>
  <c r="U389" i="14"/>
  <c r="V389" i="14"/>
  <c r="W389" i="14" s="1"/>
  <c r="U373" i="14"/>
  <c r="V373" i="14"/>
  <c r="W373" i="14" s="1"/>
  <c r="U81" i="14"/>
  <c r="O118" i="14"/>
  <c r="K118" i="14"/>
  <c r="V118" i="14" s="1"/>
  <c r="W118" i="14" s="1"/>
  <c r="L118" i="14"/>
  <c r="M118" i="14"/>
  <c r="N118" i="14"/>
  <c r="P118" i="14"/>
  <c r="Q208" i="14"/>
  <c r="U361" i="14"/>
  <c r="Q139" i="14"/>
  <c r="U422" i="14"/>
  <c r="V422" i="14"/>
  <c r="W422" i="14" s="1"/>
  <c r="P196" i="14"/>
  <c r="M196" i="14"/>
  <c r="N196" i="14"/>
  <c r="K196" i="14"/>
  <c r="L196" i="14"/>
  <c r="O196" i="14"/>
  <c r="U231" i="14"/>
  <c r="V88" i="14"/>
  <c r="W88" i="14" s="1"/>
  <c r="U88" i="14"/>
  <c r="V137" i="14"/>
  <c r="W137" i="14" s="1"/>
  <c r="U137" i="14"/>
  <c r="Q220" i="14"/>
  <c r="S220" i="14" s="1"/>
  <c r="X220" i="14" s="1"/>
  <c r="R163" i="14"/>
  <c r="U370" i="14"/>
  <c r="V370" i="14"/>
  <c r="W370" i="14" s="1"/>
  <c r="L271" i="14"/>
  <c r="M271" i="14"/>
  <c r="N271" i="14"/>
  <c r="O271" i="14"/>
  <c r="P271" i="14"/>
  <c r="K271" i="14"/>
  <c r="Q244" i="14"/>
  <c r="R244" i="14"/>
  <c r="U71" i="14"/>
  <c r="U240" i="14"/>
  <c r="V240" i="14"/>
  <c r="W240" i="14" s="1"/>
  <c r="Q14" i="14"/>
  <c r="R14" i="14"/>
  <c r="U196" i="14"/>
  <c r="R382" i="14"/>
  <c r="S382" i="14" s="1"/>
  <c r="X382" i="14" s="1"/>
  <c r="V344" i="14"/>
  <c r="W344" i="14" s="1"/>
  <c r="U203" i="14"/>
  <c r="V203" i="14"/>
  <c r="W203" i="14" s="1"/>
  <c r="U197" i="14"/>
  <c r="Q292" i="14"/>
  <c r="R292" i="14"/>
  <c r="V274" i="14"/>
  <c r="W274" i="14" s="1"/>
  <c r="M137" i="14"/>
  <c r="O137" i="14"/>
  <c r="P137" i="14"/>
  <c r="K137" i="14"/>
  <c r="L137" i="14"/>
  <c r="N137" i="14"/>
  <c r="Q319" i="14"/>
  <c r="R319" i="14"/>
  <c r="O277" i="14"/>
  <c r="P277" i="14"/>
  <c r="L277" i="14"/>
  <c r="M277" i="14"/>
  <c r="N277" i="14"/>
  <c r="K277" i="14"/>
  <c r="M234" i="14"/>
  <c r="K234" i="14"/>
  <c r="P234" i="14"/>
  <c r="L234" i="14"/>
  <c r="O234" i="14"/>
  <c r="N234" i="14"/>
  <c r="V337" i="14"/>
  <c r="W337" i="14" s="1"/>
  <c r="K57" i="14"/>
  <c r="L57" i="14"/>
  <c r="M57" i="14"/>
  <c r="N57" i="14"/>
  <c r="O57" i="14"/>
  <c r="P57" i="14"/>
  <c r="U145" i="14"/>
  <c r="V145" i="14"/>
  <c r="W145" i="14" s="1"/>
  <c r="U421" i="14"/>
  <c r="Q205" i="14"/>
  <c r="R205" i="14"/>
  <c r="U156" i="14"/>
  <c r="V156" i="14"/>
  <c r="W156" i="14" s="1"/>
  <c r="U75" i="14"/>
  <c r="U226" i="14"/>
  <c r="O30" i="14"/>
  <c r="P30" i="14"/>
  <c r="K30" i="14"/>
  <c r="L30" i="14"/>
  <c r="M30" i="14"/>
  <c r="N30" i="14"/>
  <c r="U414" i="14"/>
  <c r="P226" i="14"/>
  <c r="K226" i="14"/>
  <c r="O226" i="14"/>
  <c r="L226" i="14"/>
  <c r="M226" i="14"/>
  <c r="N226" i="14"/>
  <c r="U276" i="14"/>
  <c r="K91" i="14"/>
  <c r="N91" i="14"/>
  <c r="O91" i="14"/>
  <c r="P91" i="14"/>
  <c r="M91" i="14"/>
  <c r="L91" i="14"/>
  <c r="K31" i="14"/>
  <c r="L31" i="14"/>
  <c r="O31" i="14"/>
  <c r="P31" i="14"/>
  <c r="N31" i="14"/>
  <c r="M31" i="14"/>
  <c r="U45" i="14"/>
  <c r="Q331" i="14"/>
  <c r="R331" i="14"/>
  <c r="V331" i="14"/>
  <c r="W331" i="14" s="1"/>
  <c r="U279" i="14"/>
  <c r="V279" i="14"/>
  <c r="W279" i="14" s="1"/>
  <c r="K80" i="14"/>
  <c r="L80" i="14"/>
  <c r="M80" i="14"/>
  <c r="P80" i="14"/>
  <c r="N80" i="14"/>
  <c r="O80" i="14"/>
  <c r="V42" i="14"/>
  <c r="W42" i="14" s="1"/>
  <c r="R21" i="14"/>
  <c r="U239" i="14"/>
  <c r="U23" i="14"/>
  <c r="V23" i="14"/>
  <c r="W23" i="14" s="1"/>
  <c r="U106" i="14"/>
  <c r="K40" i="14"/>
  <c r="L40" i="14"/>
  <c r="N40" i="14"/>
  <c r="O40" i="14"/>
  <c r="P40" i="14"/>
  <c r="M40" i="14"/>
  <c r="U265" i="14"/>
  <c r="R44" i="14"/>
  <c r="U17" i="14"/>
  <c r="V17" i="14"/>
  <c r="W17" i="14" s="1"/>
  <c r="Q389" i="14"/>
  <c r="S389" i="14" s="1"/>
  <c r="X389" i="14" s="1"/>
  <c r="V212" i="14"/>
  <c r="W212" i="14" s="1"/>
  <c r="U111" i="14"/>
  <c r="U350" i="14"/>
  <c r="R48" i="14"/>
  <c r="Q48" i="14"/>
  <c r="S48" i="14" s="1"/>
  <c r="X48" i="14" s="1"/>
  <c r="V48" i="14"/>
  <c r="W48" i="14" s="1"/>
  <c r="U293" i="14"/>
  <c r="V293" i="14"/>
  <c r="W293" i="14" s="1"/>
  <c r="L35" i="14"/>
  <c r="K35" i="14"/>
  <c r="M35" i="14"/>
  <c r="N35" i="14"/>
  <c r="O35" i="14"/>
  <c r="P35" i="14"/>
  <c r="U40" i="14"/>
  <c r="U184" i="14"/>
  <c r="K265" i="14"/>
  <c r="L265" i="14"/>
  <c r="P265" i="14"/>
  <c r="M265" i="14"/>
  <c r="N265" i="14"/>
  <c r="O265" i="14"/>
  <c r="Q289" i="14"/>
  <c r="R289" i="14"/>
  <c r="R82" i="14"/>
  <c r="V82" i="14"/>
  <c r="W82" i="14" s="1"/>
  <c r="Q82" i="14"/>
  <c r="R17" i="14"/>
  <c r="Q17" i="14"/>
  <c r="R185" i="14"/>
  <c r="Q198" i="14"/>
  <c r="R198" i="14"/>
  <c r="P111" i="14"/>
  <c r="K111" i="14"/>
  <c r="L111" i="14"/>
  <c r="N111" i="14"/>
  <c r="O111" i="14"/>
  <c r="M111" i="14"/>
  <c r="U402" i="14"/>
  <c r="V402" i="14"/>
  <c r="W402" i="14" s="1"/>
  <c r="Q239" i="14"/>
  <c r="K117" i="14"/>
  <c r="L117" i="14"/>
  <c r="O117" i="14"/>
  <c r="P117" i="14"/>
  <c r="N117" i="14"/>
  <c r="M117" i="14"/>
  <c r="U70" i="14"/>
  <c r="U35" i="14"/>
  <c r="V35" i="14"/>
  <c r="W35" i="14" s="1"/>
  <c r="U313" i="14"/>
  <c r="V313" i="14"/>
  <c r="W313" i="14" s="1"/>
  <c r="K122" i="14"/>
  <c r="P122" i="14"/>
  <c r="N122" i="14"/>
  <c r="O122" i="14"/>
  <c r="L122" i="14"/>
  <c r="M122" i="14"/>
  <c r="U118" i="14"/>
  <c r="U192" i="14"/>
  <c r="V192" i="14"/>
  <c r="W192" i="14" s="1"/>
  <c r="U177" i="14"/>
  <c r="Q155" i="14"/>
  <c r="U290" i="14"/>
  <c r="V290" i="14"/>
  <c r="W290" i="14" s="1"/>
  <c r="U78" i="14"/>
  <c r="U392" i="14"/>
  <c r="U420" i="14"/>
  <c r="Q275" i="14"/>
  <c r="R275" i="14"/>
  <c r="O231" i="14"/>
  <c r="P231" i="14"/>
  <c r="L231" i="14"/>
  <c r="M231" i="14"/>
  <c r="K231" i="14"/>
  <c r="N231" i="14"/>
  <c r="U323" i="14"/>
  <c r="V323" i="14"/>
  <c r="W323" i="14" s="1"/>
  <c r="U415" i="14"/>
  <c r="V415" i="14"/>
  <c r="W415" i="14" s="1"/>
  <c r="Q400" i="14"/>
  <c r="V400" i="14"/>
  <c r="W400" i="14" s="1"/>
  <c r="U295" i="14"/>
  <c r="V295" i="14"/>
  <c r="W295" i="14" s="1"/>
  <c r="Q316" i="14"/>
  <c r="R316" i="14"/>
  <c r="P90" i="14"/>
  <c r="M90" i="14"/>
  <c r="N90" i="14"/>
  <c r="O90" i="14"/>
  <c r="K90" i="14"/>
  <c r="L90" i="14"/>
  <c r="U186" i="14"/>
  <c r="R166" i="14"/>
  <c r="Q166" i="14"/>
  <c r="S166" i="14" s="1"/>
  <c r="X166" i="14" s="1"/>
  <c r="Q115" i="14"/>
  <c r="R115" i="14"/>
  <c r="V115" i="14"/>
  <c r="W115" i="14" s="1"/>
  <c r="Q163" i="14"/>
  <c r="U222" i="14"/>
  <c r="O71" i="14"/>
  <c r="P71" i="14"/>
  <c r="K71" i="14"/>
  <c r="L71" i="14"/>
  <c r="M71" i="14"/>
  <c r="N71" i="14"/>
  <c r="U318" i="14"/>
  <c r="R238" i="14"/>
  <c r="V238" i="14"/>
  <c r="W238" i="14" s="1"/>
  <c r="V255" i="14"/>
  <c r="W255" i="14" s="1"/>
  <c r="U85" i="14"/>
  <c r="Q26" i="14"/>
  <c r="M301" i="14"/>
  <c r="N301" i="14"/>
  <c r="O301" i="14"/>
  <c r="K301" i="14"/>
  <c r="L301" i="14"/>
  <c r="P301" i="14"/>
  <c r="Q179" i="14"/>
  <c r="R179" i="14"/>
  <c r="Q291" i="14"/>
  <c r="S291" i="14" s="1"/>
  <c r="X291" i="14" s="1"/>
  <c r="V312" i="14"/>
  <c r="W312" i="14" s="1"/>
  <c r="U312" i="14"/>
  <c r="R417" i="14"/>
  <c r="S417" i="14" s="1"/>
  <c r="X417" i="14" s="1"/>
  <c r="Q27" i="14"/>
  <c r="V347" i="14"/>
  <c r="W347" i="14" s="1"/>
  <c r="U347" i="14"/>
  <c r="V205" i="14"/>
  <c r="W205" i="14" s="1"/>
  <c r="K197" i="14"/>
  <c r="O197" i="14"/>
  <c r="M197" i="14"/>
  <c r="L197" i="14"/>
  <c r="N197" i="14"/>
  <c r="P197" i="14"/>
  <c r="R353" i="14"/>
  <c r="Q353" i="14"/>
  <c r="K383" i="14"/>
  <c r="V383" i="14" s="1"/>
  <c r="W383" i="14" s="1"/>
  <c r="L383" i="14"/>
  <c r="M383" i="14"/>
  <c r="N383" i="14"/>
  <c r="O383" i="14"/>
  <c r="P383" i="14"/>
  <c r="R101" i="14"/>
  <c r="U357" i="14"/>
  <c r="U277" i="14"/>
  <c r="V401" i="14"/>
  <c r="W401" i="14" s="1"/>
  <c r="U234" i="14"/>
  <c r="V245" i="14"/>
  <c r="W245" i="14" s="1"/>
  <c r="R337" i="14"/>
  <c r="Q415" i="14"/>
  <c r="R415" i="14"/>
  <c r="V198" i="14"/>
  <c r="W198" i="14" s="1"/>
  <c r="U198" i="14"/>
  <c r="U91" i="14"/>
  <c r="U159" i="14"/>
  <c r="V159" i="14"/>
  <c r="W159" i="14" s="1"/>
  <c r="Q154" i="14"/>
  <c r="R154" i="14"/>
  <c r="V16" i="14"/>
  <c r="W16" i="14" s="1"/>
  <c r="U16" i="14"/>
  <c r="K85" i="14"/>
  <c r="P85" i="14"/>
  <c r="L85" i="14"/>
  <c r="M85" i="14"/>
  <c r="N85" i="14"/>
  <c r="O85" i="14"/>
  <c r="U14" i="14"/>
  <c r="V14" i="14"/>
  <c r="W14" i="14" s="1"/>
  <c r="U301" i="14"/>
  <c r="V301" i="14"/>
  <c r="W301" i="14" s="1"/>
  <c r="R213" i="14"/>
  <c r="S213" i="14" s="1"/>
  <c r="X213" i="14" s="1"/>
  <c r="O229" i="14"/>
  <c r="P229" i="14"/>
  <c r="K229" i="14"/>
  <c r="L229" i="14"/>
  <c r="M229" i="14"/>
  <c r="N229" i="14"/>
  <c r="Q393" i="14"/>
  <c r="V393" i="14"/>
  <c r="W393" i="14" s="1"/>
  <c r="U349" i="14"/>
  <c r="V83" i="14"/>
  <c r="W83" i="14" s="1"/>
  <c r="K397" i="14"/>
  <c r="N397" i="14"/>
  <c r="L397" i="14"/>
  <c r="M397" i="14"/>
  <c r="O397" i="14"/>
  <c r="P397" i="14"/>
  <c r="U383" i="14"/>
  <c r="V218" i="14"/>
  <c r="W218" i="14" s="1"/>
  <c r="U218" i="14"/>
  <c r="M357" i="14"/>
  <c r="N357" i="14"/>
  <c r="O357" i="14"/>
  <c r="K357" i="14"/>
  <c r="L357" i="14"/>
  <c r="P357" i="14"/>
  <c r="V76" i="14"/>
  <c r="W76" i="14" s="1"/>
  <c r="Q313" i="14"/>
  <c r="R313" i="14"/>
  <c r="Q287" i="14"/>
  <c r="U147" i="14"/>
  <c r="V147" i="14"/>
  <c r="W147" i="14" s="1"/>
  <c r="U112" i="14"/>
  <c r="L159" i="14"/>
  <c r="M159" i="14"/>
  <c r="K159" i="14"/>
  <c r="N159" i="14"/>
  <c r="P159" i="14"/>
  <c r="O159" i="14"/>
  <c r="Q268" i="14"/>
  <c r="R268" i="14"/>
  <c r="Q194" i="14"/>
  <c r="R194" i="14"/>
  <c r="Q144" i="14"/>
  <c r="R144" i="14"/>
  <c r="U229" i="14"/>
  <c r="K349" i="14"/>
  <c r="N349" i="14"/>
  <c r="O349" i="14"/>
  <c r="L349" i="14"/>
  <c r="M349" i="14"/>
  <c r="P349" i="14"/>
  <c r="U307" i="14"/>
  <c r="V307" i="14"/>
  <c r="W307" i="14" s="1"/>
  <c r="U397" i="14"/>
  <c r="Q418" i="14"/>
  <c r="R418" i="14"/>
  <c r="V418" i="14"/>
  <c r="W418" i="14" s="1"/>
  <c r="U232" i="14"/>
  <c r="V232" i="14"/>
  <c r="W232" i="14" s="1"/>
  <c r="R158" i="14"/>
  <c r="Q324" i="14"/>
  <c r="R324" i="14"/>
  <c r="V324" i="14"/>
  <c r="W324" i="14" s="1"/>
  <c r="U425" i="14"/>
  <c r="V425" i="14"/>
  <c r="W425" i="14" s="1"/>
  <c r="R405" i="14"/>
  <c r="U38" i="14"/>
  <c r="V38" i="14"/>
  <c r="W38" i="14" s="1"/>
  <c r="V254" i="14"/>
  <c r="W254" i="14" s="1"/>
  <c r="U406" i="14"/>
  <c r="Q267" i="14"/>
  <c r="Q237" i="14"/>
  <c r="R237" i="14"/>
  <c r="U65" i="14"/>
  <c r="Q273" i="14"/>
  <c r="R273" i="14"/>
  <c r="U244" i="14"/>
  <c r="V244" i="14"/>
  <c r="W244" i="14" s="1"/>
  <c r="U219" i="14"/>
  <c r="O216" i="14"/>
  <c r="K216" i="14"/>
  <c r="L216" i="14"/>
  <c r="N216" i="14"/>
  <c r="P216" i="14"/>
  <c r="M216" i="14"/>
  <c r="U237" i="14"/>
  <c r="V237" i="14"/>
  <c r="W237" i="14" s="1"/>
  <c r="U216" i="14"/>
  <c r="S134" i="14"/>
  <c r="X134" i="14" s="1"/>
  <c r="U74" i="14"/>
  <c r="U157" i="14"/>
  <c r="U86" i="14"/>
  <c r="U80" i="14"/>
  <c r="V102" i="14"/>
  <c r="W102" i="14" s="1"/>
  <c r="K157" i="14"/>
  <c r="L157" i="14"/>
  <c r="P157" i="14"/>
  <c r="M157" i="14"/>
  <c r="N157" i="14"/>
  <c r="O157" i="14"/>
  <c r="V413" i="14"/>
  <c r="W413" i="14" s="1"/>
  <c r="R200" i="14"/>
  <c r="Q200" i="14"/>
  <c r="S200" i="14" s="1"/>
  <c r="X200" i="14" s="1"/>
  <c r="Q413" i="14"/>
  <c r="N406" i="14"/>
  <c r="K406" i="14"/>
  <c r="L406" i="14"/>
  <c r="M406" i="14"/>
  <c r="O406" i="14"/>
  <c r="P406" i="14"/>
  <c r="U360" i="14"/>
  <c r="U427" i="14"/>
  <c r="V427" i="14"/>
  <c r="W427" i="14" s="1"/>
  <c r="U305" i="14"/>
  <c r="V305" i="14"/>
  <c r="W305" i="14" s="1"/>
  <c r="Q212" i="14"/>
  <c r="Q372" i="14"/>
  <c r="R372" i="14"/>
  <c r="U54" i="14"/>
  <c r="V54" i="14"/>
  <c r="W54" i="14" s="1"/>
  <c r="U79" i="14"/>
  <c r="V79" i="14"/>
  <c r="W79" i="14" s="1"/>
  <c r="V180" i="14"/>
  <c r="W180" i="14" s="1"/>
  <c r="U180" i="14"/>
  <c r="V12" i="14"/>
  <c r="W12" i="14" s="1"/>
  <c r="U12" i="14"/>
  <c r="S369" i="14"/>
  <c r="X369" i="14" s="1"/>
  <c r="Q131" i="14"/>
  <c r="R131" i="14"/>
  <c r="U176" i="14"/>
  <c r="R147" i="14"/>
  <c r="Q147" i="14"/>
  <c r="U24" i="14"/>
  <c r="V24" i="14"/>
  <c r="W24" i="14" s="1"/>
  <c r="V128" i="14"/>
  <c r="W128" i="14" s="1"/>
  <c r="U381" i="14"/>
  <c r="V381" i="14"/>
  <c r="W381" i="14" s="1"/>
  <c r="M68" i="14"/>
  <c r="N68" i="14"/>
  <c r="O68" i="14"/>
  <c r="K68" i="14"/>
  <c r="V68" i="14" s="1"/>
  <c r="W68" i="14" s="1"/>
  <c r="P68" i="14"/>
  <c r="L68" i="14"/>
  <c r="Q42" i="14"/>
  <c r="R379" i="14"/>
  <c r="U417" i="14"/>
  <c r="V417" i="14"/>
  <c r="W417" i="14" s="1"/>
  <c r="Q54" i="14"/>
  <c r="U329" i="14"/>
  <c r="V329" i="14"/>
  <c r="W329" i="14" s="1"/>
  <c r="Q274" i="14"/>
  <c r="Q280" i="14"/>
  <c r="R225" i="14"/>
  <c r="Q225" i="14"/>
  <c r="Q263" i="14"/>
  <c r="R263" i="14"/>
  <c r="L43" i="14"/>
  <c r="M43" i="14"/>
  <c r="N43" i="14"/>
  <c r="K43" i="14"/>
  <c r="O43" i="14"/>
  <c r="P43" i="14"/>
  <c r="U32" i="14"/>
  <c r="V32" i="14"/>
  <c r="W32" i="14" s="1"/>
  <c r="U68" i="14"/>
  <c r="U55" i="14"/>
  <c r="Q311" i="14"/>
  <c r="R311" i="14"/>
  <c r="U22" i="14"/>
  <c r="V22" i="14"/>
  <c r="W22" i="14" s="1"/>
  <c r="Q371" i="14"/>
  <c r="Q162" i="14"/>
  <c r="R162" i="14"/>
  <c r="V162" i="14"/>
  <c r="W162" i="14" s="1"/>
  <c r="U345" i="14"/>
  <c r="R76" i="14"/>
  <c r="S76" i="14" s="1"/>
  <c r="X76" i="14" s="1"/>
  <c r="Q127" i="14"/>
  <c r="R127" i="14"/>
  <c r="R140" i="14"/>
  <c r="Q140" i="14"/>
  <c r="R416" i="14"/>
  <c r="L75" i="14"/>
  <c r="M75" i="14"/>
  <c r="P75" i="14"/>
  <c r="O75" i="14"/>
  <c r="K75" i="14"/>
  <c r="V75" i="14" s="1"/>
  <c r="W75" i="14" s="1"/>
  <c r="N75" i="14"/>
  <c r="R373" i="14"/>
  <c r="Q373" i="14"/>
  <c r="Q240" i="14"/>
  <c r="R240" i="14"/>
  <c r="M294" i="14"/>
  <c r="N294" i="14"/>
  <c r="O294" i="14"/>
  <c r="L294" i="14"/>
  <c r="K294" i="14"/>
  <c r="P294" i="14"/>
  <c r="O38" i="14"/>
  <c r="P38" i="14"/>
  <c r="L38" i="14"/>
  <c r="M38" i="14"/>
  <c r="N38" i="14"/>
  <c r="K38" i="14"/>
  <c r="R212" i="14"/>
  <c r="U211" i="14"/>
  <c r="R46" i="14"/>
  <c r="V101" i="14"/>
  <c r="W101" i="14" s="1"/>
  <c r="U101" i="14"/>
  <c r="U43" i="14"/>
  <c r="U94" i="14"/>
  <c r="Q283" i="14"/>
  <c r="R283" i="14"/>
  <c r="P22" i="14"/>
  <c r="K22" i="14"/>
  <c r="L22" i="14"/>
  <c r="N22" i="14"/>
  <c r="O22" i="14"/>
  <c r="M22" i="14"/>
  <c r="U84" i="14"/>
  <c r="R347" i="14"/>
  <c r="S347" i="14" s="1"/>
  <c r="X347" i="14" s="1"/>
  <c r="N149" i="14"/>
  <c r="O149" i="14"/>
  <c r="M149" i="14"/>
  <c r="P149" i="14"/>
  <c r="K149" i="14"/>
  <c r="L149" i="14"/>
  <c r="N119" i="14"/>
  <c r="O119" i="14"/>
  <c r="P119" i="14"/>
  <c r="M119" i="14"/>
  <c r="K119" i="14"/>
  <c r="L119" i="14"/>
  <c r="U426" i="14"/>
  <c r="U314" i="14"/>
  <c r="U338" i="14"/>
  <c r="R375" i="14"/>
  <c r="V325" i="14"/>
  <c r="W325" i="14" s="1"/>
  <c r="U325" i="14"/>
  <c r="R143" i="14"/>
  <c r="L266" i="14"/>
  <c r="M266" i="14"/>
  <c r="N266" i="14"/>
  <c r="K266" i="14"/>
  <c r="V266" i="14" s="1"/>
  <c r="W266" i="14" s="1"/>
  <c r="O266" i="14"/>
  <c r="P266" i="14"/>
  <c r="Q401" i="14"/>
  <c r="U377" i="14"/>
  <c r="Q398" i="14"/>
  <c r="R398" i="14"/>
  <c r="V398" i="14"/>
  <c r="W398" i="14" s="1"/>
  <c r="L86" i="14"/>
  <c r="K86" i="14"/>
  <c r="N86" i="14"/>
  <c r="M86" i="14"/>
  <c r="O86" i="14"/>
  <c r="P86" i="14"/>
  <c r="M378" i="14"/>
  <c r="P378" i="14"/>
  <c r="K378" i="14"/>
  <c r="L378" i="14"/>
  <c r="N378" i="14"/>
  <c r="O378" i="14"/>
  <c r="U320" i="14"/>
  <c r="V320" i="14"/>
  <c r="W320" i="14" s="1"/>
  <c r="Q44" i="14"/>
  <c r="R425" i="14"/>
  <c r="Q425" i="14"/>
  <c r="U367" i="14"/>
  <c r="V367" i="14"/>
  <c r="W367" i="14" s="1"/>
  <c r="U378" i="14"/>
  <c r="U116" i="14"/>
  <c r="N94" i="14"/>
  <c r="L94" i="14"/>
  <c r="M94" i="14"/>
  <c r="O94" i="14"/>
  <c r="P94" i="14"/>
  <c r="K94" i="14"/>
  <c r="Q394" i="14"/>
  <c r="R394" i="14"/>
  <c r="Q399" i="14"/>
  <c r="R399" i="14"/>
  <c r="O243" i="14"/>
  <c r="P243" i="14"/>
  <c r="M243" i="14"/>
  <c r="K243" i="14"/>
  <c r="L243" i="14"/>
  <c r="N243" i="14"/>
  <c r="R339" i="14"/>
  <c r="Q339" i="14"/>
  <c r="U241" i="14"/>
  <c r="V241" i="14"/>
  <c r="W241" i="14" s="1"/>
  <c r="U149" i="14"/>
  <c r="V149" i="14"/>
  <c r="W149" i="14" s="1"/>
  <c r="U119" i="14"/>
  <c r="V268" i="14"/>
  <c r="W268" i="14" s="1"/>
  <c r="L426" i="14"/>
  <c r="K426" i="14"/>
  <c r="P426" i="14"/>
  <c r="M426" i="14"/>
  <c r="N426" i="14"/>
  <c r="O426" i="14"/>
  <c r="U341" i="14"/>
  <c r="L109" i="14"/>
  <c r="M109" i="14"/>
  <c r="N109" i="14"/>
  <c r="K109" i="14"/>
  <c r="O109" i="14"/>
  <c r="P109" i="14"/>
  <c r="P338" i="14"/>
  <c r="M338" i="14"/>
  <c r="O338" i="14"/>
  <c r="K338" i="14"/>
  <c r="L338" i="14"/>
  <c r="N338" i="14"/>
  <c r="V319" i="14"/>
  <c r="W319" i="14" s="1"/>
  <c r="V166" i="14"/>
  <c r="W166" i="14" s="1"/>
  <c r="U98" i="14"/>
  <c r="L322" i="14"/>
  <c r="M322" i="14"/>
  <c r="N322" i="14"/>
  <c r="K322" i="14"/>
  <c r="O322" i="14"/>
  <c r="P322" i="14"/>
  <c r="V311" i="14"/>
  <c r="W311" i="14" s="1"/>
  <c r="U266" i="14"/>
  <c r="O187" i="14"/>
  <c r="K187" i="14"/>
  <c r="M187" i="14"/>
  <c r="P187" i="14"/>
  <c r="L187" i="14"/>
  <c r="N187" i="14"/>
  <c r="U390" i="14"/>
  <c r="V390" i="14"/>
  <c r="W390" i="14" s="1"/>
  <c r="Q53" i="14"/>
  <c r="S53" i="14" s="1"/>
  <c r="X53" i="14" s="1"/>
  <c r="V144" i="14"/>
  <c r="W144" i="14" s="1"/>
  <c r="U144" i="14"/>
  <c r="Q215" i="14"/>
  <c r="R215" i="14"/>
  <c r="V215" i="14"/>
  <c r="W215" i="14" s="1"/>
  <c r="R64" i="14"/>
  <c r="Q64" i="14"/>
  <c r="V64" i="14"/>
  <c r="W64" i="14" s="1"/>
  <c r="U30" i="14"/>
  <c r="V30" i="14"/>
  <c r="W30" i="14" s="1"/>
  <c r="U31" i="14"/>
  <c r="V31" i="14"/>
  <c r="W31" i="14" s="1"/>
  <c r="K414" i="14"/>
  <c r="L414" i="14"/>
  <c r="M414" i="14"/>
  <c r="O414" i="14"/>
  <c r="P414" i="14"/>
  <c r="N414" i="14"/>
  <c r="U63" i="14"/>
  <c r="V63" i="14"/>
  <c r="W63" i="14" s="1"/>
  <c r="V34" i="14"/>
  <c r="W34" i="14" s="1"/>
  <c r="U34" i="14"/>
  <c r="R74" i="14"/>
  <c r="R125" i="14"/>
  <c r="V125" i="14"/>
  <c r="W125" i="14" s="1"/>
  <c r="Q128" i="14"/>
  <c r="S128" i="14" s="1"/>
  <c r="X128" i="14" s="1"/>
  <c r="S165" i="14"/>
  <c r="X165" i="14" s="1"/>
  <c r="Q121" i="14"/>
  <c r="R121" i="14"/>
  <c r="R323" i="14"/>
  <c r="R402" i="14"/>
  <c r="U243" i="14"/>
  <c r="R53" i="14"/>
  <c r="U260" i="14"/>
  <c r="Q32" i="14"/>
  <c r="R32" i="14"/>
  <c r="Q142" i="14"/>
  <c r="R142" i="14"/>
  <c r="K341" i="14"/>
  <c r="M341" i="14"/>
  <c r="L341" i="14"/>
  <c r="N341" i="14"/>
  <c r="O341" i="14"/>
  <c r="P341" i="14"/>
  <c r="V394" i="14"/>
  <c r="W394" i="14" s="1"/>
  <c r="U109" i="14"/>
  <c r="O351" i="14"/>
  <c r="P351" i="14"/>
  <c r="N351" i="14"/>
  <c r="L351" i="14"/>
  <c r="M351" i="14"/>
  <c r="K351" i="14"/>
  <c r="Q224" i="14"/>
  <c r="M98" i="14"/>
  <c r="N98" i="14"/>
  <c r="O98" i="14"/>
  <c r="P98" i="14"/>
  <c r="L98" i="14"/>
  <c r="K98" i="14"/>
  <c r="R305" i="14"/>
  <c r="Q305" i="14"/>
  <c r="U322" i="14"/>
  <c r="K206" i="14"/>
  <c r="L206" i="14"/>
  <c r="M206" i="14"/>
  <c r="N206" i="14"/>
  <c r="O206" i="14"/>
  <c r="P206" i="14"/>
  <c r="U379" i="14"/>
  <c r="V379" i="14"/>
  <c r="W379" i="14" s="1"/>
  <c r="V179" i="14"/>
  <c r="W179" i="14" s="1"/>
  <c r="U179" i="14"/>
  <c r="Q218" i="14"/>
  <c r="R218" i="14"/>
  <c r="Q161" i="14"/>
  <c r="P36" i="14"/>
  <c r="L36" i="14"/>
  <c r="M36" i="14"/>
  <c r="K36" i="14"/>
  <c r="N36" i="14"/>
  <c r="O36" i="14"/>
  <c r="O116" i="14"/>
  <c r="P116" i="14"/>
  <c r="K116" i="14"/>
  <c r="L116" i="14"/>
  <c r="M116" i="14"/>
  <c r="N116" i="14"/>
  <c r="U36" i="14"/>
  <c r="V36" i="14"/>
  <c r="W36" i="14" s="1"/>
  <c r="U110" i="14"/>
  <c r="U248" i="14"/>
  <c r="P365" i="14"/>
  <c r="K365" i="14"/>
  <c r="L365" i="14"/>
  <c r="M365" i="14"/>
  <c r="N365" i="14"/>
  <c r="O365" i="14"/>
  <c r="U214" i="14"/>
  <c r="V214" i="14"/>
  <c r="W214" i="14" s="1"/>
  <c r="Q135" i="14"/>
  <c r="R135" i="14"/>
  <c r="U365" i="14"/>
  <c r="M34" i="14"/>
  <c r="N34" i="14"/>
  <c r="P34" i="14"/>
  <c r="K34" i="14"/>
  <c r="O34" i="14"/>
  <c r="L34" i="14"/>
  <c r="U185" i="14"/>
  <c r="V185" i="14"/>
  <c r="W185" i="14" s="1"/>
  <c r="U108" i="14"/>
  <c r="M363" i="14"/>
  <c r="K363" i="14"/>
  <c r="L363" i="14"/>
  <c r="P363" i="14"/>
  <c r="N363" i="14"/>
  <c r="O363" i="14"/>
  <c r="R307" i="14"/>
  <c r="S307" i="14" s="1"/>
  <c r="X307" i="14" s="1"/>
  <c r="U66" i="14"/>
  <c r="V141" i="14"/>
  <c r="W141" i="14" s="1"/>
  <c r="U141" i="14"/>
  <c r="K260" i="14"/>
  <c r="L260" i="14"/>
  <c r="M260" i="14"/>
  <c r="N260" i="14"/>
  <c r="O260" i="14"/>
  <c r="P260" i="14"/>
  <c r="V188" i="14"/>
  <c r="W188" i="14" s="1"/>
  <c r="U188" i="14"/>
  <c r="U385" i="14"/>
  <c r="V385" i="14"/>
  <c r="W385" i="14" s="1"/>
  <c r="U152" i="14"/>
  <c r="V152" i="14"/>
  <c r="W152" i="14" s="1"/>
  <c r="U409" i="14"/>
  <c r="U77" i="14"/>
  <c r="Q325" i="14"/>
  <c r="R325" i="14"/>
  <c r="P332" i="14"/>
  <c r="K332" i="14"/>
  <c r="L332" i="14"/>
  <c r="O332" i="14"/>
  <c r="M332" i="14"/>
  <c r="N332" i="14"/>
  <c r="R245" i="14"/>
  <c r="L246" i="14"/>
  <c r="O246" i="14"/>
  <c r="P246" i="14"/>
  <c r="K246" i="14"/>
  <c r="N246" i="14"/>
  <c r="M246" i="14"/>
  <c r="K253" i="14"/>
  <c r="P253" i="14"/>
  <c r="L253" i="14"/>
  <c r="M253" i="14"/>
  <c r="N253" i="14"/>
  <c r="O253" i="14"/>
  <c r="U193" i="14"/>
  <c r="V193" i="14"/>
  <c r="W193" i="14" s="1"/>
  <c r="P211" i="14"/>
  <c r="K211" i="14"/>
  <c r="L211" i="14"/>
  <c r="M211" i="14"/>
  <c r="N211" i="14"/>
  <c r="O211" i="14"/>
  <c r="U339" i="14"/>
  <c r="V339" i="14"/>
  <c r="W339" i="14" s="1"/>
  <c r="V412" i="14"/>
  <c r="W412" i="14" s="1"/>
  <c r="Q46" i="14"/>
  <c r="Q368" i="14"/>
  <c r="R368" i="14"/>
  <c r="U57" i="14"/>
  <c r="Q126" i="14"/>
  <c r="R126" i="14"/>
  <c r="V223" i="14"/>
  <c r="W223" i="14" s="1"/>
  <c r="Q223" i="14"/>
  <c r="R223" i="14"/>
  <c r="K145" i="14"/>
  <c r="N145" i="14"/>
  <c r="L145" i="14"/>
  <c r="M145" i="14"/>
  <c r="O145" i="14"/>
  <c r="P145" i="14"/>
  <c r="V139" i="14"/>
  <c r="W139" i="14" s="1"/>
  <c r="U139" i="14"/>
  <c r="Q333" i="14"/>
  <c r="R333" i="14"/>
  <c r="U363" i="14"/>
  <c r="M66" i="14"/>
  <c r="N66" i="14"/>
  <c r="O66" i="14"/>
  <c r="K66" i="14"/>
  <c r="L66" i="14"/>
  <c r="P66" i="14"/>
  <c r="K141" i="14"/>
  <c r="P141" i="14"/>
  <c r="L141" i="14"/>
  <c r="M141" i="14"/>
  <c r="N141" i="14"/>
  <c r="O141" i="14"/>
  <c r="U253" i="14"/>
  <c r="R203" i="14"/>
  <c r="Q203" i="14"/>
  <c r="K409" i="14"/>
  <c r="L409" i="14"/>
  <c r="O409" i="14"/>
  <c r="P409" i="14"/>
  <c r="N409" i="14"/>
  <c r="M409" i="14"/>
  <c r="Q385" i="14"/>
  <c r="R385" i="14"/>
  <c r="V371" i="14"/>
  <c r="W371" i="14" s="1"/>
  <c r="U332" i="14"/>
  <c r="U246" i="14"/>
  <c r="M296" i="13"/>
  <c r="N296" i="13" s="1"/>
  <c r="L296" i="13"/>
  <c r="L84" i="13"/>
  <c r="M84" i="13"/>
  <c r="V84" i="13" s="1"/>
  <c r="W84" i="13" s="1"/>
  <c r="L163" i="13"/>
  <c r="M163" i="13"/>
  <c r="M87" i="13"/>
  <c r="N87" i="13" s="1"/>
  <c r="L87" i="13"/>
  <c r="L182" i="13"/>
  <c r="M182" i="13"/>
  <c r="N182" i="13" s="1"/>
  <c r="L312" i="13"/>
  <c r="M312" i="13"/>
  <c r="L285" i="13"/>
  <c r="M285" i="13"/>
  <c r="N285" i="13" s="1"/>
  <c r="M284" i="13"/>
  <c r="N284" i="13" s="1"/>
  <c r="L284" i="13"/>
  <c r="L394" i="13"/>
  <c r="M394" i="13"/>
  <c r="N394" i="13" s="1"/>
  <c r="M193" i="13"/>
  <c r="N193" i="13" s="1"/>
  <c r="L193" i="13"/>
  <c r="L111" i="13"/>
  <c r="M111" i="13"/>
  <c r="N111" i="13" s="1"/>
  <c r="M324" i="13"/>
  <c r="N324" i="13" s="1"/>
  <c r="L324" i="13"/>
  <c r="M94" i="13"/>
  <c r="N94" i="13" s="1"/>
  <c r="L94" i="13"/>
  <c r="L71" i="13"/>
  <c r="M71" i="13"/>
  <c r="N71" i="13" s="1"/>
  <c r="M156" i="13"/>
  <c r="L156" i="13"/>
  <c r="M110" i="13"/>
  <c r="N110" i="13" s="1"/>
  <c r="L110" i="13"/>
  <c r="V32" i="13"/>
  <c r="W32" i="13" s="1"/>
  <c r="N32" i="13"/>
  <c r="M374" i="13"/>
  <c r="N374" i="13" s="1"/>
  <c r="L374" i="13"/>
  <c r="M303" i="13"/>
  <c r="L303" i="13"/>
  <c r="M30" i="13"/>
  <c r="L30" i="13"/>
  <c r="L289" i="13"/>
  <c r="M289" i="13"/>
  <c r="N289" i="13" s="1"/>
  <c r="M158" i="13"/>
  <c r="L158" i="13"/>
  <c r="M242" i="13"/>
  <c r="V242" i="13" s="1"/>
  <c r="W242" i="13" s="1"/>
  <c r="L242" i="13"/>
  <c r="L72" i="13"/>
  <c r="M72" i="13"/>
  <c r="N72" i="13" s="1"/>
  <c r="M252" i="13"/>
  <c r="V252" i="13" s="1"/>
  <c r="W252" i="13" s="1"/>
  <c r="L252" i="13"/>
  <c r="L319" i="13"/>
  <c r="M319" i="13"/>
  <c r="V130" i="13"/>
  <c r="W130" i="13" s="1"/>
  <c r="L399" i="13"/>
  <c r="M399" i="13"/>
  <c r="N280" i="13"/>
  <c r="L364" i="13"/>
  <c r="M364" i="13"/>
  <c r="M22" i="13"/>
  <c r="L22" i="13"/>
  <c r="M39" i="13"/>
  <c r="L39" i="13"/>
  <c r="M391" i="13"/>
  <c r="N391" i="13" s="1"/>
  <c r="L391" i="13"/>
  <c r="M61" i="13"/>
  <c r="N61" i="13" s="1"/>
  <c r="L61" i="13"/>
  <c r="M64" i="13"/>
  <c r="N64" i="13" s="1"/>
  <c r="L64" i="13"/>
  <c r="M149" i="13"/>
  <c r="L149" i="13"/>
  <c r="L46" i="13"/>
  <c r="M46" i="13"/>
  <c r="N46" i="13" s="1"/>
  <c r="M302" i="13"/>
  <c r="N302" i="13" s="1"/>
  <c r="L302" i="13"/>
  <c r="Q326" i="13"/>
  <c r="V184" i="13"/>
  <c r="W184" i="13" s="1"/>
  <c r="S110" i="13"/>
  <c r="L135" i="13"/>
  <c r="L414" i="13"/>
  <c r="T76" i="13"/>
  <c r="R72" i="13"/>
  <c r="R327" i="13"/>
  <c r="U383" i="13"/>
  <c r="M204" i="13"/>
  <c r="V204" i="13" s="1"/>
  <c r="W204" i="13" s="1"/>
  <c r="R240" i="13"/>
  <c r="U89" i="13"/>
  <c r="V93" i="13"/>
  <c r="W93" i="13" s="1"/>
  <c r="S416" i="13"/>
  <c r="U384" i="13"/>
  <c r="V298" i="13"/>
  <c r="W298" i="13" s="1"/>
  <c r="N298" i="13"/>
  <c r="Q380" i="13"/>
  <c r="T352" i="13"/>
  <c r="T325" i="13"/>
  <c r="R308" i="13"/>
  <c r="S134" i="13"/>
  <c r="P410" i="13"/>
  <c r="R260" i="13"/>
  <c r="R110" i="13"/>
  <c r="V120" i="13"/>
  <c r="W120" i="13" s="1"/>
  <c r="R102" i="13"/>
  <c r="S76" i="13"/>
  <c r="T72" i="13"/>
  <c r="P327" i="13"/>
  <c r="V327" i="13" s="1"/>
  <c r="W327" i="13" s="1"/>
  <c r="S383" i="13"/>
  <c r="V383" i="13" s="1"/>
  <c r="W383" i="13" s="1"/>
  <c r="U431" i="13"/>
  <c r="R252" i="13"/>
  <c r="Q22" i="13"/>
  <c r="Q29" i="13"/>
  <c r="V227" i="13"/>
  <c r="W227" i="13" s="1"/>
  <c r="T416" i="13"/>
  <c r="L433" i="13"/>
  <c r="Q276" i="13"/>
  <c r="R276" i="13"/>
  <c r="P280" i="13"/>
  <c r="Q280" i="13"/>
  <c r="R280" i="13"/>
  <c r="S280" i="13"/>
  <c r="T280" i="13"/>
  <c r="U280" i="13"/>
  <c r="L233" i="13"/>
  <c r="U380" i="13"/>
  <c r="S352" i="13"/>
  <c r="P129" i="13"/>
  <c r="Q308" i="13"/>
  <c r="N27" i="13"/>
  <c r="V27" i="13"/>
  <c r="W27" i="13" s="1"/>
  <c r="M15" i="13"/>
  <c r="V15" i="13" s="1"/>
  <c r="W15" i="13" s="1"/>
  <c r="L15" i="13"/>
  <c r="U308" i="13"/>
  <c r="U110" i="13"/>
  <c r="U416" i="13"/>
  <c r="R116" i="13"/>
  <c r="T73" i="13"/>
  <c r="R88" i="13"/>
  <c r="P325" i="13"/>
  <c r="S381" i="13"/>
  <c r="T102" i="13"/>
  <c r="M53" i="13"/>
  <c r="P76" i="13"/>
  <c r="M76" i="13"/>
  <c r="N76" i="13" s="1"/>
  <c r="Q327" i="13"/>
  <c r="P383" i="13"/>
  <c r="R150" i="13"/>
  <c r="M291" i="13"/>
  <c r="T22" i="13"/>
  <c r="S350" i="13"/>
  <c r="P62" i="13"/>
  <c r="V62" i="13" s="1"/>
  <c r="W62" i="13" s="1"/>
  <c r="Q356" i="13"/>
  <c r="T104" i="13"/>
  <c r="R104" i="13"/>
  <c r="P104" i="13"/>
  <c r="Q104" i="13"/>
  <c r="R243" i="13"/>
  <c r="S276" i="13"/>
  <c r="U222" i="13"/>
  <c r="M380" i="13"/>
  <c r="R352" i="13"/>
  <c r="L219" i="13"/>
  <c r="Q269" i="13"/>
  <c r="V269" i="13" s="1"/>
  <c r="W269" i="13" s="1"/>
  <c r="P308" i="13"/>
  <c r="S129" i="13"/>
  <c r="P110" i="13"/>
  <c r="P416" i="13"/>
  <c r="S328" i="13"/>
  <c r="S102" i="13"/>
  <c r="S384" i="13"/>
  <c r="P28" i="13"/>
  <c r="Q28" i="13"/>
  <c r="Q183" i="13"/>
  <c r="O15" i="13"/>
  <c r="M121" i="13"/>
  <c r="N121" i="13" s="1"/>
  <c r="U130" i="13"/>
  <c r="U273" i="13"/>
  <c r="L308" i="13"/>
  <c r="L37" i="13"/>
  <c r="M37" i="13"/>
  <c r="M106" i="13"/>
  <c r="N106" i="13" s="1"/>
  <c r="S208" i="13"/>
  <c r="S150" i="13"/>
  <c r="R194" i="13"/>
  <c r="S269" i="13"/>
  <c r="U132" i="13"/>
  <c r="Q69" i="13"/>
  <c r="R208" i="13"/>
  <c r="S221" i="13"/>
  <c r="R50" i="13"/>
  <c r="U326" i="13"/>
  <c r="P335" i="13"/>
  <c r="U208" i="13"/>
  <c r="T150" i="13"/>
  <c r="P194" i="13"/>
  <c r="V401" i="13"/>
  <c r="W401" i="13" s="1"/>
  <c r="R269" i="13"/>
  <c r="T132" i="13"/>
  <c r="U69" i="13"/>
  <c r="U137" i="13"/>
  <c r="M88" i="13"/>
  <c r="M152" i="13"/>
  <c r="S162" i="13"/>
  <c r="M50" i="13"/>
  <c r="N50" i="13" s="1"/>
  <c r="L50" i="13"/>
  <c r="R221" i="13"/>
  <c r="V221" i="13" s="1"/>
  <c r="W221" i="13" s="1"/>
  <c r="M26" i="13"/>
  <c r="Q416" i="13"/>
  <c r="T326" i="13"/>
  <c r="L136" i="13"/>
  <c r="M136" i="13"/>
  <c r="M203" i="13"/>
  <c r="N203" i="13" s="1"/>
  <c r="T260" i="13"/>
  <c r="Q208" i="13"/>
  <c r="U194" i="13"/>
  <c r="M273" i="13"/>
  <c r="N273" i="13" s="1"/>
  <c r="P397" i="13"/>
  <c r="P269" i="13"/>
  <c r="R69" i="13"/>
  <c r="T137" i="13"/>
  <c r="R163" i="13"/>
  <c r="R183" i="13"/>
  <c r="Q350" i="13"/>
  <c r="U322" i="13"/>
  <c r="M100" i="13"/>
  <c r="L31" i="13"/>
  <c r="M31" i="13"/>
  <c r="Q103" i="13"/>
  <c r="R103" i="13"/>
  <c r="S103" i="13"/>
  <c r="Q242" i="13"/>
  <c r="M185" i="13"/>
  <c r="R30" i="13"/>
  <c r="L68" i="13"/>
  <c r="T251" i="13"/>
  <c r="U50" i="13"/>
  <c r="P384" i="13"/>
  <c r="P240" i="13"/>
  <c r="U241" i="13"/>
  <c r="U382" i="13"/>
  <c r="V382" i="13" s="1"/>
  <c r="W382" i="13" s="1"/>
  <c r="U207" i="13"/>
  <c r="S50" i="13"/>
  <c r="R162" i="13"/>
  <c r="S356" i="13"/>
  <c r="L170" i="13"/>
  <c r="M170" i="13"/>
  <c r="N170" i="13" s="1"/>
  <c r="T29" i="13"/>
  <c r="L78" i="13"/>
  <c r="M78" i="13"/>
  <c r="N78" i="13" s="1"/>
  <c r="Q241" i="13"/>
  <c r="U269" i="13"/>
  <c r="T208" i="13"/>
  <c r="T410" i="13"/>
  <c r="P260" i="13"/>
  <c r="M134" i="13"/>
  <c r="N134" i="13" s="1"/>
  <c r="M129" i="13"/>
  <c r="P326" i="13"/>
  <c r="M202" i="13"/>
  <c r="Q279" i="13"/>
  <c r="M211" i="13"/>
  <c r="N211" i="13" s="1"/>
  <c r="Q431" i="13"/>
  <c r="S138" i="13"/>
  <c r="P44" i="13"/>
  <c r="Q44" i="13"/>
  <c r="R44" i="13"/>
  <c r="Q243" i="13"/>
  <c r="V243" i="13" s="1"/>
  <c r="W243" i="13" s="1"/>
  <c r="Q351" i="13"/>
  <c r="S351" i="13"/>
  <c r="U351" i="13"/>
  <c r="P89" i="13"/>
  <c r="V89" i="13" s="1"/>
  <c r="W89" i="13" s="1"/>
  <c r="R384" i="13"/>
  <c r="M379" i="13"/>
  <c r="N379" i="13" s="1"/>
  <c r="V354" i="13"/>
  <c r="W354" i="13" s="1"/>
  <c r="Q382" i="13"/>
  <c r="U28" i="13"/>
  <c r="Q39" i="13"/>
  <c r="S251" i="13"/>
  <c r="T50" i="13"/>
  <c r="T347" i="13"/>
  <c r="V347" i="13" s="1"/>
  <c r="W347" i="13" s="1"/>
  <c r="S193" i="13"/>
  <c r="Q384" i="13"/>
  <c r="R239" i="13"/>
  <c r="L222" i="13"/>
  <c r="P402" i="13"/>
  <c r="U243" i="13"/>
  <c r="R279" i="13"/>
  <c r="T303" i="13"/>
  <c r="T207" i="13"/>
  <c r="T19" i="13"/>
  <c r="S29" i="13"/>
  <c r="S17" i="13"/>
  <c r="M268" i="13"/>
  <c r="N268" i="13" s="1"/>
  <c r="T39" i="13"/>
  <c r="P50" i="13"/>
  <c r="R193" i="13"/>
  <c r="V284" i="13"/>
  <c r="W284" i="13" s="1"/>
  <c r="T183" i="13"/>
  <c r="M105" i="13"/>
  <c r="M137" i="13"/>
  <c r="S347" i="13"/>
  <c r="R87" i="13"/>
  <c r="U195" i="13"/>
  <c r="S207" i="13"/>
  <c r="R19" i="13"/>
  <c r="L47" i="13"/>
  <c r="M47" i="13"/>
  <c r="N47" i="13" s="1"/>
  <c r="R29" i="13"/>
  <c r="U267" i="13"/>
  <c r="M16" i="13"/>
  <c r="R17" i="13"/>
  <c r="R73" i="13"/>
  <c r="R39" i="13"/>
  <c r="Q193" i="13"/>
  <c r="S183" i="13"/>
  <c r="T328" i="13"/>
  <c r="S279" i="13"/>
  <c r="S415" i="13"/>
  <c r="P87" i="13"/>
  <c r="V87" i="13" s="1"/>
  <c r="W87" i="13" s="1"/>
  <c r="S195" i="13"/>
  <c r="Q207" i="13"/>
  <c r="S291" i="13"/>
  <c r="M243" i="13"/>
  <c r="N243" i="13" s="1"/>
  <c r="L58" i="13"/>
  <c r="L54" i="13"/>
  <c r="M54" i="13"/>
  <c r="N54" i="13" s="1"/>
  <c r="P29" i="13"/>
  <c r="U186" i="13"/>
  <c r="Q17" i="13"/>
  <c r="Q73" i="13"/>
  <c r="R146" i="13"/>
  <c r="T130" i="13"/>
  <c r="S130" i="13"/>
  <c r="M241" i="13"/>
  <c r="U221" i="13"/>
  <c r="M326" i="13"/>
  <c r="N326" i="13" s="1"/>
  <c r="L326" i="13"/>
  <c r="Q194" i="13"/>
  <c r="Q130" i="13"/>
  <c r="S39" i="13"/>
  <c r="L89" i="13"/>
  <c r="U193" i="13"/>
  <c r="T109" i="13"/>
  <c r="P328" i="13"/>
  <c r="V328" i="13" s="1"/>
  <c r="W328" i="13" s="1"/>
  <c r="R137" i="13"/>
  <c r="R130" i="13"/>
  <c r="S89" i="13"/>
  <c r="U251" i="13"/>
  <c r="P207" i="13"/>
  <c r="Q161" i="13"/>
  <c r="R161" i="13"/>
  <c r="M63" i="13"/>
  <c r="N63" i="13" s="1"/>
  <c r="M59" i="13"/>
  <c r="N59" i="13" s="1"/>
  <c r="L59" i="13"/>
  <c r="S161" i="13"/>
  <c r="T267" i="13"/>
  <c r="P267" i="13"/>
  <c r="Q267" i="13"/>
  <c r="R267" i="13"/>
  <c r="V43" i="13"/>
  <c r="W43" i="13" s="1"/>
  <c r="N43" i="13"/>
  <c r="M314" i="13"/>
  <c r="L314" i="13"/>
  <c r="U381" i="13"/>
  <c r="P73" i="13"/>
  <c r="V308" i="13"/>
  <c r="W308" i="13" s="1"/>
  <c r="N308" i="13"/>
  <c r="V33" i="13"/>
  <c r="W33" i="13" s="1"/>
  <c r="N33" i="13"/>
  <c r="M293" i="13"/>
  <c r="L293" i="13"/>
  <c r="T69" i="13"/>
  <c r="P263" i="13"/>
  <c r="T194" i="13"/>
  <c r="M207" i="13"/>
  <c r="P380" i="13"/>
  <c r="S242" i="13"/>
  <c r="T242" i="13"/>
  <c r="U242" i="13"/>
  <c r="P39" i="13"/>
  <c r="L196" i="13"/>
  <c r="T193" i="13"/>
  <c r="R109" i="13"/>
  <c r="M55" i="13"/>
  <c r="N55" i="13" s="1"/>
  <c r="L325" i="13"/>
  <c r="V357" i="13"/>
  <c r="W357" i="13" s="1"/>
  <c r="U335" i="13"/>
  <c r="L122" i="13"/>
  <c r="R328" i="13"/>
  <c r="L141" i="13"/>
  <c r="T286" i="13"/>
  <c r="U403" i="13"/>
  <c r="Q273" i="13"/>
  <c r="S87" i="13"/>
  <c r="R251" i="13"/>
  <c r="S96" i="13"/>
  <c r="T161" i="13"/>
  <c r="P19" i="13"/>
  <c r="Q239" i="13"/>
  <c r="S71" i="13"/>
  <c r="U240" i="13"/>
  <c r="L91" i="13"/>
  <c r="M91" i="13"/>
  <c r="N91" i="13" s="1"/>
  <c r="T87" i="13"/>
  <c r="T381" i="13"/>
  <c r="P146" i="13"/>
  <c r="Q263" i="13"/>
  <c r="P163" i="13"/>
  <c r="R136" i="13"/>
  <c r="Q322" i="13"/>
  <c r="P96" i="13"/>
  <c r="M403" i="13"/>
  <c r="U138" i="13"/>
  <c r="Q109" i="13"/>
  <c r="T195" i="13"/>
  <c r="S335" i="13"/>
  <c r="Q328" i="13"/>
  <c r="U163" i="13"/>
  <c r="T415" i="13"/>
  <c r="P251" i="13"/>
  <c r="P291" i="13"/>
  <c r="L102" i="13"/>
  <c r="M102" i="13"/>
  <c r="N102" i="13" s="1"/>
  <c r="L286" i="13"/>
  <c r="R336" i="13"/>
  <c r="V336" i="13" s="1"/>
  <c r="W336" i="13" s="1"/>
  <c r="M351" i="13"/>
  <c r="N351" i="13" s="1"/>
  <c r="L351" i="13"/>
  <c r="S263" i="13"/>
  <c r="Q19" i="13"/>
  <c r="P123" i="13"/>
  <c r="R415" i="13"/>
  <c r="L108" i="13"/>
  <c r="M108" i="13"/>
  <c r="P322" i="13"/>
  <c r="T138" i="13"/>
  <c r="U109" i="13"/>
  <c r="T335" i="13"/>
  <c r="M157" i="13"/>
  <c r="S260" i="13"/>
  <c r="U279" i="13"/>
  <c r="Q397" i="13"/>
  <c r="V397" i="13" s="1"/>
  <c r="W397" i="13" s="1"/>
  <c r="R397" i="13"/>
  <c r="T397" i="13"/>
  <c r="T380" i="13"/>
  <c r="R242" i="13"/>
  <c r="S19" i="13"/>
  <c r="L385" i="13"/>
  <c r="U263" i="13"/>
  <c r="P24" i="13"/>
  <c r="T263" i="13"/>
  <c r="P150" i="13"/>
  <c r="S380" i="13"/>
  <c r="S69" i="13"/>
  <c r="V69" i="13" s="1"/>
  <c r="W69" i="13" s="1"/>
  <c r="T221" i="13"/>
  <c r="S140" i="13"/>
  <c r="T163" i="13"/>
  <c r="P243" i="13"/>
  <c r="S322" i="13"/>
  <c r="V322" i="13" s="1"/>
  <c r="W322" i="13" s="1"/>
  <c r="V29" i="13"/>
  <c r="W29" i="13" s="1"/>
  <c r="Q138" i="13"/>
  <c r="S109" i="13"/>
  <c r="S62" i="13"/>
  <c r="U76" i="13"/>
  <c r="P162" i="13"/>
  <c r="U277" i="13"/>
  <c r="U327" i="13"/>
  <c r="Q260" i="13"/>
  <c r="U286" i="13"/>
  <c r="R431" i="13"/>
  <c r="T89" i="13"/>
  <c r="P279" i="13"/>
  <c r="T322" i="13"/>
  <c r="N295" i="13"/>
  <c r="V295" i="13"/>
  <c r="W295" i="13" s="1"/>
  <c r="P382" i="13"/>
  <c r="V286" i="13"/>
  <c r="W286" i="13" s="1"/>
  <c r="N286" i="13"/>
  <c r="L353" i="13"/>
  <c r="L336" i="13"/>
  <c r="L411" i="13"/>
  <c r="M411" i="13"/>
  <c r="N411" i="13" s="1"/>
  <c r="T24" i="13"/>
  <c r="U24" i="13"/>
  <c r="P137" i="13"/>
  <c r="S314" i="13"/>
  <c r="T243" i="13"/>
  <c r="T110" i="13"/>
  <c r="P138" i="13"/>
  <c r="V66" i="13"/>
  <c r="W66" i="13" s="1"/>
  <c r="R76" i="13"/>
  <c r="U162" i="13"/>
  <c r="U72" i="13"/>
  <c r="T327" i="13"/>
  <c r="L328" i="13"/>
  <c r="P415" i="13"/>
  <c r="R273" i="13"/>
  <c r="R356" i="13"/>
  <c r="Q128" i="13"/>
  <c r="T134" i="13"/>
  <c r="Q24" i="13"/>
  <c r="U150" i="13"/>
  <c r="R326" i="13"/>
  <c r="U134" i="13"/>
  <c r="V134" i="13" s="1"/>
  <c r="W134" i="13" s="1"/>
  <c r="Q403" i="13"/>
  <c r="V403" i="13" s="1"/>
  <c r="W403" i="13" s="1"/>
  <c r="P83" i="13"/>
  <c r="V83" i="13" s="1"/>
  <c r="W83" i="13" s="1"/>
  <c r="T23" i="13"/>
  <c r="S336" i="13"/>
  <c r="Q162" i="13"/>
  <c r="R277" i="13"/>
  <c r="V277" i="13" s="1"/>
  <c r="W277" i="13" s="1"/>
  <c r="Q362" i="13"/>
  <c r="V362" i="13" s="1"/>
  <c r="W362" i="13" s="1"/>
  <c r="Q286" i="13"/>
  <c r="T431" i="13"/>
  <c r="S273" i="13"/>
  <c r="L244" i="13"/>
  <c r="L184" i="13"/>
  <c r="T156" i="13"/>
  <c r="P156" i="13"/>
  <c r="V42" i="13"/>
  <c r="W42" i="13" s="1"/>
  <c r="N42" i="13"/>
  <c r="L96" i="13"/>
  <c r="M96" i="13"/>
  <c r="N96" i="13" s="1"/>
  <c r="R134" i="13"/>
  <c r="V58" i="13"/>
  <c r="W58" i="13" s="1"/>
  <c r="V233" i="13"/>
  <c r="W233" i="13" s="1"/>
  <c r="V399" i="13"/>
  <c r="W399" i="13" s="1"/>
  <c r="V63" i="13"/>
  <c r="W63" i="13" s="1"/>
  <c r="V169" i="13"/>
  <c r="W169" i="13" s="1"/>
  <c r="V214" i="13"/>
  <c r="W214" i="13" s="1"/>
  <c r="V229" i="13"/>
  <c r="W229" i="13" s="1"/>
  <c r="V189" i="13"/>
  <c r="W189" i="13" s="1"/>
  <c r="V266" i="13"/>
  <c r="W266" i="13" s="1"/>
  <c r="V366" i="13"/>
  <c r="W366" i="13" s="1"/>
  <c r="V420" i="13"/>
  <c r="W420" i="13" s="1"/>
  <c r="V281" i="13"/>
  <c r="W281" i="13" s="1"/>
  <c r="V60" i="13"/>
  <c r="W60" i="13" s="1"/>
  <c r="V230" i="13"/>
  <c r="W230" i="13" s="1"/>
  <c r="V174" i="13"/>
  <c r="W174" i="13" s="1"/>
  <c r="V331" i="13"/>
  <c r="W331" i="13" s="1"/>
  <c r="V59" i="13"/>
  <c r="W59" i="13" s="1"/>
  <c r="V427" i="13"/>
  <c r="W427" i="13" s="1"/>
  <c r="V119" i="13"/>
  <c r="W119" i="13" s="1"/>
  <c r="V419" i="13"/>
  <c r="W419" i="13" s="1"/>
  <c r="V378" i="13"/>
  <c r="W378" i="13" s="1"/>
  <c r="V301" i="13"/>
  <c r="W301" i="13" s="1"/>
  <c r="N301" i="13"/>
  <c r="N399" i="13"/>
  <c r="V377" i="13"/>
  <c r="W377" i="13" s="1"/>
  <c r="V421" i="13"/>
  <c r="W421" i="13" s="1"/>
  <c r="V375" i="13"/>
  <c r="W375" i="13" s="1"/>
  <c r="N309" i="13"/>
  <c r="V309" i="13"/>
  <c r="W309" i="13" s="1"/>
  <c r="V373" i="13"/>
  <c r="W373" i="13" s="1"/>
  <c r="V324" i="13"/>
  <c r="W324" i="13" s="1"/>
  <c r="V316" i="13"/>
  <c r="W316" i="13" s="1"/>
  <c r="V370" i="13"/>
  <c r="W370" i="13" s="1"/>
  <c r="V278" i="13"/>
  <c r="W278" i="13" s="1"/>
  <c r="V219" i="13"/>
  <c r="W219" i="13" s="1"/>
  <c r="V236" i="13"/>
  <c r="W236" i="13" s="1"/>
  <c r="V142" i="13"/>
  <c r="W142" i="13" s="1"/>
  <c r="N142" i="13"/>
  <c r="V152" i="13"/>
  <c r="W152" i="13" s="1"/>
  <c r="N152" i="13"/>
  <c r="V179" i="13"/>
  <c r="W179" i="13" s="1"/>
  <c r="V177" i="13"/>
  <c r="W177" i="13" s="1"/>
  <c r="V235" i="13"/>
  <c r="W235" i="13" s="1"/>
  <c r="V161" i="13"/>
  <c r="W161" i="13" s="1"/>
  <c r="N207" i="13"/>
  <c r="V176" i="13"/>
  <c r="W176" i="13" s="1"/>
  <c r="V237" i="13"/>
  <c r="W237" i="13" s="1"/>
  <c r="N150" i="13"/>
  <c r="V276" i="13"/>
  <c r="W276" i="13" s="1"/>
  <c r="V234" i="13"/>
  <c r="W234" i="13" s="1"/>
  <c r="V282" i="13"/>
  <c r="W282" i="13" s="1"/>
  <c r="V178" i="13"/>
  <c r="W178" i="13" s="1"/>
  <c r="N178" i="13"/>
  <c r="V395" i="13"/>
  <c r="W395" i="13" s="1"/>
  <c r="N395" i="13"/>
  <c r="N199" i="13"/>
  <c r="V199" i="13"/>
  <c r="W199" i="13" s="1"/>
  <c r="V99" i="13"/>
  <c r="W99" i="13" s="1"/>
  <c r="N99" i="13"/>
  <c r="L388" i="13"/>
  <c r="M388" i="13"/>
  <c r="V379" i="13"/>
  <c r="W379" i="13" s="1"/>
  <c r="P180" i="13"/>
  <c r="U180" i="13"/>
  <c r="Q180" i="13"/>
  <c r="S180" i="13"/>
  <c r="T180" i="13"/>
  <c r="R180" i="13"/>
  <c r="U21" i="13"/>
  <c r="T21" i="13"/>
  <c r="P21" i="13"/>
  <c r="Q21" i="13"/>
  <c r="R21" i="13"/>
  <c r="S21" i="13"/>
  <c r="L224" i="13"/>
  <c r="M224" i="13"/>
  <c r="S257" i="13"/>
  <c r="Q257" i="13"/>
  <c r="P257" i="13"/>
  <c r="U257" i="13"/>
  <c r="T257" i="13"/>
  <c r="R257" i="13"/>
  <c r="M257" i="13"/>
  <c r="L257" i="13"/>
  <c r="M220" i="13"/>
  <c r="L220" i="13"/>
  <c r="N154" i="13"/>
  <c r="V154" i="13"/>
  <c r="W154" i="13" s="1"/>
  <c r="Q270" i="13"/>
  <c r="T270" i="13"/>
  <c r="P270" i="13"/>
  <c r="R270" i="13"/>
  <c r="S270" i="13"/>
  <c r="U270" i="13"/>
  <c r="S264" i="13"/>
  <c r="R264" i="13"/>
  <c r="T264" i="13"/>
  <c r="U264" i="13"/>
  <c r="P264" i="13"/>
  <c r="Q264" i="13"/>
  <c r="P25" i="13"/>
  <c r="S25" i="13"/>
  <c r="T25" i="13"/>
  <c r="R25" i="13"/>
  <c r="U25" i="13"/>
  <c r="Q25" i="13"/>
  <c r="M67" i="13"/>
  <c r="L67" i="13"/>
  <c r="U369" i="13"/>
  <c r="R369" i="13"/>
  <c r="S369" i="13"/>
  <c r="P369" i="13"/>
  <c r="Q369" i="13"/>
  <c r="T369" i="13"/>
  <c r="V390" i="13"/>
  <c r="W390" i="13" s="1"/>
  <c r="N390" i="13"/>
  <c r="L264" i="13"/>
  <c r="M264" i="13"/>
  <c r="V315" i="13"/>
  <c r="W315" i="13" s="1"/>
  <c r="N315" i="13"/>
  <c r="V349" i="13"/>
  <c r="W349" i="13" s="1"/>
  <c r="T344" i="13"/>
  <c r="P344" i="13"/>
  <c r="Q344" i="13"/>
  <c r="R344" i="13"/>
  <c r="U344" i="13"/>
  <c r="S344" i="13"/>
  <c r="V162" i="13"/>
  <c r="W162" i="13" s="1"/>
  <c r="N162" i="13"/>
  <c r="V406" i="13"/>
  <c r="W406" i="13" s="1"/>
  <c r="N406" i="13"/>
  <c r="M272" i="13"/>
  <c r="L272" i="13"/>
  <c r="N157" i="13"/>
  <c r="V157" i="13"/>
  <c r="W157" i="13" s="1"/>
  <c r="L369" i="13"/>
  <c r="M369" i="13"/>
  <c r="L359" i="13"/>
  <c r="M359" i="13"/>
  <c r="N423" i="13"/>
  <c r="V423" i="13"/>
  <c r="W423" i="13" s="1"/>
  <c r="N318" i="13"/>
  <c r="L344" i="13"/>
  <c r="M344" i="13"/>
  <c r="Q361" i="13"/>
  <c r="P361" i="13"/>
  <c r="R361" i="13"/>
  <c r="S361" i="13"/>
  <c r="T361" i="13"/>
  <c r="U361" i="13"/>
  <c r="N384" i="13"/>
  <c r="N403" i="13"/>
  <c r="V250" i="13"/>
  <c r="W250" i="13" s="1"/>
  <c r="N250" i="13"/>
  <c r="M151" i="13"/>
  <c r="L151" i="13"/>
  <c r="N360" i="13"/>
  <c r="V360" i="13"/>
  <c r="W360" i="13" s="1"/>
  <c r="R255" i="13"/>
  <c r="S255" i="13"/>
  <c r="T255" i="13"/>
  <c r="P255" i="13"/>
  <c r="Q255" i="13"/>
  <c r="U255" i="13"/>
  <c r="N321" i="13"/>
  <c r="V321" i="13"/>
  <c r="W321" i="13" s="1"/>
  <c r="V355" i="13"/>
  <c r="W355" i="13" s="1"/>
  <c r="N355" i="13"/>
  <c r="N28" i="13"/>
  <c r="V28" i="13"/>
  <c r="W28" i="13" s="1"/>
  <c r="V245" i="13"/>
  <c r="W245" i="13" s="1"/>
  <c r="N245" i="13"/>
  <c r="R254" i="13"/>
  <c r="Q254" i="13"/>
  <c r="T254" i="13"/>
  <c r="S254" i="13"/>
  <c r="U254" i="13"/>
  <c r="P254" i="13"/>
  <c r="P151" i="13"/>
  <c r="R151" i="13"/>
  <c r="U151" i="13"/>
  <c r="Q151" i="13"/>
  <c r="S151" i="13"/>
  <c r="T151" i="13"/>
  <c r="M255" i="13"/>
  <c r="L255" i="13"/>
  <c r="N382" i="13"/>
  <c r="M198" i="13"/>
  <c r="L198" i="13"/>
  <c r="M180" i="13"/>
  <c r="L180" i="13"/>
  <c r="L426" i="13"/>
  <c r="M426" i="13"/>
  <c r="L97" i="13"/>
  <c r="M97" i="13"/>
  <c r="N260" i="13"/>
  <c r="T143" i="13"/>
  <c r="P143" i="13"/>
  <c r="Q143" i="13"/>
  <c r="R143" i="13"/>
  <c r="S143" i="13"/>
  <c r="U143" i="13"/>
  <c r="L254" i="13"/>
  <c r="M254" i="13"/>
  <c r="V343" i="13"/>
  <c r="W343" i="13" s="1"/>
  <c r="V128" i="13"/>
  <c r="W128" i="13" s="1"/>
  <c r="N128" i="13"/>
  <c r="N153" i="13"/>
  <c r="V153" i="13"/>
  <c r="W153" i="13" s="1"/>
  <c r="N251" i="13"/>
  <c r="L143" i="13"/>
  <c r="M143" i="13"/>
  <c r="L381" i="13"/>
  <c r="M381" i="13"/>
  <c r="N98" i="13"/>
  <c r="P173" i="13"/>
  <c r="S173" i="13"/>
  <c r="R173" i="13"/>
  <c r="Q173" i="13"/>
  <c r="T173" i="13"/>
  <c r="U173" i="13"/>
  <c r="M398" i="13"/>
  <c r="L398" i="13"/>
  <c r="N20" i="13"/>
  <c r="V20" i="13"/>
  <c r="W20" i="13" s="1"/>
  <c r="N258" i="13"/>
  <c r="V258" i="13"/>
  <c r="W258" i="13" s="1"/>
  <c r="L201" i="13"/>
  <c r="M201" i="13"/>
  <c r="P388" i="13"/>
  <c r="T388" i="13"/>
  <c r="U388" i="13"/>
  <c r="S388" i="13"/>
  <c r="Q388" i="13"/>
  <c r="R388" i="13"/>
  <c r="V200" i="13"/>
  <c r="W200" i="13" s="1"/>
  <c r="L21" i="13"/>
  <c r="M21" i="13"/>
  <c r="P224" i="13"/>
  <c r="Q224" i="13"/>
  <c r="R224" i="13"/>
  <c r="U224" i="13"/>
  <c r="S224" i="13"/>
  <c r="T224" i="13"/>
  <c r="M117" i="13"/>
  <c r="L117" i="13"/>
  <c r="L115" i="13"/>
  <c r="M115" i="13"/>
  <c r="L306" i="13"/>
  <c r="M306" i="13"/>
  <c r="N222" i="13"/>
  <c r="P409" i="13"/>
  <c r="Q409" i="13"/>
  <c r="R409" i="13"/>
  <c r="S409" i="13"/>
  <c r="T409" i="13"/>
  <c r="U409" i="13"/>
  <c r="L206" i="13"/>
  <c r="M206" i="13"/>
  <c r="V218" i="13"/>
  <c r="W218" i="13" s="1"/>
  <c r="V244" i="13"/>
  <c r="W244" i="13" s="1"/>
  <c r="T52" i="13"/>
  <c r="S52" i="13"/>
  <c r="R52" i="13"/>
  <c r="U52" i="13"/>
  <c r="Q52" i="13"/>
  <c r="P52" i="13"/>
  <c r="L209" i="13"/>
  <c r="M209" i="13"/>
  <c r="M82" i="13"/>
  <c r="L82" i="13"/>
  <c r="N221" i="13"/>
  <c r="N89" i="13"/>
  <c r="N103" i="13"/>
  <c r="L210" i="13"/>
  <c r="M210" i="13"/>
  <c r="V374" i="13"/>
  <c r="W374" i="13" s="1"/>
  <c r="N232" i="13"/>
  <c r="V232" i="13"/>
  <c r="W232" i="13" s="1"/>
  <c r="Q333" i="13"/>
  <c r="U333" i="13"/>
  <c r="P333" i="13"/>
  <c r="R333" i="13"/>
  <c r="S333" i="13"/>
  <c r="T333" i="13"/>
  <c r="N389" i="13"/>
  <c r="V216" i="13"/>
  <c r="W216" i="13" s="1"/>
  <c r="N216" i="13"/>
  <c r="L118" i="13"/>
  <c r="M118" i="13"/>
  <c r="N208" i="13"/>
  <c r="N204" i="13"/>
  <c r="N137" i="13"/>
  <c r="V137" i="13"/>
  <c r="W137" i="13" s="1"/>
  <c r="M307" i="13"/>
  <c r="L307" i="13"/>
  <c r="L131" i="13"/>
  <c r="M131" i="13"/>
  <c r="L310" i="13"/>
  <c r="M310" i="13"/>
  <c r="L387" i="13"/>
  <c r="M387" i="13"/>
  <c r="L429" i="13"/>
  <c r="M429" i="13"/>
  <c r="M339" i="13"/>
  <c r="L339" i="13"/>
  <c r="V346" i="13"/>
  <c r="W346" i="13" s="1"/>
  <c r="P387" i="13"/>
  <c r="Q387" i="13"/>
  <c r="R387" i="13"/>
  <c r="S387" i="13"/>
  <c r="U387" i="13"/>
  <c r="T387" i="13"/>
  <c r="L147" i="13"/>
  <c r="M147" i="13"/>
  <c r="T223" i="13"/>
  <c r="P223" i="13"/>
  <c r="Q223" i="13"/>
  <c r="S223" i="13"/>
  <c r="R223" i="13"/>
  <c r="U223" i="13"/>
  <c r="M323" i="13"/>
  <c r="L323" i="13"/>
  <c r="M330" i="13"/>
  <c r="L330" i="13"/>
  <c r="N126" i="13"/>
  <c r="V412" i="13"/>
  <c r="W412" i="13" s="1"/>
  <c r="L139" i="13"/>
  <c r="M139" i="13"/>
  <c r="P253" i="13"/>
  <c r="S253" i="13"/>
  <c r="T253" i="13"/>
  <c r="U253" i="13"/>
  <c r="R253" i="13"/>
  <c r="Q253" i="13"/>
  <c r="M25" i="13"/>
  <c r="L25" i="13"/>
  <c r="M173" i="13"/>
  <c r="L173" i="13"/>
  <c r="Q201" i="13"/>
  <c r="R201" i="13"/>
  <c r="S201" i="13"/>
  <c r="U201" i="13"/>
  <c r="P201" i="13"/>
  <c r="T201" i="13"/>
  <c r="N105" i="13"/>
  <c r="T393" i="13"/>
  <c r="S393" i="13"/>
  <c r="U393" i="13"/>
  <c r="P393" i="13"/>
  <c r="Q393" i="13"/>
  <c r="R393" i="13"/>
  <c r="M124" i="13"/>
  <c r="L124" i="13"/>
  <c r="U49" i="13"/>
  <c r="Q49" i="13"/>
  <c r="R49" i="13"/>
  <c r="P49" i="13"/>
  <c r="S49" i="13"/>
  <c r="T49" i="13"/>
  <c r="U210" i="13"/>
  <c r="P210" i="13"/>
  <c r="Q210" i="13"/>
  <c r="S210" i="13"/>
  <c r="R210" i="13"/>
  <c r="T210" i="13"/>
  <c r="M261" i="13"/>
  <c r="L261" i="13"/>
  <c r="L333" i="13"/>
  <c r="M333" i="13"/>
  <c r="V167" i="13"/>
  <c r="W167" i="13" s="1"/>
  <c r="N167" i="13"/>
  <c r="P118" i="13"/>
  <c r="Q118" i="13"/>
  <c r="R118" i="13"/>
  <c r="S118" i="13"/>
  <c r="T118" i="13"/>
  <c r="U118" i="13"/>
  <c r="V144" i="13"/>
  <c r="W144" i="13" s="1"/>
  <c r="N144" i="13"/>
  <c r="P81" i="13"/>
  <c r="Q81" i="13"/>
  <c r="R81" i="13"/>
  <c r="S81" i="13"/>
  <c r="T81" i="13"/>
  <c r="U81" i="13"/>
  <c r="P124" i="13"/>
  <c r="R124" i="13"/>
  <c r="S124" i="13"/>
  <c r="U124" i="13"/>
  <c r="Q124" i="13"/>
  <c r="T80" i="13"/>
  <c r="S80" i="13"/>
  <c r="U80" i="13"/>
  <c r="P80" i="13"/>
  <c r="Q80" i="13"/>
  <c r="R80" i="13"/>
  <c r="L49" i="13"/>
  <c r="M49" i="13"/>
  <c r="L56" i="13"/>
  <c r="M56" i="13"/>
  <c r="V367" i="13"/>
  <c r="W367" i="13" s="1"/>
  <c r="N367" i="13"/>
  <c r="U261" i="13"/>
  <c r="R261" i="13"/>
  <c r="Q261" i="13"/>
  <c r="P261" i="13"/>
  <c r="S261" i="13"/>
  <c r="T261" i="13"/>
  <c r="L340" i="13"/>
  <c r="M340" i="13"/>
  <c r="N396" i="13"/>
  <c r="V396" i="13"/>
  <c r="W396" i="13" s="1"/>
  <c r="L259" i="13"/>
  <c r="M259" i="13"/>
  <c r="L249" i="13"/>
  <c r="M249" i="13"/>
  <c r="V65" i="13"/>
  <c r="W65" i="13" s="1"/>
  <c r="N65" i="13"/>
  <c r="L81" i="13"/>
  <c r="M81" i="13"/>
  <c r="Q213" i="13"/>
  <c r="T213" i="13"/>
  <c r="U213" i="13"/>
  <c r="R213" i="13"/>
  <c r="S213" i="13"/>
  <c r="P213" i="13"/>
  <c r="R238" i="13"/>
  <c r="U238" i="13"/>
  <c r="Q238" i="13"/>
  <c r="T238" i="13"/>
  <c r="P238" i="13"/>
  <c r="S238" i="13"/>
  <c r="U306" i="13"/>
  <c r="P306" i="13"/>
  <c r="Q306" i="13"/>
  <c r="R306" i="13"/>
  <c r="T306" i="13"/>
  <c r="S306" i="13"/>
  <c r="P131" i="13"/>
  <c r="Q131" i="13"/>
  <c r="R131" i="13"/>
  <c r="S131" i="13"/>
  <c r="T131" i="13"/>
  <c r="U131" i="13"/>
  <c r="U317" i="13"/>
  <c r="P317" i="13"/>
  <c r="Q317" i="13"/>
  <c r="T317" i="13"/>
  <c r="R317" i="13"/>
  <c r="S317" i="13"/>
  <c r="R217" i="13"/>
  <c r="T217" i="13"/>
  <c r="S217" i="13"/>
  <c r="P217" i="13"/>
  <c r="Q217" i="13"/>
  <c r="U217" i="13"/>
  <c r="R430" i="13"/>
  <c r="P430" i="13"/>
  <c r="Q430" i="13"/>
  <c r="S430" i="13"/>
  <c r="T430" i="13"/>
  <c r="U430" i="13"/>
  <c r="M409" i="13"/>
  <c r="L409" i="13"/>
  <c r="N386" i="13"/>
  <c r="V386" i="13"/>
  <c r="W386" i="13" s="1"/>
  <c r="M223" i="13"/>
  <c r="L223" i="13"/>
  <c r="N325" i="13"/>
  <c r="L341" i="13"/>
  <c r="M341" i="13"/>
  <c r="M270" i="13"/>
  <c r="L270" i="13"/>
  <c r="N114" i="13"/>
  <c r="P175" i="13"/>
  <c r="R175" i="13"/>
  <c r="S175" i="13"/>
  <c r="Q175" i="13"/>
  <c r="T175" i="13"/>
  <c r="U175" i="13"/>
  <c r="V338" i="13"/>
  <c r="W338" i="13" s="1"/>
  <c r="N338" i="13"/>
  <c r="M38" i="13"/>
  <c r="L38" i="13"/>
  <c r="V313" i="13"/>
  <c r="W313" i="13" s="1"/>
  <c r="N313" i="13"/>
  <c r="Q226" i="13"/>
  <c r="R226" i="13"/>
  <c r="P226" i="13"/>
  <c r="S226" i="13"/>
  <c r="T226" i="13"/>
  <c r="U226" i="13"/>
  <c r="L228" i="13"/>
  <c r="M228" i="13"/>
  <c r="M226" i="13"/>
  <c r="L226" i="13"/>
  <c r="L320" i="13"/>
  <c r="M320" i="13"/>
  <c r="L212" i="13"/>
  <c r="M212" i="13"/>
  <c r="L195" i="13"/>
  <c r="M195" i="13"/>
  <c r="M80" i="13"/>
  <c r="L80" i="13"/>
  <c r="L404" i="13"/>
  <c r="M404" i="13"/>
  <c r="L428" i="13"/>
  <c r="M428" i="13"/>
  <c r="S56" i="13"/>
  <c r="P56" i="13"/>
  <c r="R56" i="13"/>
  <c r="Q56" i="13"/>
  <c r="T56" i="13"/>
  <c r="U56" i="13"/>
  <c r="V107" i="13"/>
  <c r="W107" i="13" s="1"/>
  <c r="N107" i="13"/>
  <c r="N248" i="13"/>
  <c r="L432" i="13"/>
  <c r="M432" i="13"/>
  <c r="Q340" i="13"/>
  <c r="P340" i="13"/>
  <c r="R340" i="13"/>
  <c r="S340" i="13"/>
  <c r="T340" i="13"/>
  <c r="U340" i="13"/>
  <c r="U259" i="13"/>
  <c r="P259" i="13"/>
  <c r="T259" i="13"/>
  <c r="Q259" i="13"/>
  <c r="R259" i="13"/>
  <c r="S259" i="13"/>
  <c r="N186" i="13"/>
  <c r="T168" i="13"/>
  <c r="P168" i="13"/>
  <c r="Q168" i="13"/>
  <c r="R168" i="13"/>
  <c r="S168" i="13"/>
  <c r="U168" i="13"/>
  <c r="N297" i="13"/>
  <c r="V297" i="13"/>
  <c r="W297" i="13" s="1"/>
  <c r="L74" i="13"/>
  <c r="M74" i="13"/>
  <c r="T34" i="13"/>
  <c r="P34" i="13"/>
  <c r="R34" i="13"/>
  <c r="Q34" i="13"/>
  <c r="S34" i="13"/>
  <c r="U34" i="13"/>
  <c r="L101" i="13"/>
  <c r="M101" i="13"/>
  <c r="N135" i="13"/>
  <c r="V135" i="13"/>
  <c r="W135" i="13" s="1"/>
  <c r="N290" i="13"/>
  <c r="V290" i="13"/>
  <c r="W290" i="13" s="1"/>
  <c r="N51" i="13"/>
  <c r="L424" i="13"/>
  <c r="M424" i="13"/>
  <c r="M363" i="13"/>
  <c r="L363" i="13"/>
  <c r="P172" i="13"/>
  <c r="Q172" i="13"/>
  <c r="R172" i="13"/>
  <c r="S172" i="13"/>
  <c r="T172" i="13"/>
  <c r="U172" i="13"/>
  <c r="V91" i="13"/>
  <c r="W91" i="13" s="1"/>
  <c r="N361" i="13"/>
  <c r="N88" i="13"/>
  <c r="N187" i="13"/>
  <c r="V187" i="13"/>
  <c r="W187" i="13" s="1"/>
  <c r="V146" i="13"/>
  <c r="W146" i="13" s="1"/>
  <c r="N146" i="13"/>
  <c r="P339" i="13"/>
  <c r="R339" i="13"/>
  <c r="S339" i="13"/>
  <c r="T339" i="13"/>
  <c r="U339" i="13"/>
  <c r="Q339" i="13"/>
  <c r="V275" i="13"/>
  <c r="W275" i="13" s="1"/>
  <c r="V300" i="13"/>
  <c r="W300" i="13" s="1"/>
  <c r="N300" i="13"/>
  <c r="L217" i="13"/>
  <c r="M217" i="13"/>
  <c r="T206" i="13"/>
  <c r="P206" i="13"/>
  <c r="U206" i="13"/>
  <c r="Q206" i="13"/>
  <c r="R206" i="13"/>
  <c r="S206" i="13"/>
  <c r="V166" i="13"/>
  <c r="W166" i="13" s="1"/>
  <c r="N166" i="13"/>
  <c r="M317" i="13"/>
  <c r="L317" i="13"/>
  <c r="V57" i="13"/>
  <c r="W57" i="13" s="1"/>
  <c r="N57" i="13"/>
  <c r="V422" i="13"/>
  <c r="W422" i="13" s="1"/>
  <c r="T330" i="13"/>
  <c r="P330" i="13"/>
  <c r="Q330" i="13"/>
  <c r="R330" i="13"/>
  <c r="S330" i="13"/>
  <c r="U330" i="13"/>
  <c r="V246" i="13"/>
  <c r="W246" i="13" s="1"/>
  <c r="N246" i="13"/>
  <c r="V141" i="13"/>
  <c r="W141" i="13" s="1"/>
  <c r="N141" i="13"/>
  <c r="L253" i="13"/>
  <c r="M253" i="13"/>
  <c r="P67" i="13"/>
  <c r="T67" i="13"/>
  <c r="U67" i="13"/>
  <c r="S67" i="13"/>
  <c r="Q67" i="13"/>
  <c r="R67" i="13"/>
  <c r="M175" i="13"/>
  <c r="L175" i="13"/>
  <c r="N116" i="13"/>
  <c r="M52" i="13"/>
  <c r="L52" i="13"/>
  <c r="U272" i="13"/>
  <c r="P272" i="13"/>
  <c r="R272" i="13"/>
  <c r="Q272" i="13"/>
  <c r="S272" i="13"/>
  <c r="T272" i="13"/>
  <c r="N196" i="13"/>
  <c r="V196" i="13"/>
  <c r="W196" i="13" s="1"/>
  <c r="N329" i="13"/>
  <c r="V329" i="13"/>
  <c r="W329" i="13" s="1"/>
  <c r="R320" i="13"/>
  <c r="S320" i="13"/>
  <c r="P320" i="13"/>
  <c r="Q320" i="13"/>
  <c r="T320" i="13"/>
  <c r="U320" i="13"/>
  <c r="N364" i="13"/>
  <c r="V364" i="13"/>
  <c r="W364" i="13" s="1"/>
  <c r="N205" i="13"/>
  <c r="V205" i="13"/>
  <c r="W205" i="13" s="1"/>
  <c r="T212" i="13"/>
  <c r="S212" i="13"/>
  <c r="P212" i="13"/>
  <c r="Q212" i="13"/>
  <c r="R212" i="13"/>
  <c r="U212" i="13"/>
  <c r="N328" i="13"/>
  <c r="L70" i="13"/>
  <c r="M70" i="13"/>
  <c r="T407" i="13"/>
  <c r="P407" i="13"/>
  <c r="S407" i="13"/>
  <c r="R407" i="13"/>
  <c r="U407" i="13"/>
  <c r="Q407" i="13"/>
  <c r="L393" i="13"/>
  <c r="M393" i="13"/>
  <c r="N347" i="13"/>
  <c r="N133" i="13"/>
  <c r="V376" i="13"/>
  <c r="W376" i="13" s="1"/>
  <c r="N68" i="13"/>
  <c r="V68" i="13"/>
  <c r="W68" i="13" s="1"/>
  <c r="L434" i="13"/>
  <c r="M434" i="13"/>
  <c r="N385" i="13"/>
  <c r="V385" i="13"/>
  <c r="W385" i="13" s="1"/>
  <c r="P74" i="13"/>
  <c r="Q74" i="13"/>
  <c r="R74" i="13"/>
  <c r="S74" i="13"/>
  <c r="U74" i="13"/>
  <c r="T74" i="13"/>
  <c r="L337" i="13"/>
  <c r="M337" i="13"/>
  <c r="L418" i="13"/>
  <c r="M418" i="13"/>
  <c r="L34" i="13"/>
  <c r="M34" i="13"/>
  <c r="T101" i="13"/>
  <c r="P101" i="13"/>
  <c r="Q101" i="13"/>
  <c r="R101" i="13"/>
  <c r="S101" i="13"/>
  <c r="U101" i="13"/>
  <c r="V332" i="13"/>
  <c r="W332" i="13" s="1"/>
  <c r="L75" i="13"/>
  <c r="M75" i="13"/>
  <c r="P424" i="13"/>
  <c r="Q424" i="13"/>
  <c r="R424" i="13"/>
  <c r="S424" i="13"/>
  <c r="T424" i="13"/>
  <c r="U424" i="13"/>
  <c r="N294" i="13"/>
  <c r="V294" i="13"/>
  <c r="W294" i="13" s="1"/>
  <c r="V54" i="13"/>
  <c r="W54" i="13" s="1"/>
  <c r="P363" i="13"/>
  <c r="Q363" i="13"/>
  <c r="R363" i="13"/>
  <c r="T363" i="13"/>
  <c r="S363" i="13"/>
  <c r="U363" i="13"/>
  <c r="L48" i="13"/>
  <c r="M48" i="13"/>
  <c r="N414" i="13"/>
  <c r="V414" i="13"/>
  <c r="W414" i="13" s="1"/>
  <c r="N122" i="13"/>
  <c r="L172" i="13"/>
  <c r="M172" i="13"/>
  <c r="T160" i="13"/>
  <c r="S160" i="13"/>
  <c r="U160" i="13"/>
  <c r="P160" i="13"/>
  <c r="Q160" i="13"/>
  <c r="R160" i="13"/>
  <c r="V202" i="13"/>
  <c r="W202" i="13" s="1"/>
  <c r="N202" i="13"/>
  <c r="L238" i="13"/>
  <c r="M238" i="13"/>
  <c r="L213" i="13"/>
  <c r="M213" i="13"/>
  <c r="L145" i="13"/>
  <c r="M145" i="13"/>
  <c r="M215" i="13"/>
  <c r="L215" i="13"/>
  <c r="L348" i="13"/>
  <c r="M348" i="13"/>
  <c r="V190" i="13"/>
  <c r="W190" i="13" s="1"/>
  <c r="L430" i="13"/>
  <c r="M430" i="13"/>
  <c r="V365" i="13"/>
  <c r="W365" i="13" s="1"/>
  <c r="N365" i="13"/>
  <c r="V413" i="13"/>
  <c r="W413" i="13" s="1"/>
  <c r="N413" i="13"/>
  <c r="V188" i="13"/>
  <c r="W188" i="13" s="1"/>
  <c r="N188" i="13"/>
  <c r="N371" i="13"/>
  <c r="N342" i="13"/>
  <c r="V342" i="13"/>
  <c r="W342" i="13" s="1"/>
  <c r="N408" i="13"/>
  <c r="V408" i="13"/>
  <c r="W408" i="13" s="1"/>
  <c r="L191" i="13"/>
  <c r="M191" i="13"/>
  <c r="M164" i="13"/>
  <c r="L164" i="13"/>
  <c r="P82" i="13"/>
  <c r="U82" i="13"/>
  <c r="Q82" i="13"/>
  <c r="R82" i="13"/>
  <c r="T82" i="13"/>
  <c r="S82" i="13"/>
  <c r="M407" i="13"/>
  <c r="L407" i="13"/>
  <c r="T164" i="13"/>
  <c r="P164" i="13"/>
  <c r="Q164" i="13"/>
  <c r="R164" i="13"/>
  <c r="S164" i="13"/>
  <c r="U164" i="13"/>
  <c r="V345" i="13"/>
  <c r="W345" i="13" s="1"/>
  <c r="P428" i="13"/>
  <c r="Q428" i="13"/>
  <c r="R428" i="13"/>
  <c r="S428" i="13"/>
  <c r="T428" i="13"/>
  <c r="U428" i="13"/>
  <c r="L165" i="13"/>
  <c r="M165" i="13"/>
  <c r="N140" i="13"/>
  <c r="V140" i="13"/>
  <c r="W140" i="13" s="1"/>
  <c r="L168" i="13"/>
  <c r="M168" i="13"/>
  <c r="N69" i="13"/>
  <c r="N18" i="13"/>
  <c r="V18" i="13"/>
  <c r="W18" i="13" s="1"/>
  <c r="L104" i="13"/>
  <c r="M104" i="13"/>
  <c r="T337" i="13"/>
  <c r="Q337" i="13"/>
  <c r="R337" i="13"/>
  <c r="S337" i="13"/>
  <c r="U337" i="13"/>
  <c r="P337" i="13"/>
  <c r="P117" i="13"/>
  <c r="S117" i="13"/>
  <c r="U117" i="13"/>
  <c r="Q117" i="13"/>
  <c r="R117" i="13"/>
  <c r="T117" i="13"/>
  <c r="L416" i="13"/>
  <c r="M416" i="13"/>
  <c r="P75" i="13"/>
  <c r="S75" i="13"/>
  <c r="R75" i="13"/>
  <c r="Q75" i="13"/>
  <c r="T75" i="13"/>
  <c r="U75" i="13"/>
  <c r="V35" i="13"/>
  <c r="W35" i="13" s="1"/>
  <c r="N35" i="13"/>
  <c r="N181" i="13"/>
  <c r="V181" i="13"/>
  <c r="W181" i="13" s="1"/>
  <c r="M265" i="13"/>
  <c r="L265" i="13"/>
  <c r="N225" i="13"/>
  <c r="V225" i="13"/>
  <c r="W225" i="13" s="1"/>
  <c r="N292" i="13"/>
  <c r="V292" i="13"/>
  <c r="W292" i="13" s="1"/>
  <c r="V53" i="13"/>
  <c r="W53" i="13" s="1"/>
  <c r="N53" i="13"/>
  <c r="L160" i="13"/>
  <c r="M160" i="13"/>
  <c r="V112" i="19"/>
  <c r="W112" i="19" s="1"/>
  <c r="V296" i="19"/>
  <c r="W296" i="19" s="1"/>
  <c r="V254" i="19"/>
  <c r="W254" i="19" s="1"/>
  <c r="V204" i="19"/>
  <c r="W204" i="19" s="1"/>
  <c r="V30" i="19"/>
  <c r="W30" i="19" s="1"/>
  <c r="V122" i="19"/>
  <c r="W122" i="19" s="1"/>
  <c r="V127" i="19"/>
  <c r="W127" i="19" s="1"/>
  <c r="V157" i="19"/>
  <c r="W157" i="19" s="1"/>
  <c r="V321" i="19"/>
  <c r="W321" i="19" s="1"/>
  <c r="V135" i="19"/>
  <c r="W135" i="19" s="1"/>
  <c r="V291" i="19"/>
  <c r="W291" i="19" s="1"/>
  <c r="V158" i="19"/>
  <c r="W158" i="19" s="1"/>
  <c r="N133" i="19"/>
  <c r="V133" i="19"/>
  <c r="W133" i="19" s="1"/>
  <c r="V147" i="19"/>
  <c r="W147" i="19" s="1"/>
  <c r="V4" i="19"/>
  <c r="W4" i="19" s="1"/>
  <c r="V298" i="19"/>
  <c r="W298" i="19" s="1"/>
  <c r="V333" i="19"/>
  <c r="W333" i="19" s="1"/>
  <c r="V138" i="19"/>
  <c r="W138" i="19" s="1"/>
  <c r="V271" i="19"/>
  <c r="W271" i="19" s="1"/>
  <c r="V34" i="19"/>
  <c r="W34" i="19" s="1"/>
  <c r="V210" i="20"/>
  <c r="W210" i="20" s="1"/>
  <c r="V96" i="20"/>
  <c r="W96" i="20" s="1"/>
  <c r="N302" i="20"/>
  <c r="V203" i="20"/>
  <c r="W203" i="20" s="1"/>
  <c r="V381" i="20"/>
  <c r="W381" i="20" s="1"/>
  <c r="V261" i="20"/>
  <c r="W261" i="20" s="1"/>
  <c r="V134" i="20"/>
  <c r="W134" i="20" s="1"/>
  <c r="V334" i="20"/>
  <c r="W334" i="20" s="1"/>
  <c r="V128" i="20"/>
  <c r="W128" i="20" s="1"/>
  <c r="V57" i="20"/>
  <c r="W57" i="20" s="1"/>
  <c r="V7" i="20"/>
  <c r="W7" i="20" s="1"/>
  <c r="V10" i="20"/>
  <c r="W10" i="20" s="1"/>
  <c r="V223" i="20"/>
  <c r="W223" i="20" s="1"/>
  <c r="V149" i="20"/>
  <c r="W149" i="20" s="1"/>
  <c r="V319" i="20"/>
  <c r="W319" i="20" s="1"/>
  <c r="V292" i="20"/>
  <c r="W292" i="20" s="1"/>
  <c r="V138" i="20"/>
  <c r="W138" i="20" s="1"/>
  <c r="V153" i="20"/>
  <c r="W153" i="20" s="1"/>
  <c r="N29" i="20"/>
  <c r="V29" i="20"/>
  <c r="W29" i="20" s="1"/>
  <c r="V131" i="20"/>
  <c r="W131" i="20" s="1"/>
  <c r="V133" i="20"/>
  <c r="W133" i="20" s="1"/>
  <c r="V12" i="20"/>
  <c r="W12" i="20" s="1"/>
  <c r="V290" i="20"/>
  <c r="W290" i="20" s="1"/>
  <c r="N275" i="20"/>
  <c r="V161" i="20"/>
  <c r="W161" i="20" s="1"/>
  <c r="V111" i="20"/>
  <c r="W111" i="20" s="1"/>
  <c r="V47" i="20"/>
  <c r="W47" i="20" s="1"/>
  <c r="V112" i="20"/>
  <c r="W112" i="20" s="1"/>
  <c r="V127" i="20"/>
  <c r="W127" i="20" s="1"/>
  <c r="V201" i="20"/>
  <c r="W201" i="20" s="1"/>
  <c r="V126" i="20"/>
  <c r="W126" i="20" s="1"/>
  <c r="V282" i="20"/>
  <c r="W282" i="20" s="1"/>
  <c r="V254" i="20"/>
  <c r="W254" i="20" s="1"/>
  <c r="V280" i="20"/>
  <c r="W280" i="20" s="1"/>
  <c r="V241" i="20"/>
  <c r="W241" i="20" s="1"/>
  <c r="V16" i="20"/>
  <c r="W16" i="20" s="1"/>
  <c r="N384" i="20"/>
  <c r="V384" i="20"/>
  <c r="W384" i="20" s="1"/>
  <c r="V82" i="20"/>
  <c r="W82" i="20" s="1"/>
  <c r="N82" i="20"/>
  <c r="V8" i="20"/>
  <c r="W8" i="20" s="1"/>
  <c r="N8" i="20"/>
  <c r="N129" i="20"/>
  <c r="V129" i="20"/>
  <c r="W129" i="20" s="1"/>
  <c r="N363" i="20"/>
  <c r="N188" i="20"/>
  <c r="V188" i="20"/>
  <c r="W188" i="20" s="1"/>
  <c r="N404" i="20"/>
  <c r="N329" i="20"/>
  <c r="V329" i="20"/>
  <c r="W329" i="20" s="1"/>
  <c r="N199" i="20"/>
  <c r="V199" i="20"/>
  <c r="W199" i="20" s="1"/>
  <c r="V247" i="20"/>
  <c r="W247" i="20" s="1"/>
  <c r="N374" i="20"/>
  <c r="N251" i="20"/>
  <c r="V251" i="20"/>
  <c r="W251" i="20" s="1"/>
  <c r="N51" i="20"/>
  <c r="V51" i="20"/>
  <c r="W51" i="20" s="1"/>
  <c r="N162" i="20"/>
  <c r="N385" i="20"/>
  <c r="V385" i="20"/>
  <c r="W385" i="20" s="1"/>
  <c r="N137" i="20"/>
  <c r="V137" i="20"/>
  <c r="W137" i="20" s="1"/>
  <c r="T195" i="20"/>
  <c r="Q195" i="20"/>
  <c r="P195" i="20"/>
  <c r="V195" i="20" s="1"/>
  <c r="W195" i="20" s="1"/>
  <c r="T350" i="20"/>
  <c r="V378" i="20"/>
  <c r="W378" i="20" s="1"/>
  <c r="N378" i="20"/>
  <c r="V202" i="20"/>
  <c r="W202" i="20" s="1"/>
  <c r="T117" i="20"/>
  <c r="V117" i="20" s="1"/>
  <c r="W117" i="20" s="1"/>
  <c r="T401" i="20"/>
  <c r="Q401" i="20"/>
  <c r="V401" i="20" s="1"/>
  <c r="W401" i="20" s="1"/>
  <c r="N226" i="20"/>
  <c r="N50" i="20"/>
  <c r="V50" i="20"/>
  <c r="W50" i="20" s="1"/>
  <c r="S94" i="20"/>
  <c r="V94" i="20" s="1"/>
  <c r="W94" i="20" s="1"/>
  <c r="T94" i="20"/>
  <c r="U94" i="20"/>
  <c r="U167" i="20"/>
  <c r="T167" i="20"/>
  <c r="S167" i="20"/>
  <c r="S68" i="20"/>
  <c r="U349" i="20"/>
  <c r="T349" i="20"/>
  <c r="V349" i="20" s="1"/>
  <c r="W349" i="20" s="1"/>
  <c r="R310" i="20"/>
  <c r="M23" i="20"/>
  <c r="P44" i="20"/>
  <c r="S44" i="20"/>
  <c r="R44" i="20"/>
  <c r="N367" i="20"/>
  <c r="V367" i="20"/>
  <c r="W367" i="20" s="1"/>
  <c r="V101" i="20"/>
  <c r="W101" i="20" s="1"/>
  <c r="T187" i="20"/>
  <c r="R180" i="20"/>
  <c r="R320" i="20"/>
  <c r="S320" i="20"/>
  <c r="P320" i="20"/>
  <c r="V320" i="20" s="1"/>
  <c r="W320" i="20" s="1"/>
  <c r="V394" i="20"/>
  <c r="W394" i="20" s="1"/>
  <c r="N107" i="20"/>
  <c r="V107" i="20"/>
  <c r="W107" i="20" s="1"/>
  <c r="N125" i="20"/>
  <c r="V125" i="20"/>
  <c r="W125" i="20" s="1"/>
  <c r="P52" i="20"/>
  <c r="V52" i="20" s="1"/>
  <c r="W52" i="20" s="1"/>
  <c r="V198" i="20"/>
  <c r="W198" i="20" s="1"/>
  <c r="S118" i="20"/>
  <c r="T118" i="20"/>
  <c r="Q118" i="20"/>
  <c r="V118" i="20" s="1"/>
  <c r="W118" i="20" s="1"/>
  <c r="R118" i="20"/>
  <c r="P118" i="20"/>
  <c r="N4" i="20"/>
  <c r="V4" i="20"/>
  <c r="W4" i="20" s="1"/>
  <c r="T297" i="20"/>
  <c r="U297" i="20"/>
  <c r="S297" i="20"/>
  <c r="R297" i="20"/>
  <c r="N28" i="20"/>
  <c r="V28" i="20"/>
  <c r="W28" i="20" s="1"/>
  <c r="T372" i="20"/>
  <c r="U372" i="20"/>
  <c r="N176" i="20"/>
  <c r="Q297" i="20"/>
  <c r="N222" i="20"/>
  <c r="U205" i="20"/>
  <c r="Q323" i="20"/>
  <c r="P323" i="20"/>
  <c r="T323" i="20"/>
  <c r="V323" i="20" s="1"/>
  <c r="W323" i="20" s="1"/>
  <c r="U323" i="20"/>
  <c r="S323" i="20"/>
  <c r="P198" i="20"/>
  <c r="P310" i="20"/>
  <c r="V310" i="20" s="1"/>
  <c r="W310" i="20" s="1"/>
  <c r="N288" i="20"/>
  <c r="V288" i="20"/>
  <c r="W288" i="20" s="1"/>
  <c r="R372" i="20"/>
  <c r="V372" i="20" s="1"/>
  <c r="W372" i="20" s="1"/>
  <c r="V234" i="20"/>
  <c r="W234" i="20" s="1"/>
  <c r="P363" i="20"/>
  <c r="S298" i="20"/>
  <c r="Q298" i="20"/>
  <c r="R298" i="20"/>
  <c r="T10" i="20"/>
  <c r="S10" i="20"/>
  <c r="R10" i="20"/>
  <c r="Q10" i="20"/>
  <c r="P10" i="20"/>
  <c r="U10" i="20"/>
  <c r="N321" i="20"/>
  <c r="V321" i="20"/>
  <c r="W321" i="20" s="1"/>
  <c r="N145" i="20"/>
  <c r="V145" i="20"/>
  <c r="W145" i="20" s="1"/>
  <c r="R323" i="20"/>
  <c r="T198" i="20"/>
  <c r="N41" i="20"/>
  <c r="V41" i="20"/>
  <c r="W41" i="20" s="1"/>
  <c r="T85" i="20"/>
  <c r="U42" i="20"/>
  <c r="P180" i="20"/>
  <c r="N45" i="20"/>
  <c r="V45" i="20"/>
  <c r="W45" i="20" s="1"/>
  <c r="N372" i="20"/>
  <c r="U298" i="20"/>
  <c r="N362" i="20"/>
  <c r="N159" i="20"/>
  <c r="N102" i="20"/>
  <c r="N190" i="20"/>
  <c r="N20" i="20"/>
  <c r="V20" i="20"/>
  <c r="W20" i="20" s="1"/>
  <c r="N294" i="20"/>
  <c r="V294" i="20"/>
  <c r="W294" i="20" s="1"/>
  <c r="V353" i="20"/>
  <c r="W353" i="20" s="1"/>
  <c r="Q310" i="20"/>
  <c r="N49" i="20"/>
  <c r="V49" i="20"/>
  <c r="W49" i="20" s="1"/>
  <c r="V168" i="20"/>
  <c r="W168" i="20" s="1"/>
  <c r="S180" i="20"/>
  <c r="S350" i="20"/>
  <c r="V395" i="20"/>
  <c r="W395" i="20" s="1"/>
  <c r="N395" i="20"/>
  <c r="Q303" i="20"/>
  <c r="T303" i="20"/>
  <c r="U303" i="20"/>
  <c r="S303" i="20"/>
  <c r="V303" i="20" s="1"/>
  <c r="W303" i="20" s="1"/>
  <c r="R303" i="20"/>
  <c r="P303" i="20"/>
  <c r="V412" i="20"/>
  <c r="W412" i="20" s="1"/>
  <c r="N412" i="20"/>
  <c r="P372" i="20"/>
  <c r="T260" i="20"/>
  <c r="U260" i="20"/>
  <c r="Q260" i="20"/>
  <c r="P260" i="20"/>
  <c r="V260" i="20" s="1"/>
  <c r="W260" i="20" s="1"/>
  <c r="V186" i="20"/>
  <c r="W186" i="20" s="1"/>
  <c r="P218" i="20"/>
  <c r="R218" i="20"/>
  <c r="Q218" i="20"/>
  <c r="U218" i="20"/>
  <c r="T218" i="20"/>
  <c r="S218" i="20"/>
  <c r="V278" i="20"/>
  <c r="W278" i="20" s="1"/>
  <c r="N117" i="20"/>
  <c r="Q226" i="20"/>
  <c r="U226" i="20"/>
  <c r="P329" i="20"/>
  <c r="T190" i="20"/>
  <c r="P190" i="20"/>
  <c r="V190" i="20" s="1"/>
  <c r="W190" i="20" s="1"/>
  <c r="S20" i="20"/>
  <c r="T20" i="20"/>
  <c r="R20" i="20"/>
  <c r="Q20" i="20"/>
  <c r="R68" i="20"/>
  <c r="V122" i="20"/>
  <c r="W122" i="20" s="1"/>
  <c r="N122" i="20"/>
  <c r="U310" i="20"/>
  <c r="Q85" i="20"/>
  <c r="Q180" i="20"/>
  <c r="U262" i="20"/>
  <c r="T262" i="20"/>
  <c r="S262" i="20"/>
  <c r="R262" i="20"/>
  <c r="Q262" i="20"/>
  <c r="P262" i="20"/>
  <c r="U399" i="20"/>
  <c r="T399" i="20"/>
  <c r="S399" i="20"/>
  <c r="R399" i="20"/>
  <c r="V330" i="20"/>
  <c r="W330" i="20" s="1"/>
  <c r="N330" i="20"/>
  <c r="S260" i="20"/>
  <c r="U178" i="20"/>
  <c r="T178" i="20"/>
  <c r="R178" i="20"/>
  <c r="S178" i="20"/>
  <c r="Q178" i="20"/>
  <c r="U28" i="20"/>
  <c r="Q28" i="20"/>
  <c r="T28" i="20"/>
  <c r="S28" i="20"/>
  <c r="R28" i="20"/>
  <c r="P28" i="20"/>
  <c r="U117" i="20"/>
  <c r="S216" i="20"/>
  <c r="R190" i="20"/>
  <c r="T68" i="20"/>
  <c r="V114" i="20"/>
  <c r="W114" i="20" s="1"/>
  <c r="N114" i="20"/>
  <c r="T310" i="20"/>
  <c r="V60" i="20"/>
  <c r="W60" i="20" s="1"/>
  <c r="N398" i="20"/>
  <c r="V398" i="20"/>
  <c r="W398" i="20" s="1"/>
  <c r="U187" i="20"/>
  <c r="V187" i="20" s="1"/>
  <c r="W187" i="20" s="1"/>
  <c r="P399" i="20"/>
  <c r="T214" i="20"/>
  <c r="S214" i="20"/>
  <c r="R214" i="20"/>
  <c r="Q214" i="20"/>
  <c r="P214" i="20"/>
  <c r="V214" i="20" s="1"/>
  <c r="W214" i="20" s="1"/>
  <c r="T404" i="20"/>
  <c r="R404" i="20"/>
  <c r="V404" i="20" s="1"/>
  <c r="W404" i="20" s="1"/>
  <c r="P178" i="20"/>
  <c r="N15" i="20"/>
  <c r="V15" i="20"/>
  <c r="W15" i="20" s="1"/>
  <c r="N196" i="20"/>
  <c r="N43" i="20"/>
  <c r="U401" i="20"/>
  <c r="V54" i="20"/>
  <c r="W54" i="20" s="1"/>
  <c r="S190" i="20"/>
  <c r="Q167" i="20"/>
  <c r="V167" i="20" s="1"/>
  <c r="W167" i="20" s="1"/>
  <c r="U20" i="20"/>
  <c r="U68" i="20"/>
  <c r="U264" i="20"/>
  <c r="M183" i="20"/>
  <c r="V336" i="20"/>
  <c r="W336" i="20" s="1"/>
  <c r="N336" i="20"/>
  <c r="S417" i="20"/>
  <c r="R417" i="20"/>
  <c r="P417" i="20"/>
  <c r="V417" i="20" s="1"/>
  <c r="W417" i="20" s="1"/>
  <c r="Q417" i="20"/>
  <c r="T417" i="20"/>
  <c r="T131" i="20"/>
  <c r="S131" i="20"/>
  <c r="Q131" i="20"/>
  <c r="P131" i="20"/>
  <c r="P85" i="20"/>
  <c r="V85" i="20" s="1"/>
  <c r="W85" i="20" s="1"/>
  <c r="S85" i="20"/>
  <c r="R87" i="20"/>
  <c r="T87" i="20"/>
  <c r="Q87" i="20"/>
  <c r="P87" i="20"/>
  <c r="V87" i="20" s="1"/>
  <c r="W87" i="20" s="1"/>
  <c r="N185" i="20"/>
  <c r="V185" i="20"/>
  <c r="W185" i="20" s="1"/>
  <c r="T377" i="20"/>
  <c r="V377" i="20" s="1"/>
  <c r="W377" i="20" s="1"/>
  <c r="Q130" i="20"/>
  <c r="R61" i="20"/>
  <c r="N150" i="20"/>
  <c r="N289" i="20"/>
  <c r="V289" i="20"/>
  <c r="W289" i="20" s="1"/>
  <c r="R162" i="20"/>
  <c r="V162" i="20" s="1"/>
  <c r="W162" i="20" s="1"/>
  <c r="Q68" i="20"/>
  <c r="V68" i="20" s="1"/>
  <c r="W68" i="20" s="1"/>
  <c r="M53" i="20"/>
  <c r="P371" i="20"/>
  <c r="N224" i="20"/>
  <c r="S87" i="20"/>
  <c r="P101" i="20"/>
  <c r="U101" i="20"/>
  <c r="T101" i="20"/>
  <c r="N85" i="20"/>
  <c r="N237" i="20"/>
  <c r="V237" i="20"/>
  <c r="W237" i="20" s="1"/>
  <c r="N21" i="20"/>
  <c r="V21" i="20"/>
  <c r="W21" i="20" s="1"/>
  <c r="U321" i="20"/>
  <c r="T321" i="20"/>
  <c r="R321" i="20"/>
  <c r="Q321" i="20"/>
  <c r="S321" i="20"/>
  <c r="P321" i="20"/>
  <c r="T107" i="20"/>
  <c r="S107" i="20"/>
  <c r="R107" i="20"/>
  <c r="Q107" i="20"/>
  <c r="U107" i="20"/>
  <c r="V99" i="20"/>
  <c r="W99" i="20" s="1"/>
  <c r="N99" i="20"/>
  <c r="R26" i="20"/>
  <c r="P26" i="20"/>
  <c r="U26" i="20"/>
  <c r="T26" i="20"/>
  <c r="S26" i="20"/>
  <c r="Q26" i="20"/>
  <c r="U183" i="20"/>
  <c r="S183" i="20"/>
  <c r="T183" i="20"/>
  <c r="R183" i="20"/>
  <c r="P183" i="20"/>
  <c r="U34" i="20"/>
  <c r="N89" i="20"/>
  <c r="V89" i="20"/>
  <c r="W89" i="20" s="1"/>
  <c r="S195" i="20"/>
  <c r="N323" i="20"/>
  <c r="R350" i="20"/>
  <c r="Q350" i="20"/>
  <c r="R413" i="20"/>
  <c r="Q413" i="20"/>
  <c r="V413" i="20" s="1"/>
  <c r="W413" i="20" s="1"/>
  <c r="P413" i="20"/>
  <c r="U413" i="20"/>
  <c r="R204" i="20"/>
  <c r="Q204" i="20"/>
  <c r="V204" i="20" s="1"/>
  <c r="W204" i="20" s="1"/>
  <c r="P204" i="20"/>
  <c r="N297" i="20"/>
  <c r="V297" i="20"/>
  <c r="W297" i="20" s="1"/>
  <c r="S413" i="20"/>
  <c r="P61" i="20"/>
  <c r="Q400" i="20"/>
  <c r="S400" i="20"/>
  <c r="U400" i="20"/>
  <c r="V400" i="20" s="1"/>
  <c r="W400" i="20" s="1"/>
  <c r="R400" i="20"/>
  <c r="V172" i="20"/>
  <c r="W172" i="20" s="1"/>
  <c r="N172" i="20"/>
  <c r="Q232" i="20"/>
  <c r="P232" i="20"/>
  <c r="T232" i="20"/>
  <c r="R232" i="20"/>
  <c r="N135" i="20"/>
  <c r="V135" i="20"/>
  <c r="W135" i="20" s="1"/>
  <c r="S204" i="20"/>
  <c r="T397" i="20"/>
  <c r="S397" i="20"/>
  <c r="V397" i="20" s="1"/>
  <c r="W397" i="20" s="1"/>
  <c r="S227" i="20"/>
  <c r="U130" i="20"/>
  <c r="N36" i="20"/>
  <c r="V36" i="20"/>
  <c r="W36" i="20" s="1"/>
  <c r="N120" i="20"/>
  <c r="U157" i="20"/>
  <c r="T157" i="20"/>
  <c r="V157" i="20" s="1"/>
  <c r="W157" i="20" s="1"/>
  <c r="N65" i="20"/>
  <c r="T224" i="20"/>
  <c r="S224" i="20"/>
  <c r="R224" i="20"/>
  <c r="P224" i="20"/>
  <c r="V224" i="20" s="1"/>
  <c r="W224" i="20" s="1"/>
  <c r="Q224" i="20"/>
  <c r="U224" i="20"/>
  <c r="P233" i="20"/>
  <c r="N22" i="20"/>
  <c r="V22" i="20"/>
  <c r="W22" i="20" s="1"/>
  <c r="U87" i="20"/>
  <c r="Q272" i="20"/>
  <c r="T272" i="20"/>
  <c r="R272" i="20"/>
  <c r="R212" i="20"/>
  <c r="Q212" i="20"/>
  <c r="S212" i="20"/>
  <c r="P212" i="20"/>
  <c r="V212" i="20" s="1"/>
  <c r="W212" i="20" s="1"/>
  <c r="N227" i="20"/>
  <c r="N420" i="20"/>
  <c r="V420" i="20"/>
  <c r="W420" i="20" s="1"/>
  <c r="N175" i="20"/>
  <c r="N308" i="20"/>
  <c r="N263" i="20"/>
  <c r="V263" i="20"/>
  <c r="W263" i="20" s="1"/>
  <c r="N59" i="20"/>
  <c r="N92" i="20"/>
  <c r="V92" i="20"/>
  <c r="W92" i="20" s="1"/>
  <c r="N26" i="20"/>
  <c r="V26" i="20"/>
  <c r="W26" i="20" s="1"/>
  <c r="N30" i="20"/>
  <c r="V30" i="20"/>
  <c r="W30" i="20" s="1"/>
  <c r="Q18" i="20"/>
  <c r="U18" i="20"/>
  <c r="T18" i="20"/>
  <c r="R18" i="20"/>
  <c r="N180" i="20"/>
  <c r="V180" i="20"/>
  <c r="W180" i="20" s="1"/>
  <c r="S16" i="20"/>
  <c r="R16" i="20"/>
  <c r="P18" i="20"/>
  <c r="N284" i="20"/>
  <c r="V284" i="20"/>
  <c r="W284" i="20" s="1"/>
  <c r="N13" i="20"/>
  <c r="V13" i="20"/>
  <c r="W13" i="20" s="1"/>
  <c r="T144" i="20"/>
  <c r="S144" i="20"/>
  <c r="U144" i="20"/>
  <c r="R144" i="20"/>
  <c r="Q144" i="20"/>
  <c r="V405" i="20"/>
  <c r="W405" i="20" s="1"/>
  <c r="T204" i="20"/>
  <c r="N331" i="20"/>
  <c r="N333" i="20"/>
  <c r="V333" i="20"/>
  <c r="W333" i="20" s="1"/>
  <c r="U232" i="20"/>
  <c r="N409" i="20"/>
  <c r="V358" i="20"/>
  <c r="W358" i="20" s="1"/>
  <c r="N358" i="20"/>
  <c r="N249" i="20"/>
  <c r="V317" i="20"/>
  <c r="W317" i="20" s="1"/>
  <c r="T227" i="20"/>
  <c r="R130" i="20"/>
  <c r="U21" i="20"/>
  <c r="T21" i="20"/>
  <c r="S21" i="20"/>
  <c r="R21" i="20"/>
  <c r="Q21" i="20"/>
  <c r="P21" i="20"/>
  <c r="V209" i="20"/>
  <c r="W209" i="20" s="1"/>
  <c r="N402" i="20"/>
  <c r="U256" i="20"/>
  <c r="T256" i="20"/>
  <c r="S256" i="20"/>
  <c r="R256" i="20"/>
  <c r="Q256" i="20"/>
  <c r="U65" i="20"/>
  <c r="S65" i="20"/>
  <c r="T65" i="20"/>
  <c r="R65" i="20"/>
  <c r="P65" i="20"/>
  <c r="V65" i="20" s="1"/>
  <c r="W65" i="20" s="1"/>
  <c r="Q65" i="20"/>
  <c r="V270" i="20"/>
  <c r="W270" i="20" s="1"/>
  <c r="U371" i="20"/>
  <c r="N269" i="20"/>
  <c r="V269" i="20"/>
  <c r="W269" i="20" s="1"/>
  <c r="R233" i="20"/>
  <c r="N342" i="20"/>
  <c r="V342" i="20"/>
  <c r="W342" i="20" s="1"/>
  <c r="Q104" i="20"/>
  <c r="P104" i="20"/>
  <c r="V104" i="20" s="1"/>
  <c r="W104" i="20" s="1"/>
  <c r="T104" i="20"/>
  <c r="N220" i="20"/>
  <c r="T233" i="20"/>
  <c r="N97" i="20"/>
  <c r="U104" i="20"/>
  <c r="U125" i="20"/>
  <c r="T125" i="20"/>
  <c r="R125" i="20"/>
  <c r="Q125" i="20"/>
  <c r="V311" i="20"/>
  <c r="W311" i="20" s="1"/>
  <c r="N311" i="20"/>
  <c r="R329" i="20"/>
  <c r="P249" i="20"/>
  <c r="P107" i="20"/>
  <c r="N18" i="20"/>
  <c r="V18" i="20"/>
  <c r="W18" i="20" s="1"/>
  <c r="N360" i="20"/>
  <c r="U43" i="20"/>
  <c r="Q43" i="20"/>
  <c r="S43" i="20"/>
  <c r="T43" i="20"/>
  <c r="R43" i="20"/>
  <c r="P43" i="20"/>
  <c r="V43" i="20" s="1"/>
  <c r="W43" i="20" s="1"/>
  <c r="P297" i="20"/>
  <c r="N206" i="20"/>
  <c r="V206" i="20"/>
  <c r="W206" i="20" s="1"/>
  <c r="N216" i="20"/>
  <c r="R216" i="20"/>
  <c r="U216" i="20"/>
  <c r="N69" i="20"/>
  <c r="V69" i="20"/>
  <c r="W69" i="20" s="1"/>
  <c r="N144" i="20"/>
  <c r="V144" i="20"/>
  <c r="W144" i="20" s="1"/>
  <c r="N187" i="20"/>
  <c r="N307" i="20"/>
  <c r="V307" i="20"/>
  <c r="W307" i="20" s="1"/>
  <c r="P130" i="20"/>
  <c r="S74" i="20"/>
  <c r="R74" i="20"/>
  <c r="Q74" i="20"/>
  <c r="U74" i="20"/>
  <c r="P74" i="20"/>
  <c r="V74" i="20" s="1"/>
  <c r="W74" i="20" s="1"/>
  <c r="N268" i="20"/>
  <c r="V268" i="20"/>
  <c r="W268" i="20" s="1"/>
  <c r="V366" i="20"/>
  <c r="W366" i="20" s="1"/>
  <c r="Q39" i="20"/>
  <c r="R39" i="20"/>
  <c r="U39" i="20"/>
  <c r="T39" i="20"/>
  <c r="V39" i="20" s="1"/>
  <c r="W39" i="20" s="1"/>
  <c r="S39" i="20"/>
  <c r="P39" i="20"/>
  <c r="Q409" i="20"/>
  <c r="S409" i="20"/>
  <c r="R409" i="20"/>
  <c r="U409" i="20"/>
  <c r="T409" i="20"/>
  <c r="P409" i="20"/>
  <c r="V409" i="20" s="1"/>
  <c r="W409" i="20" s="1"/>
  <c r="N143" i="20"/>
  <c r="V143" i="20"/>
  <c r="W143" i="20" s="1"/>
  <c r="N344" i="20"/>
  <c r="V344" i="20"/>
  <c r="W344" i="20" s="1"/>
  <c r="N118" i="20"/>
  <c r="V351" i="20"/>
  <c r="W351" i="20" s="1"/>
  <c r="U227" i="20"/>
  <c r="S130" i="20"/>
  <c r="U402" i="20"/>
  <c r="T402" i="20"/>
  <c r="Q402" i="20"/>
  <c r="S402" i="20"/>
  <c r="P402" i="20"/>
  <c r="V402" i="20" s="1"/>
  <c r="W402" i="20" s="1"/>
  <c r="T56" i="20"/>
  <c r="S56" i="20"/>
  <c r="U56" i="20"/>
  <c r="R56" i="20"/>
  <c r="Q56" i="20"/>
  <c r="V56" i="20" s="1"/>
  <c r="W56" i="20" s="1"/>
  <c r="R94" i="20"/>
  <c r="P256" i="20"/>
  <c r="V256" i="20" s="1"/>
  <c r="W256" i="20" s="1"/>
  <c r="N86" i="20"/>
  <c r="V86" i="20"/>
  <c r="W86" i="20" s="1"/>
  <c r="V300" i="20"/>
  <c r="W300" i="20" s="1"/>
  <c r="V383" i="20"/>
  <c r="W383" i="20" s="1"/>
  <c r="M152" i="20"/>
  <c r="T390" i="20"/>
  <c r="S390" i="20"/>
  <c r="R390" i="20"/>
  <c r="Q390" i="20"/>
  <c r="P390" i="20"/>
  <c r="Q233" i="20"/>
  <c r="U407" i="20"/>
  <c r="Q407" i="20"/>
  <c r="P407" i="20"/>
  <c r="V407" i="20" s="1"/>
  <c r="W407" i="20" s="1"/>
  <c r="T407" i="20"/>
  <c r="S407" i="20"/>
  <c r="N327" i="20"/>
  <c r="Q329" i="20"/>
  <c r="N368" i="20"/>
  <c r="V368" i="20"/>
  <c r="W368" i="20" s="1"/>
  <c r="S76" i="20"/>
  <c r="R76" i="20"/>
  <c r="Q76" i="20"/>
  <c r="P76" i="20"/>
  <c r="V76" i="20" s="1"/>
  <c r="W76" i="20" s="1"/>
  <c r="T76" i="20"/>
  <c r="N370" i="20"/>
  <c r="V370" i="20"/>
  <c r="W370" i="20" s="1"/>
  <c r="V285" i="20"/>
  <c r="W285" i="20" s="1"/>
  <c r="N285" i="20"/>
  <c r="N174" i="20"/>
  <c r="V174" i="20"/>
  <c r="W174" i="20" s="1"/>
  <c r="U118" i="20"/>
  <c r="S18" i="20"/>
  <c r="U274" i="20"/>
  <c r="T274" i="20"/>
  <c r="S274" i="20"/>
  <c r="R274" i="20"/>
  <c r="Q274" i="20"/>
  <c r="P274" i="20"/>
  <c r="V32" i="20"/>
  <c r="W32" i="20" s="1"/>
  <c r="N32" i="20"/>
  <c r="S42" i="20"/>
  <c r="V130" i="20"/>
  <c r="W130" i="20" s="1"/>
  <c r="N130" i="20"/>
  <c r="Q187" i="20"/>
  <c r="P187" i="20"/>
  <c r="N189" i="20"/>
  <c r="V189" i="20"/>
  <c r="W189" i="20" s="1"/>
  <c r="N397" i="20"/>
  <c r="N63" i="20"/>
  <c r="V63" i="20"/>
  <c r="W63" i="20" s="1"/>
  <c r="Q216" i="20"/>
  <c r="V216" i="20" s="1"/>
  <c r="W216" i="20" s="1"/>
  <c r="S159" i="20"/>
  <c r="U159" i="20"/>
  <c r="T159" i="20"/>
  <c r="Q159" i="20"/>
  <c r="V159" i="20" s="1"/>
  <c r="W159" i="20" s="1"/>
  <c r="P400" i="20"/>
  <c r="V266" i="20"/>
  <c r="W266" i="20" s="1"/>
  <c r="S232" i="20"/>
  <c r="Q392" i="20"/>
  <c r="U392" i="20"/>
  <c r="T392" i="20"/>
  <c r="S392" i="20"/>
  <c r="R392" i="20"/>
  <c r="V163" i="20"/>
  <c r="W163" i="20" s="1"/>
  <c r="N413" i="20"/>
  <c r="N78" i="20"/>
  <c r="V78" i="20"/>
  <c r="W78" i="20" s="1"/>
  <c r="S264" i="20"/>
  <c r="N83" i="20"/>
  <c r="U79" i="20"/>
  <c r="Q79" i="20"/>
  <c r="P79" i="20"/>
  <c r="V79" i="20" s="1"/>
  <c r="W79" i="20" s="1"/>
  <c r="S79" i="20"/>
  <c r="R79" i="20"/>
  <c r="R70" i="20"/>
  <c r="V70" i="20" s="1"/>
  <c r="W70" i="20" s="1"/>
  <c r="V158" i="20"/>
  <c r="W158" i="20" s="1"/>
  <c r="S233" i="20"/>
  <c r="N303" i="20"/>
  <c r="V93" i="20"/>
  <c r="W93" i="20" s="1"/>
  <c r="N93" i="20"/>
  <c r="N264" i="20"/>
  <c r="Q320" i="20"/>
  <c r="R104" i="20"/>
  <c r="N72" i="20"/>
  <c r="N34" i="20"/>
  <c r="P158" i="20"/>
  <c r="T34" i="20"/>
  <c r="S34" i="20"/>
  <c r="R34" i="20"/>
  <c r="Q34" i="20"/>
  <c r="V34" i="20" s="1"/>
  <c r="W34" i="20" s="1"/>
  <c r="T370" i="20"/>
  <c r="U370" i="20"/>
  <c r="S370" i="20"/>
  <c r="R370" i="20"/>
  <c r="U76" i="20"/>
  <c r="R195" i="20"/>
  <c r="N136" i="20"/>
  <c r="V136" i="20"/>
  <c r="W136" i="20" s="1"/>
  <c r="Q105" i="20"/>
  <c r="U105" i="20"/>
  <c r="T105" i="20"/>
  <c r="R105" i="20"/>
  <c r="P105" i="20"/>
  <c r="V105" i="20" s="1"/>
  <c r="W105" i="20" s="1"/>
  <c r="N212" i="20"/>
  <c r="N293" i="20"/>
  <c r="V293" i="20"/>
  <c r="W293" i="20" s="1"/>
  <c r="U61" i="20"/>
  <c r="T61" i="20"/>
  <c r="N371" i="20"/>
  <c r="V371" i="20"/>
  <c r="W371" i="20" s="1"/>
  <c r="P216" i="20"/>
  <c r="N242" i="20"/>
  <c r="N115" i="20"/>
  <c r="U272" i="20"/>
  <c r="T320" i="20"/>
  <c r="V406" i="20"/>
  <c r="W406" i="20" s="1"/>
  <c r="T264" i="20"/>
  <c r="N61" i="20"/>
  <c r="S374" i="20"/>
  <c r="R374" i="20"/>
  <c r="P374" i="20"/>
  <c r="V374" i="20" s="1"/>
  <c r="W374" i="20" s="1"/>
  <c r="U374" i="20"/>
  <c r="T374" i="20"/>
  <c r="Q374" i="20"/>
  <c r="V139" i="20"/>
  <c r="W139" i="20" s="1"/>
  <c r="T79" i="20"/>
  <c r="S70" i="20"/>
  <c r="U158" i="20"/>
  <c r="V341" i="20"/>
  <c r="W341" i="20" s="1"/>
  <c r="N140" i="20"/>
  <c r="V140" i="20"/>
  <c r="W140" i="20" s="1"/>
  <c r="P272" i="20"/>
  <c r="V272" i="20" s="1"/>
  <c r="W272" i="20" s="1"/>
  <c r="N207" i="20"/>
  <c r="T165" i="20"/>
  <c r="R165" i="20"/>
  <c r="U165" i="20"/>
  <c r="S165" i="20"/>
  <c r="V165" i="20" s="1"/>
  <c r="W165" i="20" s="1"/>
  <c r="P165" i="20"/>
  <c r="Q165" i="20"/>
  <c r="N313" i="20"/>
  <c r="V313" i="20"/>
  <c r="W313" i="20" s="1"/>
  <c r="U249" i="20"/>
  <c r="R249" i="20"/>
  <c r="V249" i="20" s="1"/>
  <c r="W249" i="20" s="1"/>
  <c r="S249" i="20"/>
  <c r="T249" i="20"/>
  <c r="U97" i="20"/>
  <c r="S97" i="20"/>
  <c r="R97" i="20"/>
  <c r="Q97" i="20"/>
  <c r="T97" i="20"/>
  <c r="S125" i="20"/>
  <c r="P42" i="20"/>
  <c r="N192" i="20"/>
  <c r="V192" i="20"/>
  <c r="W192" i="20" s="1"/>
  <c r="T180" i="20"/>
  <c r="V156" i="20"/>
  <c r="W156" i="20" s="1"/>
  <c r="P350" i="20"/>
  <c r="N151" i="20"/>
  <c r="V151" i="20"/>
  <c r="W151" i="20" s="1"/>
  <c r="V170" i="20"/>
  <c r="W170" i="20" s="1"/>
  <c r="S335" i="20"/>
  <c r="P335" i="20"/>
  <c r="T335" i="20"/>
  <c r="N355" i="20"/>
  <c r="V355" i="20"/>
  <c r="W355" i="20" s="1"/>
  <c r="T212" i="20"/>
  <c r="Q264" i="20"/>
  <c r="V264" i="20" s="1"/>
  <c r="W264" i="20" s="1"/>
  <c r="P227" i="20"/>
  <c r="V227" i="20" s="1"/>
  <c r="W227" i="20" s="1"/>
  <c r="S329" i="20"/>
  <c r="N48" i="20"/>
  <c r="N416" i="20"/>
  <c r="N259" i="20"/>
  <c r="V259" i="20"/>
  <c r="W259" i="20" s="1"/>
  <c r="Q52" i="20"/>
  <c r="T70" i="20"/>
  <c r="R113" i="20"/>
  <c r="V113" i="20" s="1"/>
  <c r="W113" i="20" s="1"/>
  <c r="T158" i="20"/>
  <c r="T44" i="20"/>
  <c r="V27" i="20"/>
  <c r="W27" i="20" s="1"/>
  <c r="N27" i="20"/>
  <c r="U251" i="20"/>
  <c r="T251" i="20"/>
  <c r="S251" i="20"/>
  <c r="R251" i="20"/>
  <c r="N277" i="20"/>
  <c r="V277" i="20"/>
  <c r="W277" i="20" s="1"/>
  <c r="N71" i="20"/>
  <c r="V71" i="20"/>
  <c r="W71" i="20" s="1"/>
  <c r="T160" i="20"/>
  <c r="U160" i="20"/>
  <c r="S160" i="20"/>
  <c r="R160" i="20"/>
  <c r="Q275" i="20"/>
  <c r="R275" i="20"/>
  <c r="U275" i="20"/>
  <c r="T275" i="20"/>
  <c r="S275" i="20"/>
  <c r="P327" i="20"/>
  <c r="V327" i="20" s="1"/>
  <c r="W327" i="20" s="1"/>
  <c r="Q327" i="20"/>
  <c r="T327" i="20"/>
  <c r="S327" i="20"/>
  <c r="U327" i="20"/>
  <c r="R327" i="20"/>
  <c r="U320" i="20"/>
  <c r="Q251" i="20"/>
  <c r="N76" i="20"/>
  <c r="T295" i="20"/>
  <c r="R295" i="20"/>
  <c r="U295" i="20"/>
  <c r="Q295" i="20"/>
  <c r="P295" i="20"/>
  <c r="P125" i="20"/>
  <c r="S134" i="20"/>
  <c r="R134" i="20"/>
  <c r="U134" i="20"/>
  <c r="Q134" i="20"/>
  <c r="P134" i="20"/>
  <c r="N73" i="20"/>
  <c r="V73" i="20"/>
  <c r="W73" i="20" s="1"/>
  <c r="T134" i="20"/>
  <c r="N9" i="20"/>
  <c r="V9" i="20"/>
  <c r="W9" i="20" s="1"/>
  <c r="P97" i="20"/>
  <c r="V97" i="20" s="1"/>
  <c r="W97" i="20" s="1"/>
  <c r="R222" i="20"/>
  <c r="Q222" i="20"/>
  <c r="T222" i="20"/>
  <c r="S222" i="20"/>
  <c r="P222" i="20"/>
  <c r="V222" i="20" s="1"/>
  <c r="W222" i="20" s="1"/>
  <c r="T205" i="20"/>
  <c r="S205" i="20"/>
  <c r="V205" i="20" s="1"/>
  <c r="W205" i="20" s="1"/>
  <c r="R205" i="20"/>
  <c r="Q205" i="20"/>
  <c r="Q42" i="20"/>
  <c r="R42" i="20"/>
  <c r="Q363" i="20"/>
  <c r="V363" i="20" s="1"/>
  <c r="W363" i="20" s="1"/>
  <c r="T363" i="20"/>
  <c r="R363" i="20"/>
  <c r="U363" i="20"/>
  <c r="N238" i="20"/>
  <c r="V238" i="20"/>
  <c r="W238" i="20" s="1"/>
  <c r="T16" i="20"/>
  <c r="S377" i="20"/>
  <c r="R377" i="20"/>
  <c r="Q377" i="20"/>
  <c r="P377" i="20"/>
  <c r="T413" i="20"/>
  <c r="Q61" i="20"/>
  <c r="V61" i="20" s="1"/>
  <c r="W61" i="20" s="1"/>
  <c r="T226" i="20"/>
  <c r="V226" i="20" s="1"/>
  <c r="W226" i="20" s="1"/>
  <c r="U335" i="20"/>
  <c r="V182" i="20"/>
  <c r="W182" i="20" s="1"/>
  <c r="M91" i="20"/>
  <c r="M328" i="20"/>
  <c r="S272" i="20"/>
  <c r="U212" i="20"/>
  <c r="U220" i="20"/>
  <c r="T220" i="20"/>
  <c r="V220" i="20" s="1"/>
  <c r="W220" i="20" s="1"/>
  <c r="U397" i="20"/>
  <c r="R264" i="20"/>
  <c r="Q227" i="20"/>
  <c r="V414" i="20"/>
  <c r="W414" i="20" s="1"/>
  <c r="T329" i="20"/>
  <c r="V345" i="20"/>
  <c r="W345" i="20" s="1"/>
  <c r="N377" i="20"/>
  <c r="R52" i="20"/>
  <c r="N104" i="20"/>
  <c r="S84" i="20"/>
  <c r="U84" i="20"/>
  <c r="R84" i="20"/>
  <c r="Q84" i="20"/>
  <c r="P84" i="20"/>
  <c r="V84" i="20" s="1"/>
  <c r="W84" i="20" s="1"/>
  <c r="V44" i="20"/>
  <c r="W44" i="20" s="1"/>
  <c r="T211" i="20"/>
  <c r="V211" i="20" s="1"/>
  <c r="W211" i="20" s="1"/>
  <c r="U211" i="20"/>
  <c r="Q53" i="20"/>
  <c r="R53" i="20"/>
  <c r="P53" i="20"/>
  <c r="U53" i="20"/>
  <c r="T53" i="20"/>
  <c r="Q160" i="20"/>
  <c r="V160" i="20" s="1"/>
  <c r="W160" i="20" s="1"/>
  <c r="V380" i="20"/>
  <c r="W380" i="20" s="1"/>
  <c r="N380" i="20"/>
  <c r="V304" i="20"/>
  <c r="W304" i="20" s="1"/>
  <c r="Q155" i="20"/>
  <c r="T155" i="20"/>
  <c r="S155" i="20"/>
  <c r="R155" i="20"/>
  <c r="P155" i="20"/>
  <c r="V155" i="20" s="1"/>
  <c r="W155" i="20" s="1"/>
  <c r="P418" i="20"/>
  <c r="V418" i="20" s="1"/>
  <c r="W418" i="20" s="1"/>
  <c r="P206" i="20"/>
  <c r="U100" i="20"/>
  <c r="T100" i="20"/>
  <c r="V100" i="20" s="1"/>
  <c r="W100" i="20" s="1"/>
  <c r="N124" i="20"/>
  <c r="V124" i="20"/>
  <c r="W124" i="20" s="1"/>
  <c r="U138" i="20"/>
  <c r="N375" i="20"/>
  <c r="V375" i="20"/>
  <c r="W375" i="20" s="1"/>
  <c r="N286" i="20"/>
  <c r="V286" i="20"/>
  <c r="W286" i="20" s="1"/>
  <c r="S364" i="20"/>
  <c r="R364" i="20"/>
  <c r="Q364" i="20"/>
  <c r="P364" i="20"/>
  <c r="U364" i="20"/>
  <c r="T364" i="20"/>
  <c r="N179" i="20"/>
  <c r="S83" i="20"/>
  <c r="R83" i="20"/>
  <c r="V83" i="20" s="1"/>
  <c r="W83" i="20" s="1"/>
  <c r="Q83" i="20"/>
  <c r="S149" i="20"/>
  <c r="T149" i="20"/>
  <c r="U207" i="20"/>
  <c r="Q207" i="20"/>
  <c r="P207" i="20"/>
  <c r="V207" i="20" s="1"/>
  <c r="W207" i="20" s="1"/>
  <c r="T207" i="20"/>
  <c r="R207" i="20"/>
  <c r="V14" i="20"/>
  <c r="W14" i="20" s="1"/>
  <c r="N14" i="20"/>
  <c r="U66" i="20"/>
  <c r="T342" i="20"/>
  <c r="Q342" i="20"/>
  <c r="M171" i="20"/>
  <c r="T294" i="20"/>
  <c r="U294" i="20"/>
  <c r="M295" i="20"/>
  <c r="V191" i="20"/>
  <c r="W191" i="20" s="1"/>
  <c r="M197" i="20"/>
  <c r="M225" i="20"/>
  <c r="N58" i="20"/>
  <c r="T179" i="20"/>
  <c r="Q179" i="20"/>
  <c r="P179" i="20"/>
  <c r="V179" i="20" s="1"/>
  <c r="W179" i="20" s="1"/>
  <c r="U179" i="20"/>
  <c r="T29" i="20"/>
  <c r="S29" i="20"/>
  <c r="U29" i="20"/>
  <c r="V391" i="20"/>
  <c r="W391" i="20" s="1"/>
  <c r="N391" i="20"/>
  <c r="N361" i="20"/>
  <c r="V361" i="20"/>
  <c r="W361" i="20" s="1"/>
  <c r="R299" i="20"/>
  <c r="Q299" i="20"/>
  <c r="U299" i="20"/>
  <c r="P299" i="20"/>
  <c r="S346" i="20"/>
  <c r="Q346" i="20"/>
  <c r="P346" i="20"/>
  <c r="U346" i="20"/>
  <c r="T346" i="20"/>
  <c r="R179" i="20"/>
  <c r="P357" i="20"/>
  <c r="V357" i="20" s="1"/>
  <c r="W357" i="20" s="1"/>
  <c r="U115" i="20"/>
  <c r="T115" i="20"/>
  <c r="S115" i="20"/>
  <c r="V115" i="20" s="1"/>
  <c r="W115" i="20" s="1"/>
  <c r="R115" i="20"/>
  <c r="Q115" i="20"/>
  <c r="P115" i="20"/>
  <c r="T83" i="20"/>
  <c r="U50" i="20"/>
  <c r="T50" i="20"/>
  <c r="S50" i="20"/>
  <c r="T247" i="20"/>
  <c r="R149" i="20"/>
  <c r="S265" i="20"/>
  <c r="V265" i="20" s="1"/>
  <c r="W265" i="20" s="1"/>
  <c r="T389" i="20"/>
  <c r="V389" i="20" s="1"/>
  <c r="W389" i="20" s="1"/>
  <c r="R78" i="20"/>
  <c r="Q48" i="20"/>
  <c r="R176" i="20"/>
  <c r="V176" i="20" s="1"/>
  <c r="W176" i="20" s="1"/>
  <c r="Q325" i="20"/>
  <c r="V325" i="20" s="1"/>
  <c r="W325" i="20" s="1"/>
  <c r="R100" i="20"/>
  <c r="S12" i="20"/>
  <c r="T12" i="20"/>
  <c r="Q294" i="20"/>
  <c r="T386" i="20"/>
  <c r="V386" i="20" s="1"/>
  <c r="W386" i="20" s="1"/>
  <c r="S333" i="20"/>
  <c r="R333" i="20"/>
  <c r="U333" i="20"/>
  <c r="T333" i="20"/>
  <c r="S6" i="20"/>
  <c r="R6" i="20"/>
  <c r="V354" i="20"/>
  <c r="W354" i="20" s="1"/>
  <c r="N354" i="20"/>
  <c r="U58" i="20"/>
  <c r="P58" i="20"/>
  <c r="V58" i="20" s="1"/>
  <c r="W58" i="20" s="1"/>
  <c r="T58" i="20"/>
  <c r="S58" i="20"/>
  <c r="R58" i="20"/>
  <c r="Q58" i="20"/>
  <c r="Q333" i="20"/>
  <c r="S179" i="20"/>
  <c r="U357" i="20"/>
  <c r="Q149" i="20"/>
  <c r="T265" i="20"/>
  <c r="T66" i="20"/>
  <c r="S78" i="20"/>
  <c r="S176" i="20"/>
  <c r="N100" i="20"/>
  <c r="M148" i="20"/>
  <c r="U342" i="20"/>
  <c r="R294" i="20"/>
  <c r="R102" i="20"/>
  <c r="V102" i="20" s="1"/>
  <c r="W102" i="20" s="1"/>
  <c r="N260" i="20"/>
  <c r="N95" i="20"/>
  <c r="V95" i="20"/>
  <c r="W95" i="20" s="1"/>
  <c r="R308" i="20"/>
  <c r="P308" i="20"/>
  <c r="V308" i="20" s="1"/>
  <c r="W308" i="20" s="1"/>
  <c r="R72" i="20"/>
  <c r="Q72" i="20"/>
  <c r="U4" i="20"/>
  <c r="T4" i="20"/>
  <c r="S4" i="20"/>
  <c r="R4" i="20"/>
  <c r="N40" i="20"/>
  <c r="V40" i="20"/>
  <c r="W40" i="20" s="1"/>
  <c r="U359" i="20"/>
  <c r="T359" i="20"/>
  <c r="R359" i="20"/>
  <c r="S359" i="20"/>
  <c r="U8" i="20"/>
  <c r="T8" i="20"/>
  <c r="S8" i="20"/>
  <c r="Q8" i="20"/>
  <c r="P8" i="20"/>
  <c r="N11" i="20"/>
  <c r="V11" i="20"/>
  <c r="W11" i="20" s="1"/>
  <c r="V116" i="20"/>
  <c r="W116" i="20" s="1"/>
  <c r="N116" i="20"/>
  <c r="S318" i="20"/>
  <c r="V318" i="20" s="1"/>
  <c r="W318" i="20" s="1"/>
  <c r="R318" i="20"/>
  <c r="T318" i="20"/>
  <c r="Q318" i="20"/>
  <c r="V252" i="20"/>
  <c r="W252" i="20" s="1"/>
  <c r="N252" i="20"/>
  <c r="N39" i="20"/>
  <c r="N240" i="20"/>
  <c r="V240" i="20"/>
  <c r="W240" i="20" s="1"/>
  <c r="R175" i="20"/>
  <c r="Q175" i="20"/>
  <c r="P175" i="20"/>
  <c r="V175" i="20" s="1"/>
  <c r="W175" i="20" s="1"/>
  <c r="U175" i="20"/>
  <c r="S175" i="20"/>
  <c r="U415" i="20"/>
  <c r="R415" i="20"/>
  <c r="Q415" i="20"/>
  <c r="P59" i="20"/>
  <c r="V59" i="20" s="1"/>
  <c r="W59" i="20" s="1"/>
  <c r="S59" i="20"/>
  <c r="R59" i="20"/>
  <c r="Q59" i="20"/>
  <c r="V166" i="20"/>
  <c r="W166" i="20" s="1"/>
  <c r="M340" i="20"/>
  <c r="M67" i="20"/>
  <c r="S362" i="20"/>
  <c r="T362" i="20"/>
  <c r="R362" i="20"/>
  <c r="Q362" i="20"/>
  <c r="V362" i="20" s="1"/>
  <c r="W362" i="20" s="1"/>
  <c r="R376" i="20"/>
  <c r="V376" i="20" s="1"/>
  <c r="W376" i="20" s="1"/>
  <c r="P120" i="20"/>
  <c r="U40" i="20"/>
  <c r="T40" i="20"/>
  <c r="P66" i="20"/>
  <c r="Q248" i="20"/>
  <c r="V248" i="20" s="1"/>
  <c r="W248" i="20" s="1"/>
  <c r="U80" i="20"/>
  <c r="V80" i="20" s="1"/>
  <c r="W80" i="20" s="1"/>
  <c r="P359" i="20"/>
  <c r="V359" i="20" s="1"/>
  <c r="W359" i="20" s="1"/>
  <c r="S13" i="20"/>
  <c r="N403" i="20"/>
  <c r="R316" i="20"/>
  <c r="V316" i="20" s="1"/>
  <c r="W316" i="20" s="1"/>
  <c r="S288" i="20"/>
  <c r="M283" i="20"/>
  <c r="V422" i="20"/>
  <c r="W422" i="20" s="1"/>
  <c r="T280" i="20"/>
  <c r="S280" i="20"/>
  <c r="R280" i="20"/>
  <c r="Q280" i="20"/>
  <c r="U120" i="20"/>
  <c r="V120" i="20" s="1"/>
  <c r="W120" i="20" s="1"/>
  <c r="T92" i="20"/>
  <c r="S92" i="20"/>
  <c r="R92" i="20"/>
  <c r="P92" i="20"/>
  <c r="Q66" i="20"/>
  <c r="U276" i="20"/>
  <c r="T276" i="20"/>
  <c r="S276" i="20"/>
  <c r="U243" i="20"/>
  <c r="R243" i="20"/>
  <c r="Q243" i="20"/>
  <c r="P243" i="20"/>
  <c r="U360" i="20"/>
  <c r="S360" i="20"/>
  <c r="T360" i="20"/>
  <c r="R360" i="20"/>
  <c r="V360" i="20" s="1"/>
  <c r="W360" i="20" s="1"/>
  <c r="N64" i="20"/>
  <c r="V64" i="20"/>
  <c r="W64" i="20" s="1"/>
  <c r="P280" i="20"/>
  <c r="N392" i="20"/>
  <c r="V392" i="20"/>
  <c r="W392" i="20" s="1"/>
  <c r="U59" i="20"/>
  <c r="Q206" i="20"/>
  <c r="N352" i="20"/>
  <c r="V352" i="20"/>
  <c r="W352" i="20" s="1"/>
  <c r="N245" i="20"/>
  <c r="V245" i="20"/>
  <c r="W245" i="20" s="1"/>
  <c r="U86" i="20"/>
  <c r="T86" i="20"/>
  <c r="P347" i="20"/>
  <c r="Q92" i="20"/>
  <c r="R66" i="20"/>
  <c r="S248" i="20"/>
  <c r="Q13" i="20"/>
  <c r="P403" i="20"/>
  <c r="T250" i="20"/>
  <c r="V250" i="20" s="1"/>
  <c r="W250" i="20" s="1"/>
  <c r="Q250" i="20"/>
  <c r="Q196" i="20"/>
  <c r="V239" i="20"/>
  <c r="W239" i="20" s="1"/>
  <c r="U288" i="20"/>
  <c r="V164" i="20"/>
  <c r="W164" i="20" s="1"/>
  <c r="N164" i="20"/>
  <c r="U71" i="20"/>
  <c r="R242" i="20"/>
  <c r="V242" i="20" s="1"/>
  <c r="W242" i="20" s="1"/>
  <c r="M335" i="20"/>
  <c r="R416" i="20"/>
  <c r="V193" i="20"/>
  <c r="W193" i="20" s="1"/>
  <c r="V243" i="20"/>
  <c r="W243" i="20" s="1"/>
  <c r="N243" i="20"/>
  <c r="N326" i="20"/>
  <c r="V326" i="20"/>
  <c r="W326" i="20" s="1"/>
  <c r="M271" i="20"/>
  <c r="Q314" i="20"/>
  <c r="V305" i="20"/>
  <c r="W305" i="20" s="1"/>
  <c r="P72" i="20"/>
  <c r="V72" i="20" s="1"/>
  <c r="W72" i="20" s="1"/>
  <c r="S206" i="20"/>
  <c r="V279" i="20"/>
  <c r="W279" i="20" s="1"/>
  <c r="N279" i="20"/>
  <c r="Q347" i="20"/>
  <c r="V231" i="20"/>
  <c r="W231" i="20" s="1"/>
  <c r="S403" i="20"/>
  <c r="T316" i="20"/>
  <c r="R196" i="20"/>
  <c r="V196" i="20" s="1"/>
  <c r="W196" i="20" s="1"/>
  <c r="V390" i="20"/>
  <c r="W390" i="20" s="1"/>
  <c r="N390" i="20"/>
  <c r="S416" i="20"/>
  <c r="S369" i="20"/>
  <c r="Q369" i="20"/>
  <c r="T387" i="20"/>
  <c r="S387" i="20"/>
  <c r="Q387" i="20"/>
  <c r="R387" i="20"/>
  <c r="V301" i="20"/>
  <c r="W301" i="20" s="1"/>
  <c r="N301" i="20"/>
  <c r="R103" i="20"/>
  <c r="Q103" i="20"/>
  <c r="V103" i="20" s="1"/>
  <c r="W103" i="20" s="1"/>
  <c r="S150" i="20"/>
  <c r="R150" i="20"/>
  <c r="Q150" i="20"/>
  <c r="P150" i="20"/>
  <c r="V150" i="20" s="1"/>
  <c r="W150" i="20" s="1"/>
  <c r="S38" i="20"/>
  <c r="R38" i="20"/>
  <c r="U38" i="20"/>
  <c r="T38" i="20"/>
  <c r="Q38" i="20"/>
  <c r="V38" i="20" s="1"/>
  <c r="W38" i="20" s="1"/>
  <c r="U67" i="20"/>
  <c r="S67" i="20"/>
  <c r="T67" i="20"/>
  <c r="R67" i="20"/>
  <c r="T347" i="20"/>
  <c r="S213" i="20"/>
  <c r="M291" i="20"/>
  <c r="Q367" i="20"/>
  <c r="P367" i="20"/>
  <c r="S196" i="20"/>
  <c r="P41" i="20"/>
  <c r="M287" i="20"/>
  <c r="T416" i="20"/>
  <c r="V416" i="20" s="1"/>
  <c r="W416" i="20" s="1"/>
  <c r="N356" i="20"/>
  <c r="V356" i="20"/>
  <c r="W356" i="20" s="1"/>
  <c r="U331" i="20"/>
  <c r="T331" i="20"/>
  <c r="S331" i="20"/>
  <c r="R331" i="20"/>
  <c r="Q331" i="20"/>
  <c r="N228" i="20"/>
  <c r="V228" i="20"/>
  <c r="W228" i="20" s="1"/>
  <c r="N17" i="20"/>
  <c r="V17" i="20"/>
  <c r="W17" i="20" s="1"/>
  <c r="V31" i="20"/>
  <c r="W31" i="20" s="1"/>
  <c r="N31" i="20"/>
  <c r="S229" i="20"/>
  <c r="Q229" i="20"/>
  <c r="P369" i="20"/>
  <c r="V369" i="20" s="1"/>
  <c r="W369" i="20" s="1"/>
  <c r="P387" i="20"/>
  <c r="T146" i="20"/>
  <c r="S146" i="20"/>
  <c r="R146" i="20"/>
  <c r="N24" i="20"/>
  <c r="V24" i="20"/>
  <c r="W24" i="20" s="1"/>
  <c r="P103" i="20"/>
  <c r="N147" i="20"/>
  <c r="V147" i="20"/>
  <c r="W147" i="20" s="1"/>
  <c r="T6" i="20"/>
  <c r="T213" i="20"/>
  <c r="Q403" i="20"/>
  <c r="V403" i="20" s="1"/>
  <c r="W403" i="20" s="1"/>
  <c r="V236" i="20"/>
  <c r="W236" i="20" s="1"/>
  <c r="N236" i="20"/>
  <c r="V306" i="20"/>
  <c r="W306" i="20" s="1"/>
  <c r="U196" i="20"/>
  <c r="R347" i="20"/>
  <c r="Q41" i="20"/>
  <c r="P331" i="20"/>
  <c r="V331" i="20" s="1"/>
  <c r="W331" i="20" s="1"/>
  <c r="P229" i="20"/>
  <c r="U369" i="20"/>
  <c r="T55" i="20"/>
  <c r="S55" i="20"/>
  <c r="P55" i="20"/>
  <c r="R55" i="20"/>
  <c r="Q55" i="20"/>
  <c r="V55" i="20" s="1"/>
  <c r="W55" i="20" s="1"/>
  <c r="N343" i="20"/>
  <c r="V343" i="20"/>
  <c r="W343" i="20" s="1"/>
  <c r="P146" i="20"/>
  <c r="P314" i="20"/>
  <c r="V314" i="20" s="1"/>
  <c r="W314" i="20" s="1"/>
  <c r="S103" i="20"/>
  <c r="U147" i="20"/>
  <c r="T147" i="20"/>
  <c r="Q147" i="20"/>
  <c r="S147" i="20"/>
  <c r="R147" i="20"/>
  <c r="T206" i="20"/>
  <c r="V217" i="20"/>
  <c r="W217" i="20" s="1"/>
  <c r="N217" i="20"/>
  <c r="N154" i="20"/>
  <c r="V154" i="20"/>
  <c r="W154" i="20" s="1"/>
  <c r="U6" i="20"/>
  <c r="Q213" i="20"/>
  <c r="V213" i="20" s="1"/>
  <c r="W213" i="20" s="1"/>
  <c r="P77" i="20"/>
  <c r="V77" i="20" s="1"/>
  <c r="W77" i="20" s="1"/>
  <c r="P13" i="20"/>
  <c r="R403" i="20"/>
  <c r="M208" i="20"/>
  <c r="U316" i="20"/>
  <c r="R208" i="20"/>
  <c r="P208" i="20"/>
  <c r="R41" i="20"/>
  <c r="M324" i="20"/>
  <c r="V322" i="20"/>
  <c r="W322" i="20" s="1"/>
  <c r="N396" i="20"/>
  <c r="V396" i="20"/>
  <c r="W396" i="20" s="1"/>
  <c r="N108" i="20"/>
  <c r="V108" i="20"/>
  <c r="W108" i="20" s="1"/>
  <c r="R229" i="20"/>
  <c r="N204" i="20"/>
  <c r="N55" i="20"/>
  <c r="Q146" i="20"/>
  <c r="T103" i="20"/>
  <c r="P147" i="20"/>
  <c r="P48" i="20"/>
  <c r="V48" i="20" s="1"/>
  <c r="W48" i="20" s="1"/>
  <c r="T48" i="20"/>
  <c r="V348" i="20"/>
  <c r="W348" i="20" s="1"/>
  <c r="N348" i="20"/>
  <c r="U11" i="20"/>
  <c r="T11" i="20"/>
  <c r="M230" i="20"/>
  <c r="S207" i="20"/>
  <c r="S89" i="20"/>
  <c r="R89" i="20"/>
  <c r="P196" i="20"/>
  <c r="N110" i="20"/>
  <c r="V110" i="20"/>
  <c r="W110" i="20" s="1"/>
  <c r="N152" i="19"/>
  <c r="V152" i="19"/>
  <c r="W152" i="19" s="1"/>
  <c r="N346" i="19"/>
  <c r="N356" i="19"/>
  <c r="V227" i="19"/>
  <c r="W227" i="19" s="1"/>
  <c r="N227" i="19"/>
  <c r="N329" i="19"/>
  <c r="V329" i="19"/>
  <c r="W329" i="19" s="1"/>
  <c r="N97" i="19"/>
  <c r="V97" i="19"/>
  <c r="W97" i="19" s="1"/>
  <c r="N15" i="19"/>
  <c r="V15" i="19"/>
  <c r="W15" i="19" s="1"/>
  <c r="N38" i="19"/>
  <c r="V38" i="19"/>
  <c r="W38" i="19" s="1"/>
  <c r="N337" i="19"/>
  <c r="V337" i="19"/>
  <c r="W337" i="19" s="1"/>
  <c r="N334" i="19"/>
  <c r="N341" i="19"/>
  <c r="N352" i="19"/>
  <c r="V352" i="19"/>
  <c r="W352" i="19" s="1"/>
  <c r="N100" i="19"/>
  <c r="V100" i="19"/>
  <c r="W100" i="19" s="1"/>
  <c r="N77" i="19"/>
  <c r="V77" i="19"/>
  <c r="W77" i="19" s="1"/>
  <c r="N79" i="19"/>
  <c r="V79" i="19"/>
  <c r="W79" i="19" s="1"/>
  <c r="N88" i="19"/>
  <c r="N48" i="19"/>
  <c r="V48" i="19"/>
  <c r="W48" i="19" s="1"/>
  <c r="V293" i="19"/>
  <c r="W293" i="19" s="1"/>
  <c r="N293" i="19"/>
  <c r="N20" i="19"/>
  <c r="V20" i="19"/>
  <c r="W20" i="19" s="1"/>
  <c r="N72" i="19"/>
  <c r="V72" i="19"/>
  <c r="W72" i="19" s="1"/>
  <c r="N239" i="19"/>
  <c r="N357" i="19"/>
  <c r="N3" i="19"/>
  <c r="V3" i="19"/>
  <c r="W3" i="19" s="1"/>
  <c r="U195" i="19"/>
  <c r="T195" i="19"/>
  <c r="Q195" i="19"/>
  <c r="S195" i="19"/>
  <c r="R195" i="19"/>
  <c r="N247" i="19"/>
  <c r="V247" i="19"/>
  <c r="W247" i="19" s="1"/>
  <c r="S392" i="19"/>
  <c r="V74" i="19"/>
  <c r="W74" i="19" s="1"/>
  <c r="V232" i="19"/>
  <c r="W232" i="19" s="1"/>
  <c r="V216" i="19"/>
  <c r="W216" i="19" s="1"/>
  <c r="N216" i="19"/>
  <c r="U87" i="19"/>
  <c r="V87" i="19" s="1"/>
  <c r="W87" i="19" s="1"/>
  <c r="T87" i="19"/>
  <c r="S87" i="19"/>
  <c r="R87" i="19"/>
  <c r="Q87" i="19"/>
  <c r="P87" i="19"/>
  <c r="N87" i="19"/>
  <c r="S174" i="19"/>
  <c r="R174" i="19"/>
  <c r="T174" i="19"/>
  <c r="V174" i="19" s="1"/>
  <c r="W174" i="19" s="1"/>
  <c r="U174" i="19"/>
  <c r="T36" i="19"/>
  <c r="P195" i="19"/>
  <c r="P396" i="19"/>
  <c r="V396" i="19" s="1"/>
  <c r="W396" i="19" s="1"/>
  <c r="S396" i="19"/>
  <c r="T396" i="19"/>
  <c r="N371" i="19"/>
  <c r="V371" i="19"/>
  <c r="W371" i="19" s="1"/>
  <c r="V307" i="19"/>
  <c r="W307" i="19" s="1"/>
  <c r="Q155" i="19"/>
  <c r="P224" i="19"/>
  <c r="U45" i="19"/>
  <c r="T45" i="19"/>
  <c r="P283" i="19"/>
  <c r="U36" i="19"/>
  <c r="S155" i="19"/>
  <c r="N278" i="19"/>
  <c r="V278" i="19"/>
  <c r="W278" i="19" s="1"/>
  <c r="U419" i="19"/>
  <c r="T419" i="19"/>
  <c r="S419" i="19"/>
  <c r="R419" i="19"/>
  <c r="V419" i="19" s="1"/>
  <c r="W419" i="19" s="1"/>
  <c r="Q396" i="19"/>
  <c r="N128" i="19"/>
  <c r="V128" i="19"/>
  <c r="W128" i="19" s="1"/>
  <c r="V65" i="19"/>
  <c r="W65" i="19" s="1"/>
  <c r="U13" i="19"/>
  <c r="R13" i="19"/>
  <c r="Q13" i="19"/>
  <c r="S13" i="19"/>
  <c r="V120" i="19"/>
  <c r="W120" i="19" s="1"/>
  <c r="N120" i="19"/>
  <c r="N388" i="19"/>
  <c r="P155" i="19"/>
  <c r="V155" i="19" s="1"/>
  <c r="W155" i="19" s="1"/>
  <c r="P45" i="19"/>
  <c r="V45" i="19" s="1"/>
  <c r="W45" i="19" s="1"/>
  <c r="V6" i="19"/>
  <c r="W6" i="19" s="1"/>
  <c r="U25" i="19"/>
  <c r="Q25" i="19"/>
  <c r="T25" i="19"/>
  <c r="R25" i="19"/>
  <c r="S25" i="19"/>
  <c r="Q283" i="19"/>
  <c r="P261" i="19"/>
  <c r="U261" i="19"/>
  <c r="T261" i="19"/>
  <c r="V95" i="19"/>
  <c r="W95" i="19" s="1"/>
  <c r="N95" i="19"/>
  <c r="N366" i="19"/>
  <c r="U267" i="19"/>
  <c r="T267" i="19"/>
  <c r="Q267" i="19"/>
  <c r="V267" i="19" s="1"/>
  <c r="W267" i="19" s="1"/>
  <c r="P267" i="19"/>
  <c r="N262" i="19"/>
  <c r="V262" i="19"/>
  <c r="W262" i="19" s="1"/>
  <c r="R80" i="19"/>
  <c r="V80" i="19" s="1"/>
  <c r="W80" i="19" s="1"/>
  <c r="U80" i="19"/>
  <c r="T80" i="19"/>
  <c r="Q180" i="19"/>
  <c r="R180" i="19"/>
  <c r="T180" i="19"/>
  <c r="U180" i="19"/>
  <c r="V245" i="19"/>
  <c r="W245" i="19" s="1"/>
  <c r="U383" i="19"/>
  <c r="T383" i="19"/>
  <c r="P383" i="19"/>
  <c r="N185" i="19"/>
  <c r="V148" i="19"/>
  <c r="W148" i="19" s="1"/>
  <c r="N148" i="19"/>
  <c r="N380" i="19"/>
  <c r="V380" i="19"/>
  <c r="W380" i="19" s="1"/>
  <c r="N94" i="19"/>
  <c r="V94" i="19"/>
  <c r="W94" i="19" s="1"/>
  <c r="S394" i="19"/>
  <c r="U394" i="19"/>
  <c r="P394" i="19"/>
  <c r="Q394" i="19"/>
  <c r="T394" i="19"/>
  <c r="N267" i="19"/>
  <c r="U235" i="19"/>
  <c r="Q235" i="19"/>
  <c r="P235" i="19"/>
  <c r="R235" i="19"/>
  <c r="S235" i="19"/>
  <c r="U292" i="19"/>
  <c r="T292" i="19"/>
  <c r="P292" i="19"/>
  <c r="S292" i="19"/>
  <c r="N73" i="19"/>
  <c r="N29" i="19"/>
  <c r="V29" i="19"/>
  <c r="W29" i="19" s="1"/>
  <c r="U356" i="19"/>
  <c r="V179" i="19"/>
  <c r="W179" i="19" s="1"/>
  <c r="R90" i="19"/>
  <c r="Q323" i="19"/>
  <c r="T323" i="19"/>
  <c r="N257" i="19"/>
  <c r="N66" i="19"/>
  <c r="P323" i="19"/>
  <c r="N180" i="19"/>
  <c r="V200" i="19"/>
  <c r="W200" i="19" s="1"/>
  <c r="S323" i="19"/>
  <c r="V237" i="19"/>
  <c r="W237" i="19" s="1"/>
  <c r="N237" i="19"/>
  <c r="N231" i="19"/>
  <c r="V231" i="19"/>
  <c r="W231" i="19" s="1"/>
  <c r="R401" i="19"/>
  <c r="S422" i="19"/>
  <c r="U422" i="19"/>
  <c r="T422" i="19"/>
  <c r="N16" i="19"/>
  <c r="V16" i="19"/>
  <c r="W16" i="19" s="1"/>
  <c r="V70" i="19"/>
  <c r="W70" i="19" s="1"/>
  <c r="Q375" i="19"/>
  <c r="R375" i="19"/>
  <c r="P375" i="19"/>
  <c r="S375" i="19"/>
  <c r="U375" i="19"/>
  <c r="T375" i="19"/>
  <c r="N283" i="19"/>
  <c r="V283" i="19"/>
  <c r="W283" i="19" s="1"/>
  <c r="V328" i="19"/>
  <c r="W328" i="19" s="1"/>
  <c r="N328" i="19"/>
  <c r="Q416" i="19"/>
  <c r="Q401" i="19"/>
  <c r="U308" i="19"/>
  <c r="T308" i="19"/>
  <c r="S308" i="19"/>
  <c r="Q308" i="19"/>
  <c r="P308" i="19"/>
  <c r="V308" i="19" s="1"/>
  <c r="W308" i="19" s="1"/>
  <c r="P422" i="19"/>
  <c r="N166" i="19"/>
  <c r="V50" i="19"/>
  <c r="W50" i="19" s="1"/>
  <c r="N50" i="19"/>
  <c r="U169" i="19"/>
  <c r="V169" i="19" s="1"/>
  <c r="W169" i="19" s="1"/>
  <c r="V343" i="19"/>
  <c r="W343" i="19" s="1"/>
  <c r="P416" i="19"/>
  <c r="T401" i="19"/>
  <c r="Q422" i="19"/>
  <c r="N123" i="19"/>
  <c r="V123" i="19"/>
  <c r="W123" i="19" s="1"/>
  <c r="V47" i="19"/>
  <c r="W47" i="19" s="1"/>
  <c r="N47" i="19"/>
  <c r="N132" i="19"/>
  <c r="V132" i="19"/>
  <c r="W132" i="19" s="1"/>
  <c r="U10" i="19"/>
  <c r="R10" i="19"/>
  <c r="S10" i="19"/>
  <c r="T10" i="19"/>
  <c r="M219" i="19"/>
  <c r="S312" i="19"/>
  <c r="U312" i="19"/>
  <c r="P312" i="19"/>
  <c r="Q312" i="19"/>
  <c r="T312" i="19"/>
  <c r="R312" i="19"/>
  <c r="N199" i="19"/>
  <c r="R422" i="19"/>
  <c r="V106" i="19"/>
  <c r="W106" i="19" s="1"/>
  <c r="N106" i="19"/>
  <c r="U348" i="19"/>
  <c r="T348" i="19"/>
  <c r="S348" i="19"/>
  <c r="P348" i="19"/>
  <c r="V348" i="19" s="1"/>
  <c r="W348" i="19" s="1"/>
  <c r="N101" i="19"/>
  <c r="U14" i="19"/>
  <c r="T14" i="19"/>
  <c r="S14" i="19"/>
  <c r="Q14" i="19"/>
  <c r="R14" i="19"/>
  <c r="S223" i="19"/>
  <c r="U223" i="19"/>
  <c r="T223" i="19"/>
  <c r="Q223" i="19"/>
  <c r="R223" i="19"/>
  <c r="U410" i="19"/>
  <c r="S410" i="19"/>
  <c r="R410" i="19"/>
  <c r="Q410" i="19"/>
  <c r="T210" i="19"/>
  <c r="S210" i="19"/>
  <c r="R210" i="19"/>
  <c r="Q210" i="19"/>
  <c r="U210" i="19"/>
  <c r="P210" i="19"/>
  <c r="V210" i="19" s="1"/>
  <c r="W210" i="19" s="1"/>
  <c r="V349" i="19"/>
  <c r="W349" i="19" s="1"/>
  <c r="N349" i="19"/>
  <c r="V295" i="19"/>
  <c r="W295" i="19" s="1"/>
  <c r="P263" i="19"/>
  <c r="V263" i="19" s="1"/>
  <c r="W263" i="19" s="1"/>
  <c r="Q263" i="19"/>
  <c r="U263" i="19"/>
  <c r="N75" i="19"/>
  <c r="N330" i="19"/>
  <c r="N398" i="19"/>
  <c r="V398" i="19"/>
  <c r="W398" i="19" s="1"/>
  <c r="V81" i="19"/>
  <c r="W81" i="19" s="1"/>
  <c r="N81" i="19"/>
  <c r="T175" i="19"/>
  <c r="U175" i="19"/>
  <c r="R175" i="19"/>
  <c r="P175" i="19"/>
  <c r="Q175" i="19"/>
  <c r="R70" i="19"/>
  <c r="N165" i="19"/>
  <c r="V165" i="19"/>
  <c r="W165" i="19" s="1"/>
  <c r="N395" i="19"/>
  <c r="R73" i="19"/>
  <c r="Q73" i="19"/>
  <c r="S73" i="19"/>
  <c r="P73" i="19"/>
  <c r="V73" i="19" s="1"/>
  <c r="W73" i="19" s="1"/>
  <c r="T73" i="19"/>
  <c r="U73" i="19"/>
  <c r="S3" i="19"/>
  <c r="R3" i="19"/>
  <c r="P3" i="19"/>
  <c r="Q3" i="19"/>
  <c r="T142" i="19"/>
  <c r="U142" i="19"/>
  <c r="N345" i="19"/>
  <c r="V345" i="19"/>
  <c r="W345" i="19" s="1"/>
  <c r="U90" i="19"/>
  <c r="N387" i="19"/>
  <c r="S63" i="19"/>
  <c r="U20" i="19"/>
  <c r="Q20" i="19"/>
  <c r="N402" i="19"/>
  <c r="R196" i="19"/>
  <c r="Q196" i="19"/>
  <c r="S415" i="19"/>
  <c r="P415" i="19"/>
  <c r="R415" i="19"/>
  <c r="Q415" i="19"/>
  <c r="P223" i="19"/>
  <c r="P410" i="19"/>
  <c r="V410" i="19" s="1"/>
  <c r="W410" i="19" s="1"/>
  <c r="N351" i="19"/>
  <c r="V351" i="19"/>
  <c r="W351" i="19" s="1"/>
  <c r="V269" i="19"/>
  <c r="W269" i="19" s="1"/>
  <c r="N269" i="19"/>
  <c r="R263" i="19"/>
  <c r="P244" i="19"/>
  <c r="V244" i="19" s="1"/>
  <c r="W244" i="19" s="1"/>
  <c r="S175" i="19"/>
  <c r="V175" i="19" s="1"/>
  <c r="W175" i="19" s="1"/>
  <c r="Q70" i="19"/>
  <c r="S49" i="19"/>
  <c r="R49" i="19"/>
  <c r="Q49" i="19"/>
  <c r="U49" i="19"/>
  <c r="T49" i="19"/>
  <c r="R346" i="19"/>
  <c r="V346" i="19" s="1"/>
  <c r="W346" i="19" s="1"/>
  <c r="R45" i="19"/>
  <c r="T3" i="19"/>
  <c r="P142" i="19"/>
  <c r="P356" i="19"/>
  <c r="V356" i="19" s="1"/>
  <c r="W356" i="19" s="1"/>
  <c r="T387" i="19"/>
  <c r="S387" i="19"/>
  <c r="R387" i="19"/>
  <c r="Q387" i="19"/>
  <c r="U387" i="19"/>
  <c r="P387" i="19"/>
  <c r="V387" i="19" s="1"/>
  <c r="W387" i="19" s="1"/>
  <c r="R20" i="19"/>
  <c r="P196" i="19"/>
  <c r="V382" i="19"/>
  <c r="W382" i="19" s="1"/>
  <c r="T410" i="19"/>
  <c r="R383" i="19"/>
  <c r="M207" i="19"/>
  <c r="U339" i="19"/>
  <c r="V272" i="19"/>
  <c r="W272" i="19" s="1"/>
  <c r="R357" i="19"/>
  <c r="S70" i="19"/>
  <c r="P49" i="19"/>
  <c r="U3" i="19"/>
  <c r="V170" i="19"/>
  <c r="W170" i="19" s="1"/>
  <c r="T356" i="19"/>
  <c r="N37" i="19"/>
  <c r="S90" i="19"/>
  <c r="Q105" i="19"/>
  <c r="R105" i="19"/>
  <c r="U105" i="19"/>
  <c r="V92" i="19"/>
  <c r="W92" i="19" s="1"/>
  <c r="S20" i="19"/>
  <c r="Q327" i="19"/>
  <c r="T196" i="19"/>
  <c r="V286" i="19"/>
  <c r="W286" i="19" s="1"/>
  <c r="N286" i="19"/>
  <c r="U392" i="19"/>
  <c r="T392" i="19"/>
  <c r="N224" i="19"/>
  <c r="S89" i="19"/>
  <c r="R89" i="19"/>
  <c r="U89" i="19"/>
  <c r="P341" i="19"/>
  <c r="U341" i="19"/>
  <c r="Q341" i="19"/>
  <c r="R341" i="19"/>
  <c r="V341" i="19" s="1"/>
  <c r="W341" i="19" s="1"/>
  <c r="T224" i="19"/>
  <c r="R224" i="19"/>
  <c r="U224" i="19"/>
  <c r="Q224" i="19"/>
  <c r="V224" i="19" s="1"/>
  <c r="W224" i="19" s="1"/>
  <c r="S360" i="19"/>
  <c r="T360" i="19"/>
  <c r="P360" i="19"/>
  <c r="R360" i="19"/>
  <c r="Q360" i="19"/>
  <c r="U360" i="19"/>
  <c r="S257" i="19"/>
  <c r="P257" i="19"/>
  <c r="V257" i="19" s="1"/>
  <c r="W257" i="19" s="1"/>
  <c r="R257" i="19"/>
  <c r="Q257" i="19"/>
  <c r="T257" i="19"/>
  <c r="R283" i="19"/>
  <c r="R385" i="19"/>
  <c r="U385" i="19"/>
  <c r="T385" i="19"/>
  <c r="S385" i="19"/>
  <c r="P385" i="19"/>
  <c r="Q385" i="19"/>
  <c r="N111" i="19"/>
  <c r="V111" i="19"/>
  <c r="W111" i="19" s="1"/>
  <c r="R323" i="19"/>
  <c r="P401" i="19"/>
  <c r="V353" i="19"/>
  <c r="W353" i="19" s="1"/>
  <c r="N353" i="19"/>
  <c r="V413" i="19"/>
  <c r="W413" i="19" s="1"/>
  <c r="S283" i="19"/>
  <c r="U416" i="19"/>
  <c r="T416" i="19"/>
  <c r="R416" i="19"/>
  <c r="V186" i="19"/>
  <c r="W186" i="19" s="1"/>
  <c r="N197" i="19"/>
  <c r="V197" i="19"/>
  <c r="W197" i="19" s="1"/>
  <c r="N117" i="19"/>
  <c r="V117" i="19"/>
  <c r="W117" i="19" s="1"/>
  <c r="S75" i="19"/>
  <c r="Q75" i="19"/>
  <c r="P75" i="19"/>
  <c r="V75" i="19" s="1"/>
  <c r="W75" i="19" s="1"/>
  <c r="U75" i="19"/>
  <c r="T75" i="19"/>
  <c r="N187" i="19"/>
  <c r="V187" i="19"/>
  <c r="W187" i="19" s="1"/>
  <c r="V189" i="19"/>
  <c r="W189" i="19" s="1"/>
  <c r="N360" i="19"/>
  <c r="V360" i="19"/>
  <c r="W360" i="19" s="1"/>
  <c r="T283" i="19"/>
  <c r="N384" i="19"/>
  <c r="V384" i="19"/>
  <c r="W384" i="19" s="1"/>
  <c r="S397" i="19"/>
  <c r="V397" i="19" s="1"/>
  <c r="W397" i="19" s="1"/>
  <c r="U397" i="19"/>
  <c r="N14" i="19"/>
  <c r="V14" i="19"/>
  <c r="W14" i="19" s="1"/>
  <c r="U39" i="19"/>
  <c r="S39" i="19"/>
  <c r="R39" i="19"/>
  <c r="Q39" i="19"/>
  <c r="V39" i="19" s="1"/>
  <c r="W39" i="19" s="1"/>
  <c r="T39" i="19"/>
  <c r="P39" i="19"/>
  <c r="N213" i="19"/>
  <c r="T213" i="19"/>
  <c r="R213" i="19"/>
  <c r="S213" i="19"/>
  <c r="U213" i="19"/>
  <c r="P213" i="19"/>
  <c r="V213" i="19" s="1"/>
  <c r="W213" i="19" s="1"/>
  <c r="M412" i="19"/>
  <c r="S383" i="19"/>
  <c r="N119" i="19"/>
  <c r="V119" i="19"/>
  <c r="W119" i="19" s="1"/>
  <c r="U244" i="19"/>
  <c r="U220" i="19"/>
  <c r="R220" i="19"/>
  <c r="Q220" i="19"/>
  <c r="P220" i="19"/>
  <c r="S220" i="19"/>
  <c r="N361" i="19"/>
  <c r="V361" i="19"/>
  <c r="W361" i="19" s="1"/>
  <c r="T346" i="19"/>
  <c r="U346" i="19"/>
  <c r="N347" i="19"/>
  <c r="V347" i="19"/>
  <c r="W347" i="19" s="1"/>
  <c r="T42" i="19"/>
  <c r="S42" i="19"/>
  <c r="R42" i="19"/>
  <c r="V42" i="19" s="1"/>
  <c r="W42" i="19" s="1"/>
  <c r="U42" i="19"/>
  <c r="Q42" i="19"/>
  <c r="Q142" i="19"/>
  <c r="V159" i="19"/>
  <c r="W159" i="19" s="1"/>
  <c r="N210" i="19"/>
  <c r="T64" i="19"/>
  <c r="U64" i="19"/>
  <c r="Q64" i="19"/>
  <c r="V64" i="19" s="1"/>
  <c r="W64" i="19" s="1"/>
  <c r="T20" i="19"/>
  <c r="N167" i="19"/>
  <c r="V53" i="19"/>
  <c r="W53" i="19" s="1"/>
  <c r="S196" i="19"/>
  <c r="N374" i="19"/>
  <c r="V374" i="19"/>
  <c r="W374" i="19" s="1"/>
  <c r="N319" i="19"/>
  <c r="Q63" i="19"/>
  <c r="P63" i="19"/>
  <c r="V63" i="19" s="1"/>
  <c r="W63" i="19" s="1"/>
  <c r="N327" i="19"/>
  <c r="V327" i="19"/>
  <c r="W327" i="19" s="1"/>
  <c r="N405" i="19"/>
  <c r="V405" i="19"/>
  <c r="W405" i="19" s="1"/>
  <c r="U336" i="19"/>
  <c r="T336" i="19"/>
  <c r="Q336" i="19"/>
  <c r="P336" i="19"/>
  <c r="V336" i="19" s="1"/>
  <c r="W336" i="19" s="1"/>
  <c r="S336" i="19"/>
  <c r="R336" i="19"/>
  <c r="N348" i="19"/>
  <c r="N18" i="19"/>
  <c r="V18" i="19"/>
  <c r="W18" i="19" s="1"/>
  <c r="P138" i="19"/>
  <c r="R138" i="19"/>
  <c r="Q138" i="19"/>
  <c r="S138" i="19"/>
  <c r="U138" i="19"/>
  <c r="T138" i="19"/>
  <c r="V335" i="19"/>
  <c r="W335" i="19" s="1"/>
  <c r="N115" i="19"/>
  <c r="Q169" i="19"/>
  <c r="N312" i="19"/>
  <c r="V312" i="19"/>
  <c r="W312" i="19" s="1"/>
  <c r="T215" i="19"/>
  <c r="S215" i="19"/>
  <c r="R215" i="19"/>
  <c r="Q215" i="19"/>
  <c r="P215" i="19"/>
  <c r="V215" i="19" s="1"/>
  <c r="W215" i="19" s="1"/>
  <c r="U215" i="19"/>
  <c r="P357" i="19"/>
  <c r="V357" i="19" s="1"/>
  <c r="W357" i="19" s="1"/>
  <c r="N116" i="19"/>
  <c r="V116" i="19"/>
  <c r="W116" i="19" s="1"/>
  <c r="V217" i="19"/>
  <c r="W217" i="19" s="1"/>
  <c r="R169" i="19"/>
  <c r="S341" i="19"/>
  <c r="V28" i="19"/>
  <c r="W28" i="19" s="1"/>
  <c r="N43" i="19"/>
  <c r="V43" i="19"/>
  <c r="W43" i="19" s="1"/>
  <c r="Q27" i="19"/>
  <c r="N212" i="19"/>
  <c r="V212" i="19"/>
  <c r="W212" i="19" s="1"/>
  <c r="N311" i="19"/>
  <c r="V311" i="19"/>
  <c r="W311" i="19" s="1"/>
  <c r="N411" i="19"/>
  <c r="N338" i="19"/>
  <c r="V338" i="19"/>
  <c r="W338" i="19" s="1"/>
  <c r="S91" i="19"/>
  <c r="R91" i="19"/>
  <c r="Q91" i="19"/>
  <c r="U91" i="19"/>
  <c r="T91" i="19"/>
  <c r="P91" i="19"/>
  <c r="N76" i="19"/>
  <c r="V76" i="19"/>
  <c r="W76" i="19" s="1"/>
  <c r="N206" i="19"/>
  <c r="V206" i="19"/>
  <c r="W206" i="19" s="1"/>
  <c r="T89" i="19"/>
  <c r="N149" i="19"/>
  <c r="V149" i="19"/>
  <c r="W149" i="19" s="1"/>
  <c r="V246" i="19"/>
  <c r="W246" i="19" s="1"/>
  <c r="N156" i="19"/>
  <c r="V156" i="19"/>
  <c r="W156" i="19" s="1"/>
  <c r="N64" i="19"/>
  <c r="R27" i="19"/>
  <c r="S152" i="19"/>
  <c r="Q313" i="19"/>
  <c r="Q291" i="19"/>
  <c r="P291" i="19"/>
  <c r="U291" i="19"/>
  <c r="T291" i="19"/>
  <c r="S291" i="19"/>
  <c r="N211" i="19"/>
  <c r="V211" i="19"/>
  <c r="W211" i="19" s="1"/>
  <c r="N21" i="19"/>
  <c r="V21" i="19"/>
  <c r="W21" i="19" s="1"/>
  <c r="Q339" i="19"/>
  <c r="T339" i="19"/>
  <c r="S339" i="19"/>
  <c r="N279" i="19"/>
  <c r="V279" i="19"/>
  <c r="W279" i="19" s="1"/>
  <c r="S115" i="19"/>
  <c r="R115" i="19"/>
  <c r="P115" i="19"/>
  <c r="V115" i="19" s="1"/>
  <c r="W115" i="19" s="1"/>
  <c r="M368" i="19"/>
  <c r="V98" i="19"/>
  <c r="W98" i="19" s="1"/>
  <c r="N98" i="19"/>
  <c r="N270" i="19"/>
  <c r="M150" i="19"/>
  <c r="T115" i="19"/>
  <c r="N61" i="19"/>
  <c r="V61" i="19"/>
  <c r="W61" i="19" s="1"/>
  <c r="V124" i="19"/>
  <c r="W124" i="19" s="1"/>
  <c r="N124" i="19"/>
  <c r="N142" i="19"/>
  <c r="V142" i="19"/>
  <c r="W142" i="19" s="1"/>
  <c r="V209" i="19"/>
  <c r="W209" i="19" s="1"/>
  <c r="T341" i="19"/>
  <c r="N264" i="19"/>
  <c r="T167" i="19"/>
  <c r="S167" i="19"/>
  <c r="R167" i="19"/>
  <c r="P167" i="19"/>
  <c r="V167" i="19" s="1"/>
  <c r="W167" i="19" s="1"/>
  <c r="P313" i="19"/>
  <c r="V313" i="19" s="1"/>
  <c r="W313" i="19" s="1"/>
  <c r="V251" i="19"/>
  <c r="W251" i="19" s="1"/>
  <c r="N379" i="19"/>
  <c r="V379" i="19"/>
  <c r="W379" i="19" s="1"/>
  <c r="N309" i="19"/>
  <c r="V309" i="19"/>
  <c r="W309" i="19" s="1"/>
  <c r="N389" i="19"/>
  <c r="N91" i="19"/>
  <c r="V91" i="19"/>
  <c r="W91" i="19" s="1"/>
  <c r="T259" i="19"/>
  <c r="R259" i="19"/>
  <c r="S259" i="19"/>
  <c r="V33" i="19"/>
  <c r="W33" i="19" s="1"/>
  <c r="N33" i="19"/>
  <c r="S99" i="19"/>
  <c r="U99" i="19"/>
  <c r="R99" i="19"/>
  <c r="T99" i="19"/>
  <c r="Q99" i="19"/>
  <c r="P99" i="19"/>
  <c r="N421" i="19"/>
  <c r="V421" i="19"/>
  <c r="W421" i="19" s="1"/>
  <c r="T264" i="19"/>
  <c r="V264" i="19" s="1"/>
  <c r="W264" i="19" s="1"/>
  <c r="N174" i="19"/>
  <c r="T168" i="19"/>
  <c r="P168" i="19"/>
  <c r="S168" i="19"/>
  <c r="R168" i="19"/>
  <c r="M134" i="19"/>
  <c r="V27" i="19"/>
  <c r="W27" i="19" s="1"/>
  <c r="U167" i="19"/>
  <c r="R313" i="19"/>
  <c r="N261" i="19"/>
  <c r="V261" i="19"/>
  <c r="W261" i="19" s="1"/>
  <c r="N191" i="19"/>
  <c r="V191" i="19"/>
  <c r="W191" i="19" s="1"/>
  <c r="N203" i="19"/>
  <c r="N102" i="19"/>
  <c r="U352" i="19"/>
  <c r="T352" i="19"/>
  <c r="S352" i="19"/>
  <c r="R352" i="19"/>
  <c r="P352" i="19"/>
  <c r="M205" i="19"/>
  <c r="R63" i="19"/>
  <c r="N265" i="19"/>
  <c r="V265" i="19"/>
  <c r="W265" i="19" s="1"/>
  <c r="U63" i="19"/>
  <c r="N144" i="19"/>
  <c r="V144" i="19"/>
  <c r="W144" i="19" s="1"/>
  <c r="V113" i="19"/>
  <c r="W113" i="19" s="1"/>
  <c r="P90" i="19"/>
  <c r="Q90" i="19"/>
  <c r="N181" i="19"/>
  <c r="R75" i="19"/>
  <c r="R222" i="19"/>
  <c r="U222" i="19"/>
  <c r="S222" i="19"/>
  <c r="Q222" i="19"/>
  <c r="V222" i="19" s="1"/>
  <c r="W222" i="19" s="1"/>
  <c r="S27" i="19"/>
  <c r="N240" i="19"/>
  <c r="V240" i="19"/>
  <c r="W240" i="19" s="1"/>
  <c r="N22" i="19"/>
  <c r="V22" i="19"/>
  <c r="W22" i="19" s="1"/>
  <c r="S279" i="19"/>
  <c r="Q279" i="19"/>
  <c r="P279" i="19"/>
  <c r="U279" i="19"/>
  <c r="T279" i="19"/>
  <c r="P222" i="19"/>
  <c r="N154" i="19"/>
  <c r="V154" i="19"/>
  <c r="W154" i="19" s="1"/>
  <c r="V54" i="19"/>
  <c r="W54" i="19" s="1"/>
  <c r="N54" i="19"/>
  <c r="Q58" i="19"/>
  <c r="T58" i="19"/>
  <c r="S58" i="19"/>
  <c r="R58" i="19"/>
  <c r="P58" i="19"/>
  <c r="V58" i="19" s="1"/>
  <c r="W58" i="19" s="1"/>
  <c r="U58" i="19"/>
  <c r="U27" i="19"/>
  <c r="T152" i="19"/>
  <c r="P152" i="19"/>
  <c r="U152" i="19"/>
  <c r="N305" i="19"/>
  <c r="V305" i="19"/>
  <c r="W305" i="19" s="1"/>
  <c r="N377" i="19"/>
  <c r="V377" i="19"/>
  <c r="W377" i="19" s="1"/>
  <c r="V417" i="19"/>
  <c r="W417" i="19" s="1"/>
  <c r="N417" i="19"/>
  <c r="N280" i="19"/>
  <c r="V280" i="19"/>
  <c r="W280" i="19" s="1"/>
  <c r="V84" i="19"/>
  <c r="W84" i="19" s="1"/>
  <c r="N84" i="19"/>
  <c r="Q259" i="19"/>
  <c r="V259" i="19" s="1"/>
  <c r="W259" i="19" s="1"/>
  <c r="T145" i="19"/>
  <c r="S145" i="19"/>
  <c r="Q145" i="19"/>
  <c r="R145" i="19"/>
  <c r="N364" i="19"/>
  <c r="Q80" i="19"/>
  <c r="N103" i="19"/>
  <c r="P264" i="19"/>
  <c r="P174" i="19"/>
  <c r="T313" i="19"/>
  <c r="N36" i="19"/>
  <c r="P36" i="19"/>
  <c r="V36" i="19" s="1"/>
  <c r="W36" i="19" s="1"/>
  <c r="S36" i="19"/>
  <c r="N12" i="19"/>
  <c r="V12" i="19"/>
  <c r="W12" i="19" s="1"/>
  <c r="N376" i="19"/>
  <c r="V376" i="19"/>
  <c r="W376" i="19" s="1"/>
  <c r="R291" i="19"/>
  <c r="V143" i="19"/>
  <c r="W143" i="19" s="1"/>
  <c r="P339" i="19"/>
  <c r="V260" i="19"/>
  <c r="W260" i="19" s="1"/>
  <c r="Q115" i="19"/>
  <c r="T169" i="19"/>
  <c r="P169" i="19"/>
  <c r="V60" i="19"/>
  <c r="W60" i="19" s="1"/>
  <c r="N407" i="19"/>
  <c r="V407" i="19"/>
  <c r="W407" i="19" s="1"/>
  <c r="Q357" i="19"/>
  <c r="P27" i="19"/>
  <c r="N96" i="19"/>
  <c r="V96" i="19"/>
  <c r="W96" i="19" s="1"/>
  <c r="N373" i="19"/>
  <c r="Q392" i="19"/>
  <c r="V392" i="19" s="1"/>
  <c r="W392" i="19" s="1"/>
  <c r="V250" i="19"/>
  <c r="W250" i="19" s="1"/>
  <c r="N121" i="19"/>
  <c r="V121" i="19"/>
  <c r="W121" i="19" s="1"/>
  <c r="Q89" i="19"/>
  <c r="N139" i="19"/>
  <c r="V139" i="19"/>
  <c r="W139" i="19" s="1"/>
  <c r="U103" i="19"/>
  <c r="S103" i="19"/>
  <c r="R103" i="19"/>
  <c r="Q103" i="19"/>
  <c r="V103" i="19" s="1"/>
  <c r="W103" i="19" s="1"/>
  <c r="T103" i="19"/>
  <c r="P103" i="19"/>
  <c r="Q6" i="19"/>
  <c r="R6" i="19"/>
  <c r="P6" i="19"/>
  <c r="Q264" i="19"/>
  <c r="Q174" i="19"/>
  <c r="N313" i="19"/>
  <c r="N252" i="19"/>
  <c r="V252" i="19"/>
  <c r="W252" i="19" s="1"/>
  <c r="N396" i="19"/>
  <c r="V164" i="19"/>
  <c r="W164" i="19" s="1"/>
  <c r="V226" i="19"/>
  <c r="W226" i="19" s="1"/>
  <c r="V31" i="19"/>
  <c r="W31" i="19" s="1"/>
  <c r="N31" i="19"/>
  <c r="R392" i="19"/>
  <c r="T233" i="19"/>
  <c r="S233" i="19"/>
  <c r="R233" i="19"/>
  <c r="V233" i="19" s="1"/>
  <c r="W233" i="19" s="1"/>
  <c r="N300" i="19"/>
  <c r="V300" i="19"/>
  <c r="W300" i="19" s="1"/>
  <c r="P89" i="19"/>
  <c r="R155" i="19"/>
  <c r="P180" i="19"/>
  <c r="V180" i="19" s="1"/>
  <c r="W180" i="19" s="1"/>
  <c r="S80" i="19"/>
  <c r="N238" i="19"/>
  <c r="V238" i="19"/>
  <c r="W238" i="19" s="1"/>
  <c r="U6" i="19"/>
  <c r="S97" i="19"/>
  <c r="M163" i="19"/>
  <c r="R36" i="19"/>
  <c r="U420" i="19"/>
  <c r="T420" i="19"/>
  <c r="Q420" i="19"/>
  <c r="P420" i="19"/>
  <c r="S420" i="19"/>
  <c r="R420" i="19"/>
  <c r="U382" i="19"/>
  <c r="S382" i="19"/>
  <c r="R382" i="19"/>
  <c r="Q382" i="19"/>
  <c r="N285" i="19"/>
  <c r="V285" i="19"/>
  <c r="W285" i="19" s="1"/>
  <c r="V318" i="19"/>
  <c r="W318" i="19" s="1"/>
  <c r="N350" i="19"/>
  <c r="V350" i="19"/>
  <c r="W350" i="19" s="1"/>
  <c r="V228" i="19"/>
  <c r="W228" i="19" s="1"/>
  <c r="N218" i="19"/>
  <c r="V218" i="19"/>
  <c r="W218" i="19" s="1"/>
  <c r="N39" i="19"/>
  <c r="N59" i="19"/>
  <c r="V59" i="19"/>
  <c r="W59" i="19" s="1"/>
  <c r="R166" i="19"/>
  <c r="V166" i="19" s="1"/>
  <c r="W166" i="19" s="1"/>
  <c r="M304" i="19"/>
  <c r="T143" i="19"/>
  <c r="P66" i="19"/>
  <c r="V66" i="19" s="1"/>
  <c r="W66" i="19" s="1"/>
  <c r="V266" i="19"/>
  <c r="W266" i="19" s="1"/>
  <c r="P143" i="19"/>
  <c r="N225" i="19"/>
  <c r="V225" i="19"/>
  <c r="W225" i="19" s="1"/>
  <c r="N221" i="19"/>
  <c r="V221" i="19"/>
  <c r="W221" i="19" s="1"/>
  <c r="U66" i="19"/>
  <c r="U403" i="19"/>
  <c r="T403" i="19"/>
  <c r="P403" i="19"/>
  <c r="S403" i="19"/>
  <c r="Q403" i="19"/>
  <c r="S365" i="19"/>
  <c r="T365" i="19"/>
  <c r="R365" i="19"/>
  <c r="P365" i="19"/>
  <c r="U365" i="19"/>
  <c r="U304" i="19"/>
  <c r="T304" i="19"/>
  <c r="R304" i="19"/>
  <c r="N162" i="19"/>
  <c r="V162" i="19"/>
  <c r="W162" i="19" s="1"/>
  <c r="T317" i="19"/>
  <c r="V317" i="19" s="1"/>
  <c r="W317" i="19" s="1"/>
  <c r="V400" i="19"/>
  <c r="W400" i="19" s="1"/>
  <c r="P239" i="19"/>
  <c r="V239" i="19" s="1"/>
  <c r="W239" i="19" s="1"/>
  <c r="Q364" i="19"/>
  <c r="V277" i="19"/>
  <c r="W277" i="19" s="1"/>
  <c r="N277" i="19"/>
  <c r="T203" i="19"/>
  <c r="U203" i="19"/>
  <c r="S65" i="19"/>
  <c r="U102" i="19"/>
  <c r="R102" i="19"/>
  <c r="V102" i="19" s="1"/>
  <c r="W102" i="19" s="1"/>
  <c r="V26" i="19"/>
  <c r="W26" i="19" s="1"/>
  <c r="N26" i="19"/>
  <c r="R132" i="19"/>
  <c r="T166" i="19"/>
  <c r="U125" i="19"/>
  <c r="Q395" i="19"/>
  <c r="T132" i="19"/>
  <c r="R141" i="19"/>
  <c r="Q300" i="19"/>
  <c r="P67" i="19"/>
  <c r="V67" i="19" s="1"/>
  <c r="W67" i="19" s="1"/>
  <c r="S88" i="19"/>
  <c r="V88" i="19" s="1"/>
  <c r="W88" i="19" s="1"/>
  <c r="T288" i="19"/>
  <c r="Q288" i="19"/>
  <c r="U288" i="19"/>
  <c r="P288" i="19"/>
  <c r="T248" i="19"/>
  <c r="S248" i="19"/>
  <c r="R248" i="19"/>
  <c r="Q248" i="19"/>
  <c r="V248" i="19" s="1"/>
  <c r="W248" i="19" s="1"/>
  <c r="U114" i="19"/>
  <c r="S114" i="19"/>
  <c r="Q114" i="19"/>
  <c r="P114" i="19"/>
  <c r="R403" i="19"/>
  <c r="S372" i="19"/>
  <c r="Q372" i="19"/>
  <c r="T372" i="19"/>
  <c r="U372" i="19"/>
  <c r="Q304" i="19"/>
  <c r="S376" i="19"/>
  <c r="R376" i="19"/>
  <c r="U376" i="19"/>
  <c r="T376" i="19"/>
  <c r="U185" i="19"/>
  <c r="T185" i="19"/>
  <c r="Q185" i="19"/>
  <c r="P185" i="19"/>
  <c r="V185" i="19" s="1"/>
  <c r="W185" i="19" s="1"/>
  <c r="S185" i="19"/>
  <c r="U183" i="19"/>
  <c r="T183" i="19"/>
  <c r="S183" i="19"/>
  <c r="R183" i="19"/>
  <c r="P183" i="19"/>
  <c r="V183" i="19" s="1"/>
  <c r="W183" i="19" s="1"/>
  <c r="S299" i="19"/>
  <c r="P203" i="19"/>
  <c r="V203" i="19" s="1"/>
  <c r="W203" i="19" s="1"/>
  <c r="M136" i="19"/>
  <c r="T258" i="19"/>
  <c r="V258" i="19" s="1"/>
  <c r="W258" i="19" s="1"/>
  <c r="Q102" i="19"/>
  <c r="S395" i="19"/>
  <c r="U86" i="19"/>
  <c r="S86" i="19"/>
  <c r="R86" i="19"/>
  <c r="Q86" i="19"/>
  <c r="P86" i="19"/>
  <c r="S141" i="19"/>
  <c r="N409" i="19"/>
  <c r="V409" i="19"/>
  <c r="W409" i="19" s="1"/>
  <c r="R300" i="19"/>
  <c r="R116" i="19"/>
  <c r="P51" i="19"/>
  <c r="V51" i="19" s="1"/>
  <c r="W51" i="19" s="1"/>
  <c r="Q256" i="19"/>
  <c r="T88" i="19"/>
  <c r="V46" i="19"/>
  <c r="W46" i="19" s="1"/>
  <c r="N41" i="19"/>
  <c r="V41" i="19"/>
  <c r="W41" i="19" s="1"/>
  <c r="N418" i="19"/>
  <c r="V418" i="19"/>
  <c r="W418" i="19" s="1"/>
  <c r="N414" i="19"/>
  <c r="V414" i="19"/>
  <c r="W414" i="19" s="1"/>
  <c r="P364" i="19"/>
  <c r="V364" i="19" s="1"/>
  <c r="W364" i="19" s="1"/>
  <c r="V381" i="19"/>
  <c r="W381" i="19" s="1"/>
  <c r="N381" i="19"/>
  <c r="U411" i="19"/>
  <c r="T411" i="19"/>
  <c r="V411" i="19" s="1"/>
  <c r="W411" i="19" s="1"/>
  <c r="Q411" i="19"/>
  <c r="V325" i="19"/>
  <c r="W325" i="19" s="1"/>
  <c r="N325" i="19"/>
  <c r="S173" i="19"/>
  <c r="R173" i="19"/>
  <c r="P173" i="19"/>
  <c r="Q173" i="19"/>
  <c r="U173" i="19"/>
  <c r="T358" i="19"/>
  <c r="V358" i="19" s="1"/>
  <c r="W358" i="19" s="1"/>
  <c r="S358" i="19"/>
  <c r="T400" i="19"/>
  <c r="R400" i="19"/>
  <c r="S400" i="19"/>
  <c r="Q400" i="19"/>
  <c r="V342" i="19"/>
  <c r="W342" i="19" s="1"/>
  <c r="N183" i="19"/>
  <c r="T114" i="19"/>
  <c r="V114" i="19" s="1"/>
  <c r="W114" i="19" s="1"/>
  <c r="M404" i="19"/>
  <c r="N282" i="19"/>
  <c r="V282" i="19"/>
  <c r="W282" i="19" s="1"/>
  <c r="N19" i="19"/>
  <c r="V19" i="19"/>
  <c r="W19" i="19" s="1"/>
  <c r="V306" i="19"/>
  <c r="W306" i="19" s="1"/>
  <c r="T363" i="19"/>
  <c r="V363" i="19" s="1"/>
  <c r="W363" i="19" s="1"/>
  <c r="Q146" i="19"/>
  <c r="P125" i="19"/>
  <c r="U395" i="19"/>
  <c r="R38" i="19"/>
  <c r="M86" i="19"/>
  <c r="Q141" i="19"/>
  <c r="U300" i="19"/>
  <c r="R256" i="19"/>
  <c r="Q66" i="19"/>
  <c r="S366" i="19"/>
  <c r="P366" i="19"/>
  <c r="V366" i="19" s="1"/>
  <c r="W366" i="19" s="1"/>
  <c r="M399" i="19"/>
  <c r="N145" i="19"/>
  <c r="V145" i="19"/>
  <c r="W145" i="19" s="1"/>
  <c r="M322" i="19"/>
  <c r="N175" i="19"/>
  <c r="N182" i="19"/>
  <c r="V182" i="19"/>
  <c r="W182" i="19" s="1"/>
  <c r="U127" i="19"/>
  <c r="T127" i="19"/>
  <c r="S123" i="19"/>
  <c r="M10" i="19"/>
  <c r="S125" i="19"/>
  <c r="N141" i="19"/>
  <c r="V141" i="19"/>
  <c r="W141" i="19" s="1"/>
  <c r="P395" i="19"/>
  <c r="V395" i="19" s="1"/>
  <c r="W395" i="19" s="1"/>
  <c r="T256" i="19"/>
  <c r="V256" i="19" s="1"/>
  <c r="W256" i="19" s="1"/>
  <c r="R66" i="19"/>
  <c r="P399" i="19"/>
  <c r="R399" i="19"/>
  <c r="Q399" i="19"/>
  <c r="T399" i="19"/>
  <c r="U399" i="19"/>
  <c r="T366" i="19"/>
  <c r="N214" i="19"/>
  <c r="V214" i="19"/>
  <c r="W214" i="19" s="1"/>
  <c r="N153" i="19"/>
  <c r="P280" i="19"/>
  <c r="U270" i="19"/>
  <c r="T270" i="19"/>
  <c r="V24" i="19"/>
  <c r="W24" i="19" s="1"/>
  <c r="T147" i="19"/>
  <c r="S147" i="19"/>
  <c r="P147" i="19"/>
  <c r="U202" i="19"/>
  <c r="S202" i="19"/>
  <c r="Q127" i="19"/>
  <c r="U388" i="19"/>
  <c r="P181" i="19"/>
  <c r="U110" i="19"/>
  <c r="P373" i="19"/>
  <c r="V373" i="19" s="1"/>
  <c r="W373" i="19" s="1"/>
  <c r="U305" i="19"/>
  <c r="T184" i="19"/>
  <c r="Q149" i="19"/>
  <c r="M40" i="19"/>
  <c r="U31" i="19"/>
  <c r="T31" i="19"/>
  <c r="S31" i="19"/>
  <c r="R31" i="19"/>
  <c r="V332" i="19"/>
  <c r="W332" i="19" s="1"/>
  <c r="T407" i="19"/>
  <c r="S407" i="19"/>
  <c r="P407" i="19"/>
  <c r="U407" i="19"/>
  <c r="N137" i="19"/>
  <c r="V137" i="19"/>
  <c r="W137" i="19" s="1"/>
  <c r="S364" i="19"/>
  <c r="R364" i="19"/>
  <c r="R123" i="19"/>
  <c r="P123" i="19"/>
  <c r="M110" i="19"/>
  <c r="P40" i="19"/>
  <c r="R40" i="19"/>
  <c r="Q40" i="19"/>
  <c r="U40" i="19"/>
  <c r="T40" i="19"/>
  <c r="S40" i="19"/>
  <c r="S399" i="19"/>
  <c r="T330" i="19"/>
  <c r="Q330" i="19"/>
  <c r="P330" i="19"/>
  <c r="V330" i="19" s="1"/>
  <c r="W330" i="19" s="1"/>
  <c r="S330" i="19"/>
  <c r="N297" i="19"/>
  <c r="V297" i="19"/>
  <c r="W297" i="19" s="1"/>
  <c r="U153" i="19"/>
  <c r="V153" i="19" s="1"/>
  <c r="W153" i="19" s="1"/>
  <c r="T153" i="19"/>
  <c r="R153" i="19"/>
  <c r="Q153" i="19"/>
  <c r="P153" i="19"/>
  <c r="N290" i="19"/>
  <c r="V290" i="19"/>
  <c r="W290" i="19" s="1"/>
  <c r="U234" i="19"/>
  <c r="T151" i="19"/>
  <c r="S151" i="19"/>
  <c r="P151" i="19"/>
  <c r="U151" i="19"/>
  <c r="R407" i="19"/>
  <c r="Q270" i="19"/>
  <c r="V270" i="19" s="1"/>
  <c r="W270" i="19" s="1"/>
  <c r="N114" i="19"/>
  <c r="R192" i="19"/>
  <c r="V287" i="19"/>
  <c r="W287" i="19" s="1"/>
  <c r="P299" i="19"/>
  <c r="V367" i="19"/>
  <c r="W367" i="19" s="1"/>
  <c r="Q147" i="19"/>
  <c r="P202" i="19"/>
  <c r="V202" i="19" s="1"/>
  <c r="W202" i="19" s="1"/>
  <c r="R127" i="19"/>
  <c r="R388" i="19"/>
  <c r="V388" i="19" s="1"/>
  <c r="W388" i="19" s="1"/>
  <c r="T199" i="19"/>
  <c r="U199" i="19"/>
  <c r="S199" i="19"/>
  <c r="V199" i="19" s="1"/>
  <c r="W199" i="19" s="1"/>
  <c r="Q181" i="19"/>
  <c r="V181" i="19" s="1"/>
  <c r="W181" i="19" s="1"/>
  <c r="V275" i="19"/>
  <c r="W275" i="19" s="1"/>
  <c r="Q123" i="19"/>
  <c r="S373" i="19"/>
  <c r="S326" i="19"/>
  <c r="S37" i="19"/>
  <c r="V37" i="19" s="1"/>
  <c r="W37" i="19" s="1"/>
  <c r="P184" i="19"/>
  <c r="Q60" i="19"/>
  <c r="U380" i="19"/>
  <c r="V281" i="19"/>
  <c r="W281" i="19" s="1"/>
  <c r="N281" i="19"/>
  <c r="S390" i="19"/>
  <c r="R390" i="19"/>
  <c r="T390" i="19"/>
  <c r="U280" i="19"/>
  <c r="T280" i="19"/>
  <c r="P319" i="19"/>
  <c r="V319" i="19" s="1"/>
  <c r="W319" i="19" s="1"/>
  <c r="P192" i="19"/>
  <c r="N62" i="19"/>
  <c r="V62" i="19"/>
  <c r="W62" i="19" s="1"/>
  <c r="N359" i="19"/>
  <c r="V359" i="19"/>
  <c r="W359" i="19" s="1"/>
  <c r="S176" i="19"/>
  <c r="R326" i="19"/>
  <c r="T85" i="19"/>
  <c r="U85" i="19"/>
  <c r="S85" i="19"/>
  <c r="R85" i="19"/>
  <c r="P85" i="19"/>
  <c r="V85" i="19" s="1"/>
  <c r="W85" i="19" s="1"/>
  <c r="Q85" i="19"/>
  <c r="U149" i="19"/>
  <c r="N44" i="19"/>
  <c r="S334" i="19"/>
  <c r="Q354" i="19"/>
  <c r="U354" i="19"/>
  <c r="R354" i="19"/>
  <c r="T354" i="19"/>
  <c r="V354" i="19" s="1"/>
  <c r="W354" i="19" s="1"/>
  <c r="S354" i="19"/>
  <c r="S234" i="19"/>
  <c r="R234" i="19"/>
  <c r="Q234" i="19"/>
  <c r="U324" i="19"/>
  <c r="Q324" i="19"/>
  <c r="P324" i="19"/>
  <c r="V344" i="19"/>
  <c r="W344" i="19" s="1"/>
  <c r="N344" i="19"/>
  <c r="S324" i="19"/>
  <c r="V82" i="19"/>
  <c r="W82" i="19" s="1"/>
  <c r="N82" i="19"/>
  <c r="V13" i="19"/>
  <c r="W13" i="19" s="1"/>
  <c r="N13" i="19"/>
  <c r="U55" i="19"/>
  <c r="S55" i="19"/>
  <c r="Q55" i="19"/>
  <c r="P55" i="19"/>
  <c r="R55" i="19"/>
  <c r="N109" i="19"/>
  <c r="U181" i="19"/>
  <c r="T181" i="19"/>
  <c r="Q18" i="19"/>
  <c r="U18" i="19"/>
  <c r="T18" i="19"/>
  <c r="R18" i="19"/>
  <c r="N85" i="19"/>
  <c r="M320" i="19"/>
  <c r="T347" i="19"/>
  <c r="S347" i="19"/>
  <c r="U347" i="19"/>
  <c r="Q347" i="19"/>
  <c r="P347" i="19"/>
  <c r="N273" i="19"/>
  <c r="V273" i="19"/>
  <c r="W273" i="19" s="1"/>
  <c r="P243" i="19"/>
  <c r="U243" i="19"/>
  <c r="T243" i="19"/>
  <c r="S243" i="19"/>
  <c r="P234" i="19"/>
  <c r="V234" i="19" s="1"/>
  <c r="W234" i="19" s="1"/>
  <c r="Q390" i="19"/>
  <c r="V390" i="19" s="1"/>
  <c r="W390" i="19" s="1"/>
  <c r="U389" i="19"/>
  <c r="T389" i="19"/>
  <c r="V389" i="19" s="1"/>
  <c r="W389" i="19" s="1"/>
  <c r="R324" i="19"/>
  <c r="V324" i="19" s="1"/>
  <c r="W324" i="19" s="1"/>
  <c r="Q319" i="19"/>
  <c r="Q239" i="19"/>
  <c r="T192" i="19"/>
  <c r="U56" i="19"/>
  <c r="T56" i="19"/>
  <c r="Q56" i="19"/>
  <c r="P56" i="19"/>
  <c r="T202" i="19"/>
  <c r="P388" i="19"/>
  <c r="T361" i="19"/>
  <c r="P361" i="19"/>
  <c r="R359" i="19"/>
  <c r="Q107" i="19"/>
  <c r="P107" i="19"/>
  <c r="V107" i="19" s="1"/>
  <c r="W107" i="19" s="1"/>
  <c r="U52" i="19"/>
  <c r="T52" i="19"/>
  <c r="S52" i="19"/>
  <c r="R52" i="19"/>
  <c r="Q52" i="19"/>
  <c r="P52" i="19"/>
  <c r="V52" i="19" s="1"/>
  <c r="W52" i="19" s="1"/>
  <c r="P176" i="19"/>
  <c r="P326" i="19"/>
  <c r="V326" i="19" s="1"/>
  <c r="W326" i="19" s="1"/>
  <c r="T44" i="19"/>
  <c r="V44" i="19" s="1"/>
  <c r="W44" i="19" s="1"/>
  <c r="U37" i="19"/>
  <c r="T334" i="19"/>
  <c r="V334" i="19" s="1"/>
  <c r="W334" i="19" s="1"/>
  <c r="R402" i="19"/>
  <c r="V402" i="19" s="1"/>
  <c r="W402" i="19" s="1"/>
  <c r="V362" i="19"/>
  <c r="W362" i="19" s="1"/>
  <c r="N268" i="19"/>
  <c r="V268" i="19"/>
  <c r="W268" i="19" s="1"/>
  <c r="U227" i="19"/>
  <c r="Q227" i="19"/>
  <c r="P227" i="19"/>
  <c r="T227" i="19"/>
  <c r="R227" i="19"/>
  <c r="V249" i="19"/>
  <c r="W249" i="19" s="1"/>
  <c r="V229" i="19"/>
  <c r="W229" i="19" s="1"/>
  <c r="N229" i="19"/>
  <c r="S272" i="19"/>
  <c r="U272" i="19"/>
  <c r="U109" i="19"/>
  <c r="T109" i="19"/>
  <c r="R109" i="19"/>
  <c r="V109" i="19" s="1"/>
  <c r="W109" i="19" s="1"/>
  <c r="Q373" i="19"/>
  <c r="U176" i="19"/>
  <c r="V129" i="19"/>
  <c r="W129" i="19" s="1"/>
  <c r="N129" i="19"/>
  <c r="U326" i="19"/>
  <c r="V274" i="19"/>
  <c r="W274" i="19" s="1"/>
  <c r="N274" i="19"/>
  <c r="P149" i="19"/>
  <c r="V108" i="19"/>
  <c r="W108" i="19" s="1"/>
  <c r="U334" i="19"/>
  <c r="S402" i="19"/>
  <c r="U69" i="19"/>
  <c r="S69" i="19"/>
  <c r="R69" i="19"/>
  <c r="Q69" i="19"/>
  <c r="P69" i="19"/>
  <c r="Q268" i="19"/>
  <c r="T268" i="19"/>
  <c r="P268" i="19"/>
  <c r="U268" i="19"/>
  <c r="N324" i="19"/>
  <c r="T319" i="19"/>
  <c r="S319" i="19"/>
  <c r="U192" i="19"/>
  <c r="S388" i="19"/>
  <c r="N294" i="19"/>
  <c r="V294" i="19"/>
  <c r="W294" i="19" s="1"/>
  <c r="T110" i="19"/>
  <c r="R110" i="19"/>
  <c r="S110" i="19"/>
  <c r="Q110" i="19"/>
  <c r="S18" i="19"/>
  <c r="S101" i="19"/>
  <c r="T101" i="19"/>
  <c r="U293" i="19"/>
  <c r="R293" i="19"/>
  <c r="T293" i="19"/>
  <c r="S293" i="19"/>
  <c r="Q293" i="19"/>
  <c r="R268" i="19"/>
  <c r="T344" i="19"/>
  <c r="Q344" i="19"/>
  <c r="P344" i="19"/>
  <c r="S344" i="19"/>
  <c r="S227" i="19"/>
  <c r="Q389" i="19"/>
  <c r="R272" i="19"/>
  <c r="R199" i="19"/>
  <c r="M370" i="19"/>
  <c r="V289" i="19"/>
  <c r="W289" i="19" s="1"/>
  <c r="N289" i="19"/>
  <c r="M99" i="19"/>
  <c r="Q125" i="19"/>
  <c r="Q101" i="19"/>
  <c r="V101" i="19" s="1"/>
  <c r="W101" i="19" s="1"/>
  <c r="M69" i="19"/>
  <c r="V172" i="19"/>
  <c r="W172" i="19" s="1"/>
  <c r="S405" i="11"/>
  <c r="P385" i="11"/>
  <c r="R408" i="11"/>
  <c r="Q409" i="11"/>
  <c r="S400" i="11"/>
  <c r="U385" i="11"/>
  <c r="R315" i="11"/>
  <c r="S350" i="11"/>
  <c r="P409" i="11"/>
  <c r="S376" i="11"/>
  <c r="U400" i="11"/>
  <c r="S385" i="11"/>
  <c r="Q385" i="11"/>
  <c r="S408" i="11"/>
  <c r="Q391" i="11"/>
  <c r="S373" i="11"/>
  <c r="U408" i="11"/>
  <c r="T349" i="11"/>
  <c r="R297" i="11"/>
  <c r="U412" i="11"/>
  <c r="Q299" i="11"/>
  <c r="Q316" i="11"/>
  <c r="R299" i="11"/>
  <c r="S382" i="11"/>
  <c r="S349" i="11"/>
  <c r="U297" i="11"/>
  <c r="U406" i="11"/>
  <c r="R311" i="11"/>
  <c r="T386" i="11"/>
  <c r="R295" i="11"/>
  <c r="S295" i="11"/>
  <c r="U302" i="11"/>
  <c r="Q393" i="11"/>
  <c r="S306" i="11"/>
  <c r="T276" i="11"/>
  <c r="S211" i="11"/>
  <c r="S148" i="11"/>
  <c r="T192" i="11"/>
  <c r="S155" i="11"/>
  <c r="Q211" i="11"/>
  <c r="U262" i="11"/>
  <c r="P140" i="11"/>
  <c r="Q252" i="11"/>
  <c r="P211" i="11"/>
  <c r="Q168" i="11"/>
  <c r="U255" i="11"/>
  <c r="P267" i="11"/>
  <c r="T255" i="11"/>
  <c r="S242" i="11"/>
  <c r="T190" i="11"/>
  <c r="U242" i="11"/>
  <c r="S248" i="11"/>
  <c r="T223" i="11"/>
  <c r="Q190" i="11"/>
  <c r="R248" i="11"/>
  <c r="S223" i="11"/>
  <c r="U265" i="11"/>
  <c r="T137" i="11"/>
  <c r="T269" i="11"/>
  <c r="P265" i="11"/>
  <c r="U146" i="11"/>
  <c r="U158" i="11"/>
  <c r="R265" i="11"/>
  <c r="U193" i="11"/>
  <c r="S219" i="11"/>
  <c r="T146" i="11"/>
  <c r="S255" i="11"/>
  <c r="Q147" i="11"/>
  <c r="U228" i="11"/>
  <c r="P271" i="11"/>
  <c r="T252" i="11"/>
  <c r="T141" i="11"/>
  <c r="S140" i="11"/>
  <c r="R184" i="11"/>
  <c r="Q228" i="11"/>
  <c r="U192" i="11"/>
  <c r="U140" i="11"/>
  <c r="S192" i="11"/>
  <c r="T191" i="11"/>
  <c r="R140" i="11"/>
  <c r="R147" i="11"/>
  <c r="R192" i="11"/>
  <c r="S191" i="11"/>
  <c r="Q254" i="11"/>
  <c r="Q192" i="11"/>
  <c r="U191" i="11"/>
  <c r="T150" i="11"/>
  <c r="S175" i="11"/>
  <c r="R135" i="11"/>
  <c r="R175" i="11"/>
  <c r="T162" i="11"/>
  <c r="Q247" i="11"/>
  <c r="R206" i="11"/>
  <c r="S162" i="11"/>
  <c r="P272" i="11"/>
  <c r="Q162" i="11"/>
  <c r="S287" i="10"/>
  <c r="S346" i="10"/>
  <c r="Q333" i="10"/>
  <c r="U279" i="10"/>
  <c r="U244" i="10"/>
  <c r="R244" i="10"/>
  <c r="T244" i="10"/>
  <c r="S249" i="10"/>
  <c r="P249" i="10"/>
  <c r="U127" i="10"/>
  <c r="Q127" i="10"/>
  <c r="S200" i="10"/>
  <c r="P231" i="11"/>
  <c r="R231" i="11"/>
  <c r="S231" i="11"/>
  <c r="T231" i="11"/>
  <c r="Q231" i="11"/>
  <c r="U231" i="11"/>
  <c r="U364" i="11"/>
  <c r="S364" i="11"/>
  <c r="T364" i="11"/>
  <c r="R364" i="11"/>
  <c r="Q364" i="11"/>
  <c r="P364" i="11"/>
  <c r="U274" i="11"/>
  <c r="Q274" i="11"/>
  <c r="R274" i="11"/>
  <c r="P274" i="11"/>
  <c r="S274" i="11"/>
  <c r="T274" i="11"/>
  <c r="P138" i="11"/>
  <c r="R138" i="11"/>
  <c r="S138" i="11"/>
  <c r="T138" i="11"/>
  <c r="Q138" i="11"/>
  <c r="U138" i="11"/>
  <c r="R321" i="11"/>
  <c r="U321" i="11"/>
  <c r="P321" i="11"/>
  <c r="S321" i="11"/>
  <c r="T321" i="11"/>
  <c r="Q321" i="11"/>
  <c r="Q404" i="11"/>
  <c r="S404" i="11"/>
  <c r="P404" i="11"/>
  <c r="R404" i="11"/>
  <c r="U404" i="11"/>
  <c r="T404" i="11"/>
  <c r="T123" i="11"/>
  <c r="Q123" i="11"/>
  <c r="R123" i="11"/>
  <c r="S123" i="11"/>
  <c r="U123" i="11"/>
  <c r="P123" i="11"/>
  <c r="U420" i="11"/>
  <c r="P420" i="11"/>
  <c r="Q420" i="11"/>
  <c r="R420" i="11"/>
  <c r="S420" i="11"/>
  <c r="T420" i="11"/>
  <c r="P300" i="11"/>
  <c r="T300" i="11"/>
  <c r="U300" i="11"/>
  <c r="R300" i="11"/>
  <c r="Q300" i="11"/>
  <c r="S300" i="11"/>
  <c r="T395" i="11"/>
  <c r="Q395" i="11"/>
  <c r="R395" i="11"/>
  <c r="U395" i="11"/>
  <c r="P395" i="11"/>
  <c r="S395" i="11"/>
  <c r="S93" i="11"/>
  <c r="T93" i="11"/>
  <c r="U93" i="11"/>
  <c r="P93" i="11"/>
  <c r="Q93" i="11"/>
  <c r="R93" i="11"/>
  <c r="P79" i="11"/>
  <c r="S79" i="11"/>
  <c r="R79" i="11"/>
  <c r="Q79" i="11"/>
  <c r="U79" i="11"/>
  <c r="T79" i="11"/>
  <c r="Q243" i="11"/>
  <c r="U243" i="11"/>
  <c r="S243" i="11"/>
  <c r="P243" i="11"/>
  <c r="T243" i="11"/>
  <c r="R243" i="11"/>
  <c r="R109" i="11"/>
  <c r="Q109" i="11"/>
  <c r="T109" i="11"/>
  <c r="U109" i="11"/>
  <c r="P109" i="11"/>
  <c r="S109" i="11"/>
  <c r="R244" i="11"/>
  <c r="U244" i="11"/>
  <c r="S244" i="11"/>
  <c r="P244" i="11"/>
  <c r="T244" i="11"/>
  <c r="P282" i="11"/>
  <c r="Q282" i="11"/>
  <c r="S282" i="11"/>
  <c r="T282" i="11"/>
  <c r="U282" i="11"/>
  <c r="R282" i="11"/>
  <c r="S60" i="11"/>
  <c r="T60" i="11"/>
  <c r="P60" i="11"/>
  <c r="Q60" i="11"/>
  <c r="T222" i="11"/>
  <c r="R222" i="11"/>
  <c r="S222" i="11"/>
  <c r="P222" i="11"/>
  <c r="Q222" i="11"/>
  <c r="U222" i="11"/>
  <c r="T17" i="11"/>
  <c r="R17" i="11"/>
  <c r="U17" i="11"/>
  <c r="S17" i="11"/>
  <c r="P422" i="11"/>
  <c r="Q422" i="11"/>
  <c r="R422" i="11"/>
  <c r="S422" i="11"/>
  <c r="T422" i="11"/>
  <c r="U422" i="11"/>
  <c r="R44" i="11"/>
  <c r="S44" i="11"/>
  <c r="T44" i="11"/>
  <c r="U44" i="11"/>
  <c r="Q44" i="11"/>
  <c r="S342" i="11"/>
  <c r="Q342" i="11"/>
  <c r="P342" i="11"/>
  <c r="R342" i="11"/>
  <c r="T342" i="11"/>
  <c r="T270" i="11"/>
  <c r="P270" i="11"/>
  <c r="U270" i="11"/>
  <c r="Q270" i="11"/>
  <c r="U63" i="11"/>
  <c r="R63" i="11"/>
  <c r="Q63" i="11"/>
  <c r="U204" i="11"/>
  <c r="T204" i="11"/>
  <c r="S204" i="11"/>
  <c r="Q370" i="11"/>
  <c r="U370" i="11"/>
  <c r="S370" i="11"/>
  <c r="T370" i="11"/>
  <c r="R169" i="11"/>
  <c r="S169" i="11"/>
  <c r="T169" i="11"/>
  <c r="U169" i="11"/>
  <c r="Q169" i="11"/>
  <c r="S63" i="11"/>
  <c r="Q89" i="11"/>
  <c r="T89" i="11"/>
  <c r="R370" i="11"/>
  <c r="T293" i="11"/>
  <c r="P169" i="11"/>
  <c r="P370" i="11"/>
  <c r="U326" i="11"/>
  <c r="T326" i="11"/>
  <c r="P326" i="11"/>
  <c r="Q326" i="11"/>
  <c r="P329" i="11"/>
  <c r="U329" i="11"/>
  <c r="S329" i="11"/>
  <c r="T133" i="11"/>
  <c r="S133" i="11"/>
  <c r="R133" i="11"/>
  <c r="Q133" i="11"/>
  <c r="Q4" i="11"/>
  <c r="S4" i="11"/>
  <c r="U4" i="11"/>
  <c r="T359" i="11"/>
  <c r="P38" i="11"/>
  <c r="Q38" i="11"/>
  <c r="R38" i="11"/>
  <c r="S38" i="11"/>
  <c r="U38" i="11"/>
  <c r="R156" i="11"/>
  <c r="P156" i="11"/>
  <c r="U156" i="11"/>
  <c r="S89" i="11"/>
  <c r="T362" i="11"/>
  <c r="R362" i="11"/>
  <c r="S362" i="11"/>
  <c r="U362" i="11"/>
  <c r="P362" i="11"/>
  <c r="Q362" i="11"/>
  <c r="U344" i="11"/>
  <c r="P344" i="11"/>
  <c r="S344" i="11"/>
  <c r="T344" i="11"/>
  <c r="Q344" i="11"/>
  <c r="R344" i="11"/>
  <c r="P262" i="11"/>
  <c r="Q262" i="11"/>
  <c r="S216" i="11"/>
  <c r="U216" i="11"/>
  <c r="P216" i="11"/>
  <c r="Q216" i="11"/>
  <c r="R216" i="11"/>
  <c r="T216" i="11"/>
  <c r="Q165" i="11"/>
  <c r="R165" i="11"/>
  <c r="S165" i="11"/>
  <c r="P165" i="11"/>
  <c r="U165" i="11"/>
  <c r="T165" i="11"/>
  <c r="U251" i="11"/>
  <c r="Q251" i="11"/>
  <c r="S251" i="11"/>
  <c r="R251" i="11"/>
  <c r="T251" i="11"/>
  <c r="P251" i="11"/>
  <c r="P55" i="11"/>
  <c r="S359" i="11"/>
  <c r="S171" i="11"/>
  <c r="T38" i="11"/>
  <c r="U354" i="11"/>
  <c r="Q328" i="11"/>
  <c r="R328" i="11"/>
  <c r="S328" i="11"/>
  <c r="T328" i="11"/>
  <c r="U328" i="11"/>
  <c r="T322" i="11"/>
  <c r="Q322" i="11"/>
  <c r="U322" i="11"/>
  <c r="R322" i="11"/>
  <c r="P322" i="11"/>
  <c r="T207" i="11"/>
  <c r="U207" i="11"/>
  <c r="R207" i="11"/>
  <c r="Q207" i="11"/>
  <c r="R190" i="11"/>
  <c r="U190" i="11"/>
  <c r="Q258" i="11"/>
  <c r="R258" i="11"/>
  <c r="P258" i="11"/>
  <c r="P223" i="11"/>
  <c r="Q223" i="11"/>
  <c r="R223" i="11"/>
  <c r="U16" i="11"/>
  <c r="R16" i="11"/>
  <c r="S16" i="11"/>
  <c r="Q16" i="11"/>
  <c r="P16" i="11"/>
  <c r="R281" i="11"/>
  <c r="U168" i="11"/>
  <c r="R246" i="11"/>
  <c r="P246" i="11"/>
  <c r="Q246" i="11"/>
  <c r="S246" i="11"/>
  <c r="T246" i="11"/>
  <c r="P357" i="11"/>
  <c r="T357" i="11"/>
  <c r="Q357" i="11"/>
  <c r="S357" i="11"/>
  <c r="U357" i="11"/>
  <c r="R357" i="11"/>
  <c r="Q313" i="11"/>
  <c r="S313" i="11"/>
  <c r="T313" i="11"/>
  <c r="U313" i="11"/>
  <c r="U346" i="11"/>
  <c r="Q346" i="11"/>
  <c r="R346" i="11"/>
  <c r="S346" i="11"/>
  <c r="T346" i="11"/>
  <c r="Q414" i="11"/>
  <c r="S414" i="11"/>
  <c r="T414" i="11"/>
  <c r="R414" i="11"/>
  <c r="P414" i="11"/>
  <c r="P351" i="11"/>
  <c r="S351" i="11"/>
  <c r="T351" i="11"/>
  <c r="R351" i="11"/>
  <c r="U351" i="11"/>
  <c r="Q218" i="11"/>
  <c r="U218" i="11"/>
  <c r="Q250" i="11"/>
  <c r="P250" i="11"/>
  <c r="R250" i="11"/>
  <c r="S250" i="11"/>
  <c r="T250" i="11"/>
  <c r="U250" i="11"/>
  <c r="U9" i="11"/>
  <c r="T9" i="11"/>
  <c r="P9" i="11"/>
  <c r="S9" i="11"/>
  <c r="R9" i="11"/>
  <c r="T80" i="11"/>
  <c r="Q80" i="11"/>
  <c r="R80" i="11"/>
  <c r="P80" i="11"/>
  <c r="U115" i="11"/>
  <c r="S115" i="11"/>
  <c r="T115" i="11"/>
  <c r="P115" i="11"/>
  <c r="Q115" i="11"/>
  <c r="R115" i="11"/>
  <c r="U258" i="11"/>
  <c r="U80" i="11"/>
  <c r="S299" i="11"/>
  <c r="T156" i="11"/>
  <c r="S281" i="11"/>
  <c r="R21" i="11"/>
  <c r="R203" i="11"/>
  <c r="Q203" i="11"/>
  <c r="U203" i="11"/>
  <c r="T203" i="11"/>
  <c r="S203" i="11"/>
  <c r="P168" i="11"/>
  <c r="U414" i="11"/>
  <c r="Q142" i="11"/>
  <c r="S142" i="11"/>
  <c r="U142" i="11"/>
  <c r="T142" i="11"/>
  <c r="R142" i="11"/>
  <c r="P142" i="11"/>
  <c r="S217" i="11"/>
  <c r="Q217" i="11"/>
  <c r="R217" i="11"/>
  <c r="P217" i="11"/>
  <c r="T217" i="11"/>
  <c r="U217" i="11"/>
  <c r="R60" i="11"/>
  <c r="U60" i="11"/>
  <c r="Q387" i="11"/>
  <c r="R387" i="11"/>
  <c r="P177" i="11"/>
  <c r="Q177" i="11"/>
  <c r="R177" i="11"/>
  <c r="S177" i="11"/>
  <c r="U177" i="11"/>
  <c r="T177" i="11"/>
  <c r="P92" i="11"/>
  <c r="T92" i="11"/>
  <c r="U92" i="11"/>
  <c r="U347" i="11"/>
  <c r="R347" i="11"/>
  <c r="P347" i="11"/>
  <c r="Q347" i="11"/>
  <c r="S347" i="11"/>
  <c r="T347" i="11"/>
  <c r="U61" i="11"/>
  <c r="S35" i="11"/>
  <c r="P35" i="11"/>
  <c r="Q35" i="11"/>
  <c r="T35" i="11"/>
  <c r="R35" i="11"/>
  <c r="U35" i="11"/>
  <c r="P10" i="11"/>
  <c r="Q10" i="11"/>
  <c r="R10" i="11"/>
  <c r="T61" i="11"/>
  <c r="R92" i="11"/>
  <c r="U293" i="11"/>
  <c r="Q293" i="11"/>
  <c r="P293" i="11"/>
  <c r="S293" i="11"/>
  <c r="S10" i="11"/>
  <c r="Q92" i="11"/>
  <c r="S307" i="11"/>
  <c r="T307" i="11"/>
  <c r="U307" i="11"/>
  <c r="R307" i="11"/>
  <c r="U10" i="11"/>
  <c r="P144" i="11"/>
  <c r="Q144" i="11"/>
  <c r="S144" i="11"/>
  <c r="U144" i="11"/>
  <c r="T144" i="11"/>
  <c r="Q298" i="11"/>
  <c r="S298" i="11"/>
  <c r="P298" i="11"/>
  <c r="R298" i="11"/>
  <c r="T298" i="11"/>
  <c r="U298" i="11"/>
  <c r="R20" i="11"/>
  <c r="P20" i="11"/>
  <c r="T20" i="11"/>
  <c r="U20" i="11"/>
  <c r="Q307" i="11"/>
  <c r="Q204" i="11"/>
  <c r="Q122" i="11"/>
  <c r="R122" i="11"/>
  <c r="P122" i="11"/>
  <c r="U122" i="11"/>
  <c r="S122" i="11"/>
  <c r="T122" i="11"/>
  <c r="R272" i="11"/>
  <c r="S272" i="11"/>
  <c r="U272" i="11"/>
  <c r="P390" i="11"/>
  <c r="Q390" i="11"/>
  <c r="S390" i="11"/>
  <c r="T390" i="11"/>
  <c r="U390" i="11"/>
  <c r="R390" i="11"/>
  <c r="Q181" i="11"/>
  <c r="T181" i="11"/>
  <c r="U181" i="11"/>
  <c r="R181" i="11"/>
  <c r="P181" i="11"/>
  <c r="P11" i="11"/>
  <c r="R11" i="11"/>
  <c r="S11" i="11"/>
  <c r="Q11" i="11"/>
  <c r="U11" i="11"/>
  <c r="T272" i="11"/>
  <c r="T130" i="11"/>
  <c r="Q130" i="11"/>
  <c r="R130" i="11"/>
  <c r="U130" i="11"/>
  <c r="S130" i="11"/>
  <c r="P130" i="11"/>
  <c r="S187" i="11"/>
  <c r="Q187" i="11"/>
  <c r="R187" i="11"/>
  <c r="T187" i="11"/>
  <c r="U187" i="11"/>
  <c r="Q210" i="11"/>
  <c r="U210" i="11"/>
  <c r="P210" i="11"/>
  <c r="S210" i="11"/>
  <c r="T210" i="11"/>
  <c r="R210" i="11"/>
  <c r="T110" i="11"/>
  <c r="S110" i="11"/>
  <c r="P110" i="11"/>
  <c r="U110" i="11"/>
  <c r="Q110" i="11"/>
  <c r="R110" i="11"/>
  <c r="U40" i="11"/>
  <c r="S40" i="11"/>
  <c r="T40" i="11"/>
  <c r="Q40" i="11"/>
  <c r="P40" i="11"/>
  <c r="R40" i="11"/>
  <c r="P24" i="11"/>
  <c r="S24" i="11"/>
  <c r="R24" i="11"/>
  <c r="T24" i="11"/>
  <c r="Q24" i="11"/>
  <c r="V119" i="11"/>
  <c r="W119" i="11" s="1"/>
  <c r="P184" i="11"/>
  <c r="S184" i="11"/>
  <c r="U184" i="11"/>
  <c r="R89" i="11"/>
  <c r="Q314" i="11"/>
  <c r="U314" i="11"/>
  <c r="P314" i="11"/>
  <c r="T314" i="11"/>
  <c r="R314" i="11"/>
  <c r="S314" i="11"/>
  <c r="Q379" i="11"/>
  <c r="T379" i="11"/>
  <c r="U379" i="11"/>
  <c r="P379" i="11"/>
  <c r="S379" i="11"/>
  <c r="R379" i="11"/>
  <c r="S230" i="11"/>
  <c r="P230" i="11"/>
  <c r="T230" i="11"/>
  <c r="Q230" i="11"/>
  <c r="U230" i="11"/>
  <c r="R230" i="11"/>
  <c r="Q182" i="11"/>
  <c r="T182" i="11"/>
  <c r="P182" i="11"/>
  <c r="U182" i="11"/>
  <c r="S182" i="11"/>
  <c r="R182" i="11"/>
  <c r="S249" i="11"/>
  <c r="Q249" i="11"/>
  <c r="U249" i="11"/>
  <c r="P249" i="11"/>
  <c r="R249" i="11"/>
  <c r="T249" i="11"/>
  <c r="Q53" i="11"/>
  <c r="T53" i="11"/>
  <c r="S53" i="11"/>
  <c r="U53" i="11"/>
  <c r="K373" i="11"/>
  <c r="M373" i="11" s="1"/>
  <c r="N373" i="11" s="1"/>
  <c r="T375" i="11"/>
  <c r="R375" i="11"/>
  <c r="U375" i="11"/>
  <c r="S375" i="11"/>
  <c r="Q375" i="11"/>
  <c r="Q389" i="11"/>
  <c r="R389" i="11"/>
  <c r="S389" i="11"/>
  <c r="P389" i="11"/>
  <c r="T367" i="11"/>
  <c r="S367" i="11"/>
  <c r="R367" i="11"/>
  <c r="U367" i="11"/>
  <c r="Q380" i="11"/>
  <c r="R380" i="11"/>
  <c r="P380" i="11"/>
  <c r="S380" i="11"/>
  <c r="T380" i="11"/>
  <c r="U380" i="11"/>
  <c r="U128" i="11"/>
  <c r="R128" i="11"/>
  <c r="P128" i="11"/>
  <c r="Q128" i="11"/>
  <c r="S128" i="11"/>
  <c r="P127" i="11"/>
  <c r="Q127" i="11"/>
  <c r="U127" i="11"/>
  <c r="S127" i="11"/>
  <c r="R127" i="11"/>
  <c r="U131" i="11"/>
  <c r="R131" i="11"/>
  <c r="T131" i="11"/>
  <c r="S131" i="11"/>
  <c r="P131" i="11"/>
  <c r="Q131" i="11"/>
  <c r="Q88" i="11"/>
  <c r="S88" i="11"/>
  <c r="U88" i="11"/>
  <c r="R88" i="11"/>
  <c r="P27" i="11"/>
  <c r="S27" i="11"/>
  <c r="U27" i="11"/>
  <c r="R27" i="11"/>
  <c r="Q27" i="11"/>
  <c r="T27" i="11"/>
  <c r="U117" i="11"/>
  <c r="P117" i="11"/>
  <c r="S117" i="11"/>
  <c r="T117" i="11"/>
  <c r="Q117" i="11"/>
  <c r="T258" i="11"/>
  <c r="S80" i="11"/>
  <c r="U299" i="11"/>
  <c r="T16" i="11"/>
  <c r="S156" i="11"/>
  <c r="T184" i="11"/>
  <c r="S137" i="11"/>
  <c r="Q137" i="11"/>
  <c r="U137" i="11"/>
  <c r="U24" i="11"/>
  <c r="Q9" i="11"/>
  <c r="S240" i="11"/>
  <c r="R240" i="11"/>
  <c r="U240" i="11"/>
  <c r="R168" i="11"/>
  <c r="P289" i="11"/>
  <c r="Q289" i="11"/>
  <c r="R289" i="11"/>
  <c r="S289" i="11"/>
  <c r="U289" i="11"/>
  <c r="T289" i="11"/>
  <c r="S374" i="11"/>
  <c r="U374" i="11"/>
  <c r="R374" i="11"/>
  <c r="P374" i="11"/>
  <c r="T374" i="11"/>
  <c r="Q374" i="11"/>
  <c r="U403" i="11"/>
  <c r="T403" i="11"/>
  <c r="Q403" i="11"/>
  <c r="S403" i="11"/>
  <c r="P403" i="11"/>
  <c r="R403" i="11"/>
  <c r="T85" i="11"/>
  <c r="P85" i="11"/>
  <c r="R85" i="11"/>
  <c r="Q85" i="11"/>
  <c r="S85" i="11"/>
  <c r="P318" i="11"/>
  <c r="T318" i="11"/>
  <c r="S318" i="11"/>
  <c r="Q318" i="11"/>
  <c r="U318" i="11"/>
  <c r="T354" i="11"/>
  <c r="P354" i="11"/>
  <c r="S354" i="11"/>
  <c r="R354" i="11"/>
  <c r="S129" i="11"/>
  <c r="T129" i="11"/>
  <c r="Q129" i="11"/>
  <c r="U129" i="11"/>
  <c r="P129" i="11"/>
  <c r="R129" i="11"/>
  <c r="U356" i="11"/>
  <c r="Q356" i="11"/>
  <c r="T356" i="11"/>
  <c r="R356" i="11"/>
  <c r="S383" i="11"/>
  <c r="P383" i="11"/>
  <c r="R383" i="11"/>
  <c r="Q383" i="11"/>
  <c r="T383" i="11"/>
  <c r="U383" i="11"/>
  <c r="T418" i="11"/>
  <c r="S418" i="11"/>
  <c r="P418" i="11"/>
  <c r="Q418" i="11"/>
  <c r="R418" i="11"/>
  <c r="U418" i="11"/>
  <c r="Q176" i="11"/>
  <c r="P176" i="11"/>
  <c r="S176" i="11"/>
  <c r="T176" i="11"/>
  <c r="R176" i="11"/>
  <c r="U176" i="11"/>
  <c r="T164" i="11"/>
  <c r="S164" i="11"/>
  <c r="S194" i="11"/>
  <c r="P194" i="11"/>
  <c r="Q194" i="11"/>
  <c r="R194" i="11"/>
  <c r="U194" i="11"/>
  <c r="T194" i="11"/>
  <c r="U157" i="11"/>
  <c r="P157" i="11"/>
  <c r="T157" i="11"/>
  <c r="R157" i="11"/>
  <c r="Q157" i="11"/>
  <c r="S157" i="11"/>
  <c r="R6" i="11"/>
  <c r="P6" i="11"/>
  <c r="S6" i="11"/>
  <c r="U6" i="11"/>
  <c r="Q6" i="11"/>
  <c r="T6" i="11"/>
  <c r="R196" i="11"/>
  <c r="S196" i="11"/>
  <c r="Q196" i="11"/>
  <c r="T196" i="11"/>
  <c r="U196" i="11"/>
  <c r="P196" i="11"/>
  <c r="R399" i="11"/>
  <c r="Q399" i="11"/>
  <c r="U399" i="11"/>
  <c r="P399" i="11"/>
  <c r="T399" i="11"/>
  <c r="S399" i="11"/>
  <c r="R309" i="11"/>
  <c r="T309" i="11"/>
  <c r="U309" i="11"/>
  <c r="P309" i="11"/>
  <c r="S309" i="11"/>
  <c r="T152" i="11"/>
  <c r="R152" i="11"/>
  <c r="R232" i="11"/>
  <c r="P232" i="11"/>
  <c r="S232" i="11"/>
  <c r="U232" i="11"/>
  <c r="Q232" i="11"/>
  <c r="T232" i="11"/>
  <c r="Q171" i="11"/>
  <c r="P171" i="11"/>
  <c r="R171" i="11"/>
  <c r="T171" i="11"/>
  <c r="S188" i="11"/>
  <c r="Q188" i="11"/>
  <c r="P188" i="11"/>
  <c r="R188" i="11"/>
  <c r="U188" i="11"/>
  <c r="T62" i="11"/>
  <c r="U62" i="11"/>
  <c r="P62" i="11"/>
  <c r="R62" i="11"/>
  <c r="S62" i="11"/>
  <c r="T268" i="11"/>
  <c r="P421" i="11"/>
  <c r="R421" i="11"/>
  <c r="T421" i="11"/>
  <c r="P392" i="11"/>
  <c r="U392" i="11"/>
  <c r="R392" i="11"/>
  <c r="S392" i="11"/>
  <c r="T392" i="11"/>
  <c r="Q392" i="11"/>
  <c r="P139" i="11"/>
  <c r="Q139" i="11"/>
  <c r="R139" i="11"/>
  <c r="R256" i="11"/>
  <c r="S256" i="11"/>
  <c r="T256" i="11"/>
  <c r="P256" i="11"/>
  <c r="U256" i="11"/>
  <c r="Q256" i="11"/>
  <c r="S64" i="11"/>
  <c r="T64" i="11"/>
  <c r="P64" i="11"/>
  <c r="R64" i="11"/>
  <c r="U64" i="11"/>
  <c r="Q64" i="11"/>
  <c r="U105" i="11"/>
  <c r="P308" i="11"/>
  <c r="U308" i="11"/>
  <c r="Q308" i="11"/>
  <c r="R308" i="11"/>
  <c r="S308" i="11"/>
  <c r="P388" i="11"/>
  <c r="Q388" i="11"/>
  <c r="S388" i="11"/>
  <c r="T170" i="11"/>
  <c r="R170" i="11"/>
  <c r="Q170" i="11"/>
  <c r="S170" i="11"/>
  <c r="U170" i="11"/>
  <c r="P170" i="11"/>
  <c r="Q66" i="11"/>
  <c r="T66" i="11"/>
  <c r="R66" i="11"/>
  <c r="U66" i="11"/>
  <c r="S66" i="11"/>
  <c r="P66" i="11"/>
  <c r="P348" i="11"/>
  <c r="R348" i="11"/>
  <c r="U348" i="11"/>
  <c r="S348" i="11"/>
  <c r="R323" i="11"/>
  <c r="P323" i="11"/>
  <c r="Q323" i="11"/>
  <c r="U323" i="11"/>
  <c r="T323" i="11"/>
  <c r="S323" i="11"/>
  <c r="P333" i="11"/>
  <c r="R333" i="11"/>
  <c r="S333" i="11"/>
  <c r="T333" i="11"/>
  <c r="Q333" i="11"/>
  <c r="U333" i="11"/>
  <c r="S287" i="11"/>
  <c r="P287" i="11"/>
  <c r="T287" i="11"/>
  <c r="R287" i="11"/>
  <c r="U287" i="11"/>
  <c r="Q287" i="11"/>
  <c r="P310" i="11"/>
  <c r="Q310" i="11"/>
  <c r="R310" i="11"/>
  <c r="S310" i="11"/>
  <c r="T310" i="11"/>
  <c r="U310" i="11"/>
  <c r="T275" i="11"/>
  <c r="U275" i="11"/>
  <c r="R275" i="11"/>
  <c r="Q275" i="11"/>
  <c r="U407" i="11"/>
  <c r="T407" i="11"/>
  <c r="P407" i="11"/>
  <c r="Q407" i="11"/>
  <c r="R407" i="11"/>
  <c r="S407" i="11"/>
  <c r="Q224" i="11"/>
  <c r="P224" i="11"/>
  <c r="R224" i="11"/>
  <c r="S224" i="11"/>
  <c r="T224" i="11"/>
  <c r="U224" i="11"/>
  <c r="T172" i="11"/>
  <c r="P172" i="11"/>
  <c r="Q172" i="11"/>
  <c r="S172" i="11"/>
  <c r="U172" i="11"/>
  <c r="P260" i="11"/>
  <c r="U260" i="11"/>
  <c r="Q260" i="11"/>
  <c r="R260" i="11"/>
  <c r="S260" i="11"/>
  <c r="T260" i="11"/>
  <c r="T226" i="11"/>
  <c r="R226" i="11"/>
  <c r="S226" i="11"/>
  <c r="U226" i="11"/>
  <c r="Q226" i="11"/>
  <c r="P226" i="11"/>
  <c r="U97" i="11"/>
  <c r="Q97" i="11"/>
  <c r="P68" i="11"/>
  <c r="T68" i="11"/>
  <c r="P373" i="11"/>
  <c r="Q373" i="11"/>
  <c r="T373" i="11"/>
  <c r="U373" i="11"/>
  <c r="R329" i="11"/>
  <c r="Q348" i="11"/>
  <c r="U387" i="11"/>
  <c r="T105" i="11"/>
  <c r="R22" i="11"/>
  <c r="P22" i="11"/>
  <c r="U22" i="11"/>
  <c r="S22" i="11"/>
  <c r="T22" i="11"/>
  <c r="P296" i="11"/>
  <c r="U296" i="11"/>
  <c r="R296" i="11"/>
  <c r="Q296" i="11"/>
  <c r="S296" i="11"/>
  <c r="T296" i="11"/>
  <c r="R247" i="11"/>
  <c r="P247" i="11"/>
  <c r="T247" i="11"/>
  <c r="U247" i="11"/>
  <c r="Q329" i="11"/>
  <c r="R388" i="11"/>
  <c r="T387" i="11"/>
  <c r="R97" i="11"/>
  <c r="U133" i="11"/>
  <c r="S67" i="11"/>
  <c r="P67" i="11"/>
  <c r="R397" i="11"/>
  <c r="T397" i="11"/>
  <c r="U397" i="11"/>
  <c r="S397" i="11"/>
  <c r="P261" i="11"/>
  <c r="S261" i="11"/>
  <c r="U261" i="11"/>
  <c r="Q261" i="11"/>
  <c r="T261" i="11"/>
  <c r="R261" i="11"/>
  <c r="R263" i="11"/>
  <c r="Q263" i="11"/>
  <c r="U263" i="11"/>
  <c r="P263" i="11"/>
  <c r="S411" i="11"/>
  <c r="T411" i="11"/>
  <c r="U411" i="11"/>
  <c r="P143" i="11"/>
  <c r="S143" i="11"/>
  <c r="U143" i="11"/>
  <c r="T143" i="11"/>
  <c r="Q143" i="11"/>
  <c r="R143" i="11"/>
  <c r="Q195" i="11"/>
  <c r="R195" i="11"/>
  <c r="P195" i="11"/>
  <c r="T195" i="11"/>
  <c r="S195" i="11"/>
  <c r="U195" i="11"/>
  <c r="S365" i="11"/>
  <c r="T365" i="11"/>
  <c r="U365" i="11"/>
  <c r="Q365" i="11"/>
  <c r="P343" i="11"/>
  <c r="T343" i="11"/>
  <c r="R343" i="11"/>
  <c r="U343" i="11"/>
  <c r="S343" i="11"/>
  <c r="T278" i="11"/>
  <c r="U278" i="11"/>
  <c r="P278" i="11"/>
  <c r="S278" i="11"/>
  <c r="R278" i="11"/>
  <c r="Q278" i="11"/>
  <c r="U257" i="11"/>
  <c r="P257" i="11"/>
  <c r="R257" i="11"/>
  <c r="S257" i="11"/>
  <c r="T257" i="11"/>
  <c r="Q257" i="11"/>
  <c r="S103" i="11"/>
  <c r="U103" i="11"/>
  <c r="T103" i="11"/>
  <c r="Q103" i="11"/>
  <c r="P103" i="11"/>
  <c r="Q288" i="11"/>
  <c r="S288" i="11"/>
  <c r="P288" i="11"/>
  <c r="R288" i="11"/>
  <c r="T288" i="11"/>
  <c r="U288" i="11"/>
  <c r="U277" i="11"/>
  <c r="T277" i="11"/>
  <c r="Q277" i="11"/>
  <c r="R277" i="11"/>
  <c r="P277" i="11"/>
  <c r="T281" i="11"/>
  <c r="P281" i="11"/>
  <c r="Q281" i="11"/>
  <c r="P149" i="11"/>
  <c r="U149" i="11"/>
  <c r="R149" i="11"/>
  <c r="S149" i="11"/>
  <c r="T149" i="11"/>
  <c r="Q149" i="11"/>
  <c r="P183" i="11"/>
  <c r="R183" i="11"/>
  <c r="S183" i="11"/>
  <c r="T183" i="11"/>
  <c r="Q183" i="11"/>
  <c r="U183" i="11"/>
  <c r="Q12" i="11"/>
  <c r="R12" i="11"/>
  <c r="P12" i="11"/>
  <c r="S12" i="11"/>
  <c r="T12" i="11"/>
  <c r="U12" i="11"/>
  <c r="P112" i="11"/>
  <c r="T112" i="11"/>
  <c r="U112" i="11"/>
  <c r="S112" i="11"/>
  <c r="Q112" i="11"/>
  <c r="R112" i="11"/>
  <c r="R341" i="11"/>
  <c r="T341" i="11"/>
  <c r="U341" i="11"/>
  <c r="P341" i="11"/>
  <c r="Q341" i="11"/>
  <c r="Q359" i="11"/>
  <c r="P359" i="11"/>
  <c r="R359" i="11"/>
  <c r="S415" i="11"/>
  <c r="Q415" i="11"/>
  <c r="R415" i="11"/>
  <c r="T415" i="11"/>
  <c r="U415" i="11"/>
  <c r="P415" i="11"/>
  <c r="P286" i="11"/>
  <c r="Q286" i="11"/>
  <c r="U286" i="11"/>
  <c r="S286" i="11"/>
  <c r="R286" i="11"/>
  <c r="T286" i="11"/>
  <c r="P233" i="11"/>
  <c r="S233" i="11"/>
  <c r="U233" i="11"/>
  <c r="T233" i="11"/>
  <c r="Q233" i="11"/>
  <c r="R233" i="11"/>
  <c r="S114" i="11"/>
  <c r="T114" i="11"/>
  <c r="P121" i="11"/>
  <c r="T121" i="11"/>
  <c r="U121" i="11"/>
  <c r="Q121" i="11"/>
  <c r="R121" i="11"/>
  <c r="S121" i="11"/>
  <c r="U164" i="11"/>
  <c r="R353" i="11"/>
  <c r="S353" i="11"/>
  <c r="P353" i="11"/>
  <c r="Q353" i="11"/>
  <c r="S160" i="11"/>
  <c r="U160" i="11"/>
  <c r="Q160" i="11"/>
  <c r="R160" i="11"/>
  <c r="T160" i="11"/>
  <c r="P160" i="11"/>
  <c r="S189" i="11"/>
  <c r="P189" i="11"/>
  <c r="U189" i="11"/>
  <c r="T189" i="11"/>
  <c r="P33" i="11"/>
  <c r="R33" i="11"/>
  <c r="U33" i="11"/>
  <c r="Q33" i="11"/>
  <c r="P42" i="11"/>
  <c r="Q42" i="11"/>
  <c r="U42" i="11"/>
  <c r="V306" i="11"/>
  <c r="W306" i="11" s="1"/>
  <c r="P368" i="11"/>
  <c r="S368" i="11"/>
  <c r="U368" i="11"/>
  <c r="Q368" i="11"/>
  <c r="R368" i="11"/>
  <c r="Q361" i="11"/>
  <c r="R361" i="11"/>
  <c r="T361" i="11"/>
  <c r="P361" i="11"/>
  <c r="S361" i="11"/>
  <c r="U361" i="11"/>
  <c r="Q337" i="11"/>
  <c r="S337" i="11"/>
  <c r="T337" i="11"/>
  <c r="R337" i="11"/>
  <c r="U337" i="11"/>
  <c r="P337" i="11"/>
  <c r="P154" i="11"/>
  <c r="U154" i="11"/>
  <c r="R154" i="11"/>
  <c r="S154" i="11"/>
  <c r="T154" i="11"/>
  <c r="Q111" i="11"/>
  <c r="U111" i="11"/>
  <c r="S111" i="11"/>
  <c r="T111" i="11"/>
  <c r="P111" i="11"/>
  <c r="R111" i="11"/>
  <c r="V118" i="11"/>
  <c r="W118" i="11" s="1"/>
  <c r="P387" i="11"/>
  <c r="P125" i="11"/>
  <c r="Q125" i="11"/>
  <c r="R125" i="11"/>
  <c r="T125" i="11"/>
  <c r="U125" i="11"/>
  <c r="U384" i="11"/>
  <c r="S384" i="11"/>
  <c r="Q384" i="11"/>
  <c r="T384" i="11"/>
  <c r="P384" i="11"/>
  <c r="R384" i="11"/>
  <c r="Q90" i="11"/>
  <c r="S90" i="11"/>
  <c r="T90" i="11"/>
  <c r="T329" i="11"/>
  <c r="U152" i="11"/>
  <c r="T388" i="11"/>
  <c r="S97" i="11"/>
  <c r="P133" i="11"/>
  <c r="P23" i="11"/>
  <c r="R23" i="11"/>
  <c r="Q23" i="11"/>
  <c r="S23" i="11"/>
  <c r="T23" i="11"/>
  <c r="U23" i="11"/>
  <c r="P151" i="11"/>
  <c r="Q151" i="11"/>
  <c r="R151" i="11"/>
  <c r="U151" i="11"/>
  <c r="S151" i="11"/>
  <c r="T4" i="11"/>
  <c r="R396" i="11"/>
  <c r="P396" i="11"/>
  <c r="S396" i="11"/>
  <c r="Q377" i="11"/>
  <c r="U377" i="11"/>
  <c r="S377" i="11"/>
  <c r="T377" i="11"/>
  <c r="P377" i="11"/>
  <c r="R285" i="11"/>
  <c r="T285" i="11"/>
  <c r="S285" i="11"/>
  <c r="U285" i="11"/>
  <c r="P285" i="11"/>
  <c r="Q285" i="11"/>
  <c r="T327" i="11"/>
  <c r="U327" i="11"/>
  <c r="S327" i="11"/>
  <c r="R327" i="11"/>
  <c r="Q327" i="11"/>
  <c r="U124" i="11"/>
  <c r="R124" i="11"/>
  <c r="Q124" i="11"/>
  <c r="S124" i="11"/>
  <c r="T124" i="11"/>
  <c r="P124" i="11"/>
  <c r="U132" i="11"/>
  <c r="S132" i="11"/>
  <c r="T132" i="11"/>
  <c r="P132" i="11"/>
  <c r="Q136" i="11"/>
  <c r="S136" i="11"/>
  <c r="R136" i="11"/>
  <c r="P136" i="11"/>
  <c r="T136" i="11"/>
  <c r="U136" i="11"/>
  <c r="T126" i="11"/>
  <c r="P126" i="11"/>
  <c r="U126" i="11"/>
  <c r="Q126" i="11"/>
  <c r="S126" i="11"/>
  <c r="R126" i="11"/>
  <c r="R34" i="11"/>
  <c r="S34" i="11"/>
  <c r="T34" i="11"/>
  <c r="U34" i="11"/>
  <c r="P34" i="11"/>
  <c r="Q34" i="11"/>
  <c r="P3" i="11"/>
  <c r="U3" i="11"/>
  <c r="T3" i="11"/>
  <c r="S3" i="11"/>
  <c r="Q3" i="11"/>
  <c r="P39" i="11"/>
  <c r="R39" i="11"/>
  <c r="Q39" i="11"/>
  <c r="T39" i="11"/>
  <c r="U39" i="11"/>
  <c r="T74" i="11"/>
  <c r="P74" i="11"/>
  <c r="Q74" i="11"/>
  <c r="S74" i="11"/>
  <c r="U74" i="11"/>
  <c r="R74" i="11"/>
  <c r="P21" i="11"/>
  <c r="S21" i="11"/>
  <c r="T21" i="11"/>
  <c r="U21" i="11"/>
  <c r="Q244" i="11"/>
  <c r="Q152" i="11"/>
  <c r="Q343" i="11"/>
  <c r="U388" i="11"/>
  <c r="R90" i="11"/>
  <c r="T139" i="11"/>
  <c r="P97" i="11"/>
  <c r="V97" i="11" s="1"/>
  <c r="W97" i="11" s="1"/>
  <c r="S51" i="11"/>
  <c r="Q67" i="11"/>
  <c r="P325" i="11"/>
  <c r="U325" i="11"/>
  <c r="T325" i="11"/>
  <c r="Q325" i="11"/>
  <c r="S325" i="11"/>
  <c r="Q397" i="11"/>
  <c r="R4" i="11"/>
  <c r="Q76" i="11"/>
  <c r="U76" i="11"/>
  <c r="P76" i="11"/>
  <c r="T76" i="11"/>
  <c r="S76" i="11"/>
  <c r="R76" i="11"/>
  <c r="T218" i="11"/>
  <c r="P152" i="11"/>
  <c r="S263" i="11"/>
  <c r="U90" i="11"/>
  <c r="S139" i="11"/>
  <c r="R189" i="11"/>
  <c r="P4" i="11"/>
  <c r="R102" i="11"/>
  <c r="T102" i="11"/>
  <c r="U102" i="11"/>
  <c r="P102" i="11"/>
  <c r="Q102" i="11"/>
  <c r="S61" i="11"/>
  <c r="P61" i="11"/>
  <c r="Q61" i="11"/>
  <c r="U340" i="11"/>
  <c r="P340" i="11"/>
  <c r="R340" i="11"/>
  <c r="Q340" i="11"/>
  <c r="T340" i="11"/>
  <c r="S174" i="11"/>
  <c r="U174" i="11"/>
  <c r="P174" i="11"/>
  <c r="Q174" i="11"/>
  <c r="T174" i="11"/>
  <c r="R174" i="11"/>
  <c r="U394" i="11"/>
  <c r="P394" i="11"/>
  <c r="S394" i="11"/>
  <c r="Q394" i="11"/>
  <c r="T394" i="11"/>
  <c r="R394" i="11"/>
  <c r="Q179" i="11"/>
  <c r="P179" i="11"/>
  <c r="U179" i="11"/>
  <c r="R179" i="11"/>
  <c r="S179" i="11"/>
  <c r="T179" i="11"/>
  <c r="P51" i="11"/>
  <c r="Q51" i="11"/>
  <c r="U51" i="11"/>
  <c r="T51" i="11"/>
  <c r="U259" i="11"/>
  <c r="P259" i="11"/>
  <c r="R259" i="11"/>
  <c r="Q259" i="11"/>
  <c r="R268" i="11"/>
  <c r="Q268" i="11"/>
  <c r="U268" i="11"/>
  <c r="S241" i="11"/>
  <c r="Q241" i="11"/>
  <c r="R241" i="11"/>
  <c r="T241" i="11"/>
  <c r="U241" i="11"/>
  <c r="P241" i="11"/>
  <c r="S312" i="11"/>
  <c r="T312" i="11"/>
  <c r="Q312" i="11"/>
  <c r="R312" i="11"/>
  <c r="U312" i="11"/>
  <c r="P19" i="11"/>
  <c r="Q19" i="11"/>
  <c r="R19" i="11"/>
  <c r="T19" i="11"/>
  <c r="U19" i="11"/>
  <c r="Q291" i="11"/>
  <c r="P291" i="11"/>
  <c r="T291" i="11"/>
  <c r="U291" i="11"/>
  <c r="R291" i="11"/>
  <c r="S291" i="11"/>
  <c r="Q332" i="11"/>
  <c r="S332" i="11"/>
  <c r="T332" i="11"/>
  <c r="U332" i="11"/>
  <c r="P332" i="11"/>
  <c r="R332" i="11"/>
  <c r="Q213" i="11"/>
  <c r="U213" i="11"/>
  <c r="R213" i="11"/>
  <c r="S213" i="11"/>
  <c r="T213" i="11"/>
  <c r="P213" i="11"/>
  <c r="V389" i="11"/>
  <c r="W389" i="11" s="1"/>
  <c r="S259" i="11"/>
  <c r="S356" i="11"/>
  <c r="R294" i="11"/>
  <c r="S294" i="11"/>
  <c r="P294" i="11"/>
  <c r="Q294" i="11"/>
  <c r="T294" i="11"/>
  <c r="U294" i="11"/>
  <c r="T335" i="11"/>
  <c r="R335" i="11"/>
  <c r="U335" i="11"/>
  <c r="S335" i="11"/>
  <c r="P335" i="11"/>
  <c r="Q317" i="11"/>
  <c r="P317" i="11"/>
  <c r="U317" i="11"/>
  <c r="T317" i="11"/>
  <c r="S317" i="11"/>
  <c r="R317" i="11"/>
  <c r="Q360" i="11"/>
  <c r="P360" i="11"/>
  <c r="S360" i="11"/>
  <c r="U360" i="11"/>
  <c r="R360" i="11"/>
  <c r="R199" i="11"/>
  <c r="S199" i="11"/>
  <c r="T199" i="11"/>
  <c r="P199" i="11"/>
  <c r="Q199" i="11"/>
  <c r="T153" i="11"/>
  <c r="Q153" i="11"/>
  <c r="S153" i="11"/>
  <c r="U153" i="11"/>
  <c r="P153" i="11"/>
  <c r="R153" i="11"/>
  <c r="Q201" i="11"/>
  <c r="U201" i="11"/>
  <c r="S201" i="11"/>
  <c r="P201" i="11"/>
  <c r="R201" i="11"/>
  <c r="T201" i="11"/>
  <c r="S55" i="11"/>
  <c r="U55" i="11"/>
  <c r="T55" i="11"/>
  <c r="R55" i="11"/>
  <c r="U85" i="11"/>
  <c r="S387" i="11"/>
  <c r="P164" i="11"/>
  <c r="P356" i="11"/>
  <c r="Q339" i="11"/>
  <c r="R339" i="11"/>
  <c r="T339" i="11"/>
  <c r="P339" i="11"/>
  <c r="S339" i="11"/>
  <c r="R371" i="11"/>
  <c r="P371" i="11"/>
  <c r="Q371" i="11"/>
  <c r="S371" i="11"/>
  <c r="T371" i="11"/>
  <c r="U371" i="11"/>
  <c r="P382" i="11"/>
  <c r="R382" i="11"/>
  <c r="T382" i="11"/>
  <c r="U382" i="11"/>
  <c r="P198" i="11"/>
  <c r="T198" i="11"/>
  <c r="R198" i="11"/>
  <c r="S198" i="11"/>
  <c r="Q198" i="11"/>
  <c r="S54" i="11"/>
  <c r="Q54" i="11"/>
  <c r="U54" i="11"/>
  <c r="T54" i="11"/>
  <c r="P54" i="11"/>
  <c r="R105" i="11"/>
  <c r="S269" i="11"/>
  <c r="P269" i="11"/>
  <c r="Q215" i="11"/>
  <c r="R215" i="11"/>
  <c r="T215" i="11"/>
  <c r="U215" i="11"/>
  <c r="P215" i="11"/>
  <c r="S215" i="11"/>
  <c r="S152" i="11"/>
  <c r="T263" i="11"/>
  <c r="U139" i="11"/>
  <c r="P365" i="11"/>
  <c r="S125" i="11"/>
  <c r="Q189" i="11"/>
  <c r="P207" i="11"/>
  <c r="T353" i="11"/>
  <c r="T33" i="11"/>
  <c r="P90" i="11"/>
  <c r="P299" i="11"/>
  <c r="Q381" i="11"/>
  <c r="U381" i="11"/>
  <c r="P381" i="11"/>
  <c r="P162" i="11"/>
  <c r="U162" i="11"/>
  <c r="U235" i="11"/>
  <c r="Q235" i="11"/>
  <c r="R235" i="11"/>
  <c r="P235" i="11"/>
  <c r="R200" i="11"/>
  <c r="P200" i="11"/>
  <c r="S200" i="11"/>
  <c r="T200" i="11"/>
  <c r="U200" i="11"/>
  <c r="U295" i="11"/>
  <c r="Q295" i="11"/>
  <c r="T301" i="11"/>
  <c r="U301" i="11"/>
  <c r="Q301" i="11"/>
  <c r="S301" i="11"/>
  <c r="P239" i="11"/>
  <c r="R239" i="11"/>
  <c r="Q239" i="11"/>
  <c r="S239" i="11"/>
  <c r="T239" i="11"/>
  <c r="U25" i="11"/>
  <c r="T25" i="11"/>
  <c r="Q25" i="11"/>
  <c r="S25" i="11"/>
  <c r="P25" i="11"/>
  <c r="T13" i="11"/>
  <c r="S13" i="11"/>
  <c r="Q13" i="11"/>
  <c r="P13" i="11"/>
  <c r="R13" i="11"/>
  <c r="S225" i="11"/>
  <c r="S391" i="11"/>
  <c r="T391" i="11"/>
  <c r="U391" i="11"/>
  <c r="R391" i="11"/>
  <c r="R402" i="11"/>
  <c r="S402" i="11"/>
  <c r="Q402" i="11"/>
  <c r="P402" i="11"/>
  <c r="P292" i="11"/>
  <c r="Q292" i="11"/>
  <c r="R292" i="11"/>
  <c r="S292" i="11"/>
  <c r="Q161" i="11"/>
  <c r="U161" i="11"/>
  <c r="P161" i="11"/>
  <c r="R161" i="11"/>
  <c r="T161" i="11"/>
  <c r="S5" i="11"/>
  <c r="Q5" i="11"/>
  <c r="T5" i="11"/>
  <c r="R5" i="11"/>
  <c r="P5" i="11"/>
  <c r="P83" i="11"/>
  <c r="U83" i="11"/>
  <c r="Q83" i="11"/>
  <c r="S120" i="11"/>
  <c r="R120" i="11"/>
  <c r="T120" i="11"/>
  <c r="U120" i="11"/>
  <c r="Q120" i="11"/>
  <c r="U352" i="11"/>
  <c r="P352" i="11"/>
  <c r="R352" i="11"/>
  <c r="S352" i="11"/>
  <c r="T352" i="11"/>
  <c r="P193" i="11"/>
  <c r="S193" i="11"/>
  <c r="R193" i="11"/>
  <c r="R8" i="11"/>
  <c r="S8" i="11"/>
  <c r="R36" i="11"/>
  <c r="P36" i="11"/>
  <c r="Q36" i="11"/>
  <c r="T36" i="11"/>
  <c r="U113" i="11"/>
  <c r="S283" i="11"/>
  <c r="T283" i="11"/>
  <c r="U283" i="11"/>
  <c r="S355" i="11"/>
  <c r="T355" i="11"/>
  <c r="U355" i="11"/>
  <c r="R355" i="11"/>
  <c r="U180" i="11"/>
  <c r="R180" i="11"/>
  <c r="S180" i="11"/>
  <c r="Q180" i="11"/>
  <c r="Q32" i="11"/>
  <c r="P32" i="11"/>
  <c r="Q29" i="11"/>
  <c r="U29" i="11"/>
  <c r="T29" i="11"/>
  <c r="T113" i="11"/>
  <c r="S166" i="11"/>
  <c r="S113" i="11"/>
  <c r="R32" i="11"/>
  <c r="S159" i="11"/>
  <c r="P104" i="11"/>
  <c r="Q104" i="11"/>
  <c r="U150" i="11"/>
  <c r="R166" i="11"/>
  <c r="R113" i="11"/>
  <c r="S104" i="11"/>
  <c r="P180" i="11"/>
  <c r="Q113" i="11"/>
  <c r="U32" i="11"/>
  <c r="U104" i="11"/>
  <c r="T273" i="11"/>
  <c r="P273" i="11"/>
  <c r="Q273" i="11"/>
  <c r="R273" i="11"/>
  <c r="S304" i="11"/>
  <c r="U304" i="11"/>
  <c r="P401" i="11"/>
  <c r="U401" i="11"/>
  <c r="Q401" i="11"/>
  <c r="T401" i="11"/>
  <c r="Q284" i="11"/>
  <c r="S284" i="11"/>
  <c r="P284" i="11"/>
  <c r="R284" i="11"/>
  <c r="U284" i="11"/>
  <c r="U212" i="11"/>
  <c r="R212" i="11"/>
  <c r="S212" i="11"/>
  <c r="T212" i="11"/>
  <c r="P41" i="11"/>
  <c r="Q41" i="11"/>
  <c r="T41" i="11"/>
  <c r="R41" i="11"/>
  <c r="S41" i="11"/>
  <c r="U41" i="11"/>
  <c r="U305" i="11"/>
  <c r="P305" i="11"/>
  <c r="Q305" i="11"/>
  <c r="S305" i="11"/>
  <c r="R305" i="11"/>
  <c r="T305" i="11"/>
  <c r="Q77" i="11"/>
  <c r="P77" i="11"/>
  <c r="U77" i="11"/>
  <c r="R77" i="11"/>
  <c r="S77" i="11"/>
  <c r="T77" i="11"/>
  <c r="R336" i="11"/>
  <c r="S336" i="11"/>
  <c r="U336" i="11"/>
  <c r="P336" i="11"/>
  <c r="Q336" i="11"/>
  <c r="Q253" i="11"/>
  <c r="U253" i="11"/>
  <c r="T253" i="11"/>
  <c r="P253" i="11"/>
  <c r="R253" i="11"/>
  <c r="Q71" i="11"/>
  <c r="U71" i="11"/>
  <c r="S71" i="11"/>
  <c r="P71" i="11"/>
  <c r="R71" i="11"/>
  <c r="R255" i="11"/>
  <c r="R320" i="11"/>
  <c r="S320" i="11"/>
  <c r="T320" i="11"/>
  <c r="P320" i="11"/>
  <c r="U320" i="11"/>
  <c r="P416" i="11"/>
  <c r="Q416" i="11"/>
  <c r="R416" i="11"/>
  <c r="U416" i="11"/>
  <c r="T202" i="11"/>
  <c r="R202" i="11"/>
  <c r="P202" i="11"/>
  <c r="Q202" i="11"/>
  <c r="P116" i="11"/>
  <c r="R228" i="11"/>
  <c r="T206" i="11"/>
  <c r="P206" i="11"/>
  <c r="U206" i="11"/>
  <c r="U100" i="11"/>
  <c r="Q100" i="11"/>
  <c r="P100" i="11"/>
  <c r="T100" i="11"/>
  <c r="Q84" i="11"/>
  <c r="P84" i="11"/>
  <c r="T84" i="11"/>
  <c r="R84" i="11"/>
  <c r="U84" i="11"/>
  <c r="Q255" i="11"/>
  <c r="R338" i="11"/>
  <c r="S338" i="11"/>
  <c r="T338" i="11"/>
  <c r="P338" i="11"/>
  <c r="Q338" i="11"/>
  <c r="T366" i="11"/>
  <c r="P366" i="11"/>
  <c r="Q366" i="11"/>
  <c r="R366" i="11"/>
  <c r="P205" i="11"/>
  <c r="S205" i="11"/>
  <c r="Q205" i="11"/>
  <c r="R205" i="11"/>
  <c r="T205" i="11"/>
  <c r="P219" i="11"/>
  <c r="T219" i="11"/>
  <c r="U219" i="11"/>
  <c r="Q219" i="11"/>
  <c r="Q91" i="11"/>
  <c r="R91" i="11"/>
  <c r="P91" i="11"/>
  <c r="U91" i="11"/>
  <c r="T91" i="11"/>
  <c r="R301" i="11"/>
  <c r="R283" i="11"/>
  <c r="S32" i="11"/>
  <c r="R25" i="11"/>
  <c r="T159" i="11"/>
  <c r="S235" i="11"/>
  <c r="R104" i="11"/>
  <c r="T180" i="11"/>
  <c r="P209" i="11"/>
  <c r="Q209" i="11"/>
  <c r="R209" i="11"/>
  <c r="S209" i="11"/>
  <c r="Q303" i="11"/>
  <c r="S303" i="11"/>
  <c r="U303" i="11"/>
  <c r="T303" i="11"/>
  <c r="U402" i="11"/>
  <c r="T32" i="11"/>
  <c r="P410" i="11"/>
  <c r="R410" i="11"/>
  <c r="U410" i="11"/>
  <c r="P242" i="11"/>
  <c r="U134" i="11"/>
  <c r="P134" i="11"/>
  <c r="T134" i="11"/>
  <c r="S134" i="11"/>
  <c r="U386" i="11"/>
  <c r="R386" i="11"/>
  <c r="P406" i="11"/>
  <c r="Q406" i="11"/>
  <c r="R406" i="11"/>
  <c r="Q48" i="11"/>
  <c r="S48" i="11"/>
  <c r="R48" i="11"/>
  <c r="T48" i="11"/>
  <c r="U234" i="11"/>
  <c r="S234" i="11"/>
  <c r="Q234" i="11"/>
  <c r="T234" i="11"/>
  <c r="R234" i="11"/>
  <c r="T220" i="11"/>
  <c r="P220" i="11"/>
  <c r="Q99" i="11"/>
  <c r="T99" i="11"/>
  <c r="P99" i="11"/>
  <c r="S99" i="11"/>
  <c r="R99" i="11"/>
  <c r="Q166" i="11"/>
  <c r="T166" i="11"/>
  <c r="S86" i="11"/>
  <c r="Q86" i="11"/>
  <c r="R86" i="11"/>
  <c r="P86" i="11"/>
  <c r="T86" i="11"/>
  <c r="P48" i="11"/>
  <c r="P412" i="11"/>
  <c r="R412" i="11"/>
  <c r="Q412" i="11"/>
  <c r="S412" i="11"/>
  <c r="T155" i="11"/>
  <c r="U155" i="11"/>
  <c r="T52" i="11"/>
  <c r="U52" i="11"/>
  <c r="T47" i="11"/>
  <c r="S47" i="11"/>
  <c r="R47" i="11"/>
  <c r="T71" i="11"/>
  <c r="Q46" i="11"/>
  <c r="U46" i="11"/>
  <c r="R280" i="11"/>
  <c r="S280" i="11"/>
  <c r="U280" i="11"/>
  <c r="P280" i="11"/>
  <c r="S416" i="11"/>
  <c r="P78" i="11"/>
  <c r="Q78" i="11"/>
  <c r="S78" i="11"/>
  <c r="T50" i="11"/>
  <c r="Q50" i="11"/>
  <c r="R50" i="11"/>
  <c r="P50" i="11"/>
  <c r="S50" i="11"/>
  <c r="U50" i="11"/>
  <c r="P301" i="11"/>
  <c r="S324" i="11"/>
  <c r="R324" i="11"/>
  <c r="Q324" i="11"/>
  <c r="R409" i="11"/>
  <c r="S409" i="11"/>
  <c r="T409" i="11"/>
  <c r="Q159" i="11"/>
  <c r="R46" i="11"/>
  <c r="T235" i="11"/>
  <c r="P234" i="11"/>
  <c r="P208" i="11"/>
  <c r="Q208" i="11"/>
  <c r="U208" i="11"/>
  <c r="R319" i="11"/>
  <c r="T319" i="11"/>
  <c r="S319" i="11"/>
  <c r="P319" i="11"/>
  <c r="Q319" i="11"/>
  <c r="Q400" i="11"/>
  <c r="T400" i="11"/>
  <c r="R400" i="11"/>
  <c r="T402" i="11"/>
  <c r="S330" i="11"/>
  <c r="T330" i="11"/>
  <c r="R330" i="11"/>
  <c r="T221" i="11"/>
  <c r="U221" i="11"/>
  <c r="S221" i="11"/>
  <c r="P221" i="11"/>
  <c r="R221" i="11"/>
  <c r="Q221" i="11"/>
  <c r="Q150" i="11"/>
  <c r="S150" i="11"/>
  <c r="P150" i="11"/>
  <c r="T145" i="11"/>
  <c r="U145" i="11"/>
  <c r="S145" i="11"/>
  <c r="R145" i="11"/>
  <c r="Q145" i="11"/>
  <c r="P145" i="11"/>
  <c r="P197" i="11"/>
  <c r="Q197" i="11"/>
  <c r="R197" i="11"/>
  <c r="S197" i="11"/>
  <c r="T18" i="11"/>
  <c r="S18" i="11"/>
  <c r="R18" i="11"/>
  <c r="R49" i="11"/>
  <c r="P49" i="11"/>
  <c r="S49" i="11"/>
  <c r="T49" i="11"/>
  <c r="U273" i="11"/>
  <c r="P330" i="11"/>
  <c r="U214" i="11"/>
  <c r="Q214" i="11"/>
  <c r="T214" i="11"/>
  <c r="R214" i="11"/>
  <c r="P214" i="11"/>
  <c r="S214" i="11"/>
  <c r="Q238" i="11"/>
  <c r="R238" i="11"/>
  <c r="S238" i="11"/>
  <c r="U238" i="11"/>
  <c r="U245" i="11"/>
  <c r="Q245" i="11"/>
  <c r="R245" i="11"/>
  <c r="S245" i="11"/>
  <c r="P245" i="11"/>
  <c r="T245" i="11"/>
  <c r="T225" i="11"/>
  <c r="Q225" i="11"/>
  <c r="U225" i="11"/>
  <c r="P225" i="11"/>
  <c r="P43" i="11"/>
  <c r="R43" i="11"/>
  <c r="S43" i="11"/>
  <c r="U43" i="11"/>
  <c r="Q43" i="11"/>
  <c r="T43" i="11"/>
  <c r="T304" i="11"/>
  <c r="Q45" i="11"/>
  <c r="U45" i="11"/>
  <c r="P405" i="11"/>
  <c r="Q405" i="11"/>
  <c r="U405" i="11"/>
  <c r="T405" i="11"/>
  <c r="P229" i="11"/>
  <c r="Q229" i="11"/>
  <c r="T229" i="11"/>
  <c r="U229" i="11"/>
  <c r="S229" i="11"/>
  <c r="Q116" i="11"/>
  <c r="S116" i="11"/>
  <c r="T116" i="11"/>
  <c r="R116" i="11"/>
  <c r="S398" i="11"/>
  <c r="Q398" i="11"/>
  <c r="T398" i="11"/>
  <c r="U398" i="11"/>
  <c r="P398" i="11"/>
  <c r="R398" i="11"/>
  <c r="Q193" i="11"/>
  <c r="P47" i="11"/>
  <c r="Q413" i="11"/>
  <c r="R413" i="11"/>
  <c r="S413" i="11"/>
  <c r="T413" i="11"/>
  <c r="U413" i="11"/>
  <c r="S119" i="11"/>
  <c r="Q119" i="11"/>
  <c r="T119" i="11"/>
  <c r="R119" i="11"/>
  <c r="T26" i="11"/>
  <c r="U26" i="11"/>
  <c r="R26" i="11"/>
  <c r="T316" i="11"/>
  <c r="U316" i="11"/>
  <c r="P316" i="11"/>
  <c r="R316" i="11"/>
  <c r="S106" i="11"/>
  <c r="T106" i="11"/>
  <c r="R106" i="11"/>
  <c r="U106" i="11"/>
  <c r="Q106" i="11"/>
  <c r="P376" i="11"/>
  <c r="Q376" i="11"/>
  <c r="U159" i="11"/>
  <c r="S81" i="11"/>
  <c r="U81" i="11"/>
  <c r="R81" i="11"/>
  <c r="T81" i="11"/>
  <c r="P159" i="11"/>
  <c r="S206" i="11"/>
  <c r="T46" i="11"/>
  <c r="U376" i="11"/>
  <c r="P413" i="11"/>
  <c r="U5" i="11"/>
  <c r="T284" i="11"/>
  <c r="Q242" i="11"/>
  <c r="T350" i="11"/>
  <c r="R350" i="11"/>
  <c r="P350" i="11"/>
  <c r="U350" i="11"/>
  <c r="Q148" i="11"/>
  <c r="U148" i="11"/>
  <c r="T148" i="11"/>
  <c r="R267" i="11"/>
  <c r="S267" i="11"/>
  <c r="P158" i="11"/>
  <c r="R158" i="11"/>
  <c r="P59" i="11"/>
  <c r="S59" i="11"/>
  <c r="T59" i="11"/>
  <c r="U59" i="11"/>
  <c r="P70" i="11"/>
  <c r="Q70" i="11"/>
  <c r="R70" i="11"/>
  <c r="S70" i="11"/>
  <c r="T158" i="11"/>
  <c r="U236" i="11"/>
  <c r="Q236" i="11"/>
  <c r="P178" i="11"/>
  <c r="S178" i="11"/>
  <c r="U178" i="11"/>
  <c r="Q178" i="11"/>
  <c r="S73" i="11"/>
  <c r="U73" i="11"/>
  <c r="P73" i="11"/>
  <c r="Q73" i="11"/>
  <c r="R73" i="11"/>
  <c r="S358" i="11"/>
  <c r="T358" i="11"/>
  <c r="U358" i="11"/>
  <c r="P297" i="11"/>
  <c r="Q297" i="11"/>
  <c r="R419" i="11"/>
  <c r="Q419" i="11"/>
  <c r="S419" i="11"/>
  <c r="T419" i="11"/>
  <c r="P419" i="11"/>
  <c r="U419" i="11"/>
  <c r="P175" i="11"/>
  <c r="T175" i="11"/>
  <c r="P14" i="11"/>
  <c r="R14" i="11"/>
  <c r="S14" i="11"/>
  <c r="T14" i="11"/>
  <c r="Q14" i="11"/>
  <c r="R37" i="11"/>
  <c r="S37" i="11"/>
  <c r="T37" i="11"/>
  <c r="U37" i="11"/>
  <c r="S158" i="11"/>
  <c r="T178" i="11"/>
  <c r="P331" i="11"/>
  <c r="Q331" i="11"/>
  <c r="P334" i="11"/>
  <c r="S334" i="11"/>
  <c r="R334" i="11"/>
  <c r="Q334" i="11"/>
  <c r="T334" i="11"/>
  <c r="U334" i="11"/>
  <c r="P146" i="11"/>
  <c r="Q146" i="11"/>
  <c r="R146" i="11"/>
  <c r="P167" i="11"/>
  <c r="Q167" i="11"/>
  <c r="R167" i="11"/>
  <c r="T173" i="11"/>
  <c r="Q173" i="11"/>
  <c r="S173" i="11"/>
  <c r="P173" i="11"/>
  <c r="U173" i="11"/>
  <c r="T254" i="11"/>
  <c r="P254" i="11"/>
  <c r="S254" i="11"/>
  <c r="R254" i="11"/>
  <c r="Q96" i="11"/>
  <c r="U96" i="11"/>
  <c r="P96" i="11"/>
  <c r="R96" i="11"/>
  <c r="S96" i="11"/>
  <c r="S75" i="11"/>
  <c r="T75" i="11"/>
  <c r="U75" i="11"/>
  <c r="Q94" i="11"/>
  <c r="R94" i="11"/>
  <c r="S94" i="11"/>
  <c r="Q108" i="11"/>
  <c r="Q302" i="11"/>
  <c r="Q107" i="11"/>
  <c r="U107" i="11"/>
  <c r="U72" i="11"/>
  <c r="P72" i="11"/>
  <c r="Q345" i="11"/>
  <c r="T167" i="11"/>
  <c r="R236" i="11"/>
  <c r="T30" i="11"/>
  <c r="P30" i="11"/>
  <c r="R72" i="11"/>
  <c r="R186" i="11"/>
  <c r="Q186" i="11"/>
  <c r="S186" i="11"/>
  <c r="P186" i="11"/>
  <c r="U186" i="11"/>
  <c r="T186" i="11"/>
  <c r="Q191" i="11"/>
  <c r="R191" i="11"/>
  <c r="S15" i="11"/>
  <c r="P15" i="11"/>
  <c r="U7" i="11"/>
  <c r="P7" i="11"/>
  <c r="R7" i="11"/>
  <c r="U175" i="11"/>
  <c r="R302" i="11"/>
  <c r="U345" i="11"/>
  <c r="S167" i="11"/>
  <c r="P236" i="11"/>
  <c r="U57" i="11"/>
  <c r="P57" i="11"/>
  <c r="T58" i="11"/>
  <c r="P58" i="11"/>
  <c r="Q58" i="11"/>
  <c r="R58" i="11"/>
  <c r="S58" i="11"/>
  <c r="P185" i="11"/>
  <c r="Q185" i="11"/>
  <c r="T28" i="11"/>
  <c r="R28" i="11"/>
  <c r="U94" i="11"/>
  <c r="R15" i="11"/>
  <c r="T331" i="11"/>
  <c r="S28" i="11"/>
  <c r="T345" i="11"/>
  <c r="U167" i="11"/>
  <c r="Q264" i="11"/>
  <c r="R264" i="11"/>
  <c r="S264" i="11"/>
  <c r="T264" i="11"/>
  <c r="U264" i="11"/>
  <c r="P264" i="11"/>
  <c r="P148" i="11"/>
  <c r="Q408" i="11"/>
  <c r="R173" i="11"/>
  <c r="S101" i="11"/>
  <c r="R101" i="11"/>
  <c r="T101" i="11"/>
  <c r="U101" i="11"/>
  <c r="P94" i="11"/>
  <c r="Q15" i="11"/>
  <c r="S331" i="11"/>
  <c r="Q28" i="11"/>
  <c r="S345" i="11"/>
  <c r="T315" i="11"/>
  <c r="U315" i="11"/>
  <c r="P315" i="11"/>
  <c r="R65" i="11"/>
  <c r="S65" i="11"/>
  <c r="U65" i="11"/>
  <c r="Q378" i="11"/>
  <c r="R378" i="11"/>
  <c r="P378" i="11"/>
  <c r="U378" i="11"/>
  <c r="T378" i="11"/>
  <c r="Q266" i="11"/>
  <c r="R266" i="11"/>
  <c r="U266" i="11"/>
  <c r="S266" i="11"/>
  <c r="T266" i="11"/>
  <c r="S237" i="11"/>
  <c r="R237" i="11"/>
  <c r="P237" i="11"/>
  <c r="Q237" i="11"/>
  <c r="T237" i="11"/>
  <c r="P95" i="11"/>
  <c r="Q95" i="11"/>
  <c r="P98" i="11"/>
  <c r="Q98" i="11"/>
  <c r="R98" i="11"/>
  <c r="U98" i="11"/>
  <c r="S98" i="11"/>
  <c r="T98" i="11"/>
  <c r="U163" i="11"/>
  <c r="T369" i="11"/>
  <c r="U363" i="11"/>
  <c r="R363" i="11"/>
  <c r="T363" i="11"/>
  <c r="P363" i="11"/>
  <c r="Q363" i="11"/>
  <c r="S363" i="11"/>
  <c r="P248" i="11"/>
  <c r="T248" i="11"/>
  <c r="Q248" i="11"/>
  <c r="S311" i="11"/>
  <c r="U311" i="11"/>
  <c r="Q372" i="11"/>
  <c r="U372" i="11"/>
  <c r="S372" i="11"/>
  <c r="T147" i="11"/>
  <c r="P147" i="11"/>
  <c r="S147" i="11"/>
  <c r="P227" i="11"/>
  <c r="T227" i="11"/>
  <c r="U227" i="11"/>
  <c r="Q227" i="11"/>
  <c r="R227" i="11"/>
  <c r="P82" i="11"/>
  <c r="S82" i="11"/>
  <c r="S369" i="11"/>
  <c r="S271" i="11"/>
  <c r="T271" i="11"/>
  <c r="Q271" i="11"/>
  <c r="S163" i="11"/>
  <c r="Q163" i="11"/>
  <c r="R393" i="11"/>
  <c r="S393" i="11"/>
  <c r="T393" i="11"/>
  <c r="U393" i="11"/>
  <c r="P349" i="11"/>
  <c r="U349" i="11"/>
  <c r="P306" i="11"/>
  <c r="Q306" i="11"/>
  <c r="R306" i="11"/>
  <c r="U141" i="11"/>
  <c r="R141" i="11"/>
  <c r="R211" i="11"/>
  <c r="T211" i="11"/>
  <c r="P252" i="11"/>
  <c r="R252" i="11"/>
  <c r="U252" i="11"/>
  <c r="Q69" i="11"/>
  <c r="P69" i="11"/>
  <c r="T69" i="11"/>
  <c r="P31" i="11"/>
  <c r="R31" i="11"/>
  <c r="T31" i="11"/>
  <c r="Q276" i="11"/>
  <c r="R163" i="11"/>
  <c r="R369" i="11"/>
  <c r="Q417" i="11"/>
  <c r="R417" i="11"/>
  <c r="S417" i="11"/>
  <c r="P417" i="11"/>
  <c r="T417" i="11"/>
  <c r="Q135" i="11"/>
  <c r="P135" i="11"/>
  <c r="S135" i="11"/>
  <c r="T135" i="11"/>
  <c r="S265" i="11"/>
  <c r="Q265" i="11"/>
  <c r="U271" i="11"/>
  <c r="S31" i="11"/>
  <c r="P276" i="11"/>
  <c r="P163" i="11"/>
  <c r="V107" i="11"/>
  <c r="W107" i="11" s="1"/>
  <c r="V109" i="11"/>
  <c r="W109" i="11" s="1"/>
  <c r="P72" i="10"/>
  <c r="S72" i="10"/>
  <c r="Q72" i="10"/>
  <c r="R72" i="10"/>
  <c r="T72" i="10"/>
  <c r="U72" i="10"/>
  <c r="T90" i="10"/>
  <c r="S90" i="10"/>
  <c r="R90" i="10"/>
  <c r="U90" i="10"/>
  <c r="Q90" i="10"/>
  <c r="T321" i="10"/>
  <c r="P321" i="10"/>
  <c r="R321" i="10"/>
  <c r="S321" i="10"/>
  <c r="U321" i="10"/>
  <c r="Q321" i="10"/>
  <c r="Q214" i="10"/>
  <c r="U214" i="10"/>
  <c r="R214" i="10"/>
  <c r="P214" i="10"/>
  <c r="S214" i="10"/>
  <c r="T214" i="10"/>
  <c r="S334" i="10"/>
  <c r="Q334" i="10"/>
  <c r="T334" i="10"/>
  <c r="U334" i="10"/>
  <c r="L355" i="10"/>
  <c r="O355" i="10"/>
  <c r="L381" i="10"/>
  <c r="O381" i="10"/>
  <c r="L393" i="10"/>
  <c r="O393" i="10"/>
  <c r="L385" i="10"/>
  <c r="O385" i="10"/>
  <c r="O254" i="10"/>
  <c r="L254" i="10"/>
  <c r="O255" i="10"/>
  <c r="L255" i="10"/>
  <c r="L178" i="10"/>
  <c r="O178" i="10"/>
  <c r="O260" i="10"/>
  <c r="L260" i="10"/>
  <c r="L257" i="10"/>
  <c r="O257" i="10"/>
  <c r="O120" i="10"/>
  <c r="L120" i="10"/>
  <c r="T282" i="10"/>
  <c r="Q282" i="10"/>
  <c r="U282" i="10"/>
  <c r="P282" i="10"/>
  <c r="R282" i="10"/>
  <c r="S282" i="10"/>
  <c r="L412" i="10"/>
  <c r="O412" i="10"/>
  <c r="L419" i="10"/>
  <c r="O419" i="10"/>
  <c r="L298" i="10"/>
  <c r="O298" i="10"/>
  <c r="L418" i="10"/>
  <c r="O418" i="10"/>
  <c r="L413" i="10"/>
  <c r="O413" i="10"/>
  <c r="L175" i="10"/>
  <c r="O175" i="10"/>
  <c r="O133" i="10"/>
  <c r="L133" i="10"/>
  <c r="L186" i="10"/>
  <c r="O186" i="10"/>
  <c r="L241" i="10"/>
  <c r="O241" i="10"/>
  <c r="L38" i="10"/>
  <c r="O38" i="10"/>
  <c r="L5" i="10"/>
  <c r="O5" i="10"/>
  <c r="L29" i="10"/>
  <c r="O29" i="10"/>
  <c r="L163" i="10"/>
  <c r="O163" i="10"/>
  <c r="K163" i="10"/>
  <c r="U366" i="10"/>
  <c r="R366" i="10"/>
  <c r="Q366" i="10"/>
  <c r="P366" i="10"/>
  <c r="S366" i="10"/>
  <c r="T366" i="10"/>
  <c r="S146" i="10"/>
  <c r="T146" i="10"/>
  <c r="P146" i="10"/>
  <c r="R146" i="10"/>
  <c r="U146" i="10"/>
  <c r="T135" i="10"/>
  <c r="U135" i="10"/>
  <c r="S135" i="10"/>
  <c r="Q135" i="10"/>
  <c r="R135" i="10"/>
  <c r="P135" i="10"/>
  <c r="T10" i="10"/>
  <c r="Q10" i="10"/>
  <c r="R10" i="10"/>
  <c r="U10" i="10"/>
  <c r="P10" i="10"/>
  <c r="S10" i="10"/>
  <c r="T76" i="10"/>
  <c r="Q76" i="10"/>
  <c r="S76" i="10"/>
  <c r="P76" i="10"/>
  <c r="R76" i="10"/>
  <c r="U76" i="10"/>
  <c r="S244" i="10"/>
  <c r="P244" i="10"/>
  <c r="P313" i="10"/>
  <c r="U313" i="10"/>
  <c r="R313" i="10"/>
  <c r="Q313" i="10"/>
  <c r="T313" i="10"/>
  <c r="S313" i="10"/>
  <c r="S341" i="10"/>
  <c r="Q341" i="10"/>
  <c r="T341" i="10"/>
  <c r="U341" i="10"/>
  <c r="P341" i="10"/>
  <c r="L379" i="10"/>
  <c r="O379" i="10"/>
  <c r="L275" i="10"/>
  <c r="O275" i="10"/>
  <c r="L307" i="10"/>
  <c r="O307" i="10"/>
  <c r="L205" i="10"/>
  <c r="O205" i="10"/>
  <c r="L269" i="10"/>
  <c r="O269" i="10"/>
  <c r="L69" i="10"/>
  <c r="O69" i="10"/>
  <c r="O41" i="10"/>
  <c r="L41" i="10"/>
  <c r="L93" i="10"/>
  <c r="O93" i="10"/>
  <c r="L113" i="10"/>
  <c r="O113" i="10"/>
  <c r="R334" i="10"/>
  <c r="S139" i="10"/>
  <c r="T139" i="10"/>
  <c r="P139" i="10"/>
  <c r="Q139" i="10"/>
  <c r="R139" i="10"/>
  <c r="U139" i="10"/>
  <c r="L360" i="10"/>
  <c r="O360" i="10"/>
  <c r="L273" i="10"/>
  <c r="O273" i="10"/>
  <c r="L268" i="10"/>
  <c r="O268" i="10"/>
  <c r="O267" i="10"/>
  <c r="L267" i="10"/>
  <c r="L124" i="10"/>
  <c r="O124" i="10"/>
  <c r="L6" i="10"/>
  <c r="O6" i="10"/>
  <c r="L11" i="10"/>
  <c r="O11" i="10"/>
  <c r="L23" i="10"/>
  <c r="O23" i="10"/>
  <c r="P334" i="10"/>
  <c r="O123" i="10"/>
  <c r="R137" i="10"/>
  <c r="U137" i="10"/>
  <c r="Q137" i="10"/>
  <c r="S60" i="10"/>
  <c r="Q60" i="10"/>
  <c r="R60" i="10"/>
  <c r="T60" i="10"/>
  <c r="P60" i="10"/>
  <c r="L406" i="10"/>
  <c r="O406" i="10"/>
  <c r="O148" i="10"/>
  <c r="L148" i="10"/>
  <c r="L16" i="10"/>
  <c r="O16" i="10"/>
  <c r="P33" i="10"/>
  <c r="U33" i="10"/>
  <c r="Q33" i="10"/>
  <c r="R33" i="10"/>
  <c r="S33" i="10"/>
  <c r="L312" i="10"/>
  <c r="O312" i="10"/>
  <c r="L299" i="10"/>
  <c r="O299" i="10"/>
  <c r="L204" i="10"/>
  <c r="O204" i="10"/>
  <c r="L276" i="10"/>
  <c r="O276" i="10"/>
  <c r="S3" i="10"/>
  <c r="Q3" i="10"/>
  <c r="P3" i="10"/>
  <c r="T3" i="10"/>
  <c r="U3" i="10"/>
  <c r="R3" i="10"/>
  <c r="O197" i="10"/>
  <c r="L197" i="10"/>
  <c r="L77" i="10"/>
  <c r="O77" i="10"/>
  <c r="L116" i="10"/>
  <c r="O116" i="10"/>
  <c r="L100" i="10"/>
  <c r="O100" i="10"/>
  <c r="O304" i="10"/>
  <c r="L304" i="10"/>
  <c r="O351" i="10"/>
  <c r="L351" i="10"/>
  <c r="L45" i="10"/>
  <c r="O45" i="10"/>
  <c r="P242" i="10"/>
  <c r="S242" i="10"/>
  <c r="R242" i="10"/>
  <c r="Q352" i="10"/>
  <c r="P352" i="10"/>
  <c r="S352" i="10"/>
  <c r="R352" i="10"/>
  <c r="U242" i="10"/>
  <c r="S137" i="10"/>
  <c r="L265" i="10"/>
  <c r="O265" i="10"/>
  <c r="R37" i="10"/>
  <c r="U37" i="10"/>
  <c r="S37" i="10"/>
  <c r="L322" i="10"/>
  <c r="O322" i="10"/>
  <c r="L414" i="10"/>
  <c r="O414" i="10"/>
  <c r="L264" i="10"/>
  <c r="O264" i="10"/>
  <c r="L149" i="10"/>
  <c r="L422" i="10"/>
  <c r="O422" i="10"/>
  <c r="L334" i="10"/>
  <c r="L278" i="10"/>
  <c r="O278" i="10"/>
  <c r="L226" i="10"/>
  <c r="O226" i="10"/>
  <c r="L233" i="10"/>
  <c r="O85" i="10"/>
  <c r="L85" i="10"/>
  <c r="L35" i="10"/>
  <c r="O35" i="10"/>
  <c r="T37" i="10"/>
  <c r="Q242" i="10"/>
  <c r="L286" i="10"/>
  <c r="O286" i="10"/>
  <c r="L280" i="10"/>
  <c r="O280" i="10"/>
  <c r="L378" i="10"/>
  <c r="O378" i="10"/>
  <c r="L387" i="10"/>
  <c r="L347" i="10"/>
  <c r="O347" i="10"/>
  <c r="L230" i="10"/>
  <c r="O230" i="10"/>
  <c r="L83" i="10"/>
  <c r="O83" i="10"/>
  <c r="T352" i="10"/>
  <c r="U117" i="10"/>
  <c r="V117" i="10" s="1"/>
  <c r="W117" i="10" s="1"/>
  <c r="Q117" i="10"/>
  <c r="R117" i="10"/>
  <c r="S117" i="10"/>
  <c r="U287" i="10"/>
  <c r="T287" i="10"/>
  <c r="Q287" i="10"/>
  <c r="O149" i="10"/>
  <c r="O349" i="10"/>
  <c r="L349" i="10"/>
  <c r="L319" i="10"/>
  <c r="O319" i="10"/>
  <c r="L282" i="10"/>
  <c r="L195" i="10"/>
  <c r="O195" i="10"/>
  <c r="L185" i="10"/>
  <c r="O185" i="10"/>
  <c r="L159" i="10"/>
  <c r="O159" i="10"/>
  <c r="L232" i="10"/>
  <c r="O232" i="10"/>
  <c r="L140" i="10"/>
  <c r="O140" i="10"/>
  <c r="U7" i="10"/>
  <c r="U206" i="10"/>
  <c r="O81" i="10"/>
  <c r="P284" i="10"/>
  <c r="Q284" i="10"/>
  <c r="S284" i="10"/>
  <c r="U284" i="10"/>
  <c r="O233" i="10"/>
  <c r="L361" i="10"/>
  <c r="O361" i="10"/>
  <c r="L356" i="10"/>
  <c r="O356" i="10"/>
  <c r="L362" i="10"/>
  <c r="O362" i="10"/>
  <c r="L404" i="10"/>
  <c r="O404" i="10"/>
  <c r="L291" i="10"/>
  <c r="O291" i="10"/>
  <c r="L208" i="10"/>
  <c r="O208" i="10"/>
  <c r="L224" i="10"/>
  <c r="O224" i="10"/>
  <c r="L184" i="10"/>
  <c r="O184" i="10"/>
  <c r="L131" i="10"/>
  <c r="O131" i="10"/>
  <c r="L142" i="10"/>
  <c r="O142" i="10"/>
  <c r="L92" i="10"/>
  <c r="O92" i="10"/>
  <c r="L114" i="10"/>
  <c r="O114" i="10"/>
  <c r="L103" i="10"/>
  <c r="O103" i="10"/>
  <c r="L58" i="10"/>
  <c r="O58" i="10"/>
  <c r="L109" i="10"/>
  <c r="O109" i="10"/>
  <c r="L48" i="10"/>
  <c r="O48" i="10"/>
  <c r="Q206" i="10"/>
  <c r="U352" i="10"/>
  <c r="P4" i="10"/>
  <c r="S4" i="10"/>
  <c r="Q4" i="10"/>
  <c r="R151" i="10"/>
  <c r="S151" i="10"/>
  <c r="T151" i="10"/>
  <c r="U333" i="10"/>
  <c r="S333" i="10"/>
  <c r="T333" i="10"/>
  <c r="P333" i="10"/>
  <c r="L324" i="10"/>
  <c r="O324" i="10"/>
  <c r="U250" i="10"/>
  <c r="P250" i="10"/>
  <c r="S250" i="10"/>
  <c r="R250" i="10"/>
  <c r="L375" i="10"/>
  <c r="O375" i="10"/>
  <c r="O301" i="10"/>
  <c r="L301" i="10"/>
  <c r="L239" i="10"/>
  <c r="O239" i="10"/>
  <c r="L44" i="10"/>
  <c r="O44" i="10"/>
  <c r="L107" i="10"/>
  <c r="O107" i="10"/>
  <c r="U259" i="10"/>
  <c r="L246" i="10"/>
  <c r="O246" i="10"/>
  <c r="L228" i="10"/>
  <c r="O228" i="10"/>
  <c r="O105" i="10"/>
  <c r="S26" i="10"/>
  <c r="T26" i="10"/>
  <c r="Q26" i="10"/>
  <c r="U26" i="10"/>
  <c r="R26" i="10"/>
  <c r="U384" i="10"/>
  <c r="S384" i="10"/>
  <c r="R384" i="10"/>
  <c r="T384" i="10"/>
  <c r="Q384" i="10"/>
  <c r="P384" i="10"/>
  <c r="S9" i="10"/>
  <c r="U9" i="10"/>
  <c r="R9" i="10"/>
  <c r="O283" i="10"/>
  <c r="L283" i="10"/>
  <c r="P37" i="10"/>
  <c r="L348" i="10"/>
  <c r="O348" i="10"/>
  <c r="T9" i="10"/>
  <c r="P259" i="10"/>
  <c r="L359" i="10"/>
  <c r="O359" i="10"/>
  <c r="L377" i="10"/>
  <c r="O377" i="10"/>
  <c r="O221" i="10"/>
  <c r="L221" i="10"/>
  <c r="O36" i="10"/>
  <c r="L36" i="10"/>
  <c r="R89" i="10"/>
  <c r="Q89" i="10"/>
  <c r="T89" i="10"/>
  <c r="L369" i="10"/>
  <c r="O369" i="10"/>
  <c r="O125" i="10"/>
  <c r="L125" i="10"/>
  <c r="L141" i="10"/>
  <c r="O141" i="10"/>
  <c r="L245" i="10"/>
  <c r="O245" i="10"/>
  <c r="L43" i="10"/>
  <c r="O43" i="10"/>
  <c r="L73" i="10"/>
  <c r="O73" i="10"/>
  <c r="L106" i="10"/>
  <c r="O106" i="10"/>
  <c r="L411" i="10"/>
  <c r="O411" i="10"/>
  <c r="O177" i="10"/>
  <c r="L177" i="10"/>
  <c r="L383" i="10"/>
  <c r="O383" i="10"/>
  <c r="O421" i="10"/>
  <c r="L421" i="10"/>
  <c r="L325" i="10"/>
  <c r="O325" i="10"/>
  <c r="L295" i="10"/>
  <c r="O295" i="10"/>
  <c r="O253" i="10"/>
  <c r="L253" i="10"/>
  <c r="L155" i="10"/>
  <c r="O155" i="10"/>
  <c r="L237" i="10"/>
  <c r="O237" i="10"/>
  <c r="O182" i="10"/>
  <c r="L182" i="10"/>
  <c r="O225" i="10"/>
  <c r="L225" i="10"/>
  <c r="P75" i="10"/>
  <c r="Q75" i="10"/>
  <c r="U75" i="10"/>
  <c r="S343" i="10"/>
  <c r="U343" i="10"/>
  <c r="Q343" i="10"/>
  <c r="P343" i="10"/>
  <c r="R343" i="10"/>
  <c r="S75" i="10"/>
  <c r="Q390" i="10"/>
  <c r="U390" i="10"/>
  <c r="T390" i="10"/>
  <c r="S40" i="10"/>
  <c r="P40" i="10"/>
  <c r="R40" i="10"/>
  <c r="U40" i="10"/>
  <c r="T40" i="10"/>
  <c r="Q40" i="10"/>
  <c r="T137" i="10"/>
  <c r="S388" i="10"/>
  <c r="P388" i="10"/>
  <c r="Q388" i="10"/>
  <c r="T388" i="10"/>
  <c r="R101" i="10"/>
  <c r="V101" i="10" s="1"/>
  <c r="W101" i="10" s="1"/>
  <c r="S101" i="10"/>
  <c r="T101" i="10"/>
  <c r="U101" i="10"/>
  <c r="T82" i="10"/>
  <c r="P82" i="10"/>
  <c r="L277" i="10"/>
  <c r="O277" i="10"/>
  <c r="N146" i="10"/>
  <c r="L261" i="10"/>
  <c r="O261" i="10"/>
  <c r="R259" i="10"/>
  <c r="T259" i="10"/>
  <c r="S259" i="10"/>
  <c r="L327" i="10"/>
  <c r="O327" i="10"/>
  <c r="L39" i="10"/>
  <c r="O39" i="10"/>
  <c r="P65" i="10"/>
  <c r="Q65" i="10"/>
  <c r="R65" i="10"/>
  <c r="T65" i="10"/>
  <c r="S65" i="10"/>
  <c r="U65" i="10"/>
  <c r="O143" i="10"/>
  <c r="L143" i="10"/>
  <c r="L161" i="10"/>
  <c r="O161" i="10"/>
  <c r="L408" i="10"/>
  <c r="O408" i="10"/>
  <c r="U387" i="10"/>
  <c r="Q387" i="10"/>
  <c r="S387" i="10"/>
  <c r="T387" i="10"/>
  <c r="P387" i="10"/>
  <c r="R387" i="10"/>
  <c r="Q68" i="10"/>
  <c r="P68" i="10"/>
  <c r="V68" i="10" s="1"/>
  <c r="W68" i="10" s="1"/>
  <c r="T68" i="10"/>
  <c r="P380" i="10"/>
  <c r="S380" i="10"/>
  <c r="T380" i="10"/>
  <c r="U380" i="10"/>
  <c r="R380" i="10"/>
  <c r="Q380" i="10"/>
  <c r="Q7" i="10"/>
  <c r="R7" i="10"/>
  <c r="S7" i="10"/>
  <c r="T7" i="10"/>
  <c r="T165" i="10"/>
  <c r="U165" i="10"/>
  <c r="P165" i="10"/>
  <c r="S165" i="10"/>
  <c r="Q165" i="10"/>
  <c r="L380" i="10"/>
  <c r="L416" i="10"/>
  <c r="O416" i="10"/>
  <c r="L167" i="10"/>
  <c r="O167" i="10"/>
  <c r="L258" i="10"/>
  <c r="O258" i="10"/>
  <c r="L62" i="10"/>
  <c r="R206" i="10"/>
  <c r="S206" i="10"/>
  <c r="T206" i="10"/>
  <c r="L396" i="10"/>
  <c r="O396" i="10"/>
  <c r="L166" i="10"/>
  <c r="O166" i="10"/>
  <c r="L172" i="10"/>
  <c r="O172" i="10"/>
  <c r="L332" i="10"/>
  <c r="O332" i="10"/>
  <c r="L218" i="10"/>
  <c r="O218" i="10"/>
  <c r="L98" i="10"/>
  <c r="O98" i="10"/>
  <c r="O389" i="10"/>
  <c r="L401" i="10"/>
  <c r="O401" i="10"/>
  <c r="L231" i="10"/>
  <c r="O231" i="10"/>
  <c r="L94" i="10"/>
  <c r="O94" i="10"/>
  <c r="O202" i="10"/>
  <c r="L202" i="10"/>
  <c r="L256" i="10"/>
  <c r="O256" i="10"/>
  <c r="P190" i="10"/>
  <c r="S190" i="10"/>
  <c r="U190" i="10"/>
  <c r="R190" i="10"/>
  <c r="Q190" i="10"/>
  <c r="L382" i="10"/>
  <c r="O382" i="10"/>
  <c r="L152" i="10"/>
  <c r="O152" i="10"/>
  <c r="L250" i="10"/>
  <c r="O210" i="10"/>
  <c r="L210" i="10"/>
  <c r="O84" i="10"/>
  <c r="L84" i="10"/>
  <c r="L88" i="10"/>
  <c r="O88" i="10"/>
  <c r="L173" i="10"/>
  <c r="O173" i="10"/>
  <c r="L42" i="10"/>
  <c r="O42" i="10"/>
  <c r="Q37" i="10"/>
  <c r="U388" i="10"/>
  <c r="Q363" i="10"/>
  <c r="R363" i="10"/>
  <c r="S363" i="10"/>
  <c r="U363" i="10"/>
  <c r="P363" i="10"/>
  <c r="T363" i="10"/>
  <c r="L373" i="10"/>
  <c r="O373" i="10"/>
  <c r="L302" i="10"/>
  <c r="O302" i="10"/>
  <c r="L305" i="10"/>
  <c r="O305" i="10"/>
  <c r="O336" i="10"/>
  <c r="L336" i="10"/>
  <c r="O293" i="10"/>
  <c r="L293" i="10"/>
  <c r="O288" i="10"/>
  <c r="L288" i="10"/>
  <c r="L397" i="10"/>
  <c r="O397" i="10"/>
  <c r="O342" i="10"/>
  <c r="L342" i="10"/>
  <c r="L292" i="10"/>
  <c r="O292" i="10"/>
  <c r="L217" i="10"/>
  <c r="O217" i="10"/>
  <c r="L262" i="10"/>
  <c r="O262" i="10"/>
  <c r="L147" i="10"/>
  <c r="O147" i="10"/>
  <c r="L164" i="10"/>
  <c r="O164" i="10"/>
  <c r="L211" i="10"/>
  <c r="O211" i="10"/>
  <c r="O176" i="10"/>
  <c r="L176" i="10"/>
  <c r="L157" i="10"/>
  <c r="O157" i="10"/>
  <c r="O15" i="10"/>
  <c r="L15" i="10"/>
  <c r="L112" i="10"/>
  <c r="O112" i="10"/>
  <c r="N117" i="10"/>
  <c r="O13" i="10"/>
  <c r="L13" i="10"/>
  <c r="L251" i="10"/>
  <c r="O251" i="10"/>
  <c r="S82" i="10"/>
  <c r="R75" i="10"/>
  <c r="R82" i="10"/>
  <c r="O62" i="10"/>
  <c r="Q198" i="10"/>
  <c r="S198" i="10"/>
  <c r="P198" i="10"/>
  <c r="T198" i="10"/>
  <c r="U198" i="10"/>
  <c r="P340" i="10"/>
  <c r="Q340" i="10"/>
  <c r="R340" i="10"/>
  <c r="U340" i="10"/>
  <c r="S340" i="10"/>
  <c r="P371" i="10"/>
  <c r="Q371" i="10"/>
  <c r="R371" i="10"/>
  <c r="S371" i="10"/>
  <c r="U371" i="10"/>
  <c r="Q346" i="10"/>
  <c r="T346" i="10"/>
  <c r="U346" i="10"/>
  <c r="L335" i="10"/>
  <c r="O335" i="10"/>
  <c r="O417" i="10"/>
  <c r="L417" i="10"/>
  <c r="L329" i="10"/>
  <c r="O329" i="10"/>
  <c r="L331" i="10"/>
  <c r="O331" i="10"/>
  <c r="O365" i="10"/>
  <c r="L365" i="10"/>
  <c r="L321" i="10"/>
  <c r="L126" i="10"/>
  <c r="O126" i="10"/>
  <c r="L169" i="10"/>
  <c r="O169" i="10"/>
  <c r="L201" i="10"/>
  <c r="O201" i="10"/>
  <c r="L215" i="10"/>
  <c r="O215" i="10"/>
  <c r="O179" i="10"/>
  <c r="L179" i="10"/>
  <c r="P96" i="10"/>
  <c r="Q96" i="10"/>
  <c r="T96" i="10"/>
  <c r="R96" i="10"/>
  <c r="U96" i="10"/>
  <c r="P12" i="10"/>
  <c r="T12" i="10"/>
  <c r="R12" i="10"/>
  <c r="S12" i="10"/>
  <c r="U12" i="10"/>
  <c r="R346" i="10"/>
  <c r="U102" i="10"/>
  <c r="R102" i="10"/>
  <c r="P102" i="10"/>
  <c r="Q102" i="10"/>
  <c r="L398" i="10"/>
  <c r="O398" i="10"/>
  <c r="L366" i="10"/>
  <c r="O350" i="10"/>
  <c r="L350" i="10"/>
  <c r="L338" i="10"/>
  <c r="O338" i="10"/>
  <c r="L390" i="10"/>
  <c r="L345" i="10"/>
  <c r="L199" i="10"/>
  <c r="O199" i="10"/>
  <c r="L235" i="10"/>
  <c r="O209" i="10"/>
  <c r="L209" i="10"/>
  <c r="L111" i="10"/>
  <c r="P22" i="10"/>
  <c r="R22" i="10"/>
  <c r="S22" i="10"/>
  <c r="U22" i="10"/>
  <c r="O235" i="10"/>
  <c r="L372" i="10"/>
  <c r="O372" i="10"/>
  <c r="L311" i="10"/>
  <c r="O311" i="10"/>
  <c r="O367" i="10"/>
  <c r="L367" i="10"/>
  <c r="L353" i="10"/>
  <c r="O370" i="10"/>
  <c r="L370" i="10"/>
  <c r="L357" i="10"/>
  <c r="O357" i="10"/>
  <c r="O266" i="10"/>
  <c r="L266" i="10"/>
  <c r="L238" i="10"/>
  <c r="O238" i="10"/>
  <c r="O252" i="10"/>
  <c r="L252" i="10"/>
  <c r="L130" i="10"/>
  <c r="O130" i="10"/>
  <c r="L236" i="10"/>
  <c r="O236" i="10"/>
  <c r="L229" i="10"/>
  <c r="L10" i="10"/>
  <c r="Q279" i="10"/>
  <c r="R279" i="10"/>
  <c r="T279" i="10"/>
  <c r="S279" i="10"/>
  <c r="O51" i="10"/>
  <c r="L316" i="10"/>
  <c r="O316" i="10"/>
  <c r="L180" i="10"/>
  <c r="O180" i="10"/>
  <c r="L31" i="10"/>
  <c r="O31" i="10"/>
  <c r="L75" i="10"/>
  <c r="O339" i="10"/>
  <c r="L339" i="10"/>
  <c r="L259" i="10"/>
  <c r="L79" i="10"/>
  <c r="O79" i="10"/>
  <c r="O24" i="10"/>
  <c r="L24" i="10"/>
  <c r="L308" i="10"/>
  <c r="O308" i="10"/>
  <c r="L384" i="10"/>
  <c r="L318" i="10"/>
  <c r="O318" i="10"/>
  <c r="L297" i="10"/>
  <c r="O297" i="10"/>
  <c r="L162" i="10"/>
  <c r="O162" i="10"/>
  <c r="L189" i="10"/>
  <c r="O189" i="10"/>
  <c r="O271" i="10"/>
  <c r="L271" i="10"/>
  <c r="L54" i="10"/>
  <c r="O54" i="10"/>
  <c r="L55" i="10"/>
  <c r="O55" i="10"/>
  <c r="L376" i="10"/>
  <c r="O376" i="10"/>
  <c r="L290" i="10"/>
  <c r="O290" i="10"/>
  <c r="L394" i="10"/>
  <c r="O394" i="10"/>
  <c r="O364" i="10"/>
  <c r="L364" i="10"/>
  <c r="L410" i="10"/>
  <c r="O410" i="10"/>
  <c r="L328" i="10"/>
  <c r="O328" i="10"/>
  <c r="O294" i="10"/>
  <c r="L294" i="10"/>
  <c r="L174" i="10"/>
  <c r="O174" i="10"/>
  <c r="L193" i="10"/>
  <c r="O193" i="10"/>
  <c r="L171" i="10"/>
  <c r="O171" i="10"/>
  <c r="O227" i="10"/>
  <c r="L227" i="10"/>
  <c r="L160" i="10"/>
  <c r="O160" i="10"/>
  <c r="O59" i="10"/>
  <c r="L59" i="10"/>
  <c r="L71" i="10"/>
  <c r="O71" i="10"/>
  <c r="L86" i="10"/>
  <c r="O86" i="10"/>
  <c r="L30" i="10"/>
  <c r="O30" i="10"/>
  <c r="K65" i="10"/>
  <c r="M65" i="10" s="1"/>
  <c r="N65" i="10" s="1"/>
  <c r="L65" i="10"/>
  <c r="O353" i="10"/>
  <c r="T289" i="10"/>
  <c r="P289" i="10"/>
  <c r="L285" i="10"/>
  <c r="O285" i="10"/>
  <c r="L158" i="10"/>
  <c r="O158" i="10"/>
  <c r="O223" i="10"/>
  <c r="L223" i="10"/>
  <c r="L32" i="10"/>
  <c r="O32" i="10"/>
  <c r="L66" i="10"/>
  <c r="O66" i="10"/>
  <c r="L129" i="10"/>
  <c r="O129" i="10"/>
  <c r="L247" i="10"/>
  <c r="O247" i="10"/>
  <c r="L17" i="10"/>
  <c r="O17" i="10"/>
  <c r="L287" i="10"/>
  <c r="O392" i="10"/>
  <c r="L392" i="10"/>
  <c r="L190" i="10"/>
  <c r="L168" i="10"/>
  <c r="O168" i="10"/>
  <c r="L132" i="10"/>
  <c r="O132" i="10"/>
  <c r="L102" i="10"/>
  <c r="L333" i="10"/>
  <c r="L346" i="10"/>
  <c r="L374" i="10"/>
  <c r="O420" i="10"/>
  <c r="L420" i="10"/>
  <c r="L340" i="10"/>
  <c r="O323" i="10"/>
  <c r="L323" i="10"/>
  <c r="L212" i="10"/>
  <c r="O212" i="10"/>
  <c r="L192" i="10"/>
  <c r="O192" i="10"/>
  <c r="L240" i="10"/>
  <c r="O240" i="10"/>
  <c r="L219" i="10"/>
  <c r="O219" i="10"/>
  <c r="L194" i="10"/>
  <c r="O194" i="10"/>
  <c r="L243" i="10"/>
  <c r="O243" i="10"/>
  <c r="L188" i="10"/>
  <c r="O188" i="10"/>
  <c r="L89" i="10"/>
  <c r="L18" i="10"/>
  <c r="O18" i="10"/>
  <c r="L115" i="10"/>
  <c r="O115" i="10"/>
  <c r="O111" i="10"/>
  <c r="L400" i="10"/>
  <c r="O400" i="10"/>
  <c r="L314" i="10"/>
  <c r="O314" i="10"/>
  <c r="L300" i="10"/>
  <c r="O300" i="10"/>
  <c r="L128" i="10"/>
  <c r="O128" i="10"/>
  <c r="L213" i="10"/>
  <c r="O213" i="10"/>
  <c r="L95" i="10"/>
  <c r="O95" i="10"/>
  <c r="O344" i="10"/>
  <c r="L344" i="10"/>
  <c r="L309" i="10"/>
  <c r="O309" i="10"/>
  <c r="L181" i="10"/>
  <c r="O181" i="10"/>
  <c r="L170" i="10"/>
  <c r="L183" i="10"/>
  <c r="O183" i="10"/>
  <c r="O99" i="10"/>
  <c r="L99" i="10"/>
  <c r="S263" i="10"/>
  <c r="T263" i="10"/>
  <c r="U263" i="10"/>
  <c r="R263" i="10"/>
  <c r="L284" i="10"/>
  <c r="L320" i="10"/>
  <c r="O320" i="10"/>
  <c r="L358" i="10"/>
  <c r="O358" i="10"/>
  <c r="L402" i="10"/>
  <c r="O402" i="10"/>
  <c r="L363" i="10"/>
  <c r="L343" i="10"/>
  <c r="O220" i="10"/>
  <c r="L220" i="10"/>
  <c r="L216" i="10"/>
  <c r="O216" i="10"/>
  <c r="L28" i="10"/>
  <c r="O28" i="10"/>
  <c r="L63" i="10"/>
  <c r="O63" i="10"/>
  <c r="O57" i="10"/>
  <c r="L57" i="10"/>
  <c r="T229" i="10"/>
  <c r="S229" i="10"/>
  <c r="Q229" i="10"/>
  <c r="P229" i="10"/>
  <c r="U229" i="10"/>
  <c r="P317" i="10"/>
  <c r="R317" i="10"/>
  <c r="L337" i="10"/>
  <c r="O337" i="10"/>
  <c r="L399" i="10"/>
  <c r="O399" i="10"/>
  <c r="L306" i="10"/>
  <c r="O306" i="10"/>
  <c r="O407" i="10"/>
  <c r="L407" i="10"/>
  <c r="L415" i="10"/>
  <c r="O415" i="10"/>
  <c r="L388" i="10"/>
  <c r="L368" i="10"/>
  <c r="O368" i="10"/>
  <c r="L187" i="10"/>
  <c r="O187" i="10"/>
  <c r="L270" i="10"/>
  <c r="O270" i="10"/>
  <c r="L244" i="10"/>
  <c r="L97" i="10"/>
  <c r="O97" i="10"/>
  <c r="L72" i="10"/>
  <c r="L91" i="10"/>
  <c r="O91" i="10"/>
  <c r="O156" i="10"/>
  <c r="Q25" i="10"/>
  <c r="S25" i="10"/>
  <c r="V25" i="10" s="1"/>
  <c r="W25" i="10" s="1"/>
  <c r="P25" i="10"/>
  <c r="T25" i="10"/>
  <c r="O170" i="10"/>
  <c r="O403" i="10"/>
  <c r="Q317" i="10"/>
  <c r="L34" i="10"/>
  <c r="O34" i="10"/>
  <c r="L310" i="10"/>
  <c r="O310" i="10"/>
  <c r="L341" i="10"/>
  <c r="L315" i="10"/>
  <c r="O315" i="10"/>
  <c r="L391" i="10"/>
  <c r="O391" i="10"/>
  <c r="L135" i="10"/>
  <c r="L191" i="10"/>
  <c r="O191" i="10"/>
  <c r="O134" i="10"/>
  <c r="L134" i="10"/>
  <c r="L234" i="10"/>
  <c r="O234" i="10"/>
  <c r="L272" i="10"/>
  <c r="O272" i="10"/>
  <c r="O153" i="10"/>
  <c r="L153" i="10"/>
  <c r="L121" i="10"/>
  <c r="O121" i="10"/>
  <c r="O53" i="10"/>
  <c r="O345" i="10"/>
  <c r="T145" i="10"/>
  <c r="Q145" i="10"/>
  <c r="S145" i="10"/>
  <c r="R145" i="10"/>
  <c r="P127" i="10"/>
  <c r="R127" i="10"/>
  <c r="S127" i="10"/>
  <c r="L289" i="10"/>
  <c r="L386" i="10"/>
  <c r="O386" i="10"/>
  <c r="L145" i="10"/>
  <c r="L198" i="10"/>
  <c r="O222" i="10"/>
  <c r="L222" i="10"/>
  <c r="L165" i="10"/>
  <c r="L203" i="10"/>
  <c r="O203" i="10"/>
  <c r="L144" i="10"/>
  <c r="O144" i="10"/>
  <c r="L19" i="10"/>
  <c r="O19" i="10"/>
  <c r="L8" i="10"/>
  <c r="O8" i="10"/>
  <c r="L37" i="10"/>
  <c r="L47" i="10"/>
  <c r="O47" i="10"/>
  <c r="L405" i="10"/>
  <c r="O405" i="10"/>
  <c r="L296" i="10"/>
  <c r="O296" i="10"/>
  <c r="O395" i="10"/>
  <c r="L395" i="10"/>
  <c r="L248" i="10"/>
  <c r="O248" i="10"/>
  <c r="L138" i="10"/>
  <c r="O138" i="10"/>
  <c r="O56" i="10"/>
  <c r="L56" i="10"/>
  <c r="L49" i="10"/>
  <c r="O49" i="10"/>
  <c r="L409" i="10"/>
  <c r="O409" i="10"/>
  <c r="P110" i="10"/>
  <c r="T110" i="10"/>
  <c r="R110" i="10"/>
  <c r="P67" i="10"/>
  <c r="Q46" i="10"/>
  <c r="U46" i="10"/>
  <c r="S67" i="10"/>
  <c r="V67" i="10" s="1"/>
  <c r="W67" i="10" s="1"/>
  <c r="O14" i="10"/>
  <c r="L14" i="10"/>
  <c r="L50" i="10"/>
  <c r="O50" i="10"/>
  <c r="O108" i="10"/>
  <c r="L108" i="10"/>
  <c r="L87" i="10"/>
  <c r="O87" i="10"/>
  <c r="L303" i="10"/>
  <c r="O303" i="10"/>
  <c r="L274" i="10"/>
  <c r="O274" i="10"/>
  <c r="L279" i="10"/>
  <c r="L354" i="10"/>
  <c r="O354" i="10"/>
  <c r="L326" i="10"/>
  <c r="O326" i="10"/>
  <c r="L207" i="10"/>
  <c r="O207" i="10"/>
  <c r="O136" i="10"/>
  <c r="L136" i="10"/>
  <c r="O196" i="10"/>
  <c r="L196" i="10"/>
  <c r="L150" i="10"/>
  <c r="O150" i="10"/>
  <c r="L154" i="10"/>
  <c r="O154" i="10"/>
  <c r="L249" i="10"/>
  <c r="L64" i="10"/>
  <c r="O64" i="10"/>
  <c r="L118" i="10"/>
  <c r="O118" i="10"/>
  <c r="L104" i="10"/>
  <c r="O104" i="10"/>
  <c r="Q119" i="10"/>
  <c r="S110" i="10"/>
  <c r="L200" i="10"/>
  <c r="L110" i="10"/>
  <c r="L21" i="10"/>
  <c r="O21" i="10"/>
  <c r="L22" i="10"/>
  <c r="L46" i="10"/>
  <c r="L78" i="10"/>
  <c r="L119" i="10"/>
  <c r="L281" i="10"/>
  <c r="M281" i="10" s="1"/>
  <c r="O281" i="10"/>
  <c r="L67" i="10"/>
  <c r="L52" i="10"/>
  <c r="O52" i="10"/>
  <c r="L70" i="10"/>
  <c r="O70" i="10"/>
  <c r="L27" i="10"/>
  <c r="L80" i="10"/>
  <c r="O80" i="10"/>
  <c r="L330" i="10"/>
  <c r="M330" i="10" s="1"/>
  <c r="N330" i="10" s="1"/>
  <c r="O330" i="10"/>
  <c r="O20" i="10"/>
  <c r="L122" i="10"/>
  <c r="O122" i="10"/>
  <c r="N61" i="10"/>
  <c r="L96" i="10"/>
  <c r="L12" i="10"/>
  <c r="O27" i="10"/>
  <c r="V319" i="9"/>
  <c r="W319" i="9" s="1"/>
  <c r="V366" i="9"/>
  <c r="W366" i="9" s="1"/>
  <c r="V380" i="9"/>
  <c r="W380" i="9" s="1"/>
  <c r="V419" i="9"/>
  <c r="W419" i="9" s="1"/>
  <c r="V364" i="9"/>
  <c r="W364" i="9" s="1"/>
  <c r="V362" i="9"/>
  <c r="W362" i="9" s="1"/>
  <c r="V333" i="9"/>
  <c r="W333" i="9" s="1"/>
  <c r="V395" i="9"/>
  <c r="W395" i="9" s="1"/>
  <c r="V288" i="9"/>
  <c r="W288" i="9" s="1"/>
  <c r="V313" i="9"/>
  <c r="W313" i="9" s="1"/>
  <c r="M409" i="9"/>
  <c r="V337" i="9"/>
  <c r="W337" i="9" s="1"/>
  <c r="V368" i="9"/>
  <c r="W368" i="9" s="1"/>
  <c r="V394" i="9"/>
  <c r="W394" i="9" s="1"/>
  <c r="M349" i="9"/>
  <c r="V349" i="9" s="1"/>
  <c r="W349" i="9" s="1"/>
  <c r="V356" i="9"/>
  <c r="W356" i="9" s="1"/>
  <c r="V344" i="9"/>
  <c r="W344" i="9" s="1"/>
  <c r="V373" i="9"/>
  <c r="W373" i="9" s="1"/>
  <c r="M329" i="9"/>
  <c r="N329" i="9" s="1"/>
  <c r="V350" i="9"/>
  <c r="W350" i="9" s="1"/>
  <c r="N387" i="9"/>
  <c r="V312" i="9"/>
  <c r="W312" i="9" s="1"/>
  <c r="V406" i="9"/>
  <c r="W406" i="9" s="1"/>
  <c r="V399" i="9"/>
  <c r="W399" i="9" s="1"/>
  <c r="V360" i="9"/>
  <c r="W360" i="9" s="1"/>
  <c r="M338" i="9"/>
  <c r="N338" i="9" s="1"/>
  <c r="M260" i="9"/>
  <c r="M126" i="9"/>
  <c r="V228" i="9"/>
  <c r="W228" i="9" s="1"/>
  <c r="N171" i="9"/>
  <c r="M173" i="9"/>
  <c r="V173" i="9" s="1"/>
  <c r="W173" i="9" s="1"/>
  <c r="V235" i="9"/>
  <c r="W235" i="9" s="1"/>
  <c r="V182" i="9"/>
  <c r="W182" i="9" s="1"/>
  <c r="M152" i="9"/>
  <c r="M206" i="9"/>
  <c r="V186" i="9"/>
  <c r="W186" i="9" s="1"/>
  <c r="V164" i="9"/>
  <c r="W164" i="9" s="1"/>
  <c r="V187" i="9"/>
  <c r="W187" i="9" s="1"/>
  <c r="V259" i="9"/>
  <c r="W259" i="9" s="1"/>
  <c r="V181" i="9"/>
  <c r="W181" i="9" s="1"/>
  <c r="V190" i="9"/>
  <c r="W190" i="9" s="1"/>
  <c r="V130" i="9"/>
  <c r="W130" i="9" s="1"/>
  <c r="M255" i="9"/>
  <c r="V149" i="9"/>
  <c r="W149" i="9" s="1"/>
  <c r="N149" i="9"/>
  <c r="V179" i="9"/>
  <c r="W179" i="9" s="1"/>
  <c r="V230" i="9"/>
  <c r="W230" i="9" s="1"/>
  <c r="V227" i="9"/>
  <c r="W227" i="9" s="1"/>
  <c r="V232" i="9"/>
  <c r="W232" i="9" s="1"/>
  <c r="M138" i="9"/>
  <c r="M252" i="9"/>
  <c r="V253" i="9"/>
  <c r="W253" i="9" s="1"/>
  <c r="V246" i="9"/>
  <c r="W246" i="9" s="1"/>
  <c r="V161" i="9"/>
  <c r="W161" i="9" s="1"/>
  <c r="M234" i="9"/>
  <c r="N97" i="9"/>
  <c r="N421" i="9"/>
  <c r="V421" i="9"/>
  <c r="W421" i="9" s="1"/>
  <c r="N283" i="9"/>
  <c r="V283" i="9"/>
  <c r="W283" i="9" s="1"/>
  <c r="V214" i="9"/>
  <c r="W214" i="9" s="1"/>
  <c r="N214" i="9"/>
  <c r="N418" i="9"/>
  <c r="N300" i="9"/>
  <c r="V300" i="9"/>
  <c r="W300" i="9" s="1"/>
  <c r="N163" i="9"/>
  <c r="V220" i="9"/>
  <c r="W220" i="9" s="1"/>
  <c r="N220" i="9"/>
  <c r="V201" i="9"/>
  <c r="W201" i="9" s="1"/>
  <c r="N201" i="9"/>
  <c r="V224" i="9"/>
  <c r="W224" i="9" s="1"/>
  <c r="N224" i="9"/>
  <c r="N390" i="9"/>
  <c r="V390" i="9"/>
  <c r="W390" i="9" s="1"/>
  <c r="V239" i="9"/>
  <c r="W239" i="9" s="1"/>
  <c r="N239" i="9"/>
  <c r="V80" i="9"/>
  <c r="W80" i="9" s="1"/>
  <c r="N80" i="9"/>
  <c r="N114" i="9"/>
  <c r="V114" i="9"/>
  <c r="W114" i="9" s="1"/>
  <c r="V262" i="9"/>
  <c r="W262" i="9" s="1"/>
  <c r="N262" i="9"/>
  <c r="N271" i="9"/>
  <c r="V271" i="9"/>
  <c r="W271" i="9" s="1"/>
  <c r="N23" i="9"/>
  <c r="V23" i="9"/>
  <c r="W23" i="9" s="1"/>
  <c r="N269" i="9"/>
  <c r="V269" i="9"/>
  <c r="W269" i="9" s="1"/>
  <c r="V207" i="9"/>
  <c r="W207" i="9" s="1"/>
  <c r="N207" i="9"/>
  <c r="N374" i="9"/>
  <c r="N398" i="9"/>
  <c r="N62" i="9"/>
  <c r="V62" i="9"/>
  <c r="W62" i="9" s="1"/>
  <c r="N44" i="9"/>
  <c r="V44" i="9"/>
  <c r="W44" i="9" s="1"/>
  <c r="N219" i="9"/>
  <c r="N120" i="9"/>
  <c r="N290" i="9"/>
  <c r="V99" i="9"/>
  <c r="W99" i="9" s="1"/>
  <c r="N99" i="9"/>
  <c r="N152" i="9"/>
  <c r="V152" i="9"/>
  <c r="W152" i="9" s="1"/>
  <c r="P250" i="9"/>
  <c r="U250" i="9"/>
  <c r="R250" i="9"/>
  <c r="Q250" i="9"/>
  <c r="S250" i="9"/>
  <c r="T250" i="9"/>
  <c r="N148" i="9"/>
  <c r="V148" i="9"/>
  <c r="W148" i="9" s="1"/>
  <c r="M392" i="9"/>
  <c r="N412" i="9"/>
  <c r="V412" i="9"/>
  <c r="W412" i="9" s="1"/>
  <c r="M189" i="9"/>
  <c r="M81" i="9"/>
  <c r="R204" i="9"/>
  <c r="S204" i="9"/>
  <c r="T204" i="9"/>
  <c r="P204" i="9"/>
  <c r="Q204" i="9"/>
  <c r="U204" i="9"/>
  <c r="T381" i="9"/>
  <c r="Q381" i="9"/>
  <c r="R381" i="9"/>
  <c r="S381" i="9"/>
  <c r="P381" i="9"/>
  <c r="U381" i="9"/>
  <c r="V327" i="9"/>
  <c r="W327" i="9" s="1"/>
  <c r="N327" i="9"/>
  <c r="M361" i="9"/>
  <c r="P308" i="9"/>
  <c r="U308" i="9"/>
  <c r="Q308" i="9"/>
  <c r="R308" i="9"/>
  <c r="S308" i="9"/>
  <c r="T308" i="9"/>
  <c r="M210" i="9"/>
  <c r="Q143" i="9"/>
  <c r="P143" i="9"/>
  <c r="S143" i="9"/>
  <c r="U143" i="9"/>
  <c r="T143" i="9"/>
  <c r="R143" i="9"/>
  <c r="V218" i="9"/>
  <c r="W218" i="9" s="1"/>
  <c r="N218" i="9"/>
  <c r="N151" i="9"/>
  <c r="V151" i="9"/>
  <c r="W151" i="9" s="1"/>
  <c r="M213" i="9"/>
  <c r="M59" i="9"/>
  <c r="U385" i="9"/>
  <c r="P385" i="9"/>
  <c r="Q385" i="9"/>
  <c r="R385" i="9"/>
  <c r="S385" i="9"/>
  <c r="T385" i="9"/>
  <c r="M109" i="9"/>
  <c r="V391" i="9"/>
  <c r="W391" i="9" s="1"/>
  <c r="N94" i="9"/>
  <c r="V94" i="9"/>
  <c r="W94" i="9" s="1"/>
  <c r="V185" i="9"/>
  <c r="W185" i="9" s="1"/>
  <c r="N185" i="9"/>
  <c r="N35" i="9"/>
  <c r="M385" i="9"/>
  <c r="V26" i="9"/>
  <c r="W26" i="9" s="1"/>
  <c r="N26" i="9"/>
  <c r="U35" i="9"/>
  <c r="Q35" i="9"/>
  <c r="S35" i="9"/>
  <c r="T35" i="9"/>
  <c r="R35" i="9"/>
  <c r="P35" i="9"/>
  <c r="V35" i="9" s="1"/>
  <c r="W35" i="9" s="1"/>
  <c r="V299" i="9"/>
  <c r="W299" i="9" s="1"/>
  <c r="N299" i="9"/>
  <c r="R219" i="9"/>
  <c r="T219" i="9"/>
  <c r="U219" i="9"/>
  <c r="S219" i="9"/>
  <c r="P219" i="9"/>
  <c r="Q219" i="9"/>
  <c r="N205" i="9"/>
  <c r="S101" i="9"/>
  <c r="T101" i="9"/>
  <c r="R101" i="9"/>
  <c r="U101" i="9"/>
  <c r="P101" i="9"/>
  <c r="Q101" i="9"/>
  <c r="N396" i="9"/>
  <c r="V396" i="9"/>
  <c r="W396" i="9" s="1"/>
  <c r="N29" i="9"/>
  <c r="V29" i="9"/>
  <c r="W29" i="9" s="1"/>
  <c r="P156" i="9"/>
  <c r="Q156" i="9"/>
  <c r="T156" i="9"/>
  <c r="R156" i="9"/>
  <c r="S156" i="9"/>
  <c r="U156" i="9"/>
  <c r="N150" i="9"/>
  <c r="M101" i="9"/>
  <c r="M177" i="9"/>
  <c r="V302" i="9"/>
  <c r="W302" i="9" s="1"/>
  <c r="N302" i="9"/>
  <c r="N70" i="9"/>
  <c r="V70" i="9"/>
  <c r="W70" i="9" s="1"/>
  <c r="N107" i="9"/>
  <c r="V107" i="9"/>
  <c r="W107" i="9" s="1"/>
  <c r="N242" i="9"/>
  <c r="V87" i="9"/>
  <c r="W87" i="9" s="1"/>
  <c r="M174" i="9"/>
  <c r="V287" i="9"/>
  <c r="W287" i="9" s="1"/>
  <c r="N287" i="9"/>
  <c r="M341" i="9"/>
  <c r="M39" i="9"/>
  <c r="M53" i="9"/>
  <c r="M165" i="9"/>
  <c r="V268" i="9"/>
  <c r="W268" i="9" s="1"/>
  <c r="V193" i="9"/>
  <c r="W193" i="9" s="1"/>
  <c r="N193" i="9"/>
  <c r="P306" i="9"/>
  <c r="Q306" i="9"/>
  <c r="S306" i="9"/>
  <c r="T306" i="9"/>
  <c r="R306" i="9"/>
  <c r="U306" i="9"/>
  <c r="M404" i="9"/>
  <c r="Q323" i="9"/>
  <c r="R323" i="9"/>
  <c r="P323" i="9"/>
  <c r="S323" i="9"/>
  <c r="T323" i="9"/>
  <c r="U323" i="9"/>
  <c r="T415" i="9"/>
  <c r="U415" i="9"/>
  <c r="P415" i="9"/>
  <c r="Q415" i="9"/>
  <c r="R415" i="9"/>
  <c r="S415" i="9"/>
  <c r="N113" i="9"/>
  <c r="V113" i="9"/>
  <c r="W113" i="9" s="1"/>
  <c r="V307" i="9"/>
  <c r="W307" i="9" s="1"/>
  <c r="N363" i="9"/>
  <c r="V363" i="9"/>
  <c r="W363" i="9" s="1"/>
  <c r="M222" i="9"/>
  <c r="N67" i="9"/>
  <c r="P173" i="9"/>
  <c r="Q173" i="9"/>
  <c r="R173" i="9"/>
  <c r="S173" i="9"/>
  <c r="T173" i="9"/>
  <c r="U173" i="9"/>
  <c r="P51" i="9"/>
  <c r="T51" i="9"/>
  <c r="Q51" i="9"/>
  <c r="V51" i="9" s="1"/>
  <c r="W51" i="9" s="1"/>
  <c r="R51" i="9"/>
  <c r="S51" i="9"/>
  <c r="U51" i="9"/>
  <c r="N265" i="9"/>
  <c r="U318" i="9"/>
  <c r="Q318" i="9"/>
  <c r="R318" i="9"/>
  <c r="P318" i="9"/>
  <c r="S318" i="9"/>
  <c r="V318" i="9" s="1"/>
  <c r="W318" i="9" s="1"/>
  <c r="T318" i="9"/>
  <c r="M306" i="9"/>
  <c r="V261" i="9"/>
  <c r="W261" i="9" s="1"/>
  <c r="T58" i="9"/>
  <c r="U58" i="9"/>
  <c r="Q58" i="9"/>
  <c r="P58" i="9"/>
  <c r="R58" i="9"/>
  <c r="S58" i="9"/>
  <c r="V117" i="9"/>
  <c r="W117" i="9" s="1"/>
  <c r="N117" i="9"/>
  <c r="N180" i="9"/>
  <c r="V180" i="9"/>
  <c r="W180" i="9" s="1"/>
  <c r="N122" i="9"/>
  <c r="V122" i="9"/>
  <c r="W122" i="9" s="1"/>
  <c r="U175" i="9"/>
  <c r="S175" i="9"/>
  <c r="P175" i="9"/>
  <c r="Q175" i="9"/>
  <c r="R175" i="9"/>
  <c r="T175" i="9"/>
  <c r="N320" i="9"/>
  <c r="V320" i="9"/>
  <c r="W320" i="9" s="1"/>
  <c r="U265" i="9"/>
  <c r="P265" i="9"/>
  <c r="R265" i="9"/>
  <c r="S265" i="9"/>
  <c r="T265" i="9"/>
  <c r="Q265" i="9"/>
  <c r="R329" i="9"/>
  <c r="S329" i="9"/>
  <c r="T329" i="9"/>
  <c r="U329" i="9"/>
  <c r="P329" i="9"/>
  <c r="Q329" i="9"/>
  <c r="Q248" i="9"/>
  <c r="U248" i="9"/>
  <c r="P248" i="9"/>
  <c r="R248" i="9"/>
  <c r="T248" i="9"/>
  <c r="S248" i="9"/>
  <c r="N66" i="9"/>
  <c r="V66" i="9"/>
  <c r="W66" i="9" s="1"/>
  <c r="M103" i="9"/>
  <c r="M241" i="9"/>
  <c r="M249" i="9"/>
  <c r="N285" i="9"/>
  <c r="V285" i="9"/>
  <c r="W285" i="9" s="1"/>
  <c r="Q325" i="9"/>
  <c r="P325" i="9"/>
  <c r="R325" i="9"/>
  <c r="S325" i="9"/>
  <c r="T325" i="9"/>
  <c r="U325" i="9"/>
  <c r="P286" i="9"/>
  <c r="R286" i="9"/>
  <c r="S286" i="9"/>
  <c r="Q286" i="9"/>
  <c r="T286" i="9"/>
  <c r="U286" i="9"/>
  <c r="T76" i="9"/>
  <c r="U76" i="9"/>
  <c r="P76" i="9"/>
  <c r="Q76" i="9"/>
  <c r="S76" i="9"/>
  <c r="R76" i="9"/>
  <c r="N295" i="9"/>
  <c r="V295" i="9"/>
  <c r="W295" i="9" s="1"/>
  <c r="V417" i="9"/>
  <c r="W417" i="9" s="1"/>
  <c r="N234" i="9"/>
  <c r="R163" i="9"/>
  <c r="S163" i="9"/>
  <c r="T163" i="9"/>
  <c r="Q163" i="9"/>
  <c r="U163" i="9"/>
  <c r="P163" i="9"/>
  <c r="V163" i="9" s="1"/>
  <c r="W163" i="9" s="1"/>
  <c r="V127" i="9"/>
  <c r="W127" i="9" s="1"/>
  <c r="N127" i="9"/>
  <c r="M45" i="9"/>
  <c r="U234" i="9"/>
  <c r="P234" i="9"/>
  <c r="Q234" i="9"/>
  <c r="R234" i="9"/>
  <c r="T234" i="9"/>
  <c r="S234" i="9"/>
  <c r="N158" i="9"/>
  <c r="N170" i="9"/>
  <c r="V170" i="9"/>
  <c r="W170" i="9" s="1"/>
  <c r="P386" i="9"/>
  <c r="Q386" i="9"/>
  <c r="R386" i="9"/>
  <c r="S386" i="9"/>
  <c r="U386" i="9"/>
  <c r="T386" i="9"/>
  <c r="S189" i="9"/>
  <c r="T189" i="9"/>
  <c r="P189" i="9"/>
  <c r="Q189" i="9"/>
  <c r="R189" i="9"/>
  <c r="U189" i="9"/>
  <c r="N88" i="9"/>
  <c r="N304" i="9"/>
  <c r="P158" i="9"/>
  <c r="V158" i="9" s="1"/>
  <c r="W158" i="9" s="1"/>
  <c r="Q158" i="9"/>
  <c r="R158" i="9"/>
  <c r="S158" i="9"/>
  <c r="T158" i="9"/>
  <c r="U158" i="9"/>
  <c r="N275" i="9"/>
  <c r="V275" i="9"/>
  <c r="W275" i="9" s="1"/>
  <c r="Q115" i="9"/>
  <c r="V115" i="9" s="1"/>
  <c r="W115" i="9" s="1"/>
  <c r="P115" i="9"/>
  <c r="R115" i="9"/>
  <c r="T115" i="9"/>
  <c r="S115" i="9"/>
  <c r="U115" i="9"/>
  <c r="N372" i="9"/>
  <c r="N308" i="9"/>
  <c r="N115" i="9"/>
  <c r="N105" i="9"/>
  <c r="N156" i="9"/>
  <c r="V156" i="9"/>
  <c r="W156" i="9" s="1"/>
  <c r="N315" i="9"/>
  <c r="V315" i="9"/>
  <c r="W315" i="9" s="1"/>
  <c r="P105" i="9"/>
  <c r="V105" i="9" s="1"/>
  <c r="W105" i="9" s="1"/>
  <c r="U105" i="9"/>
  <c r="Q105" i="9"/>
  <c r="R105" i="9"/>
  <c r="T105" i="9"/>
  <c r="S105" i="9"/>
  <c r="V188" i="9"/>
  <c r="W188" i="9" s="1"/>
  <c r="N188" i="9"/>
  <c r="Q299" i="9"/>
  <c r="S299" i="9"/>
  <c r="U299" i="9"/>
  <c r="P299" i="9"/>
  <c r="R299" i="9"/>
  <c r="T299" i="9"/>
  <c r="M135" i="9"/>
  <c r="M280" i="9"/>
  <c r="M202" i="9"/>
  <c r="N172" i="9"/>
  <c r="Q280" i="9"/>
  <c r="R280" i="9"/>
  <c r="P280" i="9"/>
  <c r="S280" i="9"/>
  <c r="T280" i="9"/>
  <c r="U280" i="9"/>
  <c r="Q150" i="9"/>
  <c r="S150" i="9"/>
  <c r="R150" i="9"/>
  <c r="P150" i="9"/>
  <c r="V150" i="9" s="1"/>
  <c r="W150" i="9" s="1"/>
  <c r="T150" i="9"/>
  <c r="U150" i="9"/>
  <c r="S29" i="9"/>
  <c r="R29" i="9"/>
  <c r="U29" i="9"/>
  <c r="T29" i="9"/>
  <c r="P29" i="9"/>
  <c r="Q29" i="9"/>
  <c r="M20" i="9"/>
  <c r="S242" i="9"/>
  <c r="T242" i="9"/>
  <c r="U242" i="9"/>
  <c r="P242" i="9"/>
  <c r="R242" i="9"/>
  <c r="Q242" i="9"/>
  <c r="V211" i="9"/>
  <c r="W211" i="9" s="1"/>
  <c r="V142" i="9"/>
  <c r="W142" i="9" s="1"/>
  <c r="N142" i="9"/>
  <c r="M377" i="9"/>
  <c r="Q404" i="9"/>
  <c r="R404" i="9"/>
  <c r="P404" i="9"/>
  <c r="S404" i="9"/>
  <c r="T404" i="9"/>
  <c r="U404" i="9"/>
  <c r="M9" i="9"/>
  <c r="V75" i="9"/>
  <c r="W75" i="9" s="1"/>
  <c r="N223" i="9"/>
  <c r="V223" i="9"/>
  <c r="W223" i="9" s="1"/>
  <c r="T142" i="9"/>
  <c r="U142" i="9"/>
  <c r="Q142" i="9"/>
  <c r="S142" i="9"/>
  <c r="P142" i="9"/>
  <c r="R142" i="9"/>
  <c r="P237" i="9"/>
  <c r="Q237" i="9"/>
  <c r="R237" i="9"/>
  <c r="S237" i="9"/>
  <c r="T237" i="9"/>
  <c r="U237" i="9"/>
  <c r="N325" i="9"/>
  <c r="N323" i="9"/>
  <c r="P302" i="9"/>
  <c r="Q302" i="9"/>
  <c r="T302" i="9"/>
  <c r="U302" i="9"/>
  <c r="S302" i="9"/>
  <c r="R302" i="9"/>
  <c r="V73" i="9"/>
  <c r="W73" i="9" s="1"/>
  <c r="N73" i="9"/>
  <c r="V256" i="9"/>
  <c r="W256" i="9" s="1"/>
  <c r="N256" i="9"/>
  <c r="N282" i="9"/>
  <c r="V282" i="9"/>
  <c r="W282" i="9" s="1"/>
  <c r="N173" i="9"/>
  <c r="P341" i="9"/>
  <c r="Q341" i="9"/>
  <c r="R341" i="9"/>
  <c r="S341" i="9"/>
  <c r="T341" i="9"/>
  <c r="U341" i="9"/>
  <c r="Q199" i="9"/>
  <c r="R199" i="9"/>
  <c r="S199" i="9"/>
  <c r="P199" i="9"/>
  <c r="T199" i="9"/>
  <c r="U199" i="9"/>
  <c r="N78" i="9"/>
  <c r="V78" i="9"/>
  <c r="W78" i="9" s="1"/>
  <c r="M237" i="9"/>
  <c r="V365" i="9"/>
  <c r="W365" i="9" s="1"/>
  <c r="N365" i="9"/>
  <c r="R273" i="9"/>
  <c r="T273" i="9"/>
  <c r="U273" i="9"/>
  <c r="P273" i="9"/>
  <c r="Q273" i="9"/>
  <c r="S273" i="9"/>
  <c r="M175" i="9"/>
  <c r="V298" i="9"/>
  <c r="W298" i="9" s="1"/>
  <c r="N298" i="9"/>
  <c r="R140" i="9"/>
  <c r="Q140" i="9"/>
  <c r="T140" i="9"/>
  <c r="S140" i="9"/>
  <c r="P140" i="9"/>
  <c r="U140" i="9"/>
  <c r="T376" i="9"/>
  <c r="U376" i="9"/>
  <c r="P376" i="9"/>
  <c r="Q376" i="9"/>
  <c r="R376" i="9"/>
  <c r="S376" i="9"/>
  <c r="Q67" i="9"/>
  <c r="U67" i="9"/>
  <c r="P67" i="9"/>
  <c r="V67" i="9" s="1"/>
  <c r="W67" i="9" s="1"/>
  <c r="R67" i="9"/>
  <c r="S67" i="9"/>
  <c r="T67" i="9"/>
  <c r="P249" i="9"/>
  <c r="Q249" i="9"/>
  <c r="R249" i="9"/>
  <c r="S249" i="9"/>
  <c r="U249" i="9"/>
  <c r="T249" i="9"/>
  <c r="Q68" i="9"/>
  <c r="P68" i="9"/>
  <c r="V68" i="9" s="1"/>
  <c r="W68" i="9" s="1"/>
  <c r="U68" i="9"/>
  <c r="R68" i="9"/>
  <c r="S68" i="9"/>
  <c r="T68" i="9"/>
  <c r="M58" i="9"/>
  <c r="V160" i="9"/>
  <c r="W160" i="9" s="1"/>
  <c r="N160" i="9"/>
  <c r="R270" i="9"/>
  <c r="S270" i="9"/>
  <c r="U270" i="9"/>
  <c r="P270" i="9"/>
  <c r="Q270" i="9"/>
  <c r="T270" i="9"/>
  <c r="R168" i="9"/>
  <c r="Q168" i="9"/>
  <c r="T168" i="9"/>
  <c r="P168" i="9"/>
  <c r="U168" i="9"/>
  <c r="S168" i="9"/>
  <c r="M140" i="9"/>
  <c r="M248" i="9"/>
  <c r="Q124" i="9"/>
  <c r="S124" i="9"/>
  <c r="P124" i="9"/>
  <c r="R124" i="9"/>
  <c r="T124" i="9"/>
  <c r="U124" i="9"/>
  <c r="M376" i="9"/>
  <c r="S241" i="9"/>
  <c r="U241" i="9"/>
  <c r="Q241" i="9"/>
  <c r="P241" i="9"/>
  <c r="R241" i="9"/>
  <c r="T241" i="9"/>
  <c r="M125" i="9"/>
  <c r="T324" i="9"/>
  <c r="U324" i="9"/>
  <c r="P324" i="9"/>
  <c r="Q324" i="9"/>
  <c r="R324" i="9"/>
  <c r="S324" i="9"/>
  <c r="V388" i="9"/>
  <c r="W388" i="9" s="1"/>
  <c r="N388" i="9"/>
  <c r="S297" i="9"/>
  <c r="R297" i="9"/>
  <c r="T297" i="9"/>
  <c r="U297" i="9"/>
  <c r="P297" i="9"/>
  <c r="Q297" i="9"/>
  <c r="V273" i="9"/>
  <c r="W273" i="9" s="1"/>
  <c r="N273" i="9"/>
  <c r="N389" i="9"/>
  <c r="V389" i="9"/>
  <c r="W389" i="9" s="1"/>
  <c r="P332" i="9"/>
  <c r="Q332" i="9"/>
  <c r="S332" i="9"/>
  <c r="U332" i="9"/>
  <c r="R332" i="9"/>
  <c r="T332" i="9"/>
  <c r="N60" i="9"/>
  <c r="Q301" i="9"/>
  <c r="S301" i="9"/>
  <c r="R301" i="9"/>
  <c r="T301" i="9"/>
  <c r="U301" i="9"/>
  <c r="P301" i="9"/>
  <c r="N386" i="9"/>
  <c r="T418" i="9"/>
  <c r="R418" i="9"/>
  <c r="S418" i="9"/>
  <c r="P418" i="9"/>
  <c r="Q418" i="9"/>
  <c r="V418" i="9" s="1"/>
  <c r="W418" i="9" s="1"/>
  <c r="U418" i="9"/>
  <c r="U213" i="9"/>
  <c r="R213" i="9"/>
  <c r="T213" i="9"/>
  <c r="Q213" i="9"/>
  <c r="S213" i="9"/>
  <c r="P213" i="9"/>
  <c r="V238" i="9"/>
  <c r="W238" i="9" s="1"/>
  <c r="N61" i="9"/>
  <c r="V61" i="9"/>
  <c r="W61" i="9" s="1"/>
  <c r="V216" i="9"/>
  <c r="W216" i="9" s="1"/>
  <c r="N216" i="9"/>
  <c r="N351" i="9"/>
  <c r="V351" i="9"/>
  <c r="W351" i="9" s="1"/>
  <c r="S177" i="9"/>
  <c r="P177" i="9"/>
  <c r="R177" i="9"/>
  <c r="U177" i="9"/>
  <c r="Q177" i="9"/>
  <c r="T177" i="9"/>
  <c r="U135" i="9"/>
  <c r="R135" i="9"/>
  <c r="T135" i="9"/>
  <c r="S135" i="9"/>
  <c r="P135" i="9"/>
  <c r="Q135" i="9"/>
  <c r="N17" i="9"/>
  <c r="V17" i="9"/>
  <c r="W17" i="9" s="1"/>
  <c r="V46" i="9"/>
  <c r="W46" i="9" s="1"/>
  <c r="N46" i="9"/>
  <c r="V330" i="9"/>
  <c r="W330" i="9" s="1"/>
  <c r="N330" i="9"/>
  <c r="M229" i="9"/>
  <c r="P20" i="9"/>
  <c r="R20" i="9"/>
  <c r="S20" i="9"/>
  <c r="Q20" i="9"/>
  <c r="T20" i="9"/>
  <c r="U20" i="9"/>
  <c r="P118" i="9"/>
  <c r="Q118" i="9"/>
  <c r="U118" i="9"/>
  <c r="R118" i="9"/>
  <c r="S118" i="9"/>
  <c r="T118" i="9"/>
  <c r="P120" i="9"/>
  <c r="V120" i="9" s="1"/>
  <c r="W120" i="9" s="1"/>
  <c r="Q120" i="9"/>
  <c r="S120" i="9"/>
  <c r="R120" i="9"/>
  <c r="T120" i="9"/>
  <c r="U120" i="9"/>
  <c r="R172" i="9"/>
  <c r="S172" i="9"/>
  <c r="U172" i="9"/>
  <c r="P172" i="9"/>
  <c r="Q172" i="9"/>
  <c r="T172" i="9"/>
  <c r="M194" i="9"/>
  <c r="N68" i="9"/>
  <c r="N270" i="9"/>
  <c r="N255" i="9"/>
  <c r="N124" i="9"/>
  <c r="V124" i="9"/>
  <c r="W124" i="9" s="1"/>
  <c r="S402" i="9"/>
  <c r="T402" i="9"/>
  <c r="R402" i="9"/>
  <c r="U402" i="9"/>
  <c r="P402" i="9"/>
  <c r="Q402" i="9"/>
  <c r="P125" i="9"/>
  <c r="T125" i="9"/>
  <c r="U125" i="9"/>
  <c r="R125" i="9"/>
  <c r="S125" i="9"/>
  <c r="Q125" i="9"/>
  <c r="U374" i="9"/>
  <c r="Q374" i="9"/>
  <c r="R374" i="9"/>
  <c r="P374" i="9"/>
  <c r="S374" i="9"/>
  <c r="T374" i="9"/>
  <c r="V196" i="9"/>
  <c r="W196" i="9" s="1"/>
  <c r="N196" i="9"/>
  <c r="T310" i="9"/>
  <c r="P310" i="9"/>
  <c r="R310" i="9"/>
  <c r="U310" i="9"/>
  <c r="S310" i="9"/>
  <c r="Q310" i="9"/>
  <c r="V310" i="9" s="1"/>
  <c r="W310" i="9" s="1"/>
  <c r="M168" i="9"/>
  <c r="P290" i="9"/>
  <c r="Q290" i="9"/>
  <c r="R290" i="9"/>
  <c r="S290" i="9"/>
  <c r="U290" i="9"/>
  <c r="T290" i="9"/>
  <c r="V290" i="9" s="1"/>
  <c r="W290" i="9" s="1"/>
  <c r="N379" i="9"/>
  <c r="V379" i="9"/>
  <c r="W379" i="9" s="1"/>
  <c r="P255" i="9"/>
  <c r="T255" i="9"/>
  <c r="U255" i="9"/>
  <c r="S255" i="9"/>
  <c r="R255" i="9"/>
  <c r="Q255" i="9"/>
  <c r="N402" i="9"/>
  <c r="N178" i="9"/>
  <c r="M324" i="9"/>
  <c r="V346" i="9"/>
  <c r="W346" i="9" s="1"/>
  <c r="R116" i="9"/>
  <c r="S116" i="9"/>
  <c r="Q116" i="9"/>
  <c r="U116" i="9"/>
  <c r="P116" i="9"/>
  <c r="T116" i="9"/>
  <c r="M289" i="9"/>
  <c r="M297" i="9"/>
  <c r="N409" i="9"/>
  <c r="M50" i="9"/>
  <c r="N134" i="9"/>
  <c r="V134" i="9"/>
  <c r="W134" i="9" s="1"/>
  <c r="V93" i="9"/>
  <c r="W93" i="9" s="1"/>
  <c r="N93" i="9"/>
  <c r="N33" i="9"/>
  <c r="V33" i="9"/>
  <c r="W33" i="9" s="1"/>
  <c r="N381" i="9"/>
  <c r="M250" i="9"/>
  <c r="M21" i="9"/>
  <c r="T30" i="9"/>
  <c r="U30" i="9"/>
  <c r="R30" i="9"/>
  <c r="S30" i="9"/>
  <c r="P30" i="9"/>
  <c r="Q30" i="9"/>
  <c r="V30" i="9"/>
  <c r="W30" i="9" s="1"/>
  <c r="N30" i="9"/>
  <c r="V254" i="9"/>
  <c r="W254" i="9" s="1"/>
  <c r="N254" i="9"/>
  <c r="P361" i="9"/>
  <c r="T361" i="9"/>
  <c r="Q361" i="9"/>
  <c r="R361" i="9"/>
  <c r="U361" i="9"/>
  <c r="S361" i="9"/>
  <c r="P33" i="9"/>
  <c r="Q33" i="9"/>
  <c r="R33" i="9"/>
  <c r="S33" i="9"/>
  <c r="T33" i="9"/>
  <c r="U33" i="9"/>
  <c r="N277" i="9"/>
  <c r="V277" i="9"/>
  <c r="W277" i="9" s="1"/>
  <c r="V384" i="9"/>
  <c r="W384" i="9" s="1"/>
  <c r="N167" i="9"/>
  <c r="V167" i="9"/>
  <c r="W167" i="9" s="1"/>
  <c r="P304" i="9"/>
  <c r="V304" i="9" s="1"/>
  <c r="W304" i="9" s="1"/>
  <c r="Q304" i="9"/>
  <c r="T304" i="9"/>
  <c r="U304" i="9"/>
  <c r="R304" i="9"/>
  <c r="S304" i="9"/>
  <c r="N13" i="9"/>
  <c r="V13" i="9"/>
  <c r="W13" i="9" s="1"/>
  <c r="N57" i="9"/>
  <c r="V57" i="9"/>
  <c r="W57" i="9" s="1"/>
  <c r="V266" i="9"/>
  <c r="W266" i="9" s="1"/>
  <c r="N266" i="9"/>
  <c r="U12" i="9"/>
  <c r="P12" i="9"/>
  <c r="R12" i="9"/>
  <c r="T12" i="9"/>
  <c r="Q12" i="9"/>
  <c r="S12" i="9"/>
  <c r="N28" i="9"/>
  <c r="V28" i="9"/>
  <c r="W28" i="9" s="1"/>
  <c r="V206" i="9"/>
  <c r="W206" i="9" s="1"/>
  <c r="N206" i="9"/>
  <c r="N12" i="9"/>
  <c r="V12" i="9"/>
  <c r="W12" i="9" s="1"/>
  <c r="M367" i="9"/>
  <c r="N169" i="9"/>
  <c r="V169" i="9"/>
  <c r="W169" i="9" s="1"/>
  <c r="U97" i="9"/>
  <c r="P97" i="9"/>
  <c r="V97" i="9" s="1"/>
  <c r="W97" i="9" s="1"/>
  <c r="Q97" i="9"/>
  <c r="R97" i="9"/>
  <c r="T97" i="9"/>
  <c r="S97" i="9"/>
  <c r="N345" i="9"/>
  <c r="V345" i="9"/>
  <c r="W345" i="9" s="1"/>
  <c r="N247" i="9"/>
  <c r="V247" i="9"/>
  <c r="W247" i="9" s="1"/>
  <c r="N208" i="9"/>
  <c r="V208" i="9"/>
  <c r="W208" i="9" s="1"/>
  <c r="R205" i="9"/>
  <c r="U205" i="9"/>
  <c r="S205" i="9"/>
  <c r="P205" i="9"/>
  <c r="V205" i="9" s="1"/>
  <c r="W205" i="9" s="1"/>
  <c r="Q205" i="9"/>
  <c r="T205" i="9"/>
  <c r="V375" i="9"/>
  <c r="W375" i="9" s="1"/>
  <c r="N375" i="9"/>
  <c r="M359" i="9"/>
  <c r="M118" i="9"/>
  <c r="P287" i="9"/>
  <c r="T287" i="9"/>
  <c r="Q287" i="9"/>
  <c r="R287" i="9"/>
  <c r="S287" i="9"/>
  <c r="U287" i="9"/>
  <c r="N199" i="9"/>
  <c r="N415" i="9"/>
  <c r="N98" i="9"/>
  <c r="V98" i="9"/>
  <c r="W98" i="9" s="1"/>
  <c r="N310" i="9"/>
  <c r="R372" i="9"/>
  <c r="S372" i="9"/>
  <c r="T372" i="9"/>
  <c r="U372" i="9"/>
  <c r="P372" i="9"/>
  <c r="V372" i="9" s="1"/>
  <c r="W372" i="9" s="1"/>
  <c r="Q372" i="9"/>
  <c r="M162" i="9"/>
  <c r="U267" i="9"/>
  <c r="T267" i="9"/>
  <c r="S267" i="9"/>
  <c r="P267" i="9"/>
  <c r="Q267" i="9"/>
  <c r="R267" i="9"/>
  <c r="N264" i="9"/>
  <c r="V328" i="9"/>
  <c r="W328" i="9" s="1"/>
  <c r="N328" i="9"/>
  <c r="N84" i="9"/>
  <c r="V84" i="9"/>
  <c r="W84" i="9" s="1"/>
  <c r="U347" i="9"/>
  <c r="P347" i="9"/>
  <c r="Q347" i="9"/>
  <c r="R347" i="9"/>
  <c r="S347" i="9"/>
  <c r="T347" i="9"/>
  <c r="N82" i="9"/>
  <c r="N422" i="9"/>
  <c r="V422" i="9"/>
  <c r="W422" i="9" s="1"/>
  <c r="U132" i="9"/>
  <c r="R132" i="9"/>
  <c r="P132" i="9"/>
  <c r="Q132" i="9"/>
  <c r="T132" i="9"/>
  <c r="S132" i="9"/>
  <c r="V157" i="9"/>
  <c r="W157" i="9" s="1"/>
  <c r="N157" i="9"/>
  <c r="M154" i="9"/>
  <c r="M191" i="9"/>
  <c r="M405" i="9"/>
  <c r="P137" i="9"/>
  <c r="R137" i="9"/>
  <c r="S137" i="9"/>
  <c r="T137" i="9"/>
  <c r="Q137" i="9"/>
  <c r="U137" i="9"/>
  <c r="T162" i="9"/>
  <c r="P162" i="9"/>
  <c r="R162" i="9"/>
  <c r="S162" i="9"/>
  <c r="Q162" i="9"/>
  <c r="U162" i="9"/>
  <c r="M267" i="9"/>
  <c r="N303" i="9"/>
  <c r="V303" i="9"/>
  <c r="W303" i="9" s="1"/>
  <c r="N332" i="9"/>
  <c r="M347" i="9"/>
  <c r="P82" i="9"/>
  <c r="V82" i="9" s="1"/>
  <c r="W82" i="9" s="1"/>
  <c r="Q82" i="9"/>
  <c r="R82" i="9"/>
  <c r="U82" i="9"/>
  <c r="S82" i="9"/>
  <c r="T82" i="9"/>
  <c r="N408" i="9"/>
  <c r="V408" i="9"/>
  <c r="W408" i="9" s="1"/>
  <c r="M116" i="9"/>
  <c r="T212" i="9"/>
  <c r="U212" i="9"/>
  <c r="P212" i="9"/>
  <c r="S212" i="9"/>
  <c r="R212" i="9"/>
  <c r="Q212" i="9"/>
  <c r="V301" i="9"/>
  <c r="W301" i="9" s="1"/>
  <c r="N301" i="9"/>
  <c r="S45" i="9"/>
  <c r="T45" i="9"/>
  <c r="U45" i="9"/>
  <c r="R45" i="9"/>
  <c r="Q45" i="9"/>
  <c r="P45" i="9"/>
  <c r="V131" i="9"/>
  <c r="W131" i="9" s="1"/>
  <c r="N131" i="9"/>
  <c r="N204" i="9"/>
  <c r="P166" i="9"/>
  <c r="S166" i="9"/>
  <c r="R166" i="9"/>
  <c r="Q166" i="9"/>
  <c r="T166" i="9"/>
  <c r="U166" i="9"/>
  <c r="N143" i="9"/>
  <c r="V143" i="9"/>
  <c r="W143" i="9" s="1"/>
  <c r="N86" i="9"/>
  <c r="V86" i="9"/>
  <c r="W86" i="9" s="1"/>
  <c r="V413" i="9"/>
  <c r="W413" i="9" s="1"/>
  <c r="N413" i="9"/>
  <c r="M311" i="9"/>
  <c r="V166" i="9"/>
  <c r="W166" i="9" s="1"/>
  <c r="N166" i="9"/>
  <c r="N49" i="9"/>
  <c r="P367" i="9"/>
  <c r="Q367" i="9"/>
  <c r="R367" i="9"/>
  <c r="T367" i="9"/>
  <c r="U367" i="9"/>
  <c r="S367" i="9"/>
  <c r="N252" i="9"/>
  <c r="T252" i="9"/>
  <c r="U252" i="9"/>
  <c r="P252" i="9"/>
  <c r="Q252" i="9"/>
  <c r="S252" i="9"/>
  <c r="R252" i="9"/>
  <c r="Q39" i="9"/>
  <c r="T39" i="9"/>
  <c r="P39" i="9"/>
  <c r="R39" i="9"/>
  <c r="S39" i="9"/>
  <c r="U39" i="9"/>
  <c r="V221" i="9"/>
  <c r="W221" i="9" s="1"/>
  <c r="N221" i="9"/>
  <c r="N370" i="9"/>
  <c r="N293" i="9"/>
  <c r="V293" i="9"/>
  <c r="W293" i="9" s="1"/>
  <c r="V335" i="9"/>
  <c r="W335" i="9" s="1"/>
  <c r="N335" i="9"/>
  <c r="P398" i="9"/>
  <c r="V398" i="9" s="1"/>
  <c r="W398" i="9" s="1"/>
  <c r="S398" i="9"/>
  <c r="U398" i="9"/>
  <c r="T398" i="9"/>
  <c r="Q398" i="9"/>
  <c r="R398" i="9"/>
  <c r="P138" i="9"/>
  <c r="R138" i="9"/>
  <c r="T138" i="9"/>
  <c r="Q138" i="9"/>
  <c r="S138" i="9"/>
  <c r="U138" i="9"/>
  <c r="N286" i="9"/>
  <c r="V286" i="9"/>
  <c r="W286" i="9" s="1"/>
  <c r="M132" i="9"/>
  <c r="M291" i="9"/>
  <c r="M137" i="9"/>
  <c r="V195" i="9"/>
  <c r="W195" i="9" s="1"/>
  <c r="N195" i="9"/>
  <c r="M340" i="9"/>
  <c r="N138" i="9"/>
  <c r="V138" i="9"/>
  <c r="W138" i="9" s="1"/>
  <c r="M18" i="9"/>
  <c r="R25" i="9"/>
  <c r="S25" i="9"/>
  <c r="U25" i="9"/>
  <c r="P25" i="9"/>
  <c r="Q25" i="9"/>
  <c r="T25" i="9"/>
  <c r="N403" i="9"/>
  <c r="V403" i="9"/>
  <c r="W403" i="9" s="1"/>
  <c r="T236" i="9"/>
  <c r="U236" i="9"/>
  <c r="P236" i="9"/>
  <c r="S236" i="9"/>
  <c r="R236" i="9"/>
  <c r="Q236" i="9"/>
  <c r="R8" i="9"/>
  <c r="P8" i="9"/>
  <c r="Q8" i="9"/>
  <c r="S8" i="9"/>
  <c r="U8" i="9"/>
  <c r="T8" i="9"/>
  <c r="N263" i="9"/>
  <c r="V263" i="9"/>
  <c r="W263" i="9" s="1"/>
  <c r="S354" i="9"/>
  <c r="T354" i="9"/>
  <c r="P354" i="9"/>
  <c r="V354" i="9" s="1"/>
  <c r="W354" i="9" s="1"/>
  <c r="Q354" i="9"/>
  <c r="R354" i="9"/>
  <c r="U354" i="9"/>
  <c r="S305" i="9"/>
  <c r="T305" i="9"/>
  <c r="U305" i="9"/>
  <c r="Q305" i="9"/>
  <c r="R305" i="9"/>
  <c r="P305" i="9"/>
  <c r="M91" i="9"/>
  <c r="M147" i="9"/>
  <c r="S244" i="9"/>
  <c r="U244" i="9"/>
  <c r="Q244" i="9"/>
  <c r="R244" i="9"/>
  <c r="T244" i="9"/>
  <c r="P244" i="9"/>
  <c r="P21" i="9"/>
  <c r="Q21" i="9"/>
  <c r="R21" i="9"/>
  <c r="S21" i="9"/>
  <c r="T21" i="9"/>
  <c r="U21" i="9"/>
  <c r="N51" i="9"/>
  <c r="M42" i="9"/>
  <c r="V65" i="9"/>
  <c r="W65" i="9" s="1"/>
  <c r="M25" i="9"/>
  <c r="M32" i="9"/>
  <c r="P90" i="9"/>
  <c r="V90" i="9" s="1"/>
  <c r="W90" i="9" s="1"/>
  <c r="Q90" i="9"/>
  <c r="R90" i="9"/>
  <c r="T90" i="9"/>
  <c r="U90" i="9"/>
  <c r="S90" i="9"/>
  <c r="N355" i="9"/>
  <c r="V355" i="9"/>
  <c r="W355" i="9" s="1"/>
  <c r="N401" i="9"/>
  <c r="N95" i="9"/>
  <c r="T409" i="9"/>
  <c r="S409" i="9"/>
  <c r="P409" i="9"/>
  <c r="V409" i="9" s="1"/>
  <c r="W409" i="9" s="1"/>
  <c r="Q409" i="9"/>
  <c r="R409" i="9"/>
  <c r="U409" i="9"/>
  <c r="Q383" i="9"/>
  <c r="P383" i="9"/>
  <c r="R383" i="9"/>
  <c r="S383" i="9"/>
  <c r="T383" i="9"/>
  <c r="U383" i="9"/>
  <c r="M305" i="9"/>
  <c r="S397" i="9"/>
  <c r="T397" i="9"/>
  <c r="P397" i="9"/>
  <c r="R397" i="9"/>
  <c r="U397" i="9"/>
  <c r="Q397" i="9"/>
  <c r="M69" i="9"/>
  <c r="U91" i="9"/>
  <c r="S91" i="9"/>
  <c r="T91" i="9"/>
  <c r="P91" i="9"/>
  <c r="Q91" i="9"/>
  <c r="R91" i="9"/>
  <c r="M244" i="9"/>
  <c r="N416" i="9"/>
  <c r="N38" i="9"/>
  <c r="V38" i="9"/>
  <c r="W38" i="9" s="1"/>
  <c r="U295" i="9"/>
  <c r="P295" i="9"/>
  <c r="Q295" i="9"/>
  <c r="R295" i="9"/>
  <c r="S295" i="9"/>
  <c r="T295" i="9"/>
  <c r="P49" i="9"/>
  <c r="V49" i="9" s="1"/>
  <c r="W49" i="9" s="1"/>
  <c r="R49" i="9"/>
  <c r="Q49" i="9"/>
  <c r="S49" i="9"/>
  <c r="T49" i="9"/>
  <c r="U49" i="9"/>
  <c r="V183" i="9"/>
  <c r="W183" i="9" s="1"/>
  <c r="N183" i="9"/>
  <c r="N318" i="9"/>
  <c r="N354" i="9"/>
  <c r="Q300" i="9"/>
  <c r="P300" i="9"/>
  <c r="S300" i="9"/>
  <c r="U300" i="9"/>
  <c r="R300" i="9"/>
  <c r="T300" i="9"/>
  <c r="S148" i="9"/>
  <c r="T148" i="9"/>
  <c r="P148" i="9"/>
  <c r="Q148" i="9"/>
  <c r="U148" i="9"/>
  <c r="R148" i="9"/>
  <c r="N54" i="9"/>
  <c r="V54" i="9"/>
  <c r="W54" i="9" s="1"/>
  <c r="M52" i="9"/>
  <c r="R88" i="9"/>
  <c r="S88" i="9"/>
  <c r="P88" i="9"/>
  <c r="V88" i="9" s="1"/>
  <c r="W88" i="9" s="1"/>
  <c r="Q88" i="9"/>
  <c r="T88" i="9"/>
  <c r="U88" i="9"/>
  <c r="N14" i="9"/>
  <c r="V14" i="9"/>
  <c r="W14" i="9" s="1"/>
  <c r="M24" i="9"/>
  <c r="N198" i="9"/>
  <c r="V198" i="9"/>
  <c r="W198" i="9" s="1"/>
  <c r="N100" i="9"/>
  <c r="V100" i="9"/>
  <c r="W100" i="9" s="1"/>
  <c r="V108" i="9"/>
  <c r="W108" i="9" s="1"/>
  <c r="N108" i="9"/>
  <c r="N348" i="9"/>
  <c r="V348" i="9"/>
  <c r="W348" i="9" s="1"/>
  <c r="Q309" i="9"/>
  <c r="P309" i="9"/>
  <c r="R309" i="9"/>
  <c r="S309" i="9"/>
  <c r="T309" i="9"/>
  <c r="U309" i="9"/>
  <c r="N212" i="9"/>
  <c r="M153" i="9"/>
  <c r="T100" i="9"/>
  <c r="P100" i="9"/>
  <c r="Q100" i="9"/>
  <c r="S100" i="9"/>
  <c r="U100" i="9"/>
  <c r="R100" i="9"/>
  <c r="M410" i="9"/>
  <c r="N10" i="9"/>
  <c r="V10" i="9"/>
  <c r="W10" i="9" s="1"/>
  <c r="P370" i="9"/>
  <c r="Q370" i="9"/>
  <c r="U370" i="9"/>
  <c r="R370" i="9"/>
  <c r="T370" i="9"/>
  <c r="S370" i="9"/>
  <c r="V370" i="9" s="1"/>
  <c r="W370" i="9" s="1"/>
  <c r="V155" i="9"/>
  <c r="W155" i="9" s="1"/>
  <c r="N155" i="9"/>
  <c r="N321" i="9"/>
  <c r="V321" i="9"/>
  <c r="W321" i="9" s="1"/>
  <c r="P258" i="9"/>
  <c r="V258" i="9" s="1"/>
  <c r="W258" i="9" s="1"/>
  <c r="U258" i="9"/>
  <c r="Q258" i="9"/>
  <c r="R258" i="9"/>
  <c r="S258" i="9"/>
  <c r="T258" i="9"/>
  <c r="M245" i="9"/>
  <c r="N34" i="9"/>
  <c r="V34" i="9"/>
  <c r="W34" i="9" s="1"/>
  <c r="M31" i="9"/>
  <c r="V369" i="9"/>
  <c r="W369" i="9" s="1"/>
  <c r="M6" i="9"/>
  <c r="P153" i="9"/>
  <c r="Q153" i="9"/>
  <c r="R153" i="9"/>
  <c r="U153" i="9"/>
  <c r="S153" i="9"/>
  <c r="T153" i="9"/>
  <c r="N342" i="9"/>
  <c r="V342" i="9"/>
  <c r="W342" i="9" s="1"/>
  <c r="M226" i="9"/>
  <c r="M8" i="9"/>
  <c r="N258" i="9"/>
  <c r="P245" i="9"/>
  <c r="Q245" i="9"/>
  <c r="R245" i="9"/>
  <c r="S245" i="9"/>
  <c r="T245" i="9"/>
  <c r="U245" i="9"/>
  <c r="R264" i="9"/>
  <c r="S264" i="9"/>
  <c r="Q264" i="9"/>
  <c r="P264" i="9"/>
  <c r="V264" i="9" s="1"/>
  <c r="W264" i="9" s="1"/>
  <c r="T264" i="9"/>
  <c r="U264" i="9"/>
  <c r="M309" i="9"/>
  <c r="S178" i="9"/>
  <c r="T178" i="9"/>
  <c r="U178" i="9"/>
  <c r="P178" i="9"/>
  <c r="V178" i="9" s="1"/>
  <c r="W178" i="9" s="1"/>
  <c r="Q178" i="9"/>
  <c r="R178" i="9"/>
  <c r="P31" i="9"/>
  <c r="S31" i="9"/>
  <c r="T31" i="9"/>
  <c r="Q31" i="9"/>
  <c r="R31" i="9"/>
  <c r="U31" i="9"/>
  <c r="V43" i="9"/>
  <c r="W43" i="9" s="1"/>
  <c r="N43" i="9"/>
  <c r="V357" i="9"/>
  <c r="W357" i="9" s="1"/>
  <c r="N357" i="9"/>
  <c r="R32" i="9"/>
  <c r="S32" i="9"/>
  <c r="P32" i="9"/>
  <c r="U32" i="9"/>
  <c r="Q32" i="9"/>
  <c r="T32" i="9"/>
  <c r="N90" i="9"/>
  <c r="N236" i="9"/>
  <c r="N260" i="9"/>
  <c r="V260" i="9"/>
  <c r="W260" i="9" s="1"/>
  <c r="Q95" i="9"/>
  <c r="R95" i="9"/>
  <c r="P95" i="9"/>
  <c r="V95" i="9" s="1"/>
  <c r="W95" i="9" s="1"/>
  <c r="S95" i="9"/>
  <c r="T95" i="9"/>
  <c r="U95" i="9"/>
  <c r="V63" i="9"/>
  <c r="W63" i="9" s="1"/>
  <c r="N63" i="9"/>
  <c r="N336" i="9"/>
  <c r="V336" i="9"/>
  <c r="W336" i="9" s="1"/>
  <c r="V126" i="9"/>
  <c r="W126" i="9" s="1"/>
  <c r="N126" i="9"/>
  <c r="N119" i="9"/>
  <c r="V119" i="9"/>
  <c r="W119" i="9" s="1"/>
  <c r="V83" i="9"/>
  <c r="W83" i="9" s="1"/>
  <c r="V71" i="9"/>
  <c r="W71" i="9" s="1"/>
  <c r="N71" i="9"/>
  <c r="T114" i="9"/>
  <c r="U114" i="9"/>
  <c r="P114" i="9"/>
  <c r="Q114" i="9"/>
  <c r="R114" i="9"/>
  <c r="S114" i="9"/>
  <c r="M15" i="9"/>
  <c r="N411" i="9"/>
  <c r="V411" i="9"/>
  <c r="W411" i="9" s="1"/>
  <c r="P401" i="9"/>
  <c r="S401" i="9"/>
  <c r="T401" i="9"/>
  <c r="U401" i="9"/>
  <c r="R401" i="9"/>
  <c r="Q401" i="9"/>
  <c r="M383" i="9"/>
  <c r="M397" i="9"/>
  <c r="M76" i="9"/>
  <c r="R60" i="9"/>
  <c r="S60" i="9"/>
  <c r="U60" i="9"/>
  <c r="P60" i="9"/>
  <c r="V60" i="9" s="1"/>
  <c r="W60" i="9" s="1"/>
  <c r="Q60" i="9"/>
  <c r="T60" i="9"/>
  <c r="R416" i="9"/>
  <c r="T416" i="9"/>
  <c r="S416" i="9"/>
  <c r="U416" i="9"/>
  <c r="Q416" i="9"/>
  <c r="P416" i="9"/>
  <c r="M357" i="7"/>
  <c r="M410" i="7"/>
  <c r="M311" i="7"/>
  <c r="M236" i="7"/>
  <c r="N236" i="7" s="1"/>
  <c r="Q300" i="7"/>
  <c r="U349" i="7"/>
  <c r="S369" i="7"/>
  <c r="U45" i="7"/>
  <c r="P45" i="7"/>
  <c r="Q404" i="7"/>
  <c r="R404" i="7"/>
  <c r="P404" i="7"/>
  <c r="S404" i="7"/>
  <c r="U404" i="7"/>
  <c r="T404" i="7"/>
  <c r="N156" i="8"/>
  <c r="T300" i="7"/>
  <c r="R300" i="7"/>
  <c r="M374" i="7"/>
  <c r="M300" i="7"/>
  <c r="N300" i="7" s="1"/>
  <c r="M319" i="7"/>
  <c r="N319" i="7" s="1"/>
  <c r="T349" i="7"/>
  <c r="M320" i="7"/>
  <c r="M323" i="7"/>
  <c r="U300" i="7"/>
  <c r="S300" i="7"/>
  <c r="R349" i="7"/>
  <c r="M337" i="7"/>
  <c r="S349" i="7"/>
  <c r="U369" i="7"/>
  <c r="M395" i="7"/>
  <c r="T229" i="7"/>
  <c r="P418" i="7"/>
  <c r="R418" i="7"/>
  <c r="R255" i="7"/>
  <c r="S255" i="7"/>
  <c r="U255" i="7"/>
  <c r="Q245" i="7"/>
  <c r="S245" i="7"/>
  <c r="T296" i="7"/>
  <c r="P296" i="7"/>
  <c r="Q4" i="7"/>
  <c r="P4" i="7"/>
  <c r="R4" i="7"/>
  <c r="S4" i="7"/>
  <c r="R44" i="7"/>
  <c r="P44" i="7"/>
  <c r="Q44" i="7"/>
  <c r="U44" i="7"/>
  <c r="P17" i="7"/>
  <c r="R17" i="7"/>
  <c r="S17" i="7"/>
  <c r="T17" i="7"/>
  <c r="U17" i="7"/>
  <c r="T178" i="7"/>
  <c r="U178" i="7"/>
  <c r="P382" i="7"/>
  <c r="S382" i="7"/>
  <c r="Q382" i="7"/>
  <c r="U382" i="7"/>
  <c r="R382" i="7"/>
  <c r="S192" i="7"/>
  <c r="T192" i="7"/>
  <c r="P76" i="7"/>
  <c r="S76" i="7"/>
  <c r="Q338" i="7"/>
  <c r="S338" i="7"/>
  <c r="R338" i="7"/>
  <c r="P136" i="7"/>
  <c r="S136" i="7"/>
  <c r="T136" i="7"/>
  <c r="Q190" i="7"/>
  <c r="S190" i="7"/>
  <c r="P301" i="7"/>
  <c r="U301" i="7"/>
  <c r="S301" i="7"/>
  <c r="R142" i="7"/>
  <c r="P142" i="7"/>
  <c r="U6" i="7"/>
  <c r="P6" i="7"/>
  <c r="Q6" i="7"/>
  <c r="P347" i="7"/>
  <c r="R347" i="7"/>
  <c r="U347" i="7"/>
  <c r="U28" i="7"/>
  <c r="P28" i="7"/>
  <c r="R366" i="7"/>
  <c r="U366" i="7"/>
  <c r="T364" i="7"/>
  <c r="P364" i="7"/>
  <c r="T414" i="7"/>
  <c r="P414" i="7"/>
  <c r="U414" i="7"/>
  <c r="P23" i="7"/>
  <c r="Q23" i="7"/>
  <c r="T307" i="7"/>
  <c r="Q307" i="7"/>
  <c r="Q31" i="7"/>
  <c r="U31" i="7"/>
  <c r="S31" i="7"/>
  <c r="R31" i="7"/>
  <c r="P12" i="7"/>
  <c r="Q12" i="7"/>
  <c r="T12" i="7"/>
  <c r="U12" i="7"/>
  <c r="S12" i="7"/>
  <c r="R12" i="7"/>
  <c r="U119" i="7"/>
  <c r="Q119" i="7"/>
  <c r="S119" i="7"/>
  <c r="T119" i="7"/>
  <c r="R119" i="7"/>
  <c r="P124" i="7"/>
  <c r="Q124" i="7"/>
  <c r="U380" i="7"/>
  <c r="R380" i="7"/>
  <c r="P380" i="7"/>
  <c r="Q380" i="7"/>
  <c r="S380" i="7"/>
  <c r="T380" i="7"/>
  <c r="S54" i="7"/>
  <c r="P54" i="7"/>
  <c r="T54" i="7"/>
  <c r="U54" i="7"/>
  <c r="K273" i="7"/>
  <c r="M273" i="7" s="1"/>
  <c r="P405" i="7"/>
  <c r="R96" i="7"/>
  <c r="R89" i="7"/>
  <c r="P125" i="7"/>
  <c r="U61" i="7"/>
  <c r="K315" i="7"/>
  <c r="M315" i="7" s="1"/>
  <c r="R282" i="7"/>
  <c r="U215" i="7"/>
  <c r="R243" i="7"/>
  <c r="U18" i="7"/>
  <c r="U37" i="7"/>
  <c r="T230" i="7"/>
  <c r="Q215" i="7"/>
  <c r="Q243" i="7"/>
  <c r="T282" i="7"/>
  <c r="T18" i="7"/>
  <c r="S230" i="7"/>
  <c r="M361" i="7"/>
  <c r="S215" i="7"/>
  <c r="P243" i="7"/>
  <c r="S282" i="7"/>
  <c r="U68" i="7"/>
  <c r="Q18" i="7"/>
  <c r="T71" i="7"/>
  <c r="S89" i="7"/>
  <c r="Q191" i="7"/>
  <c r="T243" i="7"/>
  <c r="T68" i="7"/>
  <c r="R18" i="7"/>
  <c r="U71" i="7"/>
  <c r="M326" i="7"/>
  <c r="N326" i="7" s="1"/>
  <c r="U202" i="7"/>
  <c r="R405" i="7"/>
  <c r="S243" i="7"/>
  <c r="U284" i="7"/>
  <c r="P18" i="7"/>
  <c r="Q403" i="7"/>
  <c r="Q95" i="7"/>
  <c r="T284" i="7"/>
  <c r="S284" i="7"/>
  <c r="U63" i="7"/>
  <c r="S95" i="7"/>
  <c r="R360" i="7"/>
  <c r="R284" i="7"/>
  <c r="P334" i="7"/>
  <c r="T63" i="7"/>
  <c r="R95" i="7"/>
  <c r="Q88" i="7"/>
  <c r="Q416" i="7"/>
  <c r="T145" i="7"/>
  <c r="P319" i="7"/>
  <c r="Q205" i="7"/>
  <c r="Q284" i="7"/>
  <c r="P63" i="7"/>
  <c r="Q173" i="7"/>
  <c r="Q33" i="7"/>
  <c r="U88" i="7"/>
  <c r="T173" i="7"/>
  <c r="Q61" i="7"/>
  <c r="R120" i="7"/>
  <c r="S173" i="7"/>
  <c r="U377" i="7"/>
  <c r="Q89" i="7"/>
  <c r="U33" i="7"/>
  <c r="U405" i="7"/>
  <c r="M208" i="7"/>
  <c r="R174" i="7"/>
  <c r="U363" i="7"/>
  <c r="Q117" i="7"/>
  <c r="T33" i="7"/>
  <c r="Q405" i="7"/>
  <c r="S229" i="7"/>
  <c r="U403" i="7"/>
  <c r="S188" i="7"/>
  <c r="U384" i="7"/>
  <c r="U229" i="7"/>
  <c r="R63" i="7"/>
  <c r="T16" i="7"/>
  <c r="T120" i="7"/>
  <c r="S403" i="7"/>
  <c r="T384" i="7"/>
  <c r="P230" i="7"/>
  <c r="Q349" i="7"/>
  <c r="P403" i="7"/>
  <c r="T188" i="7"/>
  <c r="S384" i="7"/>
  <c r="R251" i="7"/>
  <c r="U120" i="7"/>
  <c r="R145" i="7"/>
  <c r="R384" i="7"/>
  <c r="Q62" i="7"/>
  <c r="S3" i="7"/>
  <c r="Q251" i="7"/>
  <c r="Q363" i="7"/>
  <c r="S405" i="7"/>
  <c r="P145" i="7"/>
  <c r="U344" i="7"/>
  <c r="P384" i="7"/>
  <c r="Q230" i="7"/>
  <c r="T3" i="7"/>
  <c r="S174" i="7"/>
  <c r="S416" i="7"/>
  <c r="R230" i="7"/>
  <c r="U3" i="7"/>
  <c r="R107" i="7"/>
  <c r="R3" i="7"/>
  <c r="M343" i="7"/>
  <c r="N343" i="7" s="1"/>
  <c r="M294" i="7"/>
  <c r="V294" i="7" s="1"/>
  <c r="W294" i="7" s="1"/>
  <c r="U191" i="7"/>
  <c r="T312" i="7"/>
  <c r="T175" i="7"/>
  <c r="P33" i="7"/>
  <c r="Q107" i="7"/>
  <c r="L343" i="7"/>
  <c r="S312" i="7"/>
  <c r="U175" i="7"/>
  <c r="P107" i="7"/>
  <c r="Q63" i="7"/>
  <c r="R202" i="7"/>
  <c r="R312" i="7"/>
  <c r="S175" i="7"/>
  <c r="U206" i="7"/>
  <c r="P89" i="7"/>
  <c r="S46" i="7"/>
  <c r="U107" i="7"/>
  <c r="L119" i="8"/>
  <c r="Q312" i="7"/>
  <c r="Q175" i="7"/>
  <c r="T206" i="7"/>
  <c r="U16" i="7"/>
  <c r="S332" i="7"/>
  <c r="T107" i="7"/>
  <c r="M406" i="7"/>
  <c r="S202" i="7"/>
  <c r="P312" i="7"/>
  <c r="P175" i="7"/>
  <c r="Q99" i="7"/>
  <c r="S139" i="7"/>
  <c r="U203" i="7"/>
  <c r="U368" i="7"/>
  <c r="T174" i="7"/>
  <c r="S206" i="7"/>
  <c r="T203" i="7"/>
  <c r="U188" i="7"/>
  <c r="R99" i="7"/>
  <c r="R71" i="7"/>
  <c r="P191" i="7"/>
  <c r="U89" i="7"/>
  <c r="R125" i="7"/>
  <c r="Q188" i="7"/>
  <c r="L70" i="8"/>
  <c r="T202" i="7"/>
  <c r="U174" i="7"/>
  <c r="S318" i="7"/>
  <c r="U96" i="7"/>
  <c r="Q125" i="7"/>
  <c r="P188" i="7"/>
  <c r="S191" i="7"/>
  <c r="P87" i="7"/>
  <c r="Q87" i="7"/>
  <c r="R87" i="7"/>
  <c r="S87" i="7"/>
  <c r="T87" i="7"/>
  <c r="U87" i="7"/>
  <c r="R146" i="7"/>
  <c r="Q146" i="7"/>
  <c r="S146" i="7"/>
  <c r="T146" i="7"/>
  <c r="U146" i="7"/>
  <c r="P146" i="7"/>
  <c r="R56" i="7"/>
  <c r="T56" i="7"/>
  <c r="S56" i="7"/>
  <c r="P56" i="7"/>
  <c r="Q56" i="7"/>
  <c r="U56" i="7"/>
  <c r="P164" i="7"/>
  <c r="S164" i="7"/>
  <c r="R164" i="7"/>
  <c r="U164" i="7"/>
  <c r="T164" i="7"/>
  <c r="Q164" i="7"/>
  <c r="P325" i="7"/>
  <c r="R325" i="7"/>
  <c r="S325" i="7"/>
  <c r="T325" i="7"/>
  <c r="U325" i="7"/>
  <c r="U265" i="7"/>
  <c r="R265" i="7"/>
  <c r="S265" i="7"/>
  <c r="Q265" i="7"/>
  <c r="T265" i="7"/>
  <c r="U281" i="7"/>
  <c r="P281" i="7"/>
  <c r="Q281" i="7"/>
  <c r="R281" i="7"/>
  <c r="T310" i="7"/>
  <c r="Q310" i="7"/>
  <c r="S310" i="7"/>
  <c r="U310" i="7"/>
  <c r="P310" i="7"/>
  <c r="S112" i="7"/>
  <c r="R112" i="7"/>
  <c r="P112" i="7"/>
  <c r="Q112" i="7"/>
  <c r="U112" i="7"/>
  <c r="S365" i="7"/>
  <c r="R365" i="7"/>
  <c r="P365" i="7"/>
  <c r="T365" i="7"/>
  <c r="U365" i="7"/>
  <c r="R157" i="7"/>
  <c r="U157" i="7"/>
  <c r="T159" i="7"/>
  <c r="R159" i="7"/>
  <c r="S128" i="7"/>
  <c r="T128" i="7"/>
  <c r="U128" i="7"/>
  <c r="P390" i="7"/>
  <c r="R390" i="7"/>
  <c r="Q409" i="7"/>
  <c r="T409" i="7"/>
  <c r="P161" i="7"/>
  <c r="Q161" i="7"/>
  <c r="T161" i="7"/>
  <c r="U161" i="7"/>
  <c r="R41" i="7"/>
  <c r="S41" i="7"/>
  <c r="T41" i="7"/>
  <c r="U41" i="7"/>
  <c r="Q41" i="7"/>
  <c r="P41" i="7"/>
  <c r="P7" i="7"/>
  <c r="U7" i="7"/>
  <c r="Q7" i="7"/>
  <c r="R7" i="7"/>
  <c r="S7" i="7"/>
  <c r="Q109" i="7"/>
  <c r="P90" i="7"/>
  <c r="T90" i="7"/>
  <c r="U90" i="7"/>
  <c r="R90" i="7"/>
  <c r="Q90" i="7"/>
  <c r="R385" i="7"/>
  <c r="T385" i="7"/>
  <c r="R397" i="7"/>
  <c r="Q397" i="7"/>
  <c r="U397" i="7"/>
  <c r="P397" i="7"/>
  <c r="S397" i="7"/>
  <c r="T397" i="7"/>
  <c r="S169" i="7"/>
  <c r="P169" i="7"/>
  <c r="R169" i="7"/>
  <c r="U169" i="7"/>
  <c r="Q169" i="7"/>
  <c r="T169" i="7"/>
  <c r="R167" i="7"/>
  <c r="U167" i="7"/>
  <c r="S167" i="7"/>
  <c r="T167" i="7"/>
  <c r="S233" i="7"/>
  <c r="U233" i="7"/>
  <c r="T83" i="7"/>
  <c r="S83" i="7"/>
  <c r="U83" i="7"/>
  <c r="K48" i="7"/>
  <c r="M48" i="7" s="1"/>
  <c r="Q309" i="7"/>
  <c r="U309" i="7"/>
  <c r="S309" i="7"/>
  <c r="R375" i="7"/>
  <c r="T375" i="7"/>
  <c r="P375" i="7"/>
  <c r="S375" i="7"/>
  <c r="U375" i="7"/>
  <c r="Q375" i="7"/>
  <c r="Q314" i="7"/>
  <c r="U314" i="7"/>
  <c r="P314" i="7"/>
  <c r="U149" i="7"/>
  <c r="S149" i="7"/>
  <c r="U36" i="7"/>
  <c r="Q36" i="7"/>
  <c r="P36" i="7"/>
  <c r="R36" i="7"/>
  <c r="S36" i="7"/>
  <c r="T36" i="7"/>
  <c r="R91" i="7"/>
  <c r="T91" i="7"/>
  <c r="S91" i="7"/>
  <c r="Q91" i="7"/>
  <c r="U91" i="7"/>
  <c r="P91" i="7"/>
  <c r="U81" i="7"/>
  <c r="Q81" i="7"/>
  <c r="Q82" i="7"/>
  <c r="U82" i="7"/>
  <c r="T51" i="7"/>
  <c r="U51" i="7"/>
  <c r="P51" i="7"/>
  <c r="Q51" i="7"/>
  <c r="R51" i="7"/>
  <c r="S51" i="7"/>
  <c r="Q365" i="7"/>
  <c r="R387" i="7"/>
  <c r="S387" i="7"/>
  <c r="S342" i="7"/>
  <c r="U342" i="7"/>
  <c r="Q342" i="7"/>
  <c r="R342" i="7"/>
  <c r="P342" i="7"/>
  <c r="T342" i="7"/>
  <c r="R180" i="7"/>
  <c r="P180" i="7"/>
  <c r="Q180" i="7"/>
  <c r="S180" i="7"/>
  <c r="T180" i="7"/>
  <c r="U180" i="7"/>
  <c r="S272" i="7"/>
  <c r="R272" i="7"/>
  <c r="P272" i="7"/>
  <c r="T272" i="7"/>
  <c r="U272" i="7"/>
  <c r="P172" i="7"/>
  <c r="S172" i="7"/>
  <c r="T172" i="7"/>
  <c r="U172" i="7"/>
  <c r="R172" i="7"/>
  <c r="Q172" i="7"/>
  <c r="R130" i="7"/>
  <c r="T130" i="7"/>
  <c r="S60" i="7"/>
  <c r="P60" i="7"/>
  <c r="T60" i="7"/>
  <c r="U60" i="7"/>
  <c r="R60" i="7"/>
  <c r="S163" i="7"/>
  <c r="P163" i="7"/>
  <c r="T281" i="7"/>
  <c r="S90" i="7"/>
  <c r="R357" i="7"/>
  <c r="S357" i="7"/>
  <c r="P195" i="7"/>
  <c r="Q195" i="7"/>
  <c r="U195" i="7"/>
  <c r="R195" i="7"/>
  <c r="T195" i="7"/>
  <c r="S402" i="7"/>
  <c r="T402" i="7"/>
  <c r="R308" i="7"/>
  <c r="Q308" i="7"/>
  <c r="P308" i="7"/>
  <c r="T308" i="7"/>
  <c r="S308" i="7"/>
  <c r="U308" i="7"/>
  <c r="P110" i="7"/>
  <c r="S110" i="7"/>
  <c r="S281" i="7"/>
  <c r="T101" i="7"/>
  <c r="P101" i="7"/>
  <c r="R101" i="7"/>
  <c r="Q101" i="7"/>
  <c r="S101" i="7"/>
  <c r="Q77" i="7"/>
  <c r="P77" i="7"/>
  <c r="R10" i="7"/>
  <c r="U10" i="7"/>
  <c r="Q10" i="7"/>
  <c r="T7" i="7"/>
  <c r="P337" i="7"/>
  <c r="S337" i="7"/>
  <c r="R337" i="7"/>
  <c r="T337" i="7"/>
  <c r="U337" i="7"/>
  <c r="Q177" i="7"/>
  <c r="S260" i="7"/>
  <c r="P260" i="7"/>
  <c r="R260" i="7"/>
  <c r="Q368" i="7"/>
  <c r="T368" i="7"/>
  <c r="R368" i="7"/>
  <c r="S368" i="7"/>
  <c r="Q171" i="7"/>
  <c r="S171" i="7"/>
  <c r="P118" i="7"/>
  <c r="U118" i="7"/>
  <c r="R118" i="7"/>
  <c r="Q118" i="7"/>
  <c r="S118" i="7"/>
  <c r="T118" i="7"/>
  <c r="P339" i="7"/>
  <c r="U339" i="7"/>
  <c r="Q339" i="7"/>
  <c r="T339" i="7"/>
  <c r="R339" i="7"/>
  <c r="T181" i="7"/>
  <c r="P181" i="7"/>
  <c r="Q181" i="7"/>
  <c r="S181" i="7"/>
  <c r="R181" i="7"/>
  <c r="U181" i="7"/>
  <c r="P383" i="7"/>
  <c r="S383" i="7"/>
  <c r="R383" i="7"/>
  <c r="T383" i="7"/>
  <c r="Q383" i="7"/>
  <c r="P304" i="7"/>
  <c r="S304" i="7"/>
  <c r="U304" i="7"/>
  <c r="R304" i="7"/>
  <c r="P302" i="7"/>
  <c r="R302" i="7"/>
  <c r="T302" i="7"/>
  <c r="U302" i="7"/>
  <c r="Q302" i="7"/>
  <c r="S302" i="7"/>
  <c r="R297" i="7"/>
  <c r="S297" i="7"/>
  <c r="U297" i="7"/>
  <c r="U212" i="7"/>
  <c r="P212" i="7"/>
  <c r="Q212" i="7"/>
  <c r="T212" i="7"/>
  <c r="R288" i="7"/>
  <c r="U288" i="7"/>
  <c r="S288" i="7"/>
  <c r="S116" i="7"/>
  <c r="U116" i="7"/>
  <c r="R116" i="7"/>
  <c r="P116" i="7"/>
  <c r="Q116" i="7"/>
  <c r="T116" i="7"/>
  <c r="Q304" i="7"/>
  <c r="P265" i="7"/>
  <c r="R376" i="7"/>
  <c r="Q376" i="7"/>
  <c r="P376" i="7"/>
  <c r="T376" i="7"/>
  <c r="U376" i="7"/>
  <c r="S376" i="7"/>
  <c r="R109" i="7"/>
  <c r="S109" i="7"/>
  <c r="U109" i="7"/>
  <c r="T109" i="7"/>
  <c r="S419" i="7"/>
  <c r="R419" i="7"/>
  <c r="U419" i="7"/>
  <c r="S279" i="7"/>
  <c r="R279" i="7"/>
  <c r="U279" i="7"/>
  <c r="T279" i="7"/>
  <c r="P279" i="7"/>
  <c r="Q279" i="7"/>
  <c r="R310" i="7"/>
  <c r="S248" i="7"/>
  <c r="T248" i="7"/>
  <c r="R248" i="7"/>
  <c r="P248" i="7"/>
  <c r="U248" i="7"/>
  <c r="Q248" i="7"/>
  <c r="T165" i="7"/>
  <c r="R165" i="7"/>
  <c r="P165" i="7"/>
  <c r="S165" i="7"/>
  <c r="U165" i="7"/>
  <c r="P237" i="7"/>
  <c r="T237" i="7"/>
  <c r="Q237" i="7"/>
  <c r="R237" i="7"/>
  <c r="S237" i="7"/>
  <c r="U237" i="7"/>
  <c r="Q165" i="7"/>
  <c r="Q49" i="7"/>
  <c r="R49" i="7"/>
  <c r="T49" i="7"/>
  <c r="S49" i="7"/>
  <c r="U49" i="7"/>
  <c r="U234" i="7"/>
  <c r="S234" i="7"/>
  <c r="T234" i="7"/>
  <c r="Q234" i="7"/>
  <c r="R234" i="7"/>
  <c r="P234" i="7"/>
  <c r="Q410" i="7"/>
  <c r="R410" i="7"/>
  <c r="S132" i="7"/>
  <c r="T132" i="7"/>
  <c r="R245" i="7"/>
  <c r="U245" i="7"/>
  <c r="P245" i="7"/>
  <c r="T245" i="7"/>
  <c r="S131" i="7"/>
  <c r="R131" i="7"/>
  <c r="U69" i="7"/>
  <c r="S69" i="7"/>
  <c r="Q69" i="7"/>
  <c r="R69" i="7"/>
  <c r="P69" i="7"/>
  <c r="S97" i="7"/>
  <c r="U97" i="7"/>
  <c r="P97" i="7"/>
  <c r="Q97" i="7"/>
  <c r="R97" i="7"/>
  <c r="T344" i="7"/>
  <c r="T6" i="7"/>
  <c r="P374" i="7"/>
  <c r="Q374" i="7"/>
  <c r="M369" i="7"/>
  <c r="N369" i="7" s="1"/>
  <c r="R258" i="7"/>
  <c r="U258" i="7"/>
  <c r="U127" i="7"/>
  <c r="T127" i="7"/>
  <c r="P127" i="7"/>
  <c r="S127" i="7"/>
  <c r="Q170" i="7"/>
  <c r="U170" i="7"/>
  <c r="P115" i="7"/>
  <c r="R115" i="7"/>
  <c r="T115" i="7"/>
  <c r="S115" i="7"/>
  <c r="Q115" i="7"/>
  <c r="U205" i="7"/>
  <c r="T205" i="7"/>
  <c r="S205" i="7"/>
  <c r="T144" i="7"/>
  <c r="P144" i="7"/>
  <c r="Q144" i="7"/>
  <c r="R144" i="7"/>
  <c r="S144" i="7"/>
  <c r="U144" i="7"/>
  <c r="R170" i="7"/>
  <c r="S145" i="7"/>
  <c r="Q282" i="7"/>
  <c r="S344" i="7"/>
  <c r="P119" i="7"/>
  <c r="S6" i="7"/>
  <c r="R76" i="7"/>
  <c r="P348" i="7"/>
  <c r="R348" i="7"/>
  <c r="T348" i="7"/>
  <c r="S348" i="7"/>
  <c r="Q330" i="7"/>
  <c r="U330" i="7"/>
  <c r="T190" i="7"/>
  <c r="R173" i="7"/>
  <c r="P282" i="7"/>
  <c r="R344" i="7"/>
  <c r="R6" i="7"/>
  <c r="Q3" i="7"/>
  <c r="Q286" i="7"/>
  <c r="T286" i="7"/>
  <c r="U286" i="7"/>
  <c r="U64" i="7"/>
  <c r="P64" i="7"/>
  <c r="Q64" i="7"/>
  <c r="T64" i="7"/>
  <c r="R206" i="7"/>
  <c r="P206" i="7"/>
  <c r="T291" i="7"/>
  <c r="R291" i="7"/>
  <c r="S291" i="7"/>
  <c r="R100" i="7"/>
  <c r="P100" i="7"/>
  <c r="S100" i="7"/>
  <c r="Q100" i="7"/>
  <c r="R231" i="7"/>
  <c r="P231" i="7"/>
  <c r="Q231" i="7"/>
  <c r="T231" i="7"/>
  <c r="P256" i="7"/>
  <c r="S256" i="7"/>
  <c r="T256" i="7"/>
  <c r="Q256" i="7"/>
  <c r="R240" i="7"/>
  <c r="S240" i="7"/>
  <c r="P240" i="7"/>
  <c r="T240" i="7"/>
  <c r="Q240" i="7"/>
  <c r="U240" i="7"/>
  <c r="T34" i="7"/>
  <c r="U34" i="7"/>
  <c r="Q34" i="7"/>
  <c r="R34" i="7"/>
  <c r="S34" i="7"/>
  <c r="R191" i="7"/>
  <c r="R286" i="7"/>
  <c r="U348" i="7"/>
  <c r="P271" i="7"/>
  <c r="R216" i="7"/>
  <c r="R127" i="7"/>
  <c r="T193" i="7"/>
  <c r="S193" i="7"/>
  <c r="U193" i="7"/>
  <c r="P370" i="7"/>
  <c r="R370" i="7"/>
  <c r="S370" i="7"/>
  <c r="T179" i="7"/>
  <c r="P179" i="7"/>
  <c r="Q179" i="7"/>
  <c r="R179" i="7"/>
  <c r="S179" i="7"/>
  <c r="U179" i="7"/>
  <c r="S142" i="7"/>
  <c r="T142" i="7"/>
  <c r="Q142" i="7"/>
  <c r="Q264" i="7"/>
  <c r="T264" i="7"/>
  <c r="P264" i="7"/>
  <c r="U264" i="7"/>
  <c r="S264" i="7"/>
  <c r="Q54" i="7"/>
  <c r="R54" i="7"/>
  <c r="Q201" i="7"/>
  <c r="R201" i="7"/>
  <c r="S201" i="7"/>
  <c r="T201" i="7"/>
  <c r="P201" i="7"/>
  <c r="P14" i="7"/>
  <c r="T14" i="7"/>
  <c r="Q14" i="7"/>
  <c r="R14" i="7"/>
  <c r="S102" i="7"/>
  <c r="Q102" i="7"/>
  <c r="T370" i="7"/>
  <c r="R152" i="7"/>
  <c r="U413" i="7"/>
  <c r="R413" i="7"/>
  <c r="S413" i="7"/>
  <c r="T413" i="7"/>
  <c r="P241" i="7"/>
  <c r="Q241" i="7"/>
  <c r="T241" i="7"/>
  <c r="P140" i="7"/>
  <c r="U140" i="7"/>
  <c r="S140" i="7"/>
  <c r="R140" i="7"/>
  <c r="T140" i="7"/>
  <c r="P340" i="7"/>
  <c r="Q340" i="7"/>
  <c r="R340" i="7"/>
  <c r="T340" i="7"/>
  <c r="U340" i="7"/>
  <c r="T74" i="7"/>
  <c r="P74" i="7"/>
  <c r="L56" i="7"/>
  <c r="M56" i="7" s="1"/>
  <c r="N56" i="7" s="1"/>
  <c r="R13" i="7"/>
  <c r="U13" i="7"/>
  <c r="P46" i="7"/>
  <c r="R46" i="7"/>
  <c r="T46" i="7"/>
  <c r="S62" i="7"/>
  <c r="T62" i="7"/>
  <c r="P62" i="7"/>
  <c r="U62" i="7"/>
  <c r="U173" i="7"/>
  <c r="T363" i="7"/>
  <c r="Q145" i="7"/>
  <c r="Q347" i="7"/>
  <c r="R363" i="7"/>
  <c r="T152" i="7"/>
  <c r="R50" i="7"/>
  <c r="Q46" i="7"/>
  <c r="R396" i="7"/>
  <c r="P396" i="7"/>
  <c r="Q396" i="7"/>
  <c r="S396" i="7"/>
  <c r="U396" i="7"/>
  <c r="P317" i="7"/>
  <c r="Q317" i="7"/>
  <c r="R317" i="7"/>
  <c r="S317" i="7"/>
  <c r="P29" i="7"/>
  <c r="S29" i="7"/>
  <c r="T29" i="7"/>
  <c r="P96" i="7"/>
  <c r="S96" i="7"/>
  <c r="R256" i="7"/>
  <c r="S347" i="7"/>
  <c r="Q96" i="7"/>
  <c r="Q139" i="7"/>
  <c r="S64" i="7"/>
  <c r="T381" i="7"/>
  <c r="P381" i="7"/>
  <c r="Q381" i="7"/>
  <c r="R381" i="7"/>
  <c r="S381" i="7"/>
  <c r="U381" i="7"/>
  <c r="P31" i="7"/>
  <c r="T31" i="7"/>
  <c r="Q301" i="7"/>
  <c r="R301" i="7"/>
  <c r="P303" i="7"/>
  <c r="U303" i="7"/>
  <c r="R11" i="7"/>
  <c r="S11" i="7"/>
  <c r="T11" i="7"/>
  <c r="U11" i="7"/>
  <c r="U148" i="7"/>
  <c r="Q148" i="7"/>
  <c r="P192" i="7"/>
  <c r="R192" i="7"/>
  <c r="T168" i="7"/>
  <c r="U168" i="7"/>
  <c r="P168" i="7"/>
  <c r="Q168" i="7"/>
  <c r="U108" i="7"/>
  <c r="Q108" i="7"/>
  <c r="R108" i="7"/>
  <c r="S340" i="7"/>
  <c r="P205" i="7"/>
  <c r="T347" i="7"/>
  <c r="S203" i="7"/>
  <c r="S13" i="7"/>
  <c r="T124" i="7"/>
  <c r="P16" i="7"/>
  <c r="P411" i="7"/>
  <c r="S411" i="7"/>
  <c r="T411" i="7"/>
  <c r="T356" i="7"/>
  <c r="U356" i="7"/>
  <c r="Q43" i="7"/>
  <c r="P43" i="7"/>
  <c r="T106" i="7"/>
  <c r="S14" i="7"/>
  <c r="P377" i="7"/>
  <c r="S377" i="7"/>
  <c r="P80" i="7"/>
  <c r="R80" i="7"/>
  <c r="S80" i="7"/>
  <c r="T80" i="7"/>
  <c r="S313" i="7"/>
  <c r="P313" i="7"/>
  <c r="T313" i="7"/>
  <c r="R313" i="7"/>
  <c r="M345" i="7"/>
  <c r="P200" i="7"/>
  <c r="R200" i="7"/>
  <c r="U200" i="7"/>
  <c r="S200" i="7"/>
  <c r="T200" i="7"/>
  <c r="Q200" i="7"/>
  <c r="M400" i="7"/>
  <c r="T301" i="7"/>
  <c r="U313" i="7"/>
  <c r="T258" i="7"/>
  <c r="S241" i="7"/>
  <c r="Q203" i="7"/>
  <c r="U139" i="7"/>
  <c r="Q16" i="7"/>
  <c r="R106" i="7"/>
  <c r="P217" i="7"/>
  <c r="S217" i="7"/>
  <c r="Q24" i="7"/>
  <c r="P24" i="7"/>
  <c r="T396" i="7"/>
  <c r="S363" i="7"/>
  <c r="P346" i="7"/>
  <c r="R241" i="7"/>
  <c r="R203" i="7"/>
  <c r="T139" i="7"/>
  <c r="S124" i="7"/>
  <c r="R16" i="7"/>
  <c r="U4" i="7"/>
  <c r="T108" i="7"/>
  <c r="S106" i="7"/>
  <c r="P208" i="7"/>
  <c r="Q208" i="7"/>
  <c r="R208" i="7"/>
  <c r="S208" i="7"/>
  <c r="T208" i="7"/>
  <c r="M378" i="7"/>
  <c r="N378" i="7" s="1"/>
  <c r="S15" i="7"/>
  <c r="P15" i="7"/>
  <c r="Q15" i="7"/>
  <c r="T15" i="7"/>
  <c r="U15" i="7"/>
  <c r="Q313" i="7"/>
  <c r="Q370" i="7"/>
  <c r="Q218" i="7"/>
  <c r="R139" i="7"/>
  <c r="U124" i="7"/>
  <c r="R33" i="7"/>
  <c r="T4" i="7"/>
  <c r="S108" i="7"/>
  <c r="Q28" i="7"/>
  <c r="Q106" i="7"/>
  <c r="P106" i="7"/>
  <c r="P258" i="7"/>
  <c r="Q392" i="7"/>
  <c r="R392" i="7"/>
  <c r="Q136" i="7"/>
  <c r="R136" i="7"/>
  <c r="R190" i="7"/>
  <c r="P190" i="7"/>
  <c r="U190" i="7"/>
  <c r="U5" i="7"/>
  <c r="P5" i="7"/>
  <c r="Q5" i="7"/>
  <c r="R5" i="7"/>
  <c r="S5" i="7"/>
  <c r="T5" i="7"/>
  <c r="U142" i="7"/>
  <c r="R124" i="7"/>
  <c r="U75" i="7"/>
  <c r="P75" i="7"/>
  <c r="Q346" i="7"/>
  <c r="S346" i="7"/>
  <c r="T346" i="7"/>
  <c r="U346" i="7"/>
  <c r="K318" i="7"/>
  <c r="L318" i="7"/>
  <c r="R283" i="7"/>
  <c r="U283" i="7"/>
  <c r="M331" i="7"/>
  <c r="Q140" i="7"/>
  <c r="R215" i="7"/>
  <c r="R296" i="7"/>
  <c r="T377" i="7"/>
  <c r="R316" i="7"/>
  <c r="T382" i="7"/>
  <c r="S152" i="7"/>
  <c r="U53" i="7"/>
  <c r="T75" i="7"/>
  <c r="U100" i="7"/>
  <c r="P386" i="7"/>
  <c r="Q386" i="7"/>
  <c r="P13" i="7"/>
  <c r="Q258" i="7"/>
  <c r="Q71" i="7"/>
  <c r="T251" i="7"/>
  <c r="P251" i="7"/>
  <c r="Q246" i="7"/>
  <c r="R246" i="7"/>
  <c r="U246" i="7"/>
  <c r="P67" i="7"/>
  <c r="Q67" i="7"/>
  <c r="U136" i="7"/>
  <c r="U152" i="7"/>
  <c r="Q17" i="7"/>
  <c r="T53" i="7"/>
  <c r="P94" i="7"/>
  <c r="R94" i="7"/>
  <c r="S75" i="7"/>
  <c r="T100" i="7"/>
  <c r="S258" i="7"/>
  <c r="T186" i="7"/>
  <c r="R186" i="7"/>
  <c r="P152" i="7"/>
  <c r="T123" i="7"/>
  <c r="Q123" i="7"/>
  <c r="S35" i="7"/>
  <c r="T35" i="7"/>
  <c r="U35" i="7"/>
  <c r="P35" i="7"/>
  <c r="S286" i="7"/>
  <c r="U317" i="7"/>
  <c r="P215" i="7"/>
  <c r="R134" i="7"/>
  <c r="P344" i="7"/>
  <c r="T44" i="7"/>
  <c r="R93" i="7"/>
  <c r="R53" i="7"/>
  <c r="Q13" i="7"/>
  <c r="P366" i="7"/>
  <c r="Q366" i="7"/>
  <c r="S366" i="7"/>
  <c r="T366" i="7"/>
  <c r="S55" i="7"/>
  <c r="T55" i="7"/>
  <c r="U55" i="7"/>
  <c r="P55" i="7"/>
  <c r="Q55" i="7"/>
  <c r="R55" i="7"/>
  <c r="P392" i="7"/>
  <c r="S53" i="7"/>
  <c r="Q75" i="7"/>
  <c r="S71" i="7"/>
  <c r="P338" i="7"/>
  <c r="T338" i="7"/>
  <c r="U338" i="7"/>
  <c r="P275" i="7"/>
  <c r="U275" i="7"/>
  <c r="T275" i="7"/>
  <c r="Q275" i="7"/>
  <c r="T99" i="7"/>
  <c r="U99" i="7"/>
  <c r="P99" i="7"/>
  <c r="R37" i="7"/>
  <c r="S37" i="7"/>
  <c r="P37" i="7"/>
  <c r="Q37" i="7"/>
  <c r="P286" i="7"/>
  <c r="T317" i="7"/>
  <c r="Q377" i="7"/>
  <c r="S44" i="7"/>
  <c r="Q93" i="7"/>
  <c r="T97" i="7"/>
  <c r="P113" i="7"/>
  <c r="U113" i="7"/>
  <c r="U14" i="7"/>
  <c r="R61" i="7"/>
  <c r="S61" i="7"/>
  <c r="T61" i="7"/>
  <c r="Q369" i="7"/>
  <c r="T125" i="7"/>
  <c r="Q120" i="7"/>
  <c r="R117" i="7"/>
  <c r="S117" i="7"/>
  <c r="T117" i="7"/>
  <c r="U117" i="7"/>
  <c r="P228" i="7"/>
  <c r="U228" i="7"/>
  <c r="T228" i="7"/>
  <c r="Q228" i="7"/>
  <c r="R228" i="7"/>
  <c r="R403" i="7"/>
  <c r="U125" i="7"/>
  <c r="M349" i="7"/>
  <c r="N349" i="7" s="1"/>
  <c r="S311" i="7"/>
  <c r="P209" i="7"/>
  <c r="Q187" i="7"/>
  <c r="U8" i="7"/>
  <c r="T8" i="7"/>
  <c r="T352" i="7"/>
  <c r="S187" i="7"/>
  <c r="Q68" i="7"/>
  <c r="U418" i="7"/>
  <c r="P68" i="7"/>
  <c r="S120" i="7"/>
  <c r="Q229" i="7"/>
  <c r="P229" i="7"/>
  <c r="P174" i="7"/>
  <c r="S68" i="7"/>
  <c r="T88" i="7"/>
  <c r="P95" i="7"/>
  <c r="Q202" i="7"/>
  <c r="S88" i="7"/>
  <c r="U95" i="7"/>
  <c r="T369" i="7"/>
  <c r="R315" i="7"/>
  <c r="R88" i="7"/>
  <c r="U103" i="7"/>
  <c r="P329" i="7"/>
  <c r="S335" i="7"/>
  <c r="U280" i="7"/>
  <c r="Q280" i="7"/>
  <c r="P82" i="7"/>
  <c r="T103" i="7"/>
  <c r="U59" i="7"/>
  <c r="P357" i="7"/>
  <c r="P385" i="7"/>
  <c r="S386" i="7"/>
  <c r="U74" i="7"/>
  <c r="P130" i="7"/>
  <c r="R74" i="7"/>
  <c r="R103" i="7"/>
  <c r="P21" i="7"/>
  <c r="P277" i="7"/>
  <c r="Q103" i="7"/>
  <c r="S392" i="7"/>
  <c r="T50" i="7"/>
  <c r="R212" i="7"/>
  <c r="Q50" i="7"/>
  <c r="S257" i="7"/>
  <c r="P216" i="7"/>
  <c r="R26" i="7"/>
  <c r="T79" i="7"/>
  <c r="T82" i="7"/>
  <c r="P137" i="7"/>
  <c r="R198" i="7"/>
  <c r="S285" i="7"/>
  <c r="U373" i="7"/>
  <c r="S274" i="7"/>
  <c r="Q358" i="7"/>
  <c r="U130" i="7"/>
  <c r="U110" i="7"/>
  <c r="S52" i="7"/>
  <c r="P11" i="7"/>
  <c r="Q80" i="7"/>
  <c r="R20" i="7"/>
  <c r="U385" i="7"/>
  <c r="S225" i="7"/>
  <c r="U249" i="7"/>
  <c r="Q290" i="7"/>
  <c r="P274" i="7"/>
  <c r="Q199" i="7"/>
  <c r="R52" i="7"/>
  <c r="U80" i="7"/>
  <c r="Q385" i="7"/>
  <c r="R330" i="7"/>
  <c r="Q249" i="7"/>
  <c r="T318" i="7"/>
  <c r="T157" i="7"/>
  <c r="S418" i="7"/>
  <c r="Q283" i="7"/>
  <c r="Q52" i="7"/>
  <c r="S28" i="7"/>
  <c r="Q20" i="7"/>
  <c r="S275" i="7"/>
  <c r="S385" i="7"/>
  <c r="T249" i="7"/>
  <c r="P419" i="7"/>
  <c r="P318" i="7"/>
  <c r="P158" i="7"/>
  <c r="R311" i="7"/>
  <c r="R320" i="7"/>
  <c r="T10" i="7"/>
  <c r="S20" i="7"/>
  <c r="P328" i="7"/>
  <c r="S77" i="7"/>
  <c r="R275" i="7"/>
  <c r="U111" i="7"/>
  <c r="R110" i="7"/>
  <c r="Q335" i="7"/>
  <c r="T277" i="7"/>
  <c r="T81" i="7"/>
  <c r="U47" i="7"/>
  <c r="R77" i="7"/>
  <c r="T111" i="7"/>
  <c r="T57" i="7"/>
  <c r="Q419" i="7"/>
  <c r="U357" i="7"/>
  <c r="T47" i="7"/>
  <c r="T77" i="7"/>
  <c r="S414" i="7"/>
  <c r="Q359" i="7"/>
  <c r="R111" i="7"/>
  <c r="S82" i="7"/>
  <c r="T21" i="7"/>
  <c r="T333" i="7"/>
  <c r="U198" i="7"/>
  <c r="S170" i="7"/>
  <c r="S277" i="7"/>
  <c r="T244" i="7"/>
  <c r="S43" i="7"/>
  <c r="R21" i="7"/>
  <c r="U218" i="7"/>
  <c r="Q21" i="7"/>
  <c r="S262" i="7"/>
  <c r="S50" i="7"/>
  <c r="T216" i="7"/>
  <c r="R372" i="7"/>
  <c r="R162" i="7"/>
  <c r="P197" i="7"/>
  <c r="S216" i="7"/>
  <c r="U151" i="7"/>
  <c r="R244" i="7"/>
  <c r="P166" i="7"/>
  <c r="P123" i="7"/>
  <c r="P10" i="7"/>
  <c r="P81" i="7"/>
  <c r="Q53" i="7"/>
  <c r="S59" i="7"/>
  <c r="P170" i="7"/>
  <c r="R156" i="7"/>
  <c r="U21" i="7"/>
  <c r="Q57" i="7"/>
  <c r="U285" i="7"/>
  <c r="S249" i="7"/>
  <c r="S333" i="7"/>
  <c r="Q257" i="7"/>
  <c r="R257" i="7"/>
  <c r="R151" i="7"/>
  <c r="T147" i="7"/>
  <c r="T324" i="7"/>
  <c r="T170" i="7"/>
  <c r="S409" i="7"/>
  <c r="T166" i="7"/>
  <c r="S45" i="7"/>
  <c r="S10" i="7"/>
  <c r="U105" i="7"/>
  <c r="T43" i="7"/>
  <c r="U277" i="7"/>
  <c r="U50" i="7"/>
  <c r="U57" i="7"/>
  <c r="Q151" i="7"/>
  <c r="T158" i="7"/>
  <c r="Q324" i="7"/>
  <c r="S166" i="7"/>
  <c r="R367" i="7"/>
  <c r="Q45" i="7"/>
  <c r="S123" i="7"/>
  <c r="T112" i="7"/>
  <c r="S81" i="7"/>
  <c r="R104" i="7"/>
  <c r="T105" i="7"/>
  <c r="R24" i="7"/>
  <c r="U115" i="7"/>
  <c r="U244" i="7"/>
  <c r="P85" i="7"/>
  <c r="R262" i="7"/>
  <c r="T419" i="7"/>
  <c r="R309" i="7"/>
  <c r="S324" i="7"/>
  <c r="Q166" i="7"/>
  <c r="Q40" i="7"/>
  <c r="Q11" i="7"/>
  <c r="R123" i="7"/>
  <c r="Q26" i="7"/>
  <c r="U94" i="7"/>
  <c r="R81" i="7"/>
  <c r="S105" i="7"/>
  <c r="U23" i="7"/>
  <c r="R43" i="7"/>
  <c r="S263" i="7"/>
  <c r="Q263" i="7"/>
  <c r="T262" i="7"/>
  <c r="Q333" i="7"/>
  <c r="Q59" i="7"/>
  <c r="T257" i="7"/>
  <c r="Q35" i="7"/>
  <c r="R35" i="7"/>
  <c r="U162" i="7"/>
  <c r="S244" i="7"/>
  <c r="P309" i="7"/>
  <c r="R314" i="7"/>
  <c r="U372" i="7"/>
  <c r="R207" i="7"/>
  <c r="P105" i="7"/>
  <c r="T23" i="7"/>
  <c r="T59" i="7"/>
  <c r="P57" i="7"/>
  <c r="Q216" i="7"/>
  <c r="R59" i="7"/>
  <c r="R249" i="7"/>
  <c r="U374" i="7"/>
  <c r="T372" i="7"/>
  <c r="R29" i="7"/>
  <c r="R82" i="7"/>
  <c r="R105" i="7"/>
  <c r="S23" i="7"/>
  <c r="U43" i="7"/>
  <c r="P156" i="7"/>
  <c r="P297" i="7"/>
  <c r="Q232" i="7"/>
  <c r="P257" i="7"/>
  <c r="R135" i="7"/>
  <c r="Q198" i="7"/>
  <c r="S178" i="7"/>
  <c r="R374" i="7"/>
  <c r="R148" i="7"/>
  <c r="S372" i="7"/>
  <c r="R143" i="7"/>
  <c r="Q141" i="7"/>
  <c r="Q110" i="7"/>
  <c r="T276" i="7"/>
  <c r="S212" i="7"/>
  <c r="R23" i="7"/>
  <c r="U29" i="7"/>
  <c r="P223" i="7"/>
  <c r="R223" i="7"/>
  <c r="S223" i="7"/>
  <c r="T223" i="7"/>
  <c r="U223" i="7"/>
  <c r="Q223" i="7"/>
  <c r="P395" i="7"/>
  <c r="S395" i="7"/>
  <c r="T395" i="7"/>
  <c r="U395" i="7"/>
  <c r="P219" i="7"/>
  <c r="T331" i="7"/>
  <c r="Q331" i="7"/>
  <c r="P104" i="7"/>
  <c r="Q104" i="7"/>
  <c r="T260" i="7"/>
  <c r="U27" i="7"/>
  <c r="P391" i="7"/>
  <c r="Q391" i="7"/>
  <c r="S391" i="7"/>
  <c r="T391" i="7"/>
  <c r="S221" i="7"/>
  <c r="U141" i="7"/>
  <c r="U352" i="7"/>
  <c r="P352" i="7"/>
  <c r="Q352" i="7"/>
  <c r="S352" i="7"/>
  <c r="Q402" i="7"/>
  <c r="R402" i="7"/>
  <c r="P402" i="7"/>
  <c r="U402" i="7"/>
  <c r="U67" i="7"/>
  <c r="T52" i="7"/>
  <c r="S133" i="7"/>
  <c r="Q133" i="7"/>
  <c r="R133" i="7"/>
  <c r="T133" i="7"/>
  <c r="U133" i="7"/>
  <c r="P78" i="7"/>
  <c r="Q78" i="7"/>
  <c r="R78" i="7"/>
  <c r="S78" i="7"/>
  <c r="T78" i="7"/>
  <c r="Q48" i="7"/>
  <c r="T48" i="7"/>
  <c r="S48" i="7"/>
  <c r="P48" i="7"/>
  <c r="R48" i="7"/>
  <c r="U48" i="7"/>
  <c r="S66" i="7"/>
  <c r="T66" i="7"/>
  <c r="U66" i="7"/>
  <c r="R66" i="7"/>
  <c r="Q66" i="7"/>
  <c r="P122" i="7"/>
  <c r="R122" i="7"/>
  <c r="S122" i="7"/>
  <c r="T122" i="7"/>
  <c r="U122" i="7"/>
  <c r="Q83" i="7"/>
  <c r="P83" i="7"/>
  <c r="R197" i="7"/>
  <c r="U197" i="7"/>
  <c r="Q197" i="7"/>
  <c r="S197" i="7"/>
  <c r="T104" i="7"/>
  <c r="R113" i="7"/>
  <c r="P84" i="7"/>
  <c r="T113" i="7"/>
  <c r="Q326" i="7"/>
  <c r="T70" i="7"/>
  <c r="P70" i="7"/>
  <c r="U70" i="7"/>
  <c r="Q70" i="7"/>
  <c r="S70" i="7"/>
  <c r="U84" i="7"/>
  <c r="S22" i="7"/>
  <c r="Q22" i="7"/>
  <c r="R22" i="7"/>
  <c r="R83" i="7"/>
  <c r="S113" i="7"/>
  <c r="P371" i="7"/>
  <c r="Q371" i="7"/>
  <c r="T98" i="7"/>
  <c r="P98" i="7"/>
  <c r="Q98" i="7"/>
  <c r="U98" i="7"/>
  <c r="S98" i="7"/>
  <c r="P52" i="7"/>
  <c r="R177" i="7"/>
  <c r="U177" i="7"/>
  <c r="P177" i="7"/>
  <c r="Q132" i="7"/>
  <c r="P132" i="7"/>
  <c r="R132" i="7"/>
  <c r="P412" i="7"/>
  <c r="Q412" i="7"/>
  <c r="S412" i="7"/>
  <c r="T412" i="7"/>
  <c r="U412" i="7"/>
  <c r="U22" i="7"/>
  <c r="Q113" i="7"/>
  <c r="U411" i="7"/>
  <c r="P126" i="7"/>
  <c r="Q126" i="7"/>
  <c r="T126" i="7"/>
  <c r="U126" i="7"/>
  <c r="S126" i="7"/>
  <c r="Q298" i="7"/>
  <c r="S298" i="7"/>
  <c r="U298" i="7"/>
  <c r="P298" i="7"/>
  <c r="R298" i="7"/>
  <c r="T67" i="7"/>
  <c r="P160" i="7"/>
  <c r="T160" i="7"/>
  <c r="R160" i="7"/>
  <c r="S160" i="7"/>
  <c r="U160" i="7"/>
  <c r="Q160" i="7"/>
  <c r="T22" i="7"/>
  <c r="Q27" i="7"/>
  <c r="T207" i="7"/>
  <c r="T298" i="7"/>
  <c r="S67" i="7"/>
  <c r="R161" i="7"/>
  <c r="S161" i="7"/>
  <c r="P360" i="7"/>
  <c r="T360" i="7"/>
  <c r="U360" i="7"/>
  <c r="S360" i="7"/>
  <c r="S27" i="7"/>
  <c r="R225" i="7"/>
  <c r="Q225" i="7"/>
  <c r="T225" i="7"/>
  <c r="P225" i="7"/>
  <c r="R328" i="7"/>
  <c r="T328" i="7"/>
  <c r="Q328" i="7"/>
  <c r="S328" i="7"/>
  <c r="T353" i="7"/>
  <c r="Q353" i="7"/>
  <c r="U78" i="7"/>
  <c r="P417" i="7"/>
  <c r="U417" i="7"/>
  <c r="T417" i="7"/>
  <c r="Q417" i="7"/>
  <c r="U72" i="7"/>
  <c r="S72" i="7"/>
  <c r="T72" i="7"/>
  <c r="P72" i="7"/>
  <c r="Q72" i="7"/>
  <c r="U220" i="7"/>
  <c r="Q220" i="7"/>
  <c r="R220" i="7"/>
  <c r="P149" i="7"/>
  <c r="Q149" i="7"/>
  <c r="R356" i="7"/>
  <c r="Q356" i="7"/>
  <c r="P356" i="7"/>
  <c r="S356" i="7"/>
  <c r="R415" i="7"/>
  <c r="P415" i="7"/>
  <c r="R149" i="7"/>
  <c r="S306" i="7"/>
  <c r="R141" i="7"/>
  <c r="S141" i="7"/>
  <c r="U104" i="7"/>
  <c r="P227" i="7"/>
  <c r="T92" i="7"/>
  <c r="U92" i="7"/>
  <c r="S92" i="7"/>
  <c r="Q92" i="7"/>
  <c r="R92" i="7"/>
  <c r="T84" i="7"/>
  <c r="Q84" i="7"/>
  <c r="R84" i="7"/>
  <c r="Q414" i="7"/>
  <c r="R414" i="7"/>
  <c r="T42" i="7"/>
  <c r="Q42" i="7"/>
  <c r="U42" i="7"/>
  <c r="P42" i="7"/>
  <c r="R42" i="7"/>
  <c r="P39" i="7"/>
  <c r="R39" i="7"/>
  <c r="S39" i="7"/>
  <c r="Q39" i="7"/>
  <c r="T39" i="7"/>
  <c r="R417" i="7"/>
  <c r="P27" i="7"/>
  <c r="P326" i="7"/>
  <c r="R235" i="7"/>
  <c r="S235" i="7"/>
  <c r="P235" i="7"/>
  <c r="U235" i="7"/>
  <c r="Q235" i="7"/>
  <c r="R9" i="7"/>
  <c r="R67" i="7"/>
  <c r="Q19" i="7"/>
  <c r="R19" i="7"/>
  <c r="S19" i="7"/>
  <c r="T27" i="7"/>
  <c r="T137" i="7"/>
  <c r="U213" i="7"/>
  <c r="S283" i="7"/>
  <c r="T283" i="7"/>
  <c r="P283" i="7"/>
  <c r="S42" i="7"/>
  <c r="U207" i="7"/>
  <c r="Q25" i="7"/>
  <c r="T270" i="7"/>
  <c r="Q270" i="7"/>
  <c r="Q219" i="7"/>
  <c r="T219" i="7"/>
  <c r="R219" i="7"/>
  <c r="P38" i="7"/>
  <c r="T213" i="7"/>
  <c r="U9" i="7"/>
  <c r="T9" i="7"/>
  <c r="P9" i="7"/>
  <c r="P250" i="7"/>
  <c r="Q250" i="7"/>
  <c r="R250" i="7"/>
  <c r="S250" i="7"/>
  <c r="T250" i="7"/>
  <c r="Q58" i="7"/>
  <c r="P25" i="7"/>
  <c r="P189" i="7"/>
  <c r="R189" i="7"/>
  <c r="U219" i="7"/>
  <c r="T221" i="7"/>
  <c r="T345" i="7"/>
  <c r="S345" i="7"/>
  <c r="R196" i="7"/>
  <c r="P196" i="7"/>
  <c r="T196" i="7"/>
  <c r="S196" i="7"/>
  <c r="Q196" i="7"/>
  <c r="P73" i="7"/>
  <c r="Q73" i="7"/>
  <c r="Q86" i="7"/>
  <c r="U19" i="7"/>
  <c r="Q217" i="7"/>
  <c r="T73" i="7"/>
  <c r="R373" i="7"/>
  <c r="P373" i="7"/>
  <c r="S373" i="7"/>
  <c r="T373" i="7"/>
  <c r="P276" i="7"/>
  <c r="Q276" i="7"/>
  <c r="S276" i="7"/>
  <c r="U276" i="7"/>
  <c r="R280" i="7"/>
  <c r="T280" i="7"/>
  <c r="S280" i="7"/>
  <c r="T19" i="7"/>
  <c r="Q193" i="7"/>
  <c r="P193" i="7"/>
  <c r="R193" i="7"/>
  <c r="Q137" i="7"/>
  <c r="U73" i="7"/>
  <c r="T204" i="7"/>
  <c r="U204" i="7"/>
  <c r="P204" i="7"/>
  <c r="R204" i="7"/>
  <c r="S204" i="7"/>
  <c r="R38" i="7"/>
  <c r="S38" i="7"/>
  <c r="T38" i="7"/>
  <c r="U38" i="7"/>
  <c r="T25" i="7"/>
  <c r="S25" i="7"/>
  <c r="R25" i="7"/>
  <c r="U58" i="7"/>
  <c r="R58" i="7"/>
  <c r="S58" i="7"/>
  <c r="T58" i="7"/>
  <c r="P263" i="7"/>
  <c r="U263" i="7"/>
  <c r="T263" i="7"/>
  <c r="Q259" i="7"/>
  <c r="U259" i="7"/>
  <c r="S9" i="7"/>
  <c r="Q207" i="7"/>
  <c r="R411" i="7"/>
  <c r="Q411" i="7"/>
  <c r="P420" i="7"/>
  <c r="S420" i="7"/>
  <c r="S299" i="7"/>
  <c r="U299" i="7"/>
  <c r="P207" i="7"/>
  <c r="T217" i="7"/>
  <c r="U217" i="7"/>
  <c r="T86" i="7"/>
  <c r="U86" i="7"/>
  <c r="R86" i="7"/>
  <c r="S86" i="7"/>
  <c r="R217" i="7"/>
  <c r="T177" i="7"/>
  <c r="P311" i="7"/>
  <c r="U311" i="7"/>
  <c r="T311" i="7"/>
  <c r="P141" i="7"/>
  <c r="R137" i="7"/>
  <c r="P176" i="7"/>
  <c r="T176" i="7"/>
  <c r="S73" i="7"/>
  <c r="R114" i="7"/>
  <c r="T114" i="7"/>
  <c r="P114" i="7"/>
  <c r="Q114" i="7"/>
  <c r="S114" i="7"/>
  <c r="U132" i="7"/>
  <c r="Q204" i="7"/>
  <c r="S137" i="7"/>
  <c r="R73" i="7"/>
  <c r="U114" i="7"/>
  <c r="S364" i="7"/>
  <c r="Q364" i="7"/>
  <c r="R364" i="7"/>
  <c r="U364" i="7"/>
  <c r="S168" i="7"/>
  <c r="R168" i="7"/>
  <c r="Q47" i="7"/>
  <c r="R47" i="7"/>
  <c r="P47" i="7"/>
  <c r="P413" i="7"/>
  <c r="Q329" i="7"/>
  <c r="S329" i="7"/>
  <c r="S65" i="7"/>
  <c r="T359" i="7"/>
  <c r="Q192" i="7"/>
  <c r="S361" i="7"/>
  <c r="T327" i="7"/>
  <c r="R269" i="7"/>
  <c r="U102" i="7"/>
  <c r="R65" i="7"/>
  <c r="U389" i="7"/>
  <c r="P359" i="7"/>
  <c r="T246" i="7"/>
  <c r="T361" i="7"/>
  <c r="U392" i="7"/>
  <c r="S314" i="7"/>
  <c r="T374" i="7"/>
  <c r="Q291" i="7"/>
  <c r="S271" i="7"/>
  <c r="S327" i="7"/>
  <c r="S269" i="7"/>
  <c r="R171" i="7"/>
  <c r="P292" i="7"/>
  <c r="U292" i="7"/>
  <c r="Q292" i="7"/>
  <c r="R292" i="7"/>
  <c r="S292" i="7"/>
  <c r="T292" i="7"/>
  <c r="T102" i="7"/>
  <c r="Q65" i="7"/>
  <c r="S389" i="7"/>
  <c r="T335" i="7"/>
  <c r="S57" i="7"/>
  <c r="S26" i="7"/>
  <c r="Q85" i="7"/>
  <c r="P20" i="7"/>
  <c r="T357" i="7"/>
  <c r="Q162" i="7"/>
  <c r="Q111" i="7"/>
  <c r="Q244" i="7"/>
  <c r="P121" i="7"/>
  <c r="S121" i="7"/>
  <c r="Q121" i="7"/>
  <c r="R121" i="7"/>
  <c r="S94" i="7"/>
  <c r="T94" i="7"/>
  <c r="U316" i="7"/>
  <c r="P108" i="7"/>
  <c r="S111" i="7"/>
  <c r="Q167" i="7"/>
  <c r="S246" i="7"/>
  <c r="R307" i="7"/>
  <c r="R389" i="7"/>
  <c r="U251" i="7"/>
  <c r="S374" i="7"/>
  <c r="P291" i="7"/>
  <c r="S158" i="7"/>
  <c r="S296" i="7"/>
  <c r="P269" i="7"/>
  <c r="S214" i="7"/>
  <c r="U307" i="7"/>
  <c r="Q316" i="7"/>
  <c r="U171" i="7"/>
  <c r="P171" i="7"/>
  <c r="P102" i="7"/>
  <c r="T110" i="7"/>
  <c r="P65" i="7"/>
  <c r="Q389" i="7"/>
  <c r="S85" i="7"/>
  <c r="T20" i="7"/>
  <c r="R274" i="7"/>
  <c r="U329" i="7"/>
  <c r="T389" i="7"/>
  <c r="Q337" i="7"/>
  <c r="U192" i="7"/>
  <c r="T285" i="7"/>
  <c r="Q269" i="7"/>
  <c r="S307" i="7"/>
  <c r="R399" i="7"/>
  <c r="T194" i="7"/>
  <c r="U159" i="7"/>
  <c r="S130" i="7"/>
  <c r="R102" i="7"/>
  <c r="U65" i="7"/>
  <c r="Q357" i="7"/>
  <c r="U85" i="7"/>
  <c r="P246" i="7"/>
  <c r="R85" i="7"/>
  <c r="P218" i="7"/>
  <c r="R218" i="7"/>
  <c r="R361" i="7"/>
  <c r="S157" i="7"/>
  <c r="P214" i="7"/>
  <c r="P307" i="7"/>
  <c r="S74" i="7"/>
  <c r="Q361" i="7"/>
  <c r="U274" i="7"/>
  <c r="Q157" i="7"/>
  <c r="P327" i="7"/>
  <c r="Q320" i="7"/>
  <c r="S320" i="7"/>
  <c r="U320" i="7"/>
  <c r="T320" i="7"/>
  <c r="S93" i="7"/>
  <c r="R28" i="7"/>
  <c r="P361" i="7"/>
  <c r="R335" i="7"/>
  <c r="T162" i="7"/>
  <c r="U262" i="7"/>
  <c r="U324" i="7"/>
  <c r="P157" i="7"/>
  <c r="Q130" i="7"/>
  <c r="P93" i="7"/>
  <c r="T28" i="7"/>
  <c r="U359" i="7"/>
  <c r="Q76" i="7"/>
  <c r="R75" i="7"/>
  <c r="S218" i="7"/>
  <c r="S24" i="7"/>
  <c r="R329" i="7"/>
  <c r="R128" i="7"/>
  <c r="Q74" i="7"/>
  <c r="R359" i="7"/>
  <c r="R327" i="7"/>
  <c r="T355" i="7"/>
  <c r="U134" i="7"/>
  <c r="U93" i="7"/>
  <c r="Q79" i="7"/>
  <c r="U332" i="7"/>
  <c r="P332" i="7"/>
  <c r="Q274" i="7"/>
  <c r="Q135" i="7"/>
  <c r="T290" i="7"/>
  <c r="P151" i="7"/>
  <c r="T156" i="7"/>
  <c r="Q325" i="7"/>
  <c r="S355" i="7"/>
  <c r="S410" i="7"/>
  <c r="Q134" i="7"/>
  <c r="T40" i="7"/>
  <c r="U40" i="7"/>
  <c r="R40" i="7"/>
  <c r="S40" i="7"/>
  <c r="S79" i="7"/>
  <c r="T332" i="7"/>
  <c r="U24" i="7"/>
  <c r="U76" i="7"/>
  <c r="S330" i="7"/>
  <c r="P330" i="7"/>
  <c r="P135" i="7"/>
  <c r="U290" i="7"/>
  <c r="S134" i="7"/>
  <c r="T76" i="7"/>
  <c r="P167" i="7"/>
  <c r="T135" i="7"/>
  <c r="P26" i="7"/>
  <c r="U335" i="7"/>
  <c r="T330" i="7"/>
  <c r="P290" i="7"/>
  <c r="T131" i="7"/>
  <c r="Q156" i="7"/>
  <c r="Q327" i="7"/>
  <c r="P372" i="7"/>
  <c r="T134" i="7"/>
  <c r="P333" i="7"/>
  <c r="S390" i="7"/>
  <c r="R45" i="7"/>
  <c r="P30" i="7"/>
  <c r="Q30" i="7"/>
  <c r="R30" i="7"/>
  <c r="S30" i="7"/>
  <c r="T30" i="7"/>
  <c r="U30" i="7"/>
  <c r="U123" i="7"/>
  <c r="R79" i="7"/>
  <c r="P416" i="7"/>
  <c r="T416" i="7"/>
  <c r="U416" i="7"/>
  <c r="U121" i="7"/>
  <c r="P103" i="7"/>
  <c r="P162" i="7"/>
  <c r="U135" i="7"/>
  <c r="U26" i="7"/>
  <c r="Q29" i="7"/>
  <c r="R336" i="7"/>
  <c r="R271" i="7"/>
  <c r="P79" i="7"/>
  <c r="R332" i="7"/>
  <c r="P355" i="7"/>
  <c r="R290" i="7"/>
  <c r="S156" i="7"/>
  <c r="U333" i="7"/>
  <c r="P8" i="7"/>
  <c r="Q8" i="7"/>
  <c r="R8" i="7"/>
  <c r="T45" i="7"/>
  <c r="T121" i="7"/>
  <c r="Q277" i="7"/>
  <c r="T386" i="7"/>
  <c r="R386" i="7"/>
  <c r="T367" i="7"/>
  <c r="P210" i="7"/>
  <c r="R210" i="7"/>
  <c r="T210" i="7"/>
  <c r="S210" i="7"/>
  <c r="Q210" i="7"/>
  <c r="Q189" i="7"/>
  <c r="P220" i="7"/>
  <c r="T220" i="7"/>
  <c r="T149" i="7"/>
  <c r="R150" i="7"/>
  <c r="U271" i="7"/>
  <c r="T410" i="7"/>
  <c r="U410" i="7"/>
  <c r="S319" i="7"/>
  <c r="S209" i="7"/>
  <c r="Q345" i="7"/>
  <c r="R345" i="7"/>
  <c r="Q296" i="7"/>
  <c r="R185" i="7"/>
  <c r="U353" i="7"/>
  <c r="R214" i="7"/>
  <c r="S231" i="7"/>
  <c r="P316" i="7"/>
  <c r="P345" i="7"/>
  <c r="T222" i="7"/>
  <c r="U199" i="7"/>
  <c r="P270" i="7"/>
  <c r="R227" i="7"/>
  <c r="Q367" i="7"/>
  <c r="Q222" i="7"/>
  <c r="S226" i="7"/>
  <c r="Q150" i="7"/>
  <c r="R209" i="7"/>
  <c r="S353" i="7"/>
  <c r="R222" i="7"/>
  <c r="R354" i="7"/>
  <c r="R182" i="7"/>
  <c r="P182" i="7"/>
  <c r="S182" i="7"/>
  <c r="Q182" i="7"/>
  <c r="T182" i="7"/>
  <c r="T407" i="7"/>
  <c r="U407" i="7"/>
  <c r="Q407" i="7"/>
  <c r="R407" i="7"/>
  <c r="S407" i="7"/>
  <c r="P226" i="7"/>
  <c r="P394" i="7"/>
  <c r="Q394" i="7"/>
  <c r="S394" i="7"/>
  <c r="U394" i="7"/>
  <c r="R394" i="7"/>
  <c r="T209" i="7"/>
  <c r="R326" i="7"/>
  <c r="T326" i="7"/>
  <c r="U185" i="7"/>
  <c r="S222" i="7"/>
  <c r="P238" i="7"/>
  <c r="Q238" i="7"/>
  <c r="R238" i="7"/>
  <c r="S238" i="7"/>
  <c r="T238" i="7"/>
  <c r="S220" i="7"/>
  <c r="U345" i="7"/>
  <c r="P131" i="7"/>
  <c r="Q131" i="7"/>
  <c r="R319" i="7"/>
  <c r="Q185" i="7"/>
  <c r="Q334" i="7"/>
  <c r="P367" i="7"/>
  <c r="Q266" i="7"/>
  <c r="R266" i="7"/>
  <c r="S266" i="7"/>
  <c r="T266" i="7"/>
  <c r="P266" i="7"/>
  <c r="Q273" i="7"/>
  <c r="R273" i="7"/>
  <c r="S273" i="7"/>
  <c r="T273" i="7"/>
  <c r="U273" i="7"/>
  <c r="T226" i="7"/>
  <c r="U305" i="7"/>
  <c r="Q420" i="7"/>
  <c r="U318" i="7"/>
  <c r="U131" i="7"/>
  <c r="Q319" i="7"/>
  <c r="Q209" i="7"/>
  <c r="P185" i="7"/>
  <c r="R353" i="7"/>
  <c r="Q214" i="7"/>
  <c r="T316" i="7"/>
  <c r="R334" i="7"/>
  <c r="Q390" i="7"/>
  <c r="T255" i="7"/>
  <c r="S367" i="7"/>
  <c r="T334" i="7"/>
  <c r="T406" i="7"/>
  <c r="P406" i="7"/>
  <c r="Q406" i="7"/>
  <c r="R406" i="7"/>
  <c r="S406" i="7"/>
  <c r="P252" i="7"/>
  <c r="Q252" i="7"/>
  <c r="R252" i="7"/>
  <c r="S252" i="7"/>
  <c r="T252" i="7"/>
  <c r="R398" i="7"/>
  <c r="T233" i="7"/>
  <c r="R178" i="7"/>
  <c r="R318" i="7"/>
  <c r="T319" i="7"/>
  <c r="Q184" i="7"/>
  <c r="S184" i="7"/>
  <c r="Q287" i="7"/>
  <c r="R287" i="7"/>
  <c r="S287" i="7"/>
  <c r="T287" i="7"/>
  <c r="U287" i="7"/>
  <c r="T138" i="7"/>
  <c r="S334" i="7"/>
  <c r="Q255" i="7"/>
  <c r="U252" i="7"/>
  <c r="R233" i="7"/>
  <c r="S401" i="7"/>
  <c r="T401" i="7"/>
  <c r="P401" i="7"/>
  <c r="Q401" i="7"/>
  <c r="Q178" i="7"/>
  <c r="T293" i="7"/>
  <c r="U293" i="7"/>
  <c r="T184" i="7"/>
  <c r="S326" i="7"/>
  <c r="P287" i="7"/>
  <c r="U232" i="7"/>
  <c r="R138" i="7"/>
  <c r="R362" i="7"/>
  <c r="S143" i="7"/>
  <c r="P255" i="7"/>
  <c r="R395" i="7"/>
  <c r="T336" i="7"/>
  <c r="Q233" i="7"/>
  <c r="U401" i="7"/>
  <c r="T151" i="7"/>
  <c r="S293" i="7"/>
  <c r="U321" i="7"/>
  <c r="P321" i="7"/>
  <c r="Q321" i="7"/>
  <c r="S321" i="7"/>
  <c r="T321" i="7"/>
  <c r="U182" i="7"/>
  <c r="P184" i="7"/>
  <c r="P324" i="7"/>
  <c r="P354" i="7"/>
  <c r="R232" i="7"/>
  <c r="Q138" i="7"/>
  <c r="Q362" i="7"/>
  <c r="T143" i="7"/>
  <c r="Q395" i="7"/>
  <c r="Q163" i="7"/>
  <c r="U163" i="7"/>
  <c r="R163" i="7"/>
  <c r="T163" i="7"/>
  <c r="P233" i="7"/>
  <c r="T271" i="7"/>
  <c r="R213" i="7"/>
  <c r="R321" i="7"/>
  <c r="U210" i="7"/>
  <c r="R184" i="7"/>
  <c r="S147" i="7"/>
  <c r="P315" i="7"/>
  <c r="T232" i="7"/>
  <c r="P178" i="7"/>
  <c r="P138" i="7"/>
  <c r="P362" i="7"/>
  <c r="T171" i="7"/>
  <c r="U138" i="7"/>
  <c r="Q421" i="7"/>
  <c r="U421" i="7"/>
  <c r="T421" i="7"/>
  <c r="R421" i="7"/>
  <c r="R303" i="7"/>
  <c r="S303" i="7"/>
  <c r="T303" i="7"/>
  <c r="U398" i="7"/>
  <c r="T261" i="7"/>
  <c r="R187" i="7"/>
  <c r="U187" i="7"/>
  <c r="T299" i="7"/>
  <c r="S159" i="7"/>
  <c r="R409" i="7"/>
  <c r="P222" i="7"/>
  <c r="T278" i="7"/>
  <c r="T362" i="7"/>
  <c r="T415" i="7"/>
  <c r="S261" i="7"/>
  <c r="T187" i="7"/>
  <c r="T297" i="7"/>
  <c r="Q158" i="7"/>
  <c r="P410" i="7"/>
  <c r="S148" i="7"/>
  <c r="Q260" i="7"/>
  <c r="R166" i="7"/>
  <c r="S278" i="7"/>
  <c r="T390" i="7"/>
  <c r="Q336" i="7"/>
  <c r="S185" i="7"/>
  <c r="P242" i="7"/>
  <c r="Q242" i="7"/>
  <c r="R242" i="7"/>
  <c r="S242" i="7"/>
  <c r="T242" i="7"/>
  <c r="T259" i="7"/>
  <c r="Q247" i="7"/>
  <c r="R247" i="7"/>
  <c r="S247" i="7"/>
  <c r="T247" i="7"/>
  <c r="U247" i="7"/>
  <c r="P247" i="7"/>
  <c r="P293" i="7"/>
  <c r="Q253" i="7"/>
  <c r="R253" i="7"/>
  <c r="T253" i="7"/>
  <c r="U253" i="7"/>
  <c r="S331" i="7"/>
  <c r="P331" i="7"/>
  <c r="U331" i="7"/>
  <c r="R261" i="7"/>
  <c r="P407" i="7"/>
  <c r="S253" i="7"/>
  <c r="Q303" i="7"/>
  <c r="Q213" i="7"/>
  <c r="S399" i="7"/>
  <c r="T399" i="7"/>
  <c r="R155" i="7"/>
  <c r="S155" i="7"/>
  <c r="T155" i="7"/>
  <c r="U155" i="7"/>
  <c r="Q155" i="7"/>
  <c r="P387" i="7"/>
  <c r="U387" i="7"/>
  <c r="Q387" i="7"/>
  <c r="P253" i="7"/>
  <c r="R226" i="7"/>
  <c r="P261" i="7"/>
  <c r="P213" i="7"/>
  <c r="U147" i="7"/>
  <c r="P159" i="7"/>
  <c r="T268" i="7"/>
  <c r="U186" i="7"/>
  <c r="U399" i="7"/>
  <c r="P148" i="7"/>
  <c r="Q278" i="7"/>
  <c r="U390" i="7"/>
  <c r="R199" i="7"/>
  <c r="R176" i="7"/>
  <c r="S176" i="7"/>
  <c r="P199" i="7"/>
  <c r="P259" i="7"/>
  <c r="Q143" i="7"/>
  <c r="P422" i="7"/>
  <c r="Q422" i="7"/>
  <c r="S422" i="7"/>
  <c r="T422" i="7"/>
  <c r="U422" i="7"/>
  <c r="Q398" i="7"/>
  <c r="U143" i="7"/>
  <c r="P388" i="7"/>
  <c r="S388" i="7"/>
  <c r="T388" i="7"/>
  <c r="U388" i="7"/>
  <c r="U278" i="7"/>
  <c r="P409" i="7"/>
  <c r="U409" i="7"/>
  <c r="P224" i="7"/>
  <c r="Q224" i="7"/>
  <c r="R224" i="7"/>
  <c r="T224" i="7"/>
  <c r="S224" i="7"/>
  <c r="U420" i="7"/>
  <c r="Q261" i="7"/>
  <c r="U406" i="7"/>
  <c r="U183" i="7"/>
  <c r="Q183" i="7"/>
  <c r="R183" i="7"/>
  <c r="S183" i="7"/>
  <c r="T183" i="7"/>
  <c r="T358" i="7"/>
  <c r="R358" i="7"/>
  <c r="R254" i="7"/>
  <c r="R331" i="7"/>
  <c r="P262" i="7"/>
  <c r="R270" i="7"/>
  <c r="S268" i="7"/>
  <c r="Q297" i="7"/>
  <c r="S186" i="7"/>
  <c r="P399" i="7"/>
  <c r="T148" i="7"/>
  <c r="U260" i="7"/>
  <c r="Q400" i="7"/>
  <c r="R400" i="7"/>
  <c r="S400" i="7"/>
  <c r="U400" i="7"/>
  <c r="P400" i="7"/>
  <c r="T400" i="7"/>
  <c r="U194" i="7"/>
  <c r="P278" i="7"/>
  <c r="T199" i="7"/>
  <c r="T211" i="7"/>
  <c r="U211" i="7"/>
  <c r="Q211" i="7"/>
  <c r="R211" i="7"/>
  <c r="S211" i="7"/>
  <c r="Q415" i="7"/>
  <c r="S415" i="7"/>
  <c r="R391" i="7"/>
  <c r="U391" i="7"/>
  <c r="P289" i="7"/>
  <c r="Q289" i="7"/>
  <c r="Q268" i="7"/>
  <c r="S362" i="7"/>
  <c r="Q239" i="7"/>
  <c r="R239" i="7"/>
  <c r="T239" i="7"/>
  <c r="U239" i="7"/>
  <c r="S239" i="7"/>
  <c r="T289" i="7"/>
  <c r="Q355" i="7"/>
  <c r="Q315" i="7"/>
  <c r="Q128" i="7"/>
  <c r="P268" i="7"/>
  <c r="Q186" i="7"/>
  <c r="Q194" i="7"/>
  <c r="R306" i="7"/>
  <c r="Q418" i="7"/>
  <c r="U227" i="7"/>
  <c r="T418" i="7"/>
  <c r="S189" i="7"/>
  <c r="T189" i="7"/>
  <c r="U189" i="7"/>
  <c r="S267" i="7"/>
  <c r="T267" i="7"/>
  <c r="Q267" i="7"/>
  <c r="U267" i="7"/>
  <c r="R267" i="7"/>
  <c r="R388" i="7"/>
  <c r="P336" i="7"/>
  <c r="T387" i="7"/>
  <c r="S289" i="7"/>
  <c r="R355" i="7"/>
  <c r="S259" i="7"/>
  <c r="R268" i="7"/>
  <c r="P194" i="7"/>
  <c r="Q306" i="7"/>
  <c r="S421" i="7"/>
  <c r="Q226" i="7"/>
  <c r="R305" i="7"/>
  <c r="S305" i="7"/>
  <c r="P305" i="7"/>
  <c r="Q305" i="7"/>
  <c r="T393" i="7"/>
  <c r="S393" i="7"/>
  <c r="Q393" i="7"/>
  <c r="U393" i="7"/>
  <c r="S398" i="7"/>
  <c r="P254" i="7"/>
  <c r="Q254" i="7"/>
  <c r="S254" i="7"/>
  <c r="T254" i="7"/>
  <c r="Q159" i="7"/>
  <c r="S354" i="7"/>
  <c r="T354" i="7"/>
  <c r="U354" i="7"/>
  <c r="P232" i="7"/>
  <c r="R299" i="7"/>
  <c r="P299" i="7"/>
  <c r="Q299" i="7"/>
  <c r="R295" i="7"/>
  <c r="Q295" i="7"/>
  <c r="S295" i="7"/>
  <c r="T295" i="7"/>
  <c r="U295" i="7"/>
  <c r="Q388" i="7"/>
  <c r="S358" i="7"/>
  <c r="P198" i="7"/>
  <c r="U415" i="7"/>
  <c r="U269" i="7"/>
  <c r="R289" i="7"/>
  <c r="R259" i="7"/>
  <c r="U270" i="7"/>
  <c r="P128" i="7"/>
  <c r="R371" i="7"/>
  <c r="S371" i="7"/>
  <c r="T371" i="7"/>
  <c r="U371" i="7"/>
  <c r="P186" i="7"/>
  <c r="U176" i="7"/>
  <c r="Q288" i="7"/>
  <c r="P288" i="7"/>
  <c r="P306" i="7"/>
  <c r="Q176" i="7"/>
  <c r="T198" i="7"/>
  <c r="T227" i="7"/>
  <c r="Q294" i="7"/>
  <c r="P294" i="7"/>
  <c r="R294" i="7"/>
  <c r="S294" i="7"/>
  <c r="T294" i="7"/>
  <c r="S322" i="7"/>
  <c r="T322" i="7"/>
  <c r="P322" i="7"/>
  <c r="Q322" i="7"/>
  <c r="R322" i="7"/>
  <c r="Q147" i="7"/>
  <c r="P147" i="7"/>
  <c r="R323" i="7"/>
  <c r="S323" i="7"/>
  <c r="T323" i="7"/>
  <c r="U323" i="7"/>
  <c r="Q323" i="7"/>
  <c r="U289" i="7"/>
  <c r="U150" i="7"/>
  <c r="Q293" i="7"/>
  <c r="S227" i="7"/>
  <c r="T350" i="7"/>
  <c r="P350" i="7"/>
  <c r="Q350" i="7"/>
  <c r="R350" i="7"/>
  <c r="S350" i="7"/>
  <c r="T378" i="7"/>
  <c r="P378" i="7"/>
  <c r="R378" i="7"/>
  <c r="S378" i="7"/>
  <c r="Q378" i="7"/>
  <c r="U336" i="7"/>
  <c r="Q351" i="7"/>
  <c r="S351" i="7"/>
  <c r="T351" i="7"/>
  <c r="U351" i="7"/>
  <c r="R351" i="7"/>
  <c r="P285" i="7"/>
  <c r="R285" i="7"/>
  <c r="P398" i="7"/>
  <c r="P393" i="7"/>
  <c r="S150" i="7"/>
  <c r="U296" i="7"/>
  <c r="Q129" i="7"/>
  <c r="R129" i="7"/>
  <c r="S129" i="7"/>
  <c r="T129" i="7"/>
  <c r="U129" i="7"/>
  <c r="U214" i="7"/>
  <c r="S194" i="7"/>
  <c r="U306" i="7"/>
  <c r="P154" i="7"/>
  <c r="Q154" i="7"/>
  <c r="R154" i="7"/>
  <c r="S154" i="7"/>
  <c r="T154" i="7"/>
  <c r="T379" i="7"/>
  <c r="U379" i="7"/>
  <c r="S379" i="7"/>
  <c r="Q379" i="7"/>
  <c r="R379" i="7"/>
  <c r="P358" i="7"/>
  <c r="P221" i="7"/>
  <c r="R221" i="7"/>
  <c r="U221" i="7"/>
  <c r="R420" i="7"/>
  <c r="P421" i="7"/>
  <c r="T394" i="7"/>
  <c r="P150" i="7"/>
  <c r="S315" i="7"/>
  <c r="S153" i="7"/>
  <c r="T153" i="7"/>
  <c r="U153" i="7"/>
  <c r="P153" i="7"/>
  <c r="Q153" i="7"/>
  <c r="R153" i="7"/>
  <c r="T315" i="7"/>
  <c r="T314" i="7"/>
  <c r="U231" i="7"/>
  <c r="Q32" i="7"/>
  <c r="R32" i="7"/>
  <c r="T32" i="7"/>
  <c r="S32" i="7"/>
  <c r="P32" i="7"/>
  <c r="L420" i="7"/>
  <c r="K420" i="7"/>
  <c r="L169" i="8"/>
  <c r="N169" i="8" s="1"/>
  <c r="M169" i="8"/>
  <c r="P169" i="8"/>
  <c r="L178" i="7"/>
  <c r="K178" i="7"/>
  <c r="L418" i="7"/>
  <c r="K418" i="7"/>
  <c r="P149" i="8"/>
  <c r="L149" i="8"/>
  <c r="M149" i="8"/>
  <c r="K127" i="10"/>
  <c r="M127" i="10" s="1"/>
  <c r="N127" i="10" s="1"/>
  <c r="K124" i="11"/>
  <c r="L124" i="11"/>
  <c r="K216" i="10"/>
  <c r="M166" i="8"/>
  <c r="L166" i="8"/>
  <c r="N166" i="8" s="1"/>
  <c r="L355" i="7"/>
  <c r="K355" i="7"/>
  <c r="K378" i="10"/>
  <c r="P138" i="8"/>
  <c r="M138" i="8"/>
  <c r="L138" i="8"/>
  <c r="N138" i="8" s="1"/>
  <c r="K123" i="10"/>
  <c r="M123" i="10" s="1"/>
  <c r="L257" i="11"/>
  <c r="K257" i="11"/>
  <c r="M257" i="11" s="1"/>
  <c r="K355" i="10"/>
  <c r="K379" i="10"/>
  <c r="L179" i="11"/>
  <c r="K179" i="11"/>
  <c r="M179" i="11" s="1"/>
  <c r="K358" i="10"/>
  <c r="M358" i="10" s="1"/>
  <c r="N358" i="10" s="1"/>
  <c r="M152" i="8"/>
  <c r="L152" i="8"/>
  <c r="P152" i="8"/>
  <c r="L311" i="11"/>
  <c r="K311" i="11"/>
  <c r="M311" i="11" s="1"/>
  <c r="P135" i="8"/>
  <c r="M135" i="8"/>
  <c r="L135" i="8"/>
  <c r="K267" i="11"/>
  <c r="L267" i="11"/>
  <c r="K349" i="10"/>
  <c r="K216" i="7"/>
  <c r="L216" i="7"/>
  <c r="K132" i="11"/>
  <c r="L132" i="11"/>
  <c r="P84" i="8"/>
  <c r="M84" i="8"/>
  <c r="L84" i="8"/>
  <c r="N84" i="8" s="1"/>
  <c r="K296" i="10"/>
  <c r="M163" i="8"/>
  <c r="L163" i="8"/>
  <c r="P163" i="8"/>
  <c r="K234" i="10"/>
  <c r="L417" i="7"/>
  <c r="K417" i="7"/>
  <c r="K383" i="7"/>
  <c r="L383" i="7"/>
  <c r="L230" i="11"/>
  <c r="K230" i="11"/>
  <c r="M230" i="11" s="1"/>
  <c r="N230" i="11" s="1"/>
  <c r="L171" i="7"/>
  <c r="K171" i="7"/>
  <c r="K125" i="10"/>
  <c r="M125" i="10" s="1"/>
  <c r="N125" i="10" s="1"/>
  <c r="L9" i="11"/>
  <c r="K9" i="11"/>
  <c r="M9" i="11" s="1"/>
  <c r="L304" i="11"/>
  <c r="K304" i="11"/>
  <c r="M304" i="11" s="1"/>
  <c r="L373" i="7"/>
  <c r="K373" i="7"/>
  <c r="K400" i="10"/>
  <c r="L380" i="7"/>
  <c r="K380" i="7"/>
  <c r="L291" i="7"/>
  <c r="K291" i="7"/>
  <c r="L392" i="7"/>
  <c r="K392" i="7"/>
  <c r="L339" i="11"/>
  <c r="K339" i="11"/>
  <c r="M339" i="11" s="1"/>
  <c r="N339" i="11" s="1"/>
  <c r="K314" i="10"/>
  <c r="L314" i="11"/>
  <c r="K314" i="11"/>
  <c r="L362" i="7"/>
  <c r="K362" i="7"/>
  <c r="K303" i="10"/>
  <c r="M303" i="10" s="1"/>
  <c r="K332" i="10"/>
  <c r="M332" i="10" s="1"/>
  <c r="N332" i="10" s="1"/>
  <c r="K353" i="10"/>
  <c r="M353" i="10" s="1"/>
  <c r="N353" i="10" s="1"/>
  <c r="K354" i="10"/>
  <c r="L292" i="7"/>
  <c r="K292" i="7"/>
  <c r="K312" i="7"/>
  <c r="L312" i="7"/>
  <c r="L375" i="11"/>
  <c r="K375" i="11"/>
  <c r="K295" i="10"/>
  <c r="L336" i="11"/>
  <c r="K336" i="11"/>
  <c r="M336" i="11" s="1"/>
  <c r="L402" i="11"/>
  <c r="K402" i="11"/>
  <c r="L45" i="7"/>
  <c r="K45" i="7"/>
  <c r="N404" i="7"/>
  <c r="K399" i="10"/>
  <c r="K298" i="10"/>
  <c r="K326" i="10"/>
  <c r="L370" i="11"/>
  <c r="K370" i="11"/>
  <c r="M370" i="11" s="1"/>
  <c r="L412" i="11"/>
  <c r="K412" i="11"/>
  <c r="M412" i="11" s="1"/>
  <c r="K295" i="11"/>
  <c r="L295" i="11"/>
  <c r="L339" i="7"/>
  <c r="K339" i="7"/>
  <c r="M339" i="7" s="1"/>
  <c r="L341" i="7"/>
  <c r="K341" i="7"/>
  <c r="L289" i="7"/>
  <c r="K289" i="7"/>
  <c r="K208" i="10"/>
  <c r="L234" i="7"/>
  <c r="K234" i="7"/>
  <c r="K148" i="7"/>
  <c r="L148" i="7"/>
  <c r="L192" i="7"/>
  <c r="K192" i="7"/>
  <c r="L176" i="11"/>
  <c r="K176" i="11"/>
  <c r="M176" i="11" s="1"/>
  <c r="N176" i="11" s="1"/>
  <c r="L252" i="7"/>
  <c r="K252" i="7"/>
  <c r="K244" i="11"/>
  <c r="M244" i="11" s="1"/>
  <c r="N244" i="11" s="1"/>
  <c r="L244" i="11"/>
  <c r="L168" i="7"/>
  <c r="K168" i="7"/>
  <c r="K267" i="10"/>
  <c r="M267" i="10" s="1"/>
  <c r="L151" i="11"/>
  <c r="K151" i="11"/>
  <c r="K136" i="10"/>
  <c r="M136" i="10" s="1"/>
  <c r="L220" i="11"/>
  <c r="K220" i="11"/>
  <c r="M220" i="11" s="1"/>
  <c r="N220" i="11" s="1"/>
  <c r="L136" i="11"/>
  <c r="K136" i="11"/>
  <c r="K232" i="11"/>
  <c r="L232" i="11"/>
  <c r="K213" i="11"/>
  <c r="L213" i="11"/>
  <c r="L123" i="11"/>
  <c r="K123" i="11"/>
  <c r="M123" i="11" s="1"/>
  <c r="K272" i="10"/>
  <c r="L129" i="11"/>
  <c r="K129" i="11"/>
  <c r="K284" i="7"/>
  <c r="L284" i="7"/>
  <c r="L307" i="7"/>
  <c r="K307" i="7"/>
  <c r="L310" i="7"/>
  <c r="K310" i="7"/>
  <c r="L294" i="11"/>
  <c r="K294" i="11"/>
  <c r="L414" i="7"/>
  <c r="K414" i="7"/>
  <c r="L353" i="7"/>
  <c r="K353" i="7"/>
  <c r="K295" i="7"/>
  <c r="L295" i="7"/>
  <c r="L366" i="7"/>
  <c r="K366" i="7"/>
  <c r="L371" i="11"/>
  <c r="K371" i="11"/>
  <c r="M371" i="11" s="1"/>
  <c r="N371" i="11" s="1"/>
  <c r="L162" i="8"/>
  <c r="P162" i="8"/>
  <c r="M162" i="8"/>
  <c r="L381" i="7"/>
  <c r="K381" i="7"/>
  <c r="K312" i="10"/>
  <c r="K312" i="11"/>
  <c r="L312" i="11"/>
  <c r="K386" i="10"/>
  <c r="K402" i="10"/>
  <c r="L389" i="11"/>
  <c r="K389" i="11"/>
  <c r="M389" i="11" s="1"/>
  <c r="N389" i="11" s="1"/>
  <c r="K418" i="10"/>
  <c r="L319" i="11"/>
  <c r="K319" i="11"/>
  <c r="K413" i="10"/>
  <c r="K421" i="11"/>
  <c r="L421" i="11"/>
  <c r="P9" i="17"/>
  <c r="M9" i="17"/>
  <c r="L9" i="17"/>
  <c r="N9" i="17" s="1"/>
  <c r="M8" i="17"/>
  <c r="L8" i="17"/>
  <c r="P8" i="17"/>
  <c r="K72" i="7"/>
  <c r="L72" i="7"/>
  <c r="M121" i="8"/>
  <c r="L121" i="8"/>
  <c r="L416" i="7"/>
  <c r="K416" i="7"/>
  <c r="K278" i="10"/>
  <c r="K283" i="10"/>
  <c r="M283" i="10" s="1"/>
  <c r="N283" i="10" s="1"/>
  <c r="L352" i="7"/>
  <c r="K352" i="7"/>
  <c r="K356" i="7"/>
  <c r="L356" i="7"/>
  <c r="L336" i="7"/>
  <c r="K336" i="7"/>
  <c r="L390" i="7"/>
  <c r="K390" i="7"/>
  <c r="L411" i="11"/>
  <c r="K411" i="11"/>
  <c r="L409" i="7"/>
  <c r="K409" i="7"/>
  <c r="L308" i="11"/>
  <c r="K308" i="11"/>
  <c r="M308" i="11" s="1"/>
  <c r="N308" i="11" s="1"/>
  <c r="K320" i="10"/>
  <c r="M320" i="10" s="1"/>
  <c r="K396" i="10"/>
  <c r="K407" i="10"/>
  <c r="L276" i="11"/>
  <c r="K276" i="11"/>
  <c r="L306" i="11"/>
  <c r="K306" i="11"/>
  <c r="M306" i="11" s="1"/>
  <c r="N306" i="11" s="1"/>
  <c r="L381" i="11"/>
  <c r="K381" i="11"/>
  <c r="M381" i="11" s="1"/>
  <c r="N381" i="11" s="1"/>
  <c r="L273" i="11"/>
  <c r="K273" i="11"/>
  <c r="M273" i="11" s="1"/>
  <c r="M10" i="17"/>
  <c r="P10" i="17"/>
  <c r="L10" i="17"/>
  <c r="L402" i="7"/>
  <c r="K402" i="7"/>
  <c r="L299" i="11"/>
  <c r="K299" i="11"/>
  <c r="M299" i="11" s="1"/>
  <c r="L372" i="7"/>
  <c r="K372" i="7"/>
  <c r="K368" i="7"/>
  <c r="L368" i="7"/>
  <c r="V300" i="7"/>
  <c r="W300" i="7" s="1"/>
  <c r="L422" i="7"/>
  <c r="K422" i="7"/>
  <c r="P151" i="8"/>
  <c r="M151" i="8"/>
  <c r="L151" i="8"/>
  <c r="L376" i="7"/>
  <c r="K376" i="7"/>
  <c r="K322" i="7"/>
  <c r="L322" i="7"/>
  <c r="K340" i="7"/>
  <c r="L340" i="7"/>
  <c r="L385" i="11"/>
  <c r="K385" i="11"/>
  <c r="L387" i="11"/>
  <c r="K387" i="11"/>
  <c r="L347" i="7"/>
  <c r="K347" i="7"/>
  <c r="K419" i="7"/>
  <c r="L419" i="7"/>
  <c r="L303" i="7"/>
  <c r="K303" i="7"/>
  <c r="L394" i="7"/>
  <c r="K394" i="7"/>
  <c r="L305" i="7"/>
  <c r="K305" i="7"/>
  <c r="L360" i="7"/>
  <c r="K360" i="7"/>
  <c r="L416" i="11"/>
  <c r="K416" i="11"/>
  <c r="M416" i="11" s="1"/>
  <c r="K351" i="10"/>
  <c r="K377" i="10"/>
  <c r="M377" i="10" s="1"/>
  <c r="N377" i="10" s="1"/>
  <c r="K296" i="11"/>
  <c r="L296" i="11"/>
  <c r="L386" i="11"/>
  <c r="K386" i="11"/>
  <c r="M386" i="11" s="1"/>
  <c r="K186" i="7"/>
  <c r="L186" i="7"/>
  <c r="P16" i="8"/>
  <c r="M16" i="8"/>
  <c r="L16" i="8"/>
  <c r="N16" i="8" s="1"/>
  <c r="K43" i="10"/>
  <c r="M43" i="10" s="1"/>
  <c r="N43" i="10" s="1"/>
  <c r="L88" i="11"/>
  <c r="K88" i="11"/>
  <c r="L46" i="11"/>
  <c r="K46" i="11"/>
  <c r="M117" i="8"/>
  <c r="L117" i="8"/>
  <c r="L18" i="8"/>
  <c r="M18" i="8"/>
  <c r="P18" i="8"/>
  <c r="K110" i="10"/>
  <c r="M110" i="10" s="1"/>
  <c r="N110" i="10" s="1"/>
  <c r="P37" i="8"/>
  <c r="M37" i="8"/>
  <c r="L37" i="8"/>
  <c r="N37" i="8" s="1"/>
  <c r="K88" i="7"/>
  <c r="L88" i="7"/>
  <c r="K21" i="7"/>
  <c r="L21" i="7"/>
  <c r="K39" i="10"/>
  <c r="K390" i="11"/>
  <c r="L390" i="11"/>
  <c r="K401" i="10"/>
  <c r="M401" i="10" s="1"/>
  <c r="N401" i="10" s="1"/>
  <c r="K283" i="7"/>
  <c r="L283" i="7"/>
  <c r="K399" i="7"/>
  <c r="L399" i="7"/>
  <c r="K336" i="10"/>
  <c r="L333" i="11"/>
  <c r="K333" i="11"/>
  <c r="M333" i="11" s="1"/>
  <c r="K381" i="10"/>
  <c r="K397" i="10"/>
  <c r="M397" i="10" s="1"/>
  <c r="N397" i="10" s="1"/>
  <c r="K382" i="10"/>
  <c r="K408" i="10"/>
  <c r="L391" i="11"/>
  <c r="K391" i="11"/>
  <c r="K297" i="11"/>
  <c r="L297" i="11"/>
  <c r="L419" i="11"/>
  <c r="K419" i="11"/>
  <c r="M419" i="11" s="1"/>
  <c r="L29" i="7"/>
  <c r="K29" i="7"/>
  <c r="K301" i="7"/>
  <c r="L301" i="7"/>
  <c r="L357" i="11"/>
  <c r="K357" i="11"/>
  <c r="K384" i="7"/>
  <c r="L384" i="7"/>
  <c r="K393" i="7"/>
  <c r="L393" i="7"/>
  <c r="K413" i="7"/>
  <c r="L413" i="7"/>
  <c r="L296" i="7"/>
  <c r="K296" i="7"/>
  <c r="L287" i="7"/>
  <c r="K287" i="7"/>
  <c r="K386" i="7"/>
  <c r="L386" i="7"/>
  <c r="L325" i="7"/>
  <c r="K325" i="7"/>
  <c r="K376" i="10"/>
  <c r="K274" i="11"/>
  <c r="L274" i="11"/>
  <c r="K315" i="10"/>
  <c r="K364" i="10"/>
  <c r="M364" i="10" s="1"/>
  <c r="N364" i="10" s="1"/>
  <c r="K410" i="10"/>
  <c r="M410" i="10" s="1"/>
  <c r="N410" i="10" s="1"/>
  <c r="L342" i="11"/>
  <c r="K342" i="11"/>
  <c r="K370" i="10"/>
  <c r="M370" i="10" s="1"/>
  <c r="N370" i="10" s="1"/>
  <c r="K279" i="11"/>
  <c r="L279" i="11"/>
  <c r="K357" i="10"/>
  <c r="M357" i="10" s="1"/>
  <c r="N357" i="10" s="1"/>
  <c r="K253" i="10"/>
  <c r="L197" i="7"/>
  <c r="K197" i="7"/>
  <c r="K132" i="7"/>
  <c r="L132" i="7"/>
  <c r="K203" i="7"/>
  <c r="L203" i="7"/>
  <c r="K159" i="10"/>
  <c r="M159" i="10" s="1"/>
  <c r="N159" i="10" s="1"/>
  <c r="L151" i="7"/>
  <c r="K151" i="7"/>
  <c r="M151" i="7" s="1"/>
  <c r="K263" i="7"/>
  <c r="L263" i="7"/>
  <c r="L124" i="7"/>
  <c r="K124" i="7"/>
  <c r="L329" i="7"/>
  <c r="K329" i="7"/>
  <c r="M329" i="7" s="1"/>
  <c r="L346" i="7"/>
  <c r="K346" i="7"/>
  <c r="L148" i="8"/>
  <c r="P148" i="8"/>
  <c r="M148" i="8"/>
  <c r="L317" i="7"/>
  <c r="K317" i="7"/>
  <c r="M167" i="8"/>
  <c r="L167" i="8"/>
  <c r="P167" i="8"/>
  <c r="K407" i="7"/>
  <c r="L407" i="7"/>
  <c r="K385" i="7"/>
  <c r="L385" i="7"/>
  <c r="L397" i="7"/>
  <c r="K397" i="7"/>
  <c r="L415" i="7"/>
  <c r="K415" i="7"/>
  <c r="L321" i="7"/>
  <c r="K321" i="7"/>
  <c r="L225" i="7"/>
  <c r="K225" i="7"/>
  <c r="K185" i="10"/>
  <c r="K190" i="10"/>
  <c r="P125" i="8"/>
  <c r="M125" i="8"/>
  <c r="L125" i="8"/>
  <c r="K174" i="10"/>
  <c r="K199" i="10"/>
  <c r="K230" i="7"/>
  <c r="L230" i="7"/>
  <c r="L255" i="11"/>
  <c r="K255" i="11"/>
  <c r="M255" i="11" s="1"/>
  <c r="N255" i="11" s="1"/>
  <c r="K254" i="10"/>
  <c r="K209" i="10"/>
  <c r="K142" i="10"/>
  <c r="M142" i="10" s="1"/>
  <c r="N142" i="10" s="1"/>
  <c r="L150" i="11"/>
  <c r="K150" i="11"/>
  <c r="M150" i="11" s="1"/>
  <c r="N150" i="11" s="1"/>
  <c r="L212" i="11"/>
  <c r="K212" i="11"/>
  <c r="M212" i="11" s="1"/>
  <c r="N212" i="11" s="1"/>
  <c r="L145" i="11"/>
  <c r="K145" i="11"/>
  <c r="M145" i="11" s="1"/>
  <c r="L269" i="11"/>
  <c r="K269" i="11"/>
  <c r="M269" i="11" s="1"/>
  <c r="L197" i="11"/>
  <c r="K197" i="11"/>
  <c r="K125" i="7"/>
  <c r="L125" i="7"/>
  <c r="K359" i="10"/>
  <c r="K318" i="11"/>
  <c r="L318" i="11"/>
  <c r="K388" i="10"/>
  <c r="K368" i="10"/>
  <c r="M368" i="10" s="1"/>
  <c r="N368" i="10" s="1"/>
  <c r="L340" i="11"/>
  <c r="K340" i="11"/>
  <c r="M340" i="11" s="1"/>
  <c r="L374" i="11"/>
  <c r="K374" i="11"/>
  <c r="M374" i="11" s="1"/>
  <c r="L335" i="7"/>
  <c r="K335" i="7"/>
  <c r="L377" i="7"/>
  <c r="K377" i="7"/>
  <c r="K361" i="10"/>
  <c r="K275" i="10"/>
  <c r="L393" i="11"/>
  <c r="K393" i="11"/>
  <c r="M393" i="11" s="1"/>
  <c r="K369" i="10"/>
  <c r="M369" i="10" s="1"/>
  <c r="N369" i="10" s="1"/>
  <c r="L365" i="11"/>
  <c r="K365" i="11"/>
  <c r="M365" i="11" s="1"/>
  <c r="N365" i="11" s="1"/>
  <c r="K278" i="11"/>
  <c r="L278" i="11"/>
  <c r="K391" i="10"/>
  <c r="K394" i="11"/>
  <c r="L394" i="11"/>
  <c r="L354" i="11"/>
  <c r="K354" i="11"/>
  <c r="K363" i="7"/>
  <c r="L363" i="7"/>
  <c r="L354" i="7"/>
  <c r="K354" i="7"/>
  <c r="K313" i="10"/>
  <c r="M313" i="10" s="1"/>
  <c r="N313" i="10" s="1"/>
  <c r="L87" i="11"/>
  <c r="K87" i="11"/>
  <c r="K84" i="10"/>
  <c r="M84" i="10" s="1"/>
  <c r="N84" i="10" s="1"/>
  <c r="L382" i="7"/>
  <c r="K382" i="7"/>
  <c r="K288" i="7"/>
  <c r="L288" i="7"/>
  <c r="P153" i="8"/>
  <c r="M153" i="8"/>
  <c r="L153" i="8"/>
  <c r="N153" i="8" s="1"/>
  <c r="M154" i="8"/>
  <c r="L154" i="8"/>
  <c r="P154" i="8"/>
  <c r="L281" i="7"/>
  <c r="K281" i="7"/>
  <c r="K389" i="10"/>
  <c r="M389" i="10" s="1"/>
  <c r="N389" i="10" s="1"/>
  <c r="K344" i="10"/>
  <c r="K367" i="10"/>
  <c r="M367" i="10" s="1"/>
  <c r="K279" i="10"/>
  <c r="M279" i="10" s="1"/>
  <c r="L291" i="11"/>
  <c r="K291" i="11"/>
  <c r="M291" i="11" s="1"/>
  <c r="N357" i="7"/>
  <c r="N367" i="7"/>
  <c r="P158" i="8"/>
  <c r="M158" i="8"/>
  <c r="L158" i="8"/>
  <c r="L313" i="7"/>
  <c r="K313" i="7"/>
  <c r="K304" i="7"/>
  <c r="L304" i="7"/>
  <c r="K422" i="10"/>
  <c r="M422" i="10" s="1"/>
  <c r="N422" i="10" s="1"/>
  <c r="L172" i="8"/>
  <c r="M172" i="8"/>
  <c r="P172" i="8"/>
  <c r="L159" i="7"/>
  <c r="K159" i="7"/>
  <c r="K267" i="7"/>
  <c r="L267" i="7"/>
  <c r="K205" i="11"/>
  <c r="L205" i="11"/>
  <c r="L133" i="7"/>
  <c r="K133" i="7"/>
  <c r="M133" i="7" s="1"/>
  <c r="L270" i="7"/>
  <c r="K270" i="7"/>
  <c r="K177" i="10"/>
  <c r="L235" i="7"/>
  <c r="K235" i="7"/>
  <c r="K222" i="10"/>
  <c r="K240" i="10"/>
  <c r="M240" i="10" s="1"/>
  <c r="K219" i="10"/>
  <c r="K168" i="10"/>
  <c r="K130" i="10"/>
  <c r="K236" i="10"/>
  <c r="K263" i="11"/>
  <c r="L263" i="11"/>
  <c r="K228" i="11"/>
  <c r="L228" i="11"/>
  <c r="L219" i="11"/>
  <c r="K219" i="11"/>
  <c r="M219" i="11" s="1"/>
  <c r="N219" i="11" s="1"/>
  <c r="L180" i="11"/>
  <c r="K180" i="11"/>
  <c r="M180" i="11" s="1"/>
  <c r="O156" i="8"/>
  <c r="L229" i="7"/>
  <c r="K229" i="7"/>
  <c r="L194" i="7"/>
  <c r="K194" i="7"/>
  <c r="L153" i="7"/>
  <c r="K153" i="7"/>
  <c r="M153" i="7" s="1"/>
  <c r="L221" i="7"/>
  <c r="K221" i="7"/>
  <c r="K248" i="10"/>
  <c r="M248" i="10" s="1"/>
  <c r="N248" i="10" s="1"/>
  <c r="L141" i="7"/>
  <c r="K141" i="7"/>
  <c r="L199" i="11"/>
  <c r="K199" i="11"/>
  <c r="M199" i="11" s="1"/>
  <c r="K127" i="11"/>
  <c r="L127" i="11"/>
  <c r="K171" i="10"/>
  <c r="K178" i="10"/>
  <c r="K260" i="10"/>
  <c r="L266" i="11"/>
  <c r="K266" i="11"/>
  <c r="M266" i="11" s="1"/>
  <c r="L268" i="11"/>
  <c r="K268" i="11"/>
  <c r="M268" i="11" s="1"/>
  <c r="L237" i="11"/>
  <c r="K237" i="11"/>
  <c r="M237" i="11" s="1"/>
  <c r="N237" i="11" s="1"/>
  <c r="L208" i="11"/>
  <c r="K208" i="11"/>
  <c r="K15" i="10"/>
  <c r="K38" i="7"/>
  <c r="L38" i="7"/>
  <c r="K116" i="7"/>
  <c r="M116" i="7" s="1"/>
  <c r="L116" i="7"/>
  <c r="K53" i="10"/>
  <c r="M53" i="10" s="1"/>
  <c r="N53" i="10" s="1"/>
  <c r="P40" i="8"/>
  <c r="M40" i="8"/>
  <c r="L40" i="8"/>
  <c r="M74" i="8"/>
  <c r="L74" i="8"/>
  <c r="P74" i="8"/>
  <c r="L92" i="8"/>
  <c r="P92" i="8"/>
  <c r="M92" i="8"/>
  <c r="L4" i="7"/>
  <c r="K4" i="7"/>
  <c r="L43" i="8"/>
  <c r="P43" i="8"/>
  <c r="M43" i="8"/>
  <c r="K114" i="10"/>
  <c r="M34" i="8"/>
  <c r="P34" i="8"/>
  <c r="L34" i="8"/>
  <c r="K57" i="10"/>
  <c r="K53" i="11"/>
  <c r="L53" i="11"/>
  <c r="L81" i="11"/>
  <c r="K81" i="11"/>
  <c r="K26" i="10"/>
  <c r="M26" i="10" s="1"/>
  <c r="L105" i="7"/>
  <c r="K105" i="7"/>
  <c r="L293" i="7"/>
  <c r="K293" i="7"/>
  <c r="K277" i="7"/>
  <c r="L277" i="7"/>
  <c r="K359" i="7"/>
  <c r="L359" i="7"/>
  <c r="L401" i="7"/>
  <c r="K401" i="7"/>
  <c r="K352" i="11"/>
  <c r="L352" i="11"/>
  <c r="K301" i="10"/>
  <c r="K285" i="10"/>
  <c r="M285" i="10" s="1"/>
  <c r="K289" i="10"/>
  <c r="M289" i="10" s="1"/>
  <c r="N289" i="10" s="1"/>
  <c r="K350" i="10"/>
  <c r="M350" i="10" s="1"/>
  <c r="N350" i="10" s="1"/>
  <c r="K387" i="10"/>
  <c r="L399" i="11"/>
  <c r="K399" i="11"/>
  <c r="M399" i="11" s="1"/>
  <c r="L288" i="11"/>
  <c r="K288" i="11"/>
  <c r="M288" i="11" s="1"/>
  <c r="K416" i="10"/>
  <c r="L277" i="11"/>
  <c r="K277" i="11"/>
  <c r="M277" i="11" s="1"/>
  <c r="K418" i="11"/>
  <c r="L418" i="11"/>
  <c r="L281" i="11"/>
  <c r="K281" i="11"/>
  <c r="M281" i="11" s="1"/>
  <c r="K52" i="7"/>
  <c r="L52" i="7"/>
  <c r="L266" i="7"/>
  <c r="K266" i="7"/>
  <c r="K127" i="7"/>
  <c r="L127" i="7"/>
  <c r="K224" i="10"/>
  <c r="L177" i="7"/>
  <c r="K177" i="7"/>
  <c r="M145" i="8"/>
  <c r="L145" i="8"/>
  <c r="P145" i="8"/>
  <c r="K192" i="10"/>
  <c r="L170" i="7"/>
  <c r="K170" i="7"/>
  <c r="L144" i="8"/>
  <c r="P144" i="8"/>
  <c r="M144" i="8"/>
  <c r="K258" i="7"/>
  <c r="L258" i="7"/>
  <c r="K185" i="11"/>
  <c r="M185" i="11" s="1"/>
  <c r="N185" i="11" s="1"/>
  <c r="L185" i="11"/>
  <c r="K252" i="10"/>
  <c r="K225" i="10"/>
  <c r="L238" i="11"/>
  <c r="K238" i="11"/>
  <c r="M238" i="11" s="1"/>
  <c r="L245" i="11"/>
  <c r="K245" i="11"/>
  <c r="M245" i="11" s="1"/>
  <c r="L225" i="11"/>
  <c r="K225" i="11"/>
  <c r="T161" i="8"/>
  <c r="S161" i="8"/>
  <c r="R161" i="8"/>
  <c r="Q161" i="8"/>
  <c r="V161" i="8"/>
  <c r="U161" i="8"/>
  <c r="V130" i="8"/>
  <c r="U130" i="8"/>
  <c r="S130" i="8"/>
  <c r="R130" i="8"/>
  <c r="Q130" i="8"/>
  <c r="T130" i="8"/>
  <c r="M29" i="8"/>
  <c r="L29" i="8"/>
  <c r="P29" i="8"/>
  <c r="L4" i="8"/>
  <c r="P4" i="8"/>
  <c r="M4" i="8"/>
  <c r="K82" i="10"/>
  <c r="M82" i="10" s="1"/>
  <c r="N82" i="10" s="1"/>
  <c r="K24" i="7"/>
  <c r="M24" i="7" s="1"/>
  <c r="L24" i="7"/>
  <c r="K61" i="10"/>
  <c r="M61" i="10" s="1"/>
  <c r="V61" i="10" s="1"/>
  <c r="W61" i="10" s="1"/>
  <c r="K5" i="10"/>
  <c r="K14" i="10"/>
  <c r="M14" i="10" s="1"/>
  <c r="L32" i="7"/>
  <c r="K32" i="7"/>
  <c r="K62" i="10"/>
  <c r="M62" i="10" s="1"/>
  <c r="N62" i="10" s="1"/>
  <c r="M71" i="8"/>
  <c r="L71" i="8"/>
  <c r="P71" i="8"/>
  <c r="K10" i="11"/>
  <c r="L10" i="11"/>
  <c r="M62" i="8"/>
  <c r="L62" i="8"/>
  <c r="P62" i="8"/>
  <c r="K91" i="10"/>
  <c r="L80" i="11"/>
  <c r="K80" i="11"/>
  <c r="L122" i="11"/>
  <c r="K122" i="11"/>
  <c r="M122" i="11" s="1"/>
  <c r="K55" i="10"/>
  <c r="P137" i="8"/>
  <c r="M137" i="8"/>
  <c r="L137" i="8"/>
  <c r="P41" i="8"/>
  <c r="L41" i="8"/>
  <c r="M41" i="8"/>
  <c r="L33" i="7"/>
  <c r="K33" i="7"/>
  <c r="L286" i="11"/>
  <c r="K286" i="11"/>
  <c r="K298" i="11"/>
  <c r="L298" i="11"/>
  <c r="K309" i="11"/>
  <c r="L309" i="11"/>
  <c r="L332" i="11"/>
  <c r="K332" i="11"/>
  <c r="M332" i="11" s="1"/>
  <c r="M2" i="17"/>
  <c r="L2" i="17"/>
  <c r="P2" i="17"/>
  <c r="N290" i="7"/>
  <c r="L131" i="7"/>
  <c r="K131" i="7"/>
  <c r="M131" i="7" s="1"/>
  <c r="K155" i="10"/>
  <c r="K197" i="10"/>
  <c r="M197" i="10" s="1"/>
  <c r="N197" i="10" s="1"/>
  <c r="L156" i="7"/>
  <c r="K156" i="7"/>
  <c r="L138" i="7"/>
  <c r="K138" i="7"/>
  <c r="L191" i="7"/>
  <c r="K191" i="7"/>
  <c r="L186" i="11"/>
  <c r="K186" i="11"/>
  <c r="M186" i="11" s="1"/>
  <c r="N186" i="11" s="1"/>
  <c r="K147" i="10"/>
  <c r="P146" i="8"/>
  <c r="M146" i="8"/>
  <c r="L146" i="8"/>
  <c r="L211" i="11"/>
  <c r="K211" i="11"/>
  <c r="K255" i="10"/>
  <c r="K146" i="11"/>
  <c r="L146" i="11"/>
  <c r="K249" i="10"/>
  <c r="L246" i="11"/>
  <c r="K246" i="11"/>
  <c r="M246" i="11" s="1"/>
  <c r="L166" i="11"/>
  <c r="K166" i="11"/>
  <c r="M166" i="11" s="1"/>
  <c r="N166" i="11" s="1"/>
  <c r="L142" i="11"/>
  <c r="K142" i="11"/>
  <c r="K161" i="11"/>
  <c r="M161" i="11" s="1"/>
  <c r="L161" i="11"/>
  <c r="K253" i="11"/>
  <c r="L253" i="11"/>
  <c r="K38" i="10"/>
  <c r="L59" i="11"/>
  <c r="K59" i="11"/>
  <c r="M59" i="11" s="1"/>
  <c r="N59" i="11" s="1"/>
  <c r="P31" i="8"/>
  <c r="M31" i="8"/>
  <c r="L31" i="8"/>
  <c r="P67" i="8"/>
  <c r="L67" i="8"/>
  <c r="M67" i="8"/>
  <c r="L104" i="8"/>
  <c r="P104" i="8"/>
  <c r="M104" i="8"/>
  <c r="L44" i="7"/>
  <c r="K44" i="7"/>
  <c r="K69" i="10"/>
  <c r="K25" i="10"/>
  <c r="M25" i="10" s="1"/>
  <c r="N25" i="10" s="1"/>
  <c r="L57" i="7"/>
  <c r="K57" i="7"/>
  <c r="L17" i="7"/>
  <c r="K17" i="7"/>
  <c r="M99" i="8"/>
  <c r="L99" i="8"/>
  <c r="P99" i="8"/>
  <c r="L86" i="11"/>
  <c r="K86" i="11"/>
  <c r="M86" i="11" s="1"/>
  <c r="N86" i="11" s="1"/>
  <c r="M90" i="8"/>
  <c r="P90" i="8"/>
  <c r="L90" i="8"/>
  <c r="L27" i="11"/>
  <c r="K27" i="11"/>
  <c r="L117" i="11"/>
  <c r="K117" i="11"/>
  <c r="M117" i="11" s="1"/>
  <c r="K86" i="10"/>
  <c r="M86" i="10" s="1"/>
  <c r="N86" i="10" s="1"/>
  <c r="K11" i="11"/>
  <c r="M11" i="11" s="1"/>
  <c r="L11" i="11"/>
  <c r="K200" i="7"/>
  <c r="L200" i="7"/>
  <c r="K307" i="11"/>
  <c r="L307" i="11"/>
  <c r="K288" i="10"/>
  <c r="M288" i="10" s="1"/>
  <c r="N288" i="10" s="1"/>
  <c r="K282" i="10"/>
  <c r="M282" i="10" s="1"/>
  <c r="N282" i="10" s="1"/>
  <c r="L335" i="11"/>
  <c r="K335" i="11"/>
  <c r="M335" i="11" s="1"/>
  <c r="K289" i="11"/>
  <c r="L289" i="11"/>
  <c r="K299" i="10"/>
  <c r="K317" i="11"/>
  <c r="M317" i="11" s="1"/>
  <c r="N317" i="11" s="1"/>
  <c r="L317" i="11"/>
  <c r="L353" i="11"/>
  <c r="K353" i="11"/>
  <c r="M353" i="11" s="1"/>
  <c r="L360" i="11"/>
  <c r="K360" i="11"/>
  <c r="L204" i="7"/>
  <c r="K204" i="7"/>
  <c r="L205" i="7"/>
  <c r="K205" i="7"/>
  <c r="K234" i="11"/>
  <c r="L234" i="11"/>
  <c r="K144" i="7"/>
  <c r="L144" i="7"/>
  <c r="L167" i="7"/>
  <c r="K167" i="7"/>
  <c r="K175" i="10"/>
  <c r="L184" i="7"/>
  <c r="K184" i="7"/>
  <c r="K239" i="7"/>
  <c r="L239" i="7"/>
  <c r="L143" i="7"/>
  <c r="K143" i="7"/>
  <c r="M143" i="7" s="1"/>
  <c r="K169" i="10"/>
  <c r="M169" i="10" s="1"/>
  <c r="N169" i="10" s="1"/>
  <c r="L204" i="11"/>
  <c r="K204" i="11"/>
  <c r="L147" i="11"/>
  <c r="K147" i="11"/>
  <c r="M147" i="11" s="1"/>
  <c r="L202" i="11"/>
  <c r="K202" i="11"/>
  <c r="M202" i="11" s="1"/>
  <c r="N202" i="11" s="1"/>
  <c r="L203" i="11"/>
  <c r="K203" i="11"/>
  <c r="M203" i="11" s="1"/>
  <c r="L193" i="11"/>
  <c r="K193" i="11"/>
  <c r="M193" i="11" s="1"/>
  <c r="N193" i="11" s="1"/>
  <c r="L155" i="11"/>
  <c r="K155" i="11"/>
  <c r="L156" i="11"/>
  <c r="K156" i="11"/>
  <c r="K229" i="11"/>
  <c r="M229" i="11" s="1"/>
  <c r="L229" i="11"/>
  <c r="L18" i="7"/>
  <c r="K18" i="7"/>
  <c r="L5" i="7"/>
  <c r="K5" i="7"/>
  <c r="P83" i="8"/>
  <c r="M83" i="8"/>
  <c r="L83" i="8"/>
  <c r="P11" i="8"/>
  <c r="M11" i="8"/>
  <c r="L11" i="8"/>
  <c r="K75" i="10"/>
  <c r="M75" i="10" s="1"/>
  <c r="N75" i="10" s="1"/>
  <c r="K117" i="10"/>
  <c r="M117" i="10" s="1"/>
  <c r="L86" i="7"/>
  <c r="K86" i="7"/>
  <c r="M86" i="7" s="1"/>
  <c r="L55" i="7"/>
  <c r="K55" i="7"/>
  <c r="M55" i="7" s="1"/>
  <c r="L60" i="8"/>
  <c r="M60" i="8"/>
  <c r="P60" i="8"/>
  <c r="M118" i="8"/>
  <c r="L118" i="8"/>
  <c r="K40" i="11"/>
  <c r="L40" i="11"/>
  <c r="K115" i="10"/>
  <c r="M115" i="10" s="1"/>
  <c r="N115" i="10" s="1"/>
  <c r="L24" i="11"/>
  <c r="K24" i="11"/>
  <c r="M24" i="11" s="1"/>
  <c r="L70" i="7"/>
  <c r="K70" i="7"/>
  <c r="K48" i="11"/>
  <c r="L48" i="11"/>
  <c r="L251" i="11"/>
  <c r="M251" i="11" s="1"/>
  <c r="K328" i="7"/>
  <c r="L328" i="7"/>
  <c r="M165" i="8"/>
  <c r="L165" i="8"/>
  <c r="P165" i="8"/>
  <c r="L324" i="7"/>
  <c r="K324" i="7"/>
  <c r="M324" i="7" s="1"/>
  <c r="L279" i="7"/>
  <c r="K279" i="7"/>
  <c r="L283" i="11"/>
  <c r="K283" i="11"/>
  <c r="M283" i="11" s="1"/>
  <c r="L408" i="11"/>
  <c r="K408" i="11"/>
  <c r="M408" i="11" s="1"/>
  <c r="K331" i="10"/>
  <c r="M331" i="10" s="1"/>
  <c r="N331" i="10" s="1"/>
  <c r="K291" i="10"/>
  <c r="L310" i="11"/>
  <c r="K310" i="11"/>
  <c r="L361" i="11"/>
  <c r="K361" i="11"/>
  <c r="M361" i="11" s="1"/>
  <c r="K327" i="10"/>
  <c r="M327" i="10" s="1"/>
  <c r="N327" i="10" s="1"/>
  <c r="K337" i="11"/>
  <c r="L337" i="11"/>
  <c r="L382" i="11"/>
  <c r="K382" i="11"/>
  <c r="M382" i="11" s="1"/>
  <c r="K388" i="11"/>
  <c r="M388" i="11" s="1"/>
  <c r="N388" i="11" s="1"/>
  <c r="L388" i="11"/>
  <c r="K109" i="7"/>
  <c r="L109" i="7"/>
  <c r="K255" i="7"/>
  <c r="L255" i="7"/>
  <c r="L245" i="7"/>
  <c r="K245" i="7"/>
  <c r="L141" i="11"/>
  <c r="K141" i="11"/>
  <c r="M141" i="11" s="1"/>
  <c r="K207" i="7"/>
  <c r="L207" i="7"/>
  <c r="L260" i="7"/>
  <c r="K260" i="7"/>
  <c r="L166" i="7"/>
  <c r="K166" i="7"/>
  <c r="K135" i="10"/>
  <c r="L125" i="11"/>
  <c r="K125" i="11"/>
  <c r="K209" i="11"/>
  <c r="L209" i="11"/>
  <c r="K167" i="11"/>
  <c r="M167" i="11" s="1"/>
  <c r="N167" i="11" s="1"/>
  <c r="L167" i="11"/>
  <c r="L173" i="11"/>
  <c r="K173" i="11"/>
  <c r="M173" i="11" s="1"/>
  <c r="L254" i="11"/>
  <c r="K254" i="11"/>
  <c r="K14" i="7"/>
  <c r="L14" i="7"/>
  <c r="L67" i="7"/>
  <c r="K67" i="7"/>
  <c r="L49" i="7"/>
  <c r="K49" i="7"/>
  <c r="L119" i="7"/>
  <c r="K119" i="7"/>
  <c r="P14" i="8"/>
  <c r="M14" i="8"/>
  <c r="L14" i="8"/>
  <c r="K85" i="10"/>
  <c r="K4" i="10"/>
  <c r="M4" i="10" s="1"/>
  <c r="K69" i="11"/>
  <c r="L69" i="11"/>
  <c r="L30" i="11"/>
  <c r="K30" i="11"/>
  <c r="M30" i="11" s="1"/>
  <c r="K19" i="7"/>
  <c r="L19" i="7"/>
  <c r="L6" i="7"/>
  <c r="K6" i="7"/>
  <c r="L88" i="8"/>
  <c r="P88" i="8"/>
  <c r="M88" i="8"/>
  <c r="K8" i="10"/>
  <c r="L16" i="11"/>
  <c r="K16" i="11"/>
  <c r="M16" i="11" s="1"/>
  <c r="L152" i="7"/>
  <c r="K152" i="7"/>
  <c r="L15" i="7"/>
  <c r="K15" i="7"/>
  <c r="K391" i="7"/>
  <c r="L391" i="7"/>
  <c r="K308" i="10"/>
  <c r="L338" i="7"/>
  <c r="K338" i="7"/>
  <c r="M170" i="8"/>
  <c r="L170" i="8"/>
  <c r="P170" i="8"/>
  <c r="K398" i="11"/>
  <c r="L398" i="11"/>
  <c r="K322" i="10"/>
  <c r="M322" i="10" s="1"/>
  <c r="K349" i="11"/>
  <c r="L349" i="11"/>
  <c r="K338" i="10"/>
  <c r="M338" i="10" s="1"/>
  <c r="N338" i="10" s="1"/>
  <c r="K325" i="10"/>
  <c r="K368" i="11"/>
  <c r="L368" i="11"/>
  <c r="K404" i="11"/>
  <c r="L404" i="11"/>
  <c r="K348" i="10"/>
  <c r="L275" i="11"/>
  <c r="K275" i="11"/>
  <c r="L384" i="11"/>
  <c r="K384" i="11"/>
  <c r="L407" i="11"/>
  <c r="K407" i="11"/>
  <c r="M407" i="11" s="1"/>
  <c r="K74" i="7"/>
  <c r="L74" i="7"/>
  <c r="K155" i="7"/>
  <c r="L155" i="7"/>
  <c r="L135" i="11"/>
  <c r="K135" i="11"/>
  <c r="M135" i="11" s="1"/>
  <c r="L242" i="7"/>
  <c r="K242" i="7"/>
  <c r="L248" i="7"/>
  <c r="K248" i="7"/>
  <c r="K178" i="11"/>
  <c r="L178" i="11"/>
  <c r="K152" i="10"/>
  <c r="L253" i="7"/>
  <c r="K253" i="7"/>
  <c r="L212" i="7"/>
  <c r="K212" i="7"/>
  <c r="K167" i="10"/>
  <c r="L191" i="11"/>
  <c r="K191" i="11"/>
  <c r="K193" i="10"/>
  <c r="K129" i="10"/>
  <c r="K215" i="11"/>
  <c r="L215" i="11"/>
  <c r="L177" i="11"/>
  <c r="K177" i="11"/>
  <c r="M177" i="11" s="1"/>
  <c r="K206" i="11"/>
  <c r="L206" i="11"/>
  <c r="L76" i="7"/>
  <c r="K76" i="7"/>
  <c r="M8" i="8"/>
  <c r="L8" i="8"/>
  <c r="N8" i="8" s="1"/>
  <c r="P8" i="8"/>
  <c r="K17" i="10"/>
  <c r="P97" i="8"/>
  <c r="M97" i="8"/>
  <c r="L97" i="8"/>
  <c r="L27" i="7"/>
  <c r="K27" i="7"/>
  <c r="K19" i="10"/>
  <c r="M19" i="10" s="1"/>
  <c r="N19" i="10" s="1"/>
  <c r="K102" i="10"/>
  <c r="M102" i="10" s="1"/>
  <c r="N102" i="10" s="1"/>
  <c r="L84" i="7"/>
  <c r="K84" i="7"/>
  <c r="M84" i="7" s="1"/>
  <c r="K59" i="7"/>
  <c r="L59" i="7"/>
  <c r="K61" i="7"/>
  <c r="L61" i="7"/>
  <c r="L116" i="8"/>
  <c r="M116" i="8"/>
  <c r="K21" i="10"/>
  <c r="M21" i="10" s="1"/>
  <c r="K19" i="11"/>
  <c r="M19" i="11" s="1"/>
  <c r="L19" i="11"/>
  <c r="L115" i="11"/>
  <c r="K115" i="11"/>
  <c r="M115" i="11" s="1"/>
  <c r="N115" i="11" s="1"/>
  <c r="L109" i="11"/>
  <c r="K109" i="11"/>
  <c r="M109" i="11" s="1"/>
  <c r="N109" i="11" s="1"/>
  <c r="L51" i="11"/>
  <c r="K51" i="11"/>
  <c r="M51" i="11" s="1"/>
  <c r="N51" i="11" s="1"/>
  <c r="P25" i="8"/>
  <c r="L25" i="8"/>
  <c r="N25" i="8" s="1"/>
  <c r="M25" i="8"/>
  <c r="K81" i="10"/>
  <c r="M81" i="10" s="1"/>
  <c r="N81" i="10" s="1"/>
  <c r="K35" i="7"/>
  <c r="L35" i="7"/>
  <c r="M30" i="8"/>
  <c r="P30" i="8"/>
  <c r="L30" i="8"/>
  <c r="L3" i="10"/>
  <c r="K3" i="10"/>
  <c r="L9" i="7"/>
  <c r="K9" i="7"/>
  <c r="M66" i="8"/>
  <c r="L66" i="8"/>
  <c r="P66" i="8"/>
  <c r="K120" i="7"/>
  <c r="L120" i="7"/>
  <c r="L63" i="7"/>
  <c r="K63" i="7"/>
  <c r="K63" i="10"/>
  <c r="K100" i="10"/>
  <c r="M100" i="10" s="1"/>
  <c r="K16" i="10"/>
  <c r="L85" i="11"/>
  <c r="K85" i="11"/>
  <c r="M85" i="11" s="1"/>
  <c r="K119" i="10"/>
  <c r="L282" i="7"/>
  <c r="K282" i="7"/>
  <c r="K379" i="7"/>
  <c r="L379" i="7"/>
  <c r="K306" i="7"/>
  <c r="L306" i="7"/>
  <c r="L421" i="7"/>
  <c r="K421" i="7"/>
  <c r="K317" i="10"/>
  <c r="M317" i="10" s="1"/>
  <c r="N317" i="10" s="1"/>
  <c r="K417" i="10"/>
  <c r="M417" i="10" s="1"/>
  <c r="N417" i="10" s="1"/>
  <c r="L350" i="11"/>
  <c r="K350" i="11"/>
  <c r="M350" i="11" s="1"/>
  <c r="K287" i="10"/>
  <c r="K384" i="10"/>
  <c r="M384" i="10" s="1"/>
  <c r="N384" i="10" s="1"/>
  <c r="K419" i="10"/>
  <c r="L355" i="11"/>
  <c r="K355" i="11"/>
  <c r="M355" i="11" s="1"/>
  <c r="N355" i="11" s="1"/>
  <c r="K347" i="10"/>
  <c r="K411" i="10"/>
  <c r="K285" i="11"/>
  <c r="L285" i="11"/>
  <c r="K396" i="11"/>
  <c r="L396" i="11"/>
  <c r="K327" i="11"/>
  <c r="L327" i="11"/>
  <c r="P3" i="17"/>
  <c r="L3" i="17"/>
  <c r="M3" i="17"/>
  <c r="P7" i="17"/>
  <c r="M7" i="17"/>
  <c r="L7" i="17"/>
  <c r="K11" i="7"/>
  <c r="L11" i="7"/>
  <c r="K217" i="10"/>
  <c r="M217" i="10" s="1"/>
  <c r="N217" i="10" s="1"/>
  <c r="L222" i="7"/>
  <c r="K222" i="7"/>
  <c r="K128" i="7"/>
  <c r="L128" i="7"/>
  <c r="P123" i="8"/>
  <c r="L123" i="8"/>
  <c r="N123" i="8" s="1"/>
  <c r="M123" i="8"/>
  <c r="K263" i="10"/>
  <c r="M263" i="10" s="1"/>
  <c r="N263" i="10" s="1"/>
  <c r="K232" i="7"/>
  <c r="L232" i="7"/>
  <c r="L164" i="7"/>
  <c r="K164" i="7"/>
  <c r="L129" i="7"/>
  <c r="K129" i="7"/>
  <c r="L143" i="11"/>
  <c r="K143" i="11"/>
  <c r="M143" i="11" s="1"/>
  <c r="K194" i="10"/>
  <c r="K186" i="10"/>
  <c r="K229" i="10"/>
  <c r="L240" i="11"/>
  <c r="K240" i="11"/>
  <c r="L236" i="11"/>
  <c r="K236" i="11"/>
  <c r="S156" i="8"/>
  <c r="R156" i="8"/>
  <c r="Q156" i="8"/>
  <c r="V156" i="8"/>
  <c r="U156" i="8"/>
  <c r="T156" i="8"/>
  <c r="P82" i="8"/>
  <c r="M82" i="8"/>
  <c r="L82" i="8"/>
  <c r="L20" i="7"/>
  <c r="K20" i="7"/>
  <c r="P113" i="8"/>
  <c r="M113" i="8"/>
  <c r="L113" i="8"/>
  <c r="L16" i="7"/>
  <c r="K16" i="7"/>
  <c r="L105" i="8"/>
  <c r="M105" i="8"/>
  <c r="P105" i="8"/>
  <c r="K99" i="7"/>
  <c r="M99" i="7" s="1"/>
  <c r="L99" i="7"/>
  <c r="K37" i="7"/>
  <c r="M37" i="7" s="1"/>
  <c r="L37" i="7"/>
  <c r="L10" i="8"/>
  <c r="N10" i="8" s="1"/>
  <c r="P10" i="8"/>
  <c r="M10" i="8"/>
  <c r="L94" i="7"/>
  <c r="K94" i="7"/>
  <c r="K72" i="10"/>
  <c r="K45" i="10"/>
  <c r="M45" i="10" s="1"/>
  <c r="N45" i="10" s="1"/>
  <c r="L60" i="11"/>
  <c r="K60" i="11"/>
  <c r="M60" i="11" s="1"/>
  <c r="N60" i="11" s="1"/>
  <c r="K9" i="10"/>
  <c r="M9" i="10" s="1"/>
  <c r="K37" i="10"/>
  <c r="M37" i="10" s="1"/>
  <c r="N37" i="10" s="1"/>
  <c r="K47" i="10"/>
  <c r="M47" i="10" s="1"/>
  <c r="N47" i="10" s="1"/>
  <c r="K103" i="11"/>
  <c r="L103" i="11"/>
  <c r="K309" i="7"/>
  <c r="L309" i="7"/>
  <c r="K412" i="10"/>
  <c r="L350" i="7"/>
  <c r="K350" i="7"/>
  <c r="K305" i="10"/>
  <c r="L403" i="7"/>
  <c r="K403" i="7"/>
  <c r="L364" i="7"/>
  <c r="K364" i="7"/>
  <c r="K333" i="10"/>
  <c r="M333" i="10" s="1"/>
  <c r="N333" i="10" s="1"/>
  <c r="K290" i="10"/>
  <c r="K394" i="10"/>
  <c r="M394" i="10" s="1"/>
  <c r="L410" i="11"/>
  <c r="K410" i="11"/>
  <c r="K395" i="10"/>
  <c r="M395" i="10" s="1"/>
  <c r="N395" i="10" s="1"/>
  <c r="L284" i="11"/>
  <c r="K284" i="11"/>
  <c r="M284" i="11" s="1"/>
  <c r="L293" i="11"/>
  <c r="K293" i="11"/>
  <c r="M293" i="11" s="1"/>
  <c r="L406" i="11"/>
  <c r="K406" i="11"/>
  <c r="M406" i="11" s="1"/>
  <c r="N406" i="11" s="1"/>
  <c r="L356" i="11"/>
  <c r="K356" i="11"/>
  <c r="M356" i="11" s="1"/>
  <c r="K126" i="10"/>
  <c r="M126" i="10" s="1"/>
  <c r="V126" i="10" s="1"/>
  <c r="W126" i="10" s="1"/>
  <c r="L259" i="7"/>
  <c r="K259" i="7"/>
  <c r="L161" i="7"/>
  <c r="K161" i="7"/>
  <c r="K139" i="11"/>
  <c r="L139" i="11"/>
  <c r="L257" i="7"/>
  <c r="K257" i="7"/>
  <c r="P128" i="8"/>
  <c r="M128" i="8"/>
  <c r="L128" i="8"/>
  <c r="K187" i="7"/>
  <c r="L187" i="7"/>
  <c r="L157" i="7"/>
  <c r="K157" i="7"/>
  <c r="L235" i="11"/>
  <c r="K235" i="11"/>
  <c r="M235" i="11" s="1"/>
  <c r="N235" i="11" s="1"/>
  <c r="K134" i="10"/>
  <c r="K131" i="11"/>
  <c r="L131" i="11"/>
  <c r="K124" i="10"/>
  <c r="K205" i="10"/>
  <c r="K257" i="10"/>
  <c r="L248" i="11"/>
  <c r="K248" i="11"/>
  <c r="K163" i="11"/>
  <c r="L163" i="11"/>
  <c r="L264" i="11"/>
  <c r="K264" i="11"/>
  <c r="K75" i="7"/>
  <c r="L75" i="7"/>
  <c r="M107" i="8"/>
  <c r="L107" i="8"/>
  <c r="N107" i="8" s="1"/>
  <c r="P107" i="8"/>
  <c r="L87" i="8"/>
  <c r="P87" i="8"/>
  <c r="M87" i="8"/>
  <c r="K104" i="7"/>
  <c r="L104" i="7"/>
  <c r="L95" i="7"/>
  <c r="K95" i="7"/>
  <c r="P72" i="8"/>
  <c r="L72" i="8"/>
  <c r="M72" i="8"/>
  <c r="K68" i="7"/>
  <c r="L68" i="7"/>
  <c r="P28" i="8"/>
  <c r="M28" i="8"/>
  <c r="L28" i="8"/>
  <c r="P35" i="8"/>
  <c r="M35" i="8"/>
  <c r="L35" i="8"/>
  <c r="N35" i="8" s="1"/>
  <c r="K121" i="10"/>
  <c r="K88" i="10"/>
  <c r="M88" i="10" s="1"/>
  <c r="N88" i="10" s="1"/>
  <c r="K35" i="10"/>
  <c r="K22" i="10"/>
  <c r="K46" i="10"/>
  <c r="K78" i="10"/>
  <c r="L112" i="11"/>
  <c r="K112" i="11"/>
  <c r="M112" i="11" s="1"/>
  <c r="N112" i="11" s="1"/>
  <c r="R166" i="8"/>
  <c r="Q166" i="8"/>
  <c r="V166" i="8"/>
  <c r="U166" i="8"/>
  <c r="T166" i="8"/>
  <c r="S166" i="8"/>
  <c r="L405" i="7"/>
  <c r="K405" i="7"/>
  <c r="L338" i="11"/>
  <c r="K338" i="11"/>
  <c r="M338" i="11" s="1"/>
  <c r="K388" i="7"/>
  <c r="L388" i="7"/>
  <c r="K280" i="10"/>
  <c r="L327" i="7"/>
  <c r="K327" i="7"/>
  <c r="K311" i="10"/>
  <c r="M311" i="10" s="1"/>
  <c r="N311" i="10" s="1"/>
  <c r="K346" i="10"/>
  <c r="M346" i="10" s="1"/>
  <c r="N346" i="10" s="1"/>
  <c r="L313" i="11"/>
  <c r="K313" i="11"/>
  <c r="L305" i="11"/>
  <c r="K305" i="11"/>
  <c r="K330" i="11"/>
  <c r="L330" i="11"/>
  <c r="L301" i="11"/>
  <c r="K301" i="11"/>
  <c r="M301" i="11" s="1"/>
  <c r="L422" i="11"/>
  <c r="K422" i="11"/>
  <c r="M422" i="11" s="1"/>
  <c r="N422" i="11" s="1"/>
  <c r="K166" i="10"/>
  <c r="L169" i="7"/>
  <c r="K169" i="7"/>
  <c r="L198" i="7"/>
  <c r="K198" i="7"/>
  <c r="L154" i="11"/>
  <c r="K154" i="11"/>
  <c r="M154" i="11" s="1"/>
  <c r="N154" i="11" s="1"/>
  <c r="L132" i="8"/>
  <c r="N132" i="8" s="1"/>
  <c r="M132" i="8"/>
  <c r="P132" i="8"/>
  <c r="K198" i="10"/>
  <c r="M198" i="10" s="1"/>
  <c r="N198" i="10" s="1"/>
  <c r="L210" i="7"/>
  <c r="K210" i="7"/>
  <c r="M210" i="7" s="1"/>
  <c r="M127" i="8"/>
  <c r="L127" i="8"/>
  <c r="P127" i="8"/>
  <c r="L185" i="7"/>
  <c r="K185" i="7"/>
  <c r="K164" i="11"/>
  <c r="L164" i="11"/>
  <c r="K151" i="10"/>
  <c r="M151" i="10" s="1"/>
  <c r="K174" i="11"/>
  <c r="L174" i="11"/>
  <c r="K180" i="10"/>
  <c r="K213" i="10"/>
  <c r="M213" i="10" s="1"/>
  <c r="N213" i="10" s="1"/>
  <c r="K223" i="10"/>
  <c r="L162" i="11"/>
  <c r="K162" i="11"/>
  <c r="M162" i="11" s="1"/>
  <c r="N162" i="11" s="1"/>
  <c r="K241" i="10"/>
  <c r="L227" i="11"/>
  <c r="K227" i="11"/>
  <c r="M227" i="11" s="1"/>
  <c r="L261" i="7"/>
  <c r="K261" i="7"/>
  <c r="K25" i="7"/>
  <c r="L25" i="7"/>
  <c r="K69" i="7"/>
  <c r="L69" i="7"/>
  <c r="K42" i="7"/>
  <c r="L42" i="7"/>
  <c r="M79" i="8"/>
  <c r="L79" i="8"/>
  <c r="P79" i="8"/>
  <c r="L97" i="7"/>
  <c r="K97" i="7"/>
  <c r="M97" i="7" s="1"/>
  <c r="L49" i="8"/>
  <c r="M49" i="8"/>
  <c r="P49" i="8"/>
  <c r="P91" i="8"/>
  <c r="M91" i="8"/>
  <c r="L91" i="8"/>
  <c r="M58" i="8"/>
  <c r="L58" i="8"/>
  <c r="P58" i="8"/>
  <c r="K56" i="11"/>
  <c r="L56" i="11"/>
  <c r="K42" i="10"/>
  <c r="M42" i="10" s="1"/>
  <c r="K33" i="10"/>
  <c r="M33" i="10" s="1"/>
  <c r="N33" i="10" s="1"/>
  <c r="K98" i="10"/>
  <c r="M98" i="10" s="1"/>
  <c r="N98" i="10" s="1"/>
  <c r="K107" i="10"/>
  <c r="K62" i="11"/>
  <c r="L62" i="11"/>
  <c r="K121" i="11"/>
  <c r="L121" i="11"/>
  <c r="R70" i="8"/>
  <c r="V70" i="8"/>
  <c r="U70" i="8"/>
  <c r="T70" i="8"/>
  <c r="S70" i="8"/>
  <c r="Q70" i="8"/>
  <c r="L292" i="11"/>
  <c r="K292" i="11"/>
  <c r="M292" i="11" s="1"/>
  <c r="L206" i="7"/>
  <c r="K206" i="7"/>
  <c r="M206" i="7" s="1"/>
  <c r="K219" i="7"/>
  <c r="L219" i="7"/>
  <c r="L126" i="7"/>
  <c r="K126" i="7"/>
  <c r="K233" i="7"/>
  <c r="L233" i="7"/>
  <c r="L213" i="7"/>
  <c r="K213" i="7"/>
  <c r="K165" i="10"/>
  <c r="K137" i="10"/>
  <c r="M137" i="10" s="1"/>
  <c r="N137" i="10" s="1"/>
  <c r="K183" i="10"/>
  <c r="K259" i="10"/>
  <c r="M259" i="10" s="1"/>
  <c r="N259" i="10" s="1"/>
  <c r="K247" i="10"/>
  <c r="L217" i="11"/>
  <c r="K217" i="11"/>
  <c r="K269" i="10"/>
  <c r="L252" i="11"/>
  <c r="K252" i="11"/>
  <c r="M252" i="11" s="1"/>
  <c r="N252" i="11" s="1"/>
  <c r="L98" i="7"/>
  <c r="K98" i="7"/>
  <c r="K36" i="11"/>
  <c r="L36" i="11"/>
  <c r="K28" i="7"/>
  <c r="M28" i="7" s="1"/>
  <c r="L28" i="7"/>
  <c r="P24" i="8"/>
  <c r="M24" i="8"/>
  <c r="L24" i="8"/>
  <c r="P95" i="8"/>
  <c r="M95" i="8"/>
  <c r="L95" i="8"/>
  <c r="K103" i="7"/>
  <c r="L103" i="7"/>
  <c r="M61" i="8"/>
  <c r="L61" i="8"/>
  <c r="P61" i="8"/>
  <c r="P122" i="8"/>
  <c r="M122" i="8"/>
  <c r="L122" i="8"/>
  <c r="N122" i="8" s="1"/>
  <c r="M86" i="8"/>
  <c r="L86" i="8"/>
  <c r="P86" i="8"/>
  <c r="K10" i="10"/>
  <c r="M10" i="10" s="1"/>
  <c r="N10" i="10" s="1"/>
  <c r="L118" i="11"/>
  <c r="K118" i="11"/>
  <c r="M118" i="11" s="1"/>
  <c r="N118" i="11" s="1"/>
  <c r="K56" i="10"/>
  <c r="M56" i="10" s="1"/>
  <c r="K94" i="10"/>
  <c r="M94" i="10" s="1"/>
  <c r="N94" i="10" s="1"/>
  <c r="L33" i="11"/>
  <c r="K33" i="11"/>
  <c r="L42" i="11"/>
  <c r="K42" i="11"/>
  <c r="M42" i="11" s="1"/>
  <c r="K93" i="11"/>
  <c r="L93" i="11"/>
  <c r="L64" i="11"/>
  <c r="K64" i="11"/>
  <c r="M64" i="11" s="1"/>
  <c r="N64" i="11" s="1"/>
  <c r="N70" i="8"/>
  <c r="L320" i="11"/>
  <c r="K320" i="11"/>
  <c r="P1" i="17"/>
  <c r="L1" i="17"/>
  <c r="N1" i="17" s="1"/>
  <c r="M1" i="17"/>
  <c r="W150" i="8"/>
  <c r="X150" i="8" s="1"/>
  <c r="O150" i="8"/>
  <c r="L139" i="7"/>
  <c r="K139" i="7"/>
  <c r="L227" i="7"/>
  <c r="K227" i="7"/>
  <c r="L231" i="7"/>
  <c r="K231" i="7"/>
  <c r="M231" i="7" s="1"/>
  <c r="L149" i="7"/>
  <c r="K149" i="7"/>
  <c r="K158" i="10"/>
  <c r="K256" i="7"/>
  <c r="L256" i="7"/>
  <c r="L241" i="7"/>
  <c r="K241" i="7"/>
  <c r="P131" i="8"/>
  <c r="L131" i="8"/>
  <c r="M131" i="8"/>
  <c r="K204" i="10"/>
  <c r="K148" i="10"/>
  <c r="K189" i="10"/>
  <c r="L130" i="11"/>
  <c r="K130" i="11"/>
  <c r="M130" i="11" s="1"/>
  <c r="K271" i="10"/>
  <c r="L265" i="11"/>
  <c r="K265" i="11"/>
  <c r="L140" i="11"/>
  <c r="K140" i="11"/>
  <c r="M140" i="11" s="1"/>
  <c r="K134" i="11"/>
  <c r="L134" i="11"/>
  <c r="P140" i="8"/>
  <c r="M140" i="8"/>
  <c r="L140" i="8"/>
  <c r="P7" i="8"/>
  <c r="M7" i="8"/>
  <c r="L7" i="8"/>
  <c r="L18" i="11"/>
  <c r="K18" i="11"/>
  <c r="M18" i="11" s="1"/>
  <c r="K39" i="7"/>
  <c r="L39" i="7"/>
  <c r="L111" i="7"/>
  <c r="K111" i="7"/>
  <c r="P68" i="8"/>
  <c r="M68" i="8"/>
  <c r="L68" i="8"/>
  <c r="L115" i="8"/>
  <c r="M115" i="8"/>
  <c r="P115" i="8"/>
  <c r="P80" i="8"/>
  <c r="M80" i="8"/>
  <c r="L80" i="8"/>
  <c r="K29" i="10"/>
  <c r="M29" i="10" s="1"/>
  <c r="N29" i="10" s="1"/>
  <c r="L96" i="8"/>
  <c r="P96" i="8"/>
  <c r="M96" i="8"/>
  <c r="M114" i="8"/>
  <c r="L114" i="8"/>
  <c r="P114" i="8"/>
  <c r="M19" i="8"/>
  <c r="L19" i="8"/>
  <c r="P19" i="8"/>
  <c r="L3" i="11"/>
  <c r="K3" i="11"/>
  <c r="M3" i="11" s="1"/>
  <c r="V3" i="11" s="1"/>
  <c r="W3" i="11" s="1"/>
  <c r="K70" i="10"/>
  <c r="K101" i="10"/>
  <c r="M101" i="10" s="1"/>
  <c r="N101" i="10" s="1"/>
  <c r="L54" i="11"/>
  <c r="K54" i="11"/>
  <c r="M54" i="11" s="1"/>
  <c r="L79" i="11"/>
  <c r="K79" i="11"/>
  <c r="M79" i="11" s="1"/>
  <c r="K111" i="11"/>
  <c r="L111" i="11"/>
  <c r="L66" i="11"/>
  <c r="K66" i="11"/>
  <c r="L371" i="7"/>
  <c r="K371" i="7"/>
  <c r="P168" i="8"/>
  <c r="M168" i="8"/>
  <c r="L168" i="8"/>
  <c r="K372" i="10"/>
  <c r="L274" i="7"/>
  <c r="K274" i="7"/>
  <c r="K356" i="10"/>
  <c r="M356" i="10" s="1"/>
  <c r="L411" i="7"/>
  <c r="K411" i="7"/>
  <c r="K360" i="10"/>
  <c r="M360" i="10" s="1"/>
  <c r="N360" i="10" s="1"/>
  <c r="K341" i="11"/>
  <c r="L341" i="11"/>
  <c r="L343" i="11"/>
  <c r="K343" i="11"/>
  <c r="M343" i="11" s="1"/>
  <c r="N343" i="11" s="1"/>
  <c r="K273" i="10"/>
  <c r="K307" i="10"/>
  <c r="K342" i="10"/>
  <c r="M342" i="10" s="1"/>
  <c r="N342" i="10" s="1"/>
  <c r="K405" i="11"/>
  <c r="L405" i="11"/>
  <c r="L331" i="11"/>
  <c r="K331" i="11"/>
  <c r="M331" i="11" s="1"/>
  <c r="N331" i="11" s="1"/>
  <c r="L334" i="11"/>
  <c r="K334" i="11"/>
  <c r="L345" i="11"/>
  <c r="K345" i="11"/>
  <c r="M345" i="11" s="1"/>
  <c r="K105" i="10"/>
  <c r="M105" i="10" s="1"/>
  <c r="L79" i="7"/>
  <c r="K79" i="7"/>
  <c r="K180" i="7"/>
  <c r="L180" i="7"/>
  <c r="L247" i="7"/>
  <c r="K247" i="7"/>
  <c r="M247" i="7" s="1"/>
  <c r="K272" i="7"/>
  <c r="L272" i="7"/>
  <c r="K207" i="10"/>
  <c r="M207" i="10" s="1"/>
  <c r="N207" i="10" s="1"/>
  <c r="L176" i="7"/>
  <c r="K176" i="7"/>
  <c r="L182" i="7"/>
  <c r="K182" i="7"/>
  <c r="K172" i="7"/>
  <c r="L172" i="7"/>
  <c r="K170" i="10"/>
  <c r="L269" i="7"/>
  <c r="K269" i="7"/>
  <c r="L138" i="11"/>
  <c r="K138" i="11"/>
  <c r="M138" i="11" s="1"/>
  <c r="K203" i="10"/>
  <c r="M203" i="10" s="1"/>
  <c r="K227" i="10"/>
  <c r="M227" i="10" s="1"/>
  <c r="L182" i="11"/>
  <c r="K182" i="11"/>
  <c r="K207" i="11"/>
  <c r="L207" i="11"/>
  <c r="K181" i="11"/>
  <c r="L181" i="11"/>
  <c r="L168" i="11"/>
  <c r="K168" i="11"/>
  <c r="L133" i="11"/>
  <c r="K133" i="11"/>
  <c r="M133" i="11" s="1"/>
  <c r="P46" i="8"/>
  <c r="M46" i="8"/>
  <c r="L46" i="8"/>
  <c r="M33" i="8"/>
  <c r="P33" i="8"/>
  <c r="L33" i="8"/>
  <c r="L23" i="7"/>
  <c r="K23" i="7"/>
  <c r="M57" i="8"/>
  <c r="P57" i="8"/>
  <c r="L57" i="8"/>
  <c r="K43" i="7"/>
  <c r="L43" i="7"/>
  <c r="P53" i="8"/>
  <c r="L53" i="8"/>
  <c r="M53" i="8"/>
  <c r="K32" i="10"/>
  <c r="M32" i="10" s="1"/>
  <c r="P100" i="8"/>
  <c r="M100" i="8"/>
  <c r="L100" i="8"/>
  <c r="N100" i="8" s="1"/>
  <c r="K41" i="10"/>
  <c r="M41" i="10" s="1"/>
  <c r="N41" i="10" s="1"/>
  <c r="L120" i="8"/>
  <c r="M120" i="8"/>
  <c r="K50" i="10"/>
  <c r="P47" i="8"/>
  <c r="M47" i="8"/>
  <c r="L47" i="8"/>
  <c r="K103" i="10"/>
  <c r="M103" i="10" s="1"/>
  <c r="N103" i="10" s="1"/>
  <c r="K106" i="10"/>
  <c r="M106" i="10" s="1"/>
  <c r="N106" i="10" s="1"/>
  <c r="L97" i="11"/>
  <c r="K97" i="11"/>
  <c r="M97" i="11" s="1"/>
  <c r="N97" i="11" s="1"/>
  <c r="L90" i="11"/>
  <c r="K90" i="11"/>
  <c r="M90" i="11" s="1"/>
  <c r="N90" i="11" s="1"/>
  <c r="K68" i="11"/>
  <c r="L68" i="11"/>
  <c r="K408" i="7"/>
  <c r="M408" i="7" s="1"/>
  <c r="L332" i="7"/>
  <c r="K332" i="7"/>
  <c r="L363" i="11"/>
  <c r="K363" i="11"/>
  <c r="K286" i="10"/>
  <c r="L302" i="7"/>
  <c r="K302" i="7"/>
  <c r="K383" i="10"/>
  <c r="M159" i="8"/>
  <c r="L159" i="8"/>
  <c r="P159" i="8"/>
  <c r="K371" i="10"/>
  <c r="M371" i="10" s="1"/>
  <c r="N371" i="10" s="1"/>
  <c r="K319" i="10"/>
  <c r="L395" i="11"/>
  <c r="K395" i="11"/>
  <c r="M395" i="11" s="1"/>
  <c r="N395" i="11" s="1"/>
  <c r="K300" i="10"/>
  <c r="M300" i="10" s="1"/>
  <c r="N300" i="10" s="1"/>
  <c r="K316" i="10"/>
  <c r="K365" i="10"/>
  <c r="M365" i="10" s="1"/>
  <c r="N365" i="10" s="1"/>
  <c r="K292" i="10"/>
  <c r="M292" i="10" s="1"/>
  <c r="N292" i="10" s="1"/>
  <c r="L348" i="11"/>
  <c r="K348" i="11"/>
  <c r="M348" i="11" s="1"/>
  <c r="N348" i="11" s="1"/>
  <c r="L413" i="11"/>
  <c r="K413" i="11"/>
  <c r="L347" i="11"/>
  <c r="K347" i="11"/>
  <c r="M347" i="11" s="1"/>
  <c r="N347" i="11" s="1"/>
  <c r="M42" i="8"/>
  <c r="P42" i="8"/>
  <c r="L42" i="8"/>
  <c r="K250" i="7"/>
  <c r="L250" i="7"/>
  <c r="P133" i="8"/>
  <c r="M133" i="8"/>
  <c r="L133" i="8"/>
  <c r="N133" i="8" s="1"/>
  <c r="K262" i="10"/>
  <c r="M262" i="10" s="1"/>
  <c r="N262" i="10" s="1"/>
  <c r="L179" i="7"/>
  <c r="K179" i="7"/>
  <c r="L196" i="7"/>
  <c r="K196" i="7"/>
  <c r="M196" i="7" s="1"/>
  <c r="L195" i="7"/>
  <c r="K195" i="7"/>
  <c r="K262" i="11"/>
  <c r="L262" i="11"/>
  <c r="M129" i="8"/>
  <c r="L129" i="8"/>
  <c r="P129" i="8"/>
  <c r="K161" i="10"/>
  <c r="L172" i="11"/>
  <c r="K172" i="11"/>
  <c r="K261" i="10"/>
  <c r="K243" i="10"/>
  <c r="L222" i="11"/>
  <c r="K222" i="11"/>
  <c r="M222" i="11" s="1"/>
  <c r="K132" i="10"/>
  <c r="M132" i="10" s="1"/>
  <c r="K187" i="11"/>
  <c r="L187" i="11"/>
  <c r="L216" i="11"/>
  <c r="K216" i="11"/>
  <c r="M216" i="11" s="1"/>
  <c r="N216" i="11" s="1"/>
  <c r="K210" i="11"/>
  <c r="L210" i="11"/>
  <c r="K165" i="11"/>
  <c r="L165" i="11"/>
  <c r="P36" i="8"/>
  <c r="M36" i="8"/>
  <c r="L36" i="8"/>
  <c r="L114" i="7"/>
  <c r="K114" i="7"/>
  <c r="P77" i="8"/>
  <c r="M77" i="8"/>
  <c r="L77" i="8"/>
  <c r="L66" i="7"/>
  <c r="K66" i="7"/>
  <c r="M66" i="7" s="1"/>
  <c r="K31" i="7"/>
  <c r="L31" i="7"/>
  <c r="K12" i="7"/>
  <c r="L12" i="7"/>
  <c r="K95" i="10"/>
  <c r="M95" i="10" s="1"/>
  <c r="N95" i="10" s="1"/>
  <c r="L5" i="11"/>
  <c r="K5" i="11"/>
  <c r="M5" i="11" s="1"/>
  <c r="P75" i="8"/>
  <c r="M75" i="8"/>
  <c r="L75" i="8"/>
  <c r="L25" i="11"/>
  <c r="K25" i="11"/>
  <c r="K108" i="10"/>
  <c r="M108" i="10" s="1"/>
  <c r="N108" i="10" s="1"/>
  <c r="L108" i="11"/>
  <c r="K108" i="11"/>
  <c r="M108" i="11" s="1"/>
  <c r="N108" i="11" s="1"/>
  <c r="L70" i="11"/>
  <c r="K70" i="11"/>
  <c r="M70" i="11" s="1"/>
  <c r="K389" i="7"/>
  <c r="L389" i="7"/>
  <c r="L334" i="7"/>
  <c r="K334" i="7"/>
  <c r="L280" i="7"/>
  <c r="K280" i="7"/>
  <c r="M280" i="7" s="1"/>
  <c r="K396" i="7"/>
  <c r="L396" i="7"/>
  <c r="L278" i="7"/>
  <c r="K278" i="7"/>
  <c r="K405" i="10"/>
  <c r="K330" i="7"/>
  <c r="L330" i="7"/>
  <c r="L282" i="11"/>
  <c r="K282" i="11"/>
  <c r="K362" i="10"/>
  <c r="M362" i="10" s="1"/>
  <c r="N362" i="10" s="1"/>
  <c r="K359" i="11"/>
  <c r="L359" i="11"/>
  <c r="K309" i="10"/>
  <c r="K339" i="10"/>
  <c r="M339" i="10" s="1"/>
  <c r="K390" i="10"/>
  <c r="K321" i="10"/>
  <c r="M321" i="10" s="1"/>
  <c r="N321" i="10" s="1"/>
  <c r="K366" i="11"/>
  <c r="L366" i="11"/>
  <c r="L376" i="11"/>
  <c r="K376" i="11"/>
  <c r="M376" i="11" s="1"/>
  <c r="L409" i="11"/>
  <c r="K409" i="11"/>
  <c r="M409" i="11" s="1"/>
  <c r="P126" i="8"/>
  <c r="L126" i="8"/>
  <c r="M126" i="8"/>
  <c r="L201" i="7"/>
  <c r="K201" i="7"/>
  <c r="L135" i="7"/>
  <c r="K135" i="7"/>
  <c r="L264" i="7"/>
  <c r="K264" i="7"/>
  <c r="K226" i="10"/>
  <c r="L247" i="11"/>
  <c r="K247" i="11"/>
  <c r="M247" i="11" s="1"/>
  <c r="K264" i="10"/>
  <c r="K220" i="10"/>
  <c r="K160" i="10"/>
  <c r="L190" i="11"/>
  <c r="K190" i="11"/>
  <c r="L258" i="11"/>
  <c r="K258" i="11"/>
  <c r="L249" i="11"/>
  <c r="K249" i="11"/>
  <c r="M249" i="11" s="1"/>
  <c r="K223" i="11"/>
  <c r="L223" i="11"/>
  <c r="L34" i="11"/>
  <c r="K34" i="11"/>
  <c r="L224" i="7"/>
  <c r="K224" i="7"/>
  <c r="M224" i="7" s="1"/>
  <c r="K54" i="7"/>
  <c r="M54" i="7" s="1"/>
  <c r="L54" i="7"/>
  <c r="K89" i="7"/>
  <c r="L89" i="7"/>
  <c r="P109" i="8"/>
  <c r="M109" i="8"/>
  <c r="L109" i="8"/>
  <c r="L73" i="7"/>
  <c r="K73" i="7"/>
  <c r="K99" i="10"/>
  <c r="L52" i="11"/>
  <c r="K52" i="11"/>
  <c r="M52" i="11" s="1"/>
  <c r="N52" i="11" s="1"/>
  <c r="P103" i="8"/>
  <c r="L103" i="8"/>
  <c r="N103" i="8" s="1"/>
  <c r="M103" i="8"/>
  <c r="L83" i="11"/>
  <c r="K83" i="11"/>
  <c r="M83" i="11" s="1"/>
  <c r="L14" i="11"/>
  <c r="K14" i="11"/>
  <c r="M14" i="11" s="1"/>
  <c r="K49" i="10"/>
  <c r="L37" i="11"/>
  <c r="K37" i="11"/>
  <c r="M37" i="11" s="1"/>
  <c r="L72" i="11"/>
  <c r="K72" i="11"/>
  <c r="L113" i="7"/>
  <c r="K113" i="7"/>
  <c r="K406" i="10"/>
  <c r="L358" i="7"/>
  <c r="K358" i="7"/>
  <c r="M358" i="7" s="1"/>
  <c r="L297" i="7"/>
  <c r="K297" i="7"/>
  <c r="K392" i="11"/>
  <c r="L392" i="11"/>
  <c r="K306" i="10"/>
  <c r="M306" i="10" s="1"/>
  <c r="N306" i="10" s="1"/>
  <c r="K318" i="10"/>
  <c r="K392" i="10"/>
  <c r="M392" i="10" s="1"/>
  <c r="N392" i="10" s="1"/>
  <c r="L324" i="11"/>
  <c r="K324" i="11"/>
  <c r="M324" i="11" s="1"/>
  <c r="N324" i="11" s="1"/>
  <c r="K345" i="10"/>
  <c r="K378" i="11"/>
  <c r="L378" i="11"/>
  <c r="L400" i="11"/>
  <c r="K400" i="11"/>
  <c r="M400" i="11" s="1"/>
  <c r="N400" i="11" s="1"/>
  <c r="M4" i="17"/>
  <c r="L4" i="17"/>
  <c r="P4" i="17"/>
  <c r="P136" i="8"/>
  <c r="M136" i="8"/>
  <c r="L136" i="8"/>
  <c r="L271" i="7"/>
  <c r="K271" i="7"/>
  <c r="L128" i="11"/>
  <c r="K128" i="11"/>
  <c r="K160" i="7"/>
  <c r="L160" i="7"/>
  <c r="M124" i="8"/>
  <c r="L124" i="8"/>
  <c r="P124" i="8"/>
  <c r="L147" i="7"/>
  <c r="K147" i="7"/>
  <c r="K250" i="10"/>
  <c r="M250" i="10" s="1"/>
  <c r="N250" i="10" s="1"/>
  <c r="K141" i="10"/>
  <c r="M141" i="10" s="1"/>
  <c r="N141" i="10" s="1"/>
  <c r="L260" i="11"/>
  <c r="K260" i="11"/>
  <c r="M260" i="11" s="1"/>
  <c r="K195" i="11"/>
  <c r="L195" i="11"/>
  <c r="K270" i="10"/>
  <c r="M270" i="10" s="1"/>
  <c r="K188" i="10"/>
  <c r="K218" i="11"/>
  <c r="M218" i="11" s="1"/>
  <c r="N218" i="11" s="1"/>
  <c r="L218" i="11"/>
  <c r="K270" i="11"/>
  <c r="L270" i="11"/>
  <c r="L250" i="11"/>
  <c r="K250" i="11"/>
  <c r="M250" i="11" s="1"/>
  <c r="K175" i="7"/>
  <c r="L175" i="7"/>
  <c r="P23" i="8"/>
  <c r="L23" i="8"/>
  <c r="M23" i="8"/>
  <c r="K59" i="10"/>
  <c r="P13" i="8"/>
  <c r="L13" i="8"/>
  <c r="M13" i="8"/>
  <c r="L112" i="7"/>
  <c r="K112" i="7"/>
  <c r="K85" i="7"/>
  <c r="L85" i="7"/>
  <c r="P27" i="8"/>
  <c r="M27" i="8"/>
  <c r="L27" i="8"/>
  <c r="L38" i="11"/>
  <c r="K38" i="11"/>
  <c r="K44" i="10"/>
  <c r="M44" i="10" s="1"/>
  <c r="K104" i="11"/>
  <c r="L104" i="11"/>
  <c r="K11" i="10"/>
  <c r="M22" i="8"/>
  <c r="L22" i="8"/>
  <c r="P22" i="8"/>
  <c r="K20" i="11"/>
  <c r="L20" i="11"/>
  <c r="K13" i="10"/>
  <c r="K63" i="11"/>
  <c r="L63" i="11"/>
  <c r="K27" i="10"/>
  <c r="K80" i="10"/>
  <c r="K20" i="10"/>
  <c r="M20" i="10" s="1"/>
  <c r="L39" i="11"/>
  <c r="K39" i="11"/>
  <c r="K74" i="11"/>
  <c r="L74" i="11"/>
  <c r="L21" i="11"/>
  <c r="K21" i="11"/>
  <c r="M21" i="11" s="1"/>
  <c r="L142" i="7"/>
  <c r="K142" i="7"/>
  <c r="L35" i="11"/>
  <c r="K35" i="11"/>
  <c r="M35" i="11" s="1"/>
  <c r="N35" i="11" s="1"/>
  <c r="K6" i="10"/>
  <c r="P63" i="8"/>
  <c r="M63" i="8"/>
  <c r="L63" i="8"/>
  <c r="M64" i="8"/>
  <c r="L64" i="8"/>
  <c r="P64" i="8"/>
  <c r="L94" i="8"/>
  <c r="M94" i="8"/>
  <c r="P94" i="8"/>
  <c r="L3" i="9"/>
  <c r="K3" i="9"/>
  <c r="K67" i="11"/>
  <c r="L67" i="11"/>
  <c r="K116" i="10"/>
  <c r="M116" i="10" s="1"/>
  <c r="N116" i="10" s="1"/>
  <c r="K66" i="10"/>
  <c r="M66" i="10" s="1"/>
  <c r="L50" i="8"/>
  <c r="P50" i="8"/>
  <c r="M50" i="8"/>
  <c r="K60" i="10"/>
  <c r="M60" i="10" s="1"/>
  <c r="L26" i="11"/>
  <c r="K26" i="11"/>
  <c r="M26" i="11" s="1"/>
  <c r="K96" i="10"/>
  <c r="K58" i="10"/>
  <c r="M58" i="10" s="1"/>
  <c r="N58" i="10" s="1"/>
  <c r="K109" i="10"/>
  <c r="M109" i="10" s="1"/>
  <c r="N109" i="10" s="1"/>
  <c r="K48" i="10"/>
  <c r="M48" i="10" s="1"/>
  <c r="N48" i="10" s="1"/>
  <c r="L41" i="11"/>
  <c r="K41" i="11"/>
  <c r="M41" i="11" s="1"/>
  <c r="K76" i="11"/>
  <c r="L76" i="11"/>
  <c r="K49" i="11"/>
  <c r="L49" i="11"/>
  <c r="L8" i="7"/>
  <c r="K8" i="7"/>
  <c r="K290" i="11"/>
  <c r="L290" i="11"/>
  <c r="K324" i="10"/>
  <c r="M324" i="10" s="1"/>
  <c r="N324" i="10" s="1"/>
  <c r="K374" i="10"/>
  <c r="M374" i="10" s="1"/>
  <c r="K420" i="10"/>
  <c r="K372" i="11"/>
  <c r="L372" i="11"/>
  <c r="K393" i="10"/>
  <c r="L369" i="11"/>
  <c r="K369" i="11"/>
  <c r="L302" i="11"/>
  <c r="K302" i="11"/>
  <c r="K385" i="10"/>
  <c r="M11" i="17"/>
  <c r="L11" i="17"/>
  <c r="P11" i="17"/>
  <c r="L106" i="7"/>
  <c r="K106" i="7"/>
  <c r="M106" i="7" s="1"/>
  <c r="K195" i="10"/>
  <c r="M195" i="10" s="1"/>
  <c r="N195" i="10" s="1"/>
  <c r="K145" i="10"/>
  <c r="K212" i="10"/>
  <c r="L181" i="7"/>
  <c r="K181" i="7"/>
  <c r="M181" i="7" s="1"/>
  <c r="L226" i="7"/>
  <c r="K226" i="7"/>
  <c r="L249" i="7"/>
  <c r="K249" i="7"/>
  <c r="K232" i="10"/>
  <c r="M232" i="10" s="1"/>
  <c r="N232" i="10" s="1"/>
  <c r="L145" i="7"/>
  <c r="K145" i="7"/>
  <c r="K133" i="10"/>
  <c r="K173" i="10"/>
  <c r="M173" i="10" s="1"/>
  <c r="N173" i="10" s="1"/>
  <c r="L137" i="11"/>
  <c r="K137" i="11"/>
  <c r="M137" i="11" s="1"/>
  <c r="L221" i="11"/>
  <c r="K221" i="11"/>
  <c r="M221" i="11" s="1"/>
  <c r="N221" i="11" s="1"/>
  <c r="K233" i="10"/>
  <c r="K194" i="11"/>
  <c r="L194" i="11"/>
  <c r="K258" i="10"/>
  <c r="K244" i="10"/>
  <c r="K121" i="7"/>
  <c r="L121" i="7"/>
  <c r="N374" i="7"/>
  <c r="K153" i="10"/>
  <c r="K41" i="7"/>
  <c r="L41" i="7"/>
  <c r="K31" i="10"/>
  <c r="P69" i="8"/>
  <c r="M69" i="8"/>
  <c r="L69" i="8"/>
  <c r="K28" i="10"/>
  <c r="K7" i="7"/>
  <c r="L7" i="7"/>
  <c r="L122" i="7"/>
  <c r="K122" i="7"/>
  <c r="L31" i="11"/>
  <c r="K31" i="11"/>
  <c r="M31" i="11" s="1"/>
  <c r="P78" i="8"/>
  <c r="M78" i="8"/>
  <c r="L78" i="8"/>
  <c r="L55" i="11"/>
  <c r="K55" i="11"/>
  <c r="M55" i="11" s="1"/>
  <c r="N55" i="11" s="1"/>
  <c r="L113" i="11"/>
  <c r="K113" i="11"/>
  <c r="M113" i="11" s="1"/>
  <c r="N113" i="11" s="1"/>
  <c r="K87" i="10"/>
  <c r="M87" i="10" s="1"/>
  <c r="N87" i="10" s="1"/>
  <c r="L13" i="11"/>
  <c r="K13" i="11"/>
  <c r="M13" i="11" s="1"/>
  <c r="K76" i="10"/>
  <c r="M76" i="10" s="1"/>
  <c r="N76" i="10" s="1"/>
  <c r="L43" i="11"/>
  <c r="K43" i="11"/>
  <c r="M43" i="11" s="1"/>
  <c r="K99" i="11"/>
  <c r="L99" i="11"/>
  <c r="L77" i="11"/>
  <c r="K77" i="11"/>
  <c r="L6" i="11"/>
  <c r="K6" i="11"/>
  <c r="M6" i="11" s="1"/>
  <c r="K265" i="7"/>
  <c r="L265" i="7"/>
  <c r="N130" i="8"/>
  <c r="K64" i="7"/>
  <c r="L64" i="7"/>
  <c r="K79" i="10"/>
  <c r="M79" i="10" s="1"/>
  <c r="N79" i="10" s="1"/>
  <c r="K122" i="10"/>
  <c r="M122" i="10" s="1"/>
  <c r="K36" i="10"/>
  <c r="M36" i="10" s="1"/>
  <c r="K97" i="10"/>
  <c r="L22" i="7"/>
  <c r="K22" i="7"/>
  <c r="M22" i="7" s="1"/>
  <c r="K52" i="10"/>
  <c r="M52" i="10" s="1"/>
  <c r="N52" i="10" s="1"/>
  <c r="L30" i="7"/>
  <c r="K30" i="7"/>
  <c r="M3" i="8"/>
  <c r="L3" i="8"/>
  <c r="N3" i="8" s="1"/>
  <c r="P3" i="8"/>
  <c r="K73" i="11"/>
  <c r="L73" i="11"/>
  <c r="P106" i="8"/>
  <c r="M106" i="8"/>
  <c r="L106" i="8"/>
  <c r="L101" i="7"/>
  <c r="K101" i="7"/>
  <c r="M101" i="7" s="1"/>
  <c r="L32" i="11"/>
  <c r="K32" i="11"/>
  <c r="M32" i="11" s="1"/>
  <c r="N32" i="11" s="1"/>
  <c r="L44" i="11"/>
  <c r="K44" i="11"/>
  <c r="M44" i="11" s="1"/>
  <c r="K118" i="10"/>
  <c r="K71" i="11"/>
  <c r="M71" i="11" s="1"/>
  <c r="L71" i="11"/>
  <c r="K104" i="10"/>
  <c r="L45" i="11"/>
  <c r="K45" i="11"/>
  <c r="M45" i="11" s="1"/>
  <c r="K120" i="11"/>
  <c r="L120" i="11"/>
  <c r="L105" i="11"/>
  <c r="K105" i="11"/>
  <c r="M105" i="11" s="1"/>
  <c r="K149" i="10"/>
  <c r="L199" i="7"/>
  <c r="K199" i="7"/>
  <c r="K189" i="7"/>
  <c r="L189" i="7"/>
  <c r="L214" i="11"/>
  <c r="K214" i="11"/>
  <c r="M214" i="11" s="1"/>
  <c r="K187" i="10"/>
  <c r="K164" i="10"/>
  <c r="L272" i="11"/>
  <c r="K272" i="11"/>
  <c r="L200" i="11"/>
  <c r="K200" i="11"/>
  <c r="L153" i="11"/>
  <c r="K153" i="11"/>
  <c r="M153" i="11" s="1"/>
  <c r="L149" i="11"/>
  <c r="K149" i="11"/>
  <c r="K183" i="11"/>
  <c r="L183" i="11"/>
  <c r="L157" i="11"/>
  <c r="K157" i="11"/>
  <c r="N315" i="7"/>
  <c r="K83" i="7"/>
  <c r="L83" i="7"/>
  <c r="L65" i="7"/>
  <c r="K65" i="7"/>
  <c r="K23" i="11"/>
  <c r="L23" i="11"/>
  <c r="K73" i="10"/>
  <c r="M73" i="10" s="1"/>
  <c r="N73" i="10" s="1"/>
  <c r="L78" i="7"/>
  <c r="K78" i="7"/>
  <c r="K50" i="7"/>
  <c r="L50" i="7"/>
  <c r="K92" i="10"/>
  <c r="M92" i="10" s="1"/>
  <c r="L53" i="7"/>
  <c r="K53" i="7"/>
  <c r="P44" i="8"/>
  <c r="M44" i="8"/>
  <c r="L44" i="8"/>
  <c r="N44" i="8" s="1"/>
  <c r="L34" i="7"/>
  <c r="K34" i="7"/>
  <c r="M17" i="8"/>
  <c r="L17" i="8"/>
  <c r="P17" i="8"/>
  <c r="K24" i="10"/>
  <c r="L95" i="11"/>
  <c r="K95" i="11"/>
  <c r="K98" i="11"/>
  <c r="L98" i="11"/>
  <c r="L89" i="11"/>
  <c r="K89" i="11"/>
  <c r="M89" i="11" s="1"/>
  <c r="K8" i="11"/>
  <c r="L8" i="11"/>
  <c r="K47" i="11"/>
  <c r="L47" i="11"/>
  <c r="L51" i="7"/>
  <c r="K51" i="7"/>
  <c r="L373" i="11"/>
  <c r="K93" i="7"/>
  <c r="L93" i="7"/>
  <c r="M157" i="8"/>
  <c r="L157" i="8"/>
  <c r="N157" i="8" s="1"/>
  <c r="P157" i="8"/>
  <c r="K323" i="11"/>
  <c r="L323" i="11"/>
  <c r="K337" i="10"/>
  <c r="M337" i="10" s="1"/>
  <c r="N337" i="10" s="1"/>
  <c r="K274" i="10"/>
  <c r="M274" i="10" s="1"/>
  <c r="N274" i="10" s="1"/>
  <c r="K414" i="10"/>
  <c r="L364" i="11"/>
  <c r="K364" i="11"/>
  <c r="M364" i="11" s="1"/>
  <c r="L325" i="11"/>
  <c r="K325" i="11"/>
  <c r="K417" i="11"/>
  <c r="L417" i="11"/>
  <c r="L315" i="11"/>
  <c r="K315" i="11"/>
  <c r="K211" i="7"/>
  <c r="L211" i="7"/>
  <c r="L217" i="7"/>
  <c r="K217" i="7"/>
  <c r="L223" i="7"/>
  <c r="K223" i="7"/>
  <c r="K184" i="10"/>
  <c r="M184" i="10" s="1"/>
  <c r="N184" i="10" s="1"/>
  <c r="L243" i="7"/>
  <c r="K243" i="7"/>
  <c r="M243" i="7" s="1"/>
  <c r="L193" i="7"/>
  <c r="K193" i="7"/>
  <c r="K214" i="7"/>
  <c r="L214" i="7"/>
  <c r="L134" i="7"/>
  <c r="K134" i="7"/>
  <c r="K191" i="10"/>
  <c r="K201" i="10"/>
  <c r="K182" i="10"/>
  <c r="M182" i="10" s="1"/>
  <c r="N182" i="10" s="1"/>
  <c r="K131" i="10"/>
  <c r="M131" i="10" s="1"/>
  <c r="K239" i="11"/>
  <c r="L239" i="11"/>
  <c r="L243" i="11"/>
  <c r="K243" i="11"/>
  <c r="K218" i="10"/>
  <c r="M218" i="10" s="1"/>
  <c r="N218" i="10" s="1"/>
  <c r="L171" i="11"/>
  <c r="K171" i="11"/>
  <c r="M171" i="11" s="1"/>
  <c r="N171" i="11" s="1"/>
  <c r="K144" i="10"/>
  <c r="K188" i="11"/>
  <c r="L188" i="11"/>
  <c r="L233" i="11"/>
  <c r="K233" i="11"/>
  <c r="M233" i="11" s="1"/>
  <c r="K163" i="7"/>
  <c r="L163" i="7"/>
  <c r="L117" i="7"/>
  <c r="K117" i="7"/>
  <c r="K137" i="7"/>
  <c r="L137" i="7"/>
  <c r="L87" i="7"/>
  <c r="K87" i="7"/>
  <c r="M87" i="7" s="1"/>
  <c r="K71" i="10"/>
  <c r="L91" i="11"/>
  <c r="K91" i="11"/>
  <c r="M91" i="11" s="1"/>
  <c r="K64" i="10"/>
  <c r="K83" i="10"/>
  <c r="L91" i="7"/>
  <c r="K91" i="7"/>
  <c r="M91" i="7" s="1"/>
  <c r="K81" i="7"/>
  <c r="M81" i="7" s="1"/>
  <c r="L81" i="7"/>
  <c r="L47" i="7"/>
  <c r="K47" i="7"/>
  <c r="L82" i="7"/>
  <c r="K82" i="7"/>
  <c r="M81" i="8"/>
  <c r="L81" i="8"/>
  <c r="P81" i="8"/>
  <c r="K92" i="7"/>
  <c r="L92" i="7"/>
  <c r="M45" i="8"/>
  <c r="L45" i="8"/>
  <c r="P45" i="8"/>
  <c r="K51" i="10"/>
  <c r="M51" i="10" s="1"/>
  <c r="K92" i="11"/>
  <c r="L92" i="11"/>
  <c r="K75" i="11"/>
  <c r="L75" i="11"/>
  <c r="L94" i="11"/>
  <c r="K94" i="11"/>
  <c r="L22" i="11"/>
  <c r="K22" i="11"/>
  <c r="K30" i="10"/>
  <c r="K304" i="10"/>
  <c r="M304" i="10" s="1"/>
  <c r="N304" i="10" s="1"/>
  <c r="K276" i="10"/>
  <c r="K333" i="7"/>
  <c r="L333" i="7"/>
  <c r="K351" i="7"/>
  <c r="L351" i="7"/>
  <c r="K310" i="10"/>
  <c r="M310" i="10" s="1"/>
  <c r="L286" i="7"/>
  <c r="K286" i="7"/>
  <c r="K341" i="10"/>
  <c r="M341" i="10" s="1"/>
  <c r="K293" i="10"/>
  <c r="M293" i="10" s="1"/>
  <c r="N293" i="10" s="1"/>
  <c r="K401" i="11"/>
  <c r="L401" i="11"/>
  <c r="L287" i="11"/>
  <c r="K287" i="11"/>
  <c r="M287" i="11" s="1"/>
  <c r="L383" i="11"/>
  <c r="K383" i="11"/>
  <c r="L329" i="11"/>
  <c r="K329" i="11"/>
  <c r="M329" i="11" s="1"/>
  <c r="L420" i="11"/>
  <c r="K420" i="11"/>
  <c r="M420" i="11" s="1"/>
  <c r="L326" i="11"/>
  <c r="K326" i="11"/>
  <c r="M326" i="11" s="1"/>
  <c r="M5" i="8"/>
  <c r="P5" i="8"/>
  <c r="L5" i="8"/>
  <c r="L238" i="7"/>
  <c r="K238" i="7"/>
  <c r="K143" i="10"/>
  <c r="K237" i="10"/>
  <c r="L140" i="7"/>
  <c r="K140" i="7"/>
  <c r="L262" i="7"/>
  <c r="K262" i="7"/>
  <c r="K237" i="7"/>
  <c r="L237" i="7"/>
  <c r="L162" i="7"/>
  <c r="K162" i="7"/>
  <c r="K265" i="10"/>
  <c r="M265" i="10" s="1"/>
  <c r="N265" i="10" s="1"/>
  <c r="K214" i="10"/>
  <c r="M214" i="10" s="1"/>
  <c r="N214" i="10" s="1"/>
  <c r="K196" i="10"/>
  <c r="K139" i="10"/>
  <c r="M139" i="10" s="1"/>
  <c r="L259" i="11"/>
  <c r="K259" i="11"/>
  <c r="K231" i="10"/>
  <c r="K189" i="11"/>
  <c r="L189" i="11"/>
  <c r="K172" i="10"/>
  <c r="K201" i="11"/>
  <c r="L201" i="11"/>
  <c r="L256" i="11"/>
  <c r="K256" i="11"/>
  <c r="L32" i="8"/>
  <c r="M32" i="8"/>
  <c r="P32" i="8"/>
  <c r="L3" i="7"/>
  <c r="K3" i="7"/>
  <c r="M3" i="7" s="1"/>
  <c r="M38" i="8"/>
  <c r="L38" i="8"/>
  <c r="P38" i="8"/>
  <c r="K89" i="10"/>
  <c r="L116" i="11"/>
  <c r="K116" i="11"/>
  <c r="M116" i="11" s="1"/>
  <c r="N116" i="11" s="1"/>
  <c r="K112" i="10"/>
  <c r="P21" i="8"/>
  <c r="M21" i="8"/>
  <c r="L21" i="8"/>
  <c r="L107" i="7"/>
  <c r="K107" i="7"/>
  <c r="K60" i="7"/>
  <c r="M60" i="7" s="1"/>
  <c r="L60" i="7"/>
  <c r="M12" i="8"/>
  <c r="L12" i="8"/>
  <c r="P12" i="8"/>
  <c r="P56" i="8"/>
  <c r="M56" i="8"/>
  <c r="L56" i="8"/>
  <c r="M73" i="8"/>
  <c r="L73" i="8"/>
  <c r="N73" i="8" s="1"/>
  <c r="P73" i="8"/>
  <c r="L4" i="11"/>
  <c r="K4" i="11"/>
  <c r="M4" i="11" s="1"/>
  <c r="K23" i="10"/>
  <c r="L100" i="11"/>
  <c r="K100" i="11"/>
  <c r="K111" i="10"/>
  <c r="M111" i="10" s="1"/>
  <c r="L84" i="11"/>
  <c r="K84" i="11"/>
  <c r="M84" i="11" s="1"/>
  <c r="L119" i="11"/>
  <c r="K119" i="11"/>
  <c r="M119" i="11" s="1"/>
  <c r="N119" i="11" s="1"/>
  <c r="L50" i="11"/>
  <c r="K50" i="11"/>
  <c r="M50" i="11" s="1"/>
  <c r="K251" i="10"/>
  <c r="K409" i="10"/>
  <c r="M409" i="10" s="1"/>
  <c r="N409" i="10" s="1"/>
  <c r="N320" i="7"/>
  <c r="K373" i="10"/>
  <c r="L316" i="7"/>
  <c r="K316" i="7"/>
  <c r="K302" i="10"/>
  <c r="L365" i="7"/>
  <c r="K365" i="7"/>
  <c r="K335" i="10"/>
  <c r="L375" i="7"/>
  <c r="K375" i="7"/>
  <c r="K380" i="10"/>
  <c r="L314" i="7"/>
  <c r="K314" i="7"/>
  <c r="L321" i="11"/>
  <c r="K321" i="11"/>
  <c r="M321" i="11" s="1"/>
  <c r="N321" i="11" s="1"/>
  <c r="K329" i="10"/>
  <c r="M329" i="10" s="1"/>
  <c r="N329" i="10" s="1"/>
  <c r="K316" i="11"/>
  <c r="L316" i="11"/>
  <c r="L415" i="11"/>
  <c r="K415" i="11"/>
  <c r="M415" i="11" s="1"/>
  <c r="N415" i="11" s="1"/>
  <c r="K297" i="10"/>
  <c r="L362" i="11"/>
  <c r="K362" i="11"/>
  <c r="M362" i="11" s="1"/>
  <c r="L300" i="11"/>
  <c r="K300" i="11"/>
  <c r="M300" i="11" s="1"/>
  <c r="L344" i="11"/>
  <c r="K344" i="11"/>
  <c r="M344" i="11" s="1"/>
  <c r="L254" i="7"/>
  <c r="K254" i="7"/>
  <c r="L136" i="7"/>
  <c r="K136" i="7"/>
  <c r="M139" i="8"/>
  <c r="L139" i="8"/>
  <c r="N139" i="8" s="1"/>
  <c r="P139" i="8"/>
  <c r="L190" i="7"/>
  <c r="K190" i="7"/>
  <c r="M142" i="8"/>
  <c r="L142" i="8"/>
  <c r="P142" i="8"/>
  <c r="K152" i="11"/>
  <c r="M152" i="11" s="1"/>
  <c r="L152" i="11"/>
  <c r="K192" i="11"/>
  <c r="L192" i="11"/>
  <c r="K211" i="10"/>
  <c r="K150" i="10"/>
  <c r="K202" i="10"/>
  <c r="M202" i="10" s="1"/>
  <c r="L158" i="11"/>
  <c r="K158" i="11"/>
  <c r="M158" i="11" s="1"/>
  <c r="N158" i="11" s="1"/>
  <c r="L198" i="11"/>
  <c r="K198" i="11"/>
  <c r="M198" i="11" s="1"/>
  <c r="N198" i="11" s="1"/>
  <c r="K200" i="10"/>
  <c r="M200" i="10" s="1"/>
  <c r="K261" i="11"/>
  <c r="L261" i="11"/>
  <c r="L130" i="7"/>
  <c r="K130" i="7"/>
  <c r="L240" i="7"/>
  <c r="K240" i="7"/>
  <c r="M240" i="7" s="1"/>
  <c r="K298" i="7"/>
  <c r="M298" i="7" s="1"/>
  <c r="P102" i="8"/>
  <c r="M102" i="8"/>
  <c r="L102" i="8"/>
  <c r="L48" i="8"/>
  <c r="P48" i="8"/>
  <c r="M48" i="8"/>
  <c r="L58" i="7"/>
  <c r="K58" i="7"/>
  <c r="M58" i="7" s="1"/>
  <c r="L96" i="11"/>
  <c r="K96" i="11"/>
  <c r="M96" i="11" s="1"/>
  <c r="P39" i="8"/>
  <c r="M39" i="8"/>
  <c r="L39" i="8"/>
  <c r="L115" i="7"/>
  <c r="K115" i="7"/>
  <c r="K102" i="7"/>
  <c r="L102" i="7"/>
  <c r="P108" i="8"/>
  <c r="M108" i="8"/>
  <c r="L108" i="8"/>
  <c r="K7" i="10"/>
  <c r="M7" i="10" s="1"/>
  <c r="N7" i="10" s="1"/>
  <c r="L76" i="8"/>
  <c r="P76" i="8"/>
  <c r="M76" i="8"/>
  <c r="M101" i="8"/>
  <c r="L101" i="8"/>
  <c r="P101" i="8"/>
  <c r="L110" i="11"/>
  <c r="K110" i="11"/>
  <c r="M110" i="11" s="1"/>
  <c r="K34" i="10"/>
  <c r="M34" i="10" s="1"/>
  <c r="N34" i="10" s="1"/>
  <c r="K29" i="11"/>
  <c r="L29" i="11"/>
  <c r="L102" i="11"/>
  <c r="K102" i="11"/>
  <c r="M102" i="11" s="1"/>
  <c r="K78" i="11"/>
  <c r="L78" i="11"/>
  <c r="K12" i="10"/>
  <c r="M12" i="10" s="1"/>
  <c r="V160" i="8"/>
  <c r="U160" i="8"/>
  <c r="T160" i="8"/>
  <c r="S160" i="8"/>
  <c r="Q160" i="8"/>
  <c r="R160" i="8"/>
  <c r="K158" i="7"/>
  <c r="M158" i="7" s="1"/>
  <c r="N410" i="7"/>
  <c r="L387" i="7"/>
  <c r="K387" i="7"/>
  <c r="P171" i="8"/>
  <c r="M171" i="8"/>
  <c r="L171" i="8"/>
  <c r="N171" i="8" s="1"/>
  <c r="K284" i="10"/>
  <c r="M284" i="10" s="1"/>
  <c r="K352" i="10"/>
  <c r="M352" i="10" s="1"/>
  <c r="N352" i="10" s="1"/>
  <c r="K412" i="7"/>
  <c r="L412" i="7"/>
  <c r="M155" i="8"/>
  <c r="L155" i="8"/>
  <c r="N155" i="8" s="1"/>
  <c r="P155" i="8"/>
  <c r="L342" i="7"/>
  <c r="K342" i="7"/>
  <c r="K366" i="10"/>
  <c r="K404" i="10"/>
  <c r="K358" i="11"/>
  <c r="L358" i="11"/>
  <c r="K328" i="10"/>
  <c r="M328" i="10" s="1"/>
  <c r="N328" i="10" s="1"/>
  <c r="K294" i="10"/>
  <c r="L328" i="11"/>
  <c r="K328" i="11"/>
  <c r="M328" i="11" s="1"/>
  <c r="N328" i="11" s="1"/>
  <c r="L379" i="11"/>
  <c r="K379" i="11"/>
  <c r="M379" i="11" s="1"/>
  <c r="N379" i="11" s="1"/>
  <c r="L322" i="11"/>
  <c r="K322" i="11"/>
  <c r="M322" i="11" s="1"/>
  <c r="M5" i="17"/>
  <c r="L5" i="17"/>
  <c r="P5" i="17"/>
  <c r="P141" i="8"/>
  <c r="L141" i="8"/>
  <c r="M141" i="8"/>
  <c r="L173" i="7"/>
  <c r="K173" i="7"/>
  <c r="L215" i="7"/>
  <c r="K215" i="7"/>
  <c r="K268" i="10"/>
  <c r="M268" i="10" s="1"/>
  <c r="L218" i="7"/>
  <c r="K218" i="7"/>
  <c r="L160" i="11"/>
  <c r="K160" i="11"/>
  <c r="M160" i="11" s="1"/>
  <c r="N160" i="11" s="1"/>
  <c r="L271" i="11"/>
  <c r="K271" i="11"/>
  <c r="K215" i="10"/>
  <c r="K176" i="10"/>
  <c r="K210" i="10"/>
  <c r="L226" i="11"/>
  <c r="K226" i="11"/>
  <c r="K228" i="10"/>
  <c r="M228" i="10" s="1"/>
  <c r="L36" i="7"/>
  <c r="K36" i="7"/>
  <c r="P112" i="8"/>
  <c r="M112" i="8"/>
  <c r="L112" i="8"/>
  <c r="L13" i="7"/>
  <c r="K13" i="7"/>
  <c r="M26" i="8"/>
  <c r="P26" i="8"/>
  <c r="L26" i="8"/>
  <c r="N26" i="8" s="1"/>
  <c r="L46" i="7"/>
  <c r="K46" i="7"/>
  <c r="K67" i="10"/>
  <c r="M67" i="10" s="1"/>
  <c r="N67" i="10" s="1"/>
  <c r="M55" i="8"/>
  <c r="L55" i="8"/>
  <c r="P55" i="8"/>
  <c r="P9" i="8"/>
  <c r="M9" i="8"/>
  <c r="L9" i="8"/>
  <c r="L110" i="7"/>
  <c r="K110" i="7"/>
  <c r="K74" i="10"/>
  <c r="M74" i="10" s="1"/>
  <c r="N74" i="10" s="1"/>
  <c r="P111" i="8"/>
  <c r="M111" i="8"/>
  <c r="L111" i="8"/>
  <c r="N111" i="8" s="1"/>
  <c r="K90" i="10"/>
  <c r="M90" i="10" s="1"/>
  <c r="L62" i="7"/>
  <c r="K62" i="7"/>
  <c r="L107" i="11"/>
  <c r="K107" i="11"/>
  <c r="M107" i="11" s="1"/>
  <c r="N107" i="11" s="1"/>
  <c r="K40" i="10"/>
  <c r="M40" i="10" s="1"/>
  <c r="K120" i="10"/>
  <c r="K58" i="11"/>
  <c r="L58" i="11"/>
  <c r="L106" i="11"/>
  <c r="K106" i="11"/>
  <c r="N160" i="8"/>
  <c r="L244" i="7"/>
  <c r="M244" i="7" s="1"/>
  <c r="K277" i="10"/>
  <c r="K375" i="10"/>
  <c r="L275" i="7"/>
  <c r="K275" i="7"/>
  <c r="K348" i="7"/>
  <c r="L348" i="7"/>
  <c r="L276" i="7"/>
  <c r="K276" i="7"/>
  <c r="L285" i="7"/>
  <c r="K285" i="7"/>
  <c r="M285" i="7" s="1"/>
  <c r="P164" i="8"/>
  <c r="L164" i="8"/>
  <c r="M164" i="8"/>
  <c r="K370" i="7"/>
  <c r="L370" i="7"/>
  <c r="K403" i="10"/>
  <c r="M403" i="10" s="1"/>
  <c r="N403" i="10" s="1"/>
  <c r="K421" i="10"/>
  <c r="M421" i="10" s="1"/>
  <c r="N421" i="10" s="1"/>
  <c r="L377" i="11"/>
  <c r="K377" i="11"/>
  <c r="K340" i="10"/>
  <c r="K323" i="10"/>
  <c r="L346" i="11"/>
  <c r="K346" i="11"/>
  <c r="M346" i="11" s="1"/>
  <c r="L414" i="11"/>
  <c r="K414" i="11"/>
  <c r="L351" i="11"/>
  <c r="K351" i="11"/>
  <c r="M351" i="11" s="1"/>
  <c r="N351" i="11" s="1"/>
  <c r="K251" i="7"/>
  <c r="L251" i="7"/>
  <c r="K146" i="10"/>
  <c r="M146" i="10" s="1"/>
  <c r="V146" i="10" s="1"/>
  <c r="W146" i="10" s="1"/>
  <c r="L154" i="7"/>
  <c r="K154" i="7"/>
  <c r="M154" i="7" s="1"/>
  <c r="L242" i="11"/>
  <c r="K242" i="11"/>
  <c r="K239" i="10"/>
  <c r="L246" i="7"/>
  <c r="K246" i="7"/>
  <c r="M246" i="7" s="1"/>
  <c r="L170" i="11"/>
  <c r="K170" i="11"/>
  <c r="L146" i="7"/>
  <c r="K146" i="7"/>
  <c r="K242" i="10"/>
  <c r="M242" i="10" s="1"/>
  <c r="N242" i="10" s="1"/>
  <c r="K179" i="10"/>
  <c r="K154" i="10"/>
  <c r="K230" i="10"/>
  <c r="K221" i="10"/>
  <c r="K256" i="10"/>
  <c r="M256" i="10" s="1"/>
  <c r="N256" i="10" s="1"/>
  <c r="L144" i="11"/>
  <c r="K144" i="11"/>
  <c r="K183" i="7"/>
  <c r="L183" i="7"/>
  <c r="L77" i="7"/>
  <c r="K77" i="7"/>
  <c r="M77" i="7" s="1"/>
  <c r="M89" i="8"/>
  <c r="L89" i="8"/>
  <c r="P89" i="8"/>
  <c r="L80" i="7"/>
  <c r="K80" i="7"/>
  <c r="L26" i="7"/>
  <c r="K26" i="7"/>
  <c r="P98" i="8"/>
  <c r="M98" i="8"/>
  <c r="L98" i="8"/>
  <c r="N98" i="8" s="1"/>
  <c r="P52" i="8"/>
  <c r="L52" i="8"/>
  <c r="M52" i="8"/>
  <c r="L10" i="7"/>
  <c r="K10" i="7"/>
  <c r="L12" i="11"/>
  <c r="K12" i="11"/>
  <c r="M12" i="11" s="1"/>
  <c r="K93" i="10"/>
  <c r="K90" i="7"/>
  <c r="L90" i="7"/>
  <c r="K54" i="10"/>
  <c r="L15" i="11"/>
  <c r="K15" i="11"/>
  <c r="M15" i="11" s="1"/>
  <c r="K7" i="11"/>
  <c r="L7" i="11"/>
  <c r="P110" i="8"/>
  <c r="M110" i="8"/>
  <c r="L110" i="8"/>
  <c r="K398" i="10"/>
  <c r="M398" i="10" s="1"/>
  <c r="N398" i="10" s="1"/>
  <c r="L344" i="7"/>
  <c r="K344" i="7"/>
  <c r="L299" i="7"/>
  <c r="K299" i="7"/>
  <c r="L308" i="7"/>
  <c r="K308" i="7"/>
  <c r="L398" i="7"/>
  <c r="K398" i="7"/>
  <c r="L303" i="11"/>
  <c r="K303" i="11"/>
  <c r="L280" i="11"/>
  <c r="K280" i="11"/>
  <c r="M280" i="11" s="1"/>
  <c r="L397" i="11"/>
  <c r="K397" i="11"/>
  <c r="K334" i="10"/>
  <c r="K415" i="10"/>
  <c r="K363" i="10"/>
  <c r="K343" i="10"/>
  <c r="L367" i="11"/>
  <c r="K367" i="11"/>
  <c r="M367" i="11" s="1"/>
  <c r="N367" i="11" s="1"/>
  <c r="L380" i="11"/>
  <c r="K380" i="11"/>
  <c r="M380" i="11" s="1"/>
  <c r="L143" i="8"/>
  <c r="N143" i="8" s="1"/>
  <c r="P143" i="8"/>
  <c r="M143" i="8"/>
  <c r="L209" i="7"/>
  <c r="K209" i="7"/>
  <c r="M209" i="7" s="1"/>
  <c r="K128" i="10"/>
  <c r="L165" i="7"/>
  <c r="K165" i="7"/>
  <c r="M165" i="7" s="1"/>
  <c r="K156" i="10"/>
  <c r="M156" i="10" s="1"/>
  <c r="N156" i="10" s="1"/>
  <c r="K246" i="10"/>
  <c r="M134" i="8"/>
  <c r="L134" i="8"/>
  <c r="P134" i="8"/>
  <c r="L224" i="11"/>
  <c r="K224" i="11"/>
  <c r="M224" i="11" s="1"/>
  <c r="L174" i="7"/>
  <c r="K174" i="7"/>
  <c r="M174" i="7" s="1"/>
  <c r="K266" i="10"/>
  <c r="M266" i="10" s="1"/>
  <c r="K235" i="10"/>
  <c r="K157" i="10"/>
  <c r="K138" i="10"/>
  <c r="K245" i="10"/>
  <c r="L175" i="11"/>
  <c r="K175" i="11"/>
  <c r="L159" i="11"/>
  <c r="K159" i="11"/>
  <c r="M159" i="11" s="1"/>
  <c r="N159" i="11" s="1"/>
  <c r="K71" i="7"/>
  <c r="L71" i="7"/>
  <c r="L96" i="7"/>
  <c r="K96" i="7"/>
  <c r="P93" i="8"/>
  <c r="M93" i="8"/>
  <c r="L93" i="8"/>
  <c r="N93" i="8" s="1"/>
  <c r="L20" i="8"/>
  <c r="P20" i="8"/>
  <c r="M20" i="8"/>
  <c r="P65" i="8"/>
  <c r="M65" i="8"/>
  <c r="L65" i="8"/>
  <c r="N65" i="8" s="1"/>
  <c r="K40" i="7"/>
  <c r="L40" i="7"/>
  <c r="L114" i="11"/>
  <c r="K114" i="11"/>
  <c r="L118" i="7"/>
  <c r="K118" i="7"/>
  <c r="K68" i="10"/>
  <c r="M68" i="10" s="1"/>
  <c r="N68" i="10" s="1"/>
  <c r="L61" i="11"/>
  <c r="K61" i="11"/>
  <c r="M61" i="11" s="1"/>
  <c r="L28" i="11"/>
  <c r="K28" i="11"/>
  <c r="M28" i="11" s="1"/>
  <c r="K113" i="10"/>
  <c r="K65" i="11"/>
  <c r="M65" i="11" s="1"/>
  <c r="L65" i="11"/>
  <c r="P51" i="8"/>
  <c r="M51" i="8"/>
  <c r="L51" i="8"/>
  <c r="L403" i="11"/>
  <c r="K403" i="11"/>
  <c r="M403" i="11" s="1"/>
  <c r="L220" i="7"/>
  <c r="K220" i="7"/>
  <c r="K188" i="7"/>
  <c r="L188" i="7"/>
  <c r="P147" i="8"/>
  <c r="M147" i="8"/>
  <c r="L147" i="8"/>
  <c r="N147" i="8" s="1"/>
  <c r="K181" i="10"/>
  <c r="L268" i="7"/>
  <c r="K268" i="7"/>
  <c r="L123" i="7"/>
  <c r="K123" i="7"/>
  <c r="M123" i="7" s="1"/>
  <c r="K162" i="10"/>
  <c r="M162" i="10" s="1"/>
  <c r="N162" i="10" s="1"/>
  <c r="K148" i="11"/>
  <c r="L148" i="11"/>
  <c r="K202" i="7"/>
  <c r="L202" i="7"/>
  <c r="L196" i="11"/>
  <c r="K196" i="11"/>
  <c r="M196" i="11" s="1"/>
  <c r="K238" i="10"/>
  <c r="K206" i="10"/>
  <c r="M206" i="10" s="1"/>
  <c r="N206" i="10" s="1"/>
  <c r="K140" i="10"/>
  <c r="M140" i="10" s="1"/>
  <c r="N140" i="10" s="1"/>
  <c r="L126" i="11"/>
  <c r="K126" i="11"/>
  <c r="M126" i="11" s="1"/>
  <c r="L184" i="11"/>
  <c r="K184" i="11"/>
  <c r="M184" i="11" s="1"/>
  <c r="L231" i="11"/>
  <c r="K231" i="11"/>
  <c r="M231" i="11" s="1"/>
  <c r="N231" i="11" s="1"/>
  <c r="L241" i="11"/>
  <c r="K241" i="11"/>
  <c r="L169" i="11"/>
  <c r="K169" i="11"/>
  <c r="M169" i="11" s="1"/>
  <c r="N169" i="11" s="1"/>
  <c r="N161" i="8"/>
  <c r="K77" i="10"/>
  <c r="M77" i="10" s="1"/>
  <c r="N77" i="10" s="1"/>
  <c r="L108" i="7"/>
  <c r="K108" i="7"/>
  <c r="L100" i="7"/>
  <c r="K100" i="7"/>
  <c r="M100" i="7" s="1"/>
  <c r="P54" i="8"/>
  <c r="M54" i="8"/>
  <c r="L54" i="8"/>
  <c r="M85" i="8"/>
  <c r="L85" i="8"/>
  <c r="P85" i="8"/>
  <c r="P59" i="8"/>
  <c r="M59" i="8"/>
  <c r="L59" i="8"/>
  <c r="N59" i="8" s="1"/>
  <c r="L15" i="8"/>
  <c r="P15" i="8"/>
  <c r="M15" i="8"/>
  <c r="P6" i="8"/>
  <c r="M6" i="8"/>
  <c r="L6" i="8"/>
  <c r="K18" i="10"/>
  <c r="L17" i="11"/>
  <c r="K17" i="11"/>
  <c r="M17" i="11" s="1"/>
  <c r="L57" i="11"/>
  <c r="K57" i="11"/>
  <c r="M57" i="11" s="1"/>
  <c r="N57" i="11" s="1"/>
  <c r="L82" i="11"/>
  <c r="K82" i="11"/>
  <c r="M82" i="11" s="1"/>
  <c r="K101" i="11"/>
  <c r="L101" i="11"/>
  <c r="K228" i="7"/>
  <c r="L228" i="7"/>
  <c r="M10" i="7" l="1"/>
  <c r="M6" i="7"/>
  <c r="S135" i="14"/>
  <c r="X135" i="14" s="1"/>
  <c r="Q272" i="14"/>
  <c r="S235" i="14"/>
  <c r="X235" i="14" s="1"/>
  <c r="S19" i="14"/>
  <c r="X19" i="14" s="1"/>
  <c r="N60" i="14"/>
  <c r="O60" i="14"/>
  <c r="P60" i="14"/>
  <c r="L60" i="14"/>
  <c r="M60" i="14"/>
  <c r="K60" i="14"/>
  <c r="V113" i="14"/>
  <c r="W113" i="14" s="1"/>
  <c r="R281" i="14"/>
  <c r="S281" i="14" s="1"/>
  <c r="X281" i="14" s="1"/>
  <c r="S241" i="14"/>
  <c r="X241" i="14" s="1"/>
  <c r="R361" i="14"/>
  <c r="R136" i="14"/>
  <c r="Q219" i="14"/>
  <c r="S219" i="14" s="1"/>
  <c r="X219" i="14" s="1"/>
  <c r="R303" i="14"/>
  <c r="S303" i="14" s="1"/>
  <c r="X303" i="14" s="1"/>
  <c r="R267" i="14"/>
  <c r="S267" i="14" s="1"/>
  <c r="X267" i="14" s="1"/>
  <c r="V45" i="14"/>
  <c r="W45" i="14" s="1"/>
  <c r="V129" i="14"/>
  <c r="W129" i="14" s="1"/>
  <c r="R404" i="14"/>
  <c r="R376" i="14"/>
  <c r="R348" i="14"/>
  <c r="R350" i="14"/>
  <c r="Q350" i="14"/>
  <c r="R77" i="14"/>
  <c r="Q281" i="14"/>
  <c r="Q258" i="14"/>
  <c r="R411" i="14"/>
  <c r="Q77" i="14"/>
  <c r="S77" i="14" s="1"/>
  <c r="X77" i="14" s="1"/>
  <c r="R55" i="14"/>
  <c r="S175" i="14"/>
  <c r="X175" i="14" s="1"/>
  <c r="S297" i="14"/>
  <c r="X297" i="14" s="1"/>
  <c r="V250" i="14"/>
  <c r="W250" i="14" s="1"/>
  <c r="Q370" i="14"/>
  <c r="V346" i="14"/>
  <c r="W346" i="14" s="1"/>
  <c r="Q340" i="14"/>
  <c r="S340" i="14" s="1"/>
  <c r="X340" i="14" s="1"/>
  <c r="Q304" i="14"/>
  <c r="S304" i="14" s="1"/>
  <c r="X304" i="14" s="1"/>
  <c r="R67" i="14"/>
  <c r="V121" i="14"/>
  <c r="W121" i="14" s="1"/>
  <c r="V345" i="14"/>
  <c r="W345" i="14" s="1"/>
  <c r="V176" i="14"/>
  <c r="W176" i="14" s="1"/>
  <c r="Q37" i="14"/>
  <c r="S37" i="14" s="1"/>
  <c r="X37" i="14" s="1"/>
  <c r="R352" i="14"/>
  <c r="Q58" i="14"/>
  <c r="S58" i="14" s="1"/>
  <c r="X58" i="14" s="1"/>
  <c r="S160" i="14"/>
  <c r="X160" i="14" s="1"/>
  <c r="R195" i="14"/>
  <c r="S195" i="14" s="1"/>
  <c r="X195" i="14" s="1"/>
  <c r="Q421" i="14"/>
  <c r="S421" i="14" s="1"/>
  <c r="X421" i="14" s="1"/>
  <c r="R270" i="14"/>
  <c r="R120" i="14"/>
  <c r="Q16" i="14"/>
  <c r="S16" i="14" s="1"/>
  <c r="X16" i="14" s="1"/>
  <c r="V404" i="14"/>
  <c r="W404" i="14" s="1"/>
  <c r="R153" i="14"/>
  <c r="V106" i="14"/>
  <c r="W106" i="14" s="1"/>
  <c r="V421" i="14"/>
  <c r="W421" i="14" s="1"/>
  <c r="R392" i="14"/>
  <c r="R328" i="14"/>
  <c r="Q120" i="14"/>
  <c r="S120" i="14" s="1"/>
  <c r="X120" i="14" s="1"/>
  <c r="Q352" i="14"/>
  <c r="R419" i="14"/>
  <c r="S419" i="14" s="1"/>
  <c r="X419" i="14" s="1"/>
  <c r="R330" i="14"/>
  <c r="Q321" i="14"/>
  <c r="Q18" i="14"/>
  <c r="R370" i="14"/>
  <c r="V112" i="14"/>
  <c r="W112" i="14" s="1"/>
  <c r="Q45" i="14"/>
  <c r="S45" i="14" s="1"/>
  <c r="X45" i="14" s="1"/>
  <c r="Q39" i="14"/>
  <c r="S39" i="14" s="1"/>
  <c r="X39" i="14" s="1"/>
  <c r="R39" i="14"/>
  <c r="V65" i="14"/>
  <c r="W65" i="14" s="1"/>
  <c r="Q28" i="14"/>
  <c r="R87" i="14"/>
  <c r="S87" i="14" s="1"/>
  <c r="X87" i="14" s="1"/>
  <c r="K56" i="14"/>
  <c r="L56" i="14"/>
  <c r="P56" i="14"/>
  <c r="N56" i="14"/>
  <c r="O56" i="14"/>
  <c r="M56" i="14"/>
  <c r="R284" i="14"/>
  <c r="Q298" i="14"/>
  <c r="S298" i="14" s="1"/>
  <c r="X298" i="14" s="1"/>
  <c r="V126" i="14"/>
  <c r="W126" i="14" s="1"/>
  <c r="S33" i="14"/>
  <c r="X33" i="14" s="1"/>
  <c r="Q52" i="14"/>
  <c r="V414" i="14"/>
  <c r="W414" i="14" s="1"/>
  <c r="S27" i="14"/>
  <c r="X27" i="14" s="1"/>
  <c r="Q103" i="14"/>
  <c r="S103" i="14" s="1"/>
  <c r="X103" i="14" s="1"/>
  <c r="R345" i="14"/>
  <c r="S345" i="14" s="1"/>
  <c r="X345" i="14" s="1"/>
  <c r="R192" i="14"/>
  <c r="S262" i="14"/>
  <c r="X262" i="14" s="1"/>
  <c r="V100" i="14"/>
  <c r="W100" i="14" s="1"/>
  <c r="R248" i="14"/>
  <c r="Q248" i="14"/>
  <c r="S248" i="14" s="1"/>
  <c r="X248" i="14" s="1"/>
  <c r="S274" i="14"/>
  <c r="X274" i="14" s="1"/>
  <c r="R25" i="14"/>
  <c r="S21" i="14"/>
  <c r="X21" i="14" s="1"/>
  <c r="R95" i="14"/>
  <c r="Q395" i="14"/>
  <c r="S381" i="14"/>
  <c r="X381" i="14" s="1"/>
  <c r="V410" i="14"/>
  <c r="W410" i="14" s="1"/>
  <c r="R41" i="14"/>
  <c r="Q41" i="14"/>
  <c r="S41" i="14" s="1"/>
  <c r="X41" i="14" s="1"/>
  <c r="R230" i="14"/>
  <c r="S230" i="14" s="1"/>
  <c r="X230" i="14" s="1"/>
  <c r="S305" i="14"/>
  <c r="X305" i="14" s="1"/>
  <c r="S287" i="14"/>
  <c r="X287" i="14" s="1"/>
  <c r="R105" i="14"/>
  <c r="V226" i="14"/>
  <c r="W226" i="14" s="1"/>
  <c r="V330" i="14"/>
  <c r="W330" i="14" s="1"/>
  <c r="R424" i="14"/>
  <c r="R278" i="14"/>
  <c r="V74" i="14"/>
  <c r="W74" i="14" s="1"/>
  <c r="Q227" i="14"/>
  <c r="S279" i="14"/>
  <c r="X279" i="14" s="1"/>
  <c r="V107" i="14"/>
  <c r="W107" i="14" s="1"/>
  <c r="Q164" i="14"/>
  <c r="R380" i="14"/>
  <c r="R47" i="14"/>
  <c r="R428" i="14"/>
  <c r="R258" i="14"/>
  <c r="V355" i="14"/>
  <c r="W355" i="14" s="1"/>
  <c r="S73" i="14"/>
  <c r="X73" i="14" s="1"/>
  <c r="V174" i="14"/>
  <c r="W174" i="14" s="1"/>
  <c r="R309" i="14"/>
  <c r="R242" i="14"/>
  <c r="S17" i="14"/>
  <c r="X17" i="14" s="1"/>
  <c r="R256" i="14"/>
  <c r="S256" i="14" s="1"/>
  <c r="X256" i="14" s="1"/>
  <c r="Q428" i="14"/>
  <c r="S428" i="14" s="1"/>
  <c r="X428" i="14" s="1"/>
  <c r="Q264" i="14"/>
  <c r="R295" i="14"/>
  <c r="S295" i="14" s="1"/>
  <c r="X295" i="14" s="1"/>
  <c r="Q360" i="14"/>
  <c r="S360" i="14" s="1"/>
  <c r="X360" i="14" s="1"/>
  <c r="Q12" i="14"/>
  <c r="S12" i="14" s="1"/>
  <c r="X12" i="14" s="1"/>
  <c r="R12" i="14"/>
  <c r="R169" i="14"/>
  <c r="S169" i="14" s="1"/>
  <c r="X169" i="14" s="1"/>
  <c r="R83" i="14"/>
  <c r="S83" i="14" s="1"/>
  <c r="X83" i="14" s="1"/>
  <c r="S232" i="14"/>
  <c r="X232" i="14" s="1"/>
  <c r="R314" i="14"/>
  <c r="V69" i="14"/>
  <c r="W69" i="14" s="1"/>
  <c r="Q29" i="14"/>
  <c r="V93" i="14"/>
  <c r="W93" i="14" s="1"/>
  <c r="Q342" i="14"/>
  <c r="Q209" i="14"/>
  <c r="S209" i="14" s="1"/>
  <c r="X209" i="14" s="1"/>
  <c r="Q106" i="14"/>
  <c r="S106" i="14" s="1"/>
  <c r="X106" i="14" s="1"/>
  <c r="V338" i="14"/>
  <c r="W338" i="14" s="1"/>
  <c r="S143" i="14"/>
  <c r="X143" i="14" s="1"/>
  <c r="V249" i="14"/>
  <c r="W249" i="14" s="1"/>
  <c r="S405" i="14"/>
  <c r="X405" i="14" s="1"/>
  <c r="V104" i="14"/>
  <c r="W104" i="14" s="1"/>
  <c r="Q276" i="14"/>
  <c r="Q221" i="14"/>
  <c r="Q172" i="14"/>
  <c r="V195" i="14"/>
  <c r="W195" i="14" s="1"/>
  <c r="V233" i="14"/>
  <c r="W233" i="14" s="1"/>
  <c r="Q282" i="14"/>
  <c r="R282" i="14"/>
  <c r="S346" i="14"/>
  <c r="X346" i="14" s="1"/>
  <c r="S238" i="14"/>
  <c r="X238" i="14" s="1"/>
  <c r="S42" i="14"/>
  <c r="X42" i="14" s="1"/>
  <c r="Q249" i="14"/>
  <c r="S249" i="14" s="1"/>
  <c r="X249" i="14" s="1"/>
  <c r="V234" i="14"/>
  <c r="W234" i="14" s="1"/>
  <c r="V256" i="14"/>
  <c r="W256" i="14" s="1"/>
  <c r="S320" i="14"/>
  <c r="X320" i="14" s="1"/>
  <c r="V362" i="14"/>
  <c r="W362" i="14" s="1"/>
  <c r="V359" i="14"/>
  <c r="W359" i="14" s="1"/>
  <c r="Q195" i="14"/>
  <c r="M24" i="14"/>
  <c r="P24" i="14"/>
  <c r="K24" i="14"/>
  <c r="O24" i="14"/>
  <c r="N24" i="14"/>
  <c r="L24" i="14"/>
  <c r="S402" i="14"/>
  <c r="X402" i="14" s="1"/>
  <c r="R176" i="14"/>
  <c r="S176" i="14" s="1"/>
  <c r="X176" i="14" s="1"/>
  <c r="S183" i="14"/>
  <c r="X183" i="14" s="1"/>
  <c r="Q261" i="14"/>
  <c r="S261" i="14" s="1"/>
  <c r="X261" i="14" s="1"/>
  <c r="V416" i="14"/>
  <c r="W416" i="14" s="1"/>
  <c r="V423" i="14"/>
  <c r="W423" i="14" s="1"/>
  <c r="S168" i="14"/>
  <c r="X168" i="14" s="1"/>
  <c r="R103" i="14"/>
  <c r="U28" i="14"/>
  <c r="V28" i="14"/>
  <c r="W28" i="14" s="1"/>
  <c r="S323" i="14"/>
  <c r="X323" i="14" s="1"/>
  <c r="S375" i="14"/>
  <c r="X375" i="14" s="1"/>
  <c r="S188" i="14"/>
  <c r="X188" i="14" s="1"/>
  <c r="V269" i="14"/>
  <c r="W269" i="14" s="1"/>
  <c r="Q132" i="14"/>
  <c r="R23" i="14"/>
  <c r="R387" i="14"/>
  <c r="R354" i="14"/>
  <c r="S286" i="14"/>
  <c r="X286" i="14" s="1"/>
  <c r="S333" i="14"/>
  <c r="X333" i="14" s="1"/>
  <c r="V395" i="14"/>
  <c r="W395" i="14" s="1"/>
  <c r="Q74" i="14"/>
  <c r="S74" i="14" s="1"/>
  <c r="X74" i="14" s="1"/>
  <c r="R62" i="14"/>
  <c r="V62" i="14"/>
  <c r="W62" i="14" s="1"/>
  <c r="Q62" i="14"/>
  <c r="S62" i="14" s="1"/>
  <c r="X62" i="14" s="1"/>
  <c r="S385" i="14"/>
  <c r="X385" i="14" s="1"/>
  <c r="Q136" i="14"/>
  <c r="S225" i="14"/>
  <c r="X225" i="14" s="1"/>
  <c r="R395" i="14"/>
  <c r="V184" i="14"/>
  <c r="W184" i="14" s="1"/>
  <c r="Q424" i="14"/>
  <c r="S424" i="14" s="1"/>
  <c r="X424" i="14" s="1"/>
  <c r="R110" i="14"/>
  <c r="Q376" i="14"/>
  <c r="S214" i="14"/>
  <c r="X214" i="14" s="1"/>
  <c r="S330" i="14"/>
  <c r="X330" i="14" s="1"/>
  <c r="S217" i="14"/>
  <c r="X217" i="14" s="1"/>
  <c r="R172" i="14"/>
  <c r="S172" i="14" s="1"/>
  <c r="X172" i="14" s="1"/>
  <c r="V224" i="14"/>
  <c r="W224" i="14" s="1"/>
  <c r="V342" i="14"/>
  <c r="W342" i="14" s="1"/>
  <c r="R423" i="14"/>
  <c r="S263" i="14"/>
  <c r="X263" i="14" s="1"/>
  <c r="Q295" i="14"/>
  <c r="V357" i="14"/>
  <c r="W357" i="14" s="1"/>
  <c r="V172" i="14"/>
  <c r="W172" i="14" s="1"/>
  <c r="V78" i="14"/>
  <c r="W78" i="14" s="1"/>
  <c r="S178" i="14"/>
  <c r="X178" i="14" s="1"/>
  <c r="Q110" i="14"/>
  <c r="V409" i="14"/>
  <c r="W409" i="14" s="1"/>
  <c r="S72" i="14"/>
  <c r="X72" i="14" s="1"/>
  <c r="R49" i="14"/>
  <c r="S49" i="14" s="1"/>
  <c r="X49" i="14" s="1"/>
  <c r="Q354" i="14"/>
  <c r="V122" i="14"/>
  <c r="W122" i="14" s="1"/>
  <c r="R264" i="14"/>
  <c r="S329" i="14"/>
  <c r="X329" i="14" s="1"/>
  <c r="S170" i="14"/>
  <c r="X170" i="14" s="1"/>
  <c r="V376" i="14"/>
  <c r="W376" i="14" s="1"/>
  <c r="R100" i="14"/>
  <c r="Q100" i="14"/>
  <c r="V360" i="14"/>
  <c r="W360" i="14" s="1"/>
  <c r="Q181" i="14"/>
  <c r="S181" i="14" s="1"/>
  <c r="X181" i="14" s="1"/>
  <c r="Q362" i="14"/>
  <c r="S96" i="14"/>
  <c r="X96" i="14" s="1"/>
  <c r="Q133" i="14"/>
  <c r="S133" i="14" s="1"/>
  <c r="X133" i="14" s="1"/>
  <c r="Q309" i="14"/>
  <c r="S309" i="14" s="1"/>
  <c r="X309" i="14" s="1"/>
  <c r="Q59" i="14"/>
  <c r="R59" i="14"/>
  <c r="V59" i="14"/>
  <c r="W59" i="14" s="1"/>
  <c r="Q189" i="14"/>
  <c r="S189" i="14" s="1"/>
  <c r="X189" i="14" s="1"/>
  <c r="V92" i="14"/>
  <c r="W92" i="14" s="1"/>
  <c r="Q247" i="14"/>
  <c r="R247" i="14"/>
  <c r="V247" i="14"/>
  <c r="W247" i="14" s="1"/>
  <c r="R174" i="14"/>
  <c r="R362" i="14"/>
  <c r="R92" i="14"/>
  <c r="S92" i="14" s="1"/>
  <c r="X92" i="14" s="1"/>
  <c r="V67" i="14"/>
  <c r="W67" i="14" s="1"/>
  <c r="V111" i="14"/>
  <c r="W111" i="14" s="1"/>
  <c r="R93" i="14"/>
  <c r="V10" i="14"/>
  <c r="W10" i="14" s="1"/>
  <c r="Q67" i="14"/>
  <c r="S129" i="14"/>
  <c r="X129" i="14" s="1"/>
  <c r="Q423" i="14"/>
  <c r="R250" i="14"/>
  <c r="Q359" i="14"/>
  <c r="S359" i="14" s="1"/>
  <c r="X359" i="14" s="1"/>
  <c r="Q269" i="14"/>
  <c r="S269" i="14" s="1"/>
  <c r="X269" i="14" s="1"/>
  <c r="P10" i="14"/>
  <c r="K10" i="14"/>
  <c r="N10" i="14"/>
  <c r="M10" i="14"/>
  <c r="L10" i="14"/>
  <c r="O10" i="14"/>
  <c r="S257" i="14"/>
  <c r="X257" i="14" s="1"/>
  <c r="V187" i="14"/>
  <c r="W187" i="14" s="1"/>
  <c r="V278" i="14"/>
  <c r="W278" i="14" s="1"/>
  <c r="V314" i="14"/>
  <c r="W314" i="14" s="1"/>
  <c r="R360" i="14"/>
  <c r="Q250" i="14"/>
  <c r="S250" i="14" s="1"/>
  <c r="X250" i="14" s="1"/>
  <c r="Q387" i="14"/>
  <c r="S387" i="14" s="1"/>
  <c r="X387" i="14" s="1"/>
  <c r="Q392" i="14"/>
  <c r="Q270" i="14"/>
  <c r="Q318" i="14"/>
  <c r="R318" i="14"/>
  <c r="R342" i="14"/>
  <c r="S342" i="14" s="1"/>
  <c r="X342" i="14" s="1"/>
  <c r="V49" i="14"/>
  <c r="W49" i="14" s="1"/>
  <c r="V321" i="14"/>
  <c r="W321" i="14" s="1"/>
  <c r="R107" i="14"/>
  <c r="S107" i="14" s="1"/>
  <c r="X107" i="14" s="1"/>
  <c r="R70" i="14"/>
  <c r="Q236" i="14"/>
  <c r="S236" i="14" s="1"/>
  <c r="X236" i="14" s="1"/>
  <c r="R112" i="14"/>
  <c r="V264" i="14"/>
  <c r="W264" i="14" s="1"/>
  <c r="Q242" i="14"/>
  <c r="R84" i="14"/>
  <c r="V181" i="14"/>
  <c r="W181" i="14" s="1"/>
  <c r="V157" i="14"/>
  <c r="W157" i="14" s="1"/>
  <c r="V276" i="14"/>
  <c r="W276" i="14" s="1"/>
  <c r="V221" i="14"/>
  <c r="W221" i="14" s="1"/>
  <c r="Q233" i="14"/>
  <c r="Q348" i="14"/>
  <c r="S348" i="14" s="1"/>
  <c r="X348" i="14" s="1"/>
  <c r="V95" i="14"/>
  <c r="W95" i="14" s="1"/>
  <c r="V246" i="14"/>
  <c r="W246" i="14" s="1"/>
  <c r="S54" i="14"/>
  <c r="X54" i="14" s="1"/>
  <c r="R321" i="14"/>
  <c r="S321" i="14" s="1"/>
  <c r="X321" i="14" s="1"/>
  <c r="V85" i="14"/>
  <c r="W85" i="14" s="1"/>
  <c r="Q93" i="14"/>
  <c r="R52" i="14"/>
  <c r="S52" i="14" s="1"/>
  <c r="X52" i="14" s="1"/>
  <c r="Q70" i="14"/>
  <c r="R164" i="14"/>
  <c r="S388" i="14"/>
  <c r="X388" i="14" s="1"/>
  <c r="Q278" i="14"/>
  <c r="S278" i="14" s="1"/>
  <c r="X278" i="14" s="1"/>
  <c r="R355" i="14"/>
  <c r="Q355" i="14"/>
  <c r="S355" i="14" s="1"/>
  <c r="X355" i="14" s="1"/>
  <c r="Q361" i="14"/>
  <c r="R326" i="14"/>
  <c r="V326" i="14"/>
  <c r="W326" i="14" s="1"/>
  <c r="Q326" i="14"/>
  <c r="V164" i="14"/>
  <c r="W164" i="14" s="1"/>
  <c r="S429" i="14"/>
  <c r="X429" i="14" s="1"/>
  <c r="S25" i="14"/>
  <c r="X25" i="14" s="1"/>
  <c r="R20" i="14"/>
  <c r="Q20" i="14"/>
  <c r="S20" i="14" s="1"/>
  <c r="X20" i="14" s="1"/>
  <c r="V81" i="14"/>
  <c r="W81" i="14" s="1"/>
  <c r="R51" i="14"/>
  <c r="Q51" i="14"/>
  <c r="V51" i="14"/>
  <c r="W51" i="14" s="1"/>
  <c r="R276" i="14"/>
  <c r="S276" i="14" s="1"/>
  <c r="X276" i="14" s="1"/>
  <c r="V258" i="14"/>
  <c r="W258" i="14" s="1"/>
  <c r="R233" i="14"/>
  <c r="S233" i="14" s="1"/>
  <c r="X233" i="14" s="1"/>
  <c r="S18" i="14"/>
  <c r="X18" i="14" s="1"/>
  <c r="S26" i="14"/>
  <c r="X26" i="14" s="1"/>
  <c r="R28" i="14"/>
  <c r="S28" i="14" s="1"/>
  <c r="X28" i="14" s="1"/>
  <c r="S290" i="14"/>
  <c r="X290" i="14" s="1"/>
  <c r="Q411" i="14"/>
  <c r="S411" i="14" s="1"/>
  <c r="X411" i="14" s="1"/>
  <c r="R221" i="14"/>
  <c r="S221" i="14" s="1"/>
  <c r="X221" i="14" s="1"/>
  <c r="R132" i="14"/>
  <c r="Q23" i="14"/>
  <c r="V377" i="14"/>
  <c r="W377" i="14" s="1"/>
  <c r="V98" i="14"/>
  <c r="W98" i="14" s="1"/>
  <c r="S413" i="14"/>
  <c r="X413" i="14" s="1"/>
  <c r="V384" i="14"/>
  <c r="W384" i="14" s="1"/>
  <c r="S327" i="14"/>
  <c r="X327" i="14" s="1"/>
  <c r="S374" i="14"/>
  <c r="X374" i="14" s="1"/>
  <c r="Q123" i="14"/>
  <c r="R123" i="14"/>
  <c r="R104" i="14"/>
  <c r="Q104" i="14"/>
  <c r="S11" i="14"/>
  <c r="X11" i="14" s="1"/>
  <c r="Q84" i="14"/>
  <c r="V332" i="14"/>
  <c r="W332" i="14" s="1"/>
  <c r="S139" i="14"/>
  <c r="X139" i="14" s="1"/>
  <c r="Q314" i="14"/>
  <c r="S314" i="14" s="1"/>
  <c r="X314" i="14" s="1"/>
  <c r="V211" i="14"/>
  <c r="W211" i="14" s="1"/>
  <c r="V119" i="14"/>
  <c r="W119" i="14" s="1"/>
  <c r="V216" i="14"/>
  <c r="W216" i="14" s="1"/>
  <c r="R384" i="14"/>
  <c r="S384" i="14" s="1"/>
  <c r="X384" i="14" s="1"/>
  <c r="V114" i="14"/>
  <c r="W114" i="14" s="1"/>
  <c r="S317" i="14"/>
  <c r="X317" i="14" s="1"/>
  <c r="Q95" i="14"/>
  <c r="S95" i="14" s="1"/>
  <c r="X95" i="14" s="1"/>
  <c r="V420" i="14"/>
  <c r="W420" i="14" s="1"/>
  <c r="S366" i="14"/>
  <c r="X366" i="14" s="1"/>
  <c r="S245" i="14"/>
  <c r="X245" i="14" s="1"/>
  <c r="S380" i="14"/>
  <c r="X380" i="14" s="1"/>
  <c r="V189" i="14"/>
  <c r="W189" i="14" s="1"/>
  <c r="V123" i="14"/>
  <c r="W123" i="14" s="1"/>
  <c r="V328" i="14"/>
  <c r="W328" i="14" s="1"/>
  <c r="S121" i="14"/>
  <c r="X121" i="14" s="1"/>
  <c r="V354" i="14"/>
  <c r="W354" i="14" s="1"/>
  <c r="S370" i="14"/>
  <c r="X370" i="14" s="1"/>
  <c r="V57" i="14"/>
  <c r="W57" i="14" s="1"/>
  <c r="V387" i="14"/>
  <c r="W387" i="14" s="1"/>
  <c r="V348" i="14"/>
  <c r="W348" i="14" s="1"/>
  <c r="S113" i="14"/>
  <c r="X113" i="14" s="1"/>
  <c r="S112" i="14"/>
  <c r="X112" i="14" s="1"/>
  <c r="V397" i="14"/>
  <c r="W397" i="14" s="1"/>
  <c r="V47" i="14"/>
  <c r="W47" i="14" s="1"/>
  <c r="R252" i="14"/>
  <c r="S252" i="14" s="1"/>
  <c r="X252" i="14" s="1"/>
  <c r="Q192" i="14"/>
  <c r="S192" i="14" s="1"/>
  <c r="X192" i="14" s="1"/>
  <c r="Q328" i="14"/>
  <c r="Q429" i="14"/>
  <c r="V429" i="14"/>
  <c r="W429" i="14" s="1"/>
  <c r="V424" i="14"/>
  <c r="W424" i="14" s="1"/>
  <c r="V411" i="14"/>
  <c r="W411" i="14" s="1"/>
  <c r="S125" i="14"/>
  <c r="X125" i="14" s="1"/>
  <c r="S367" i="14"/>
  <c r="X367" i="14" s="1"/>
  <c r="Q410" i="14"/>
  <c r="R410" i="14"/>
  <c r="U79" i="13"/>
  <c r="R79" i="13"/>
  <c r="S79" i="13"/>
  <c r="L112" i="13"/>
  <c r="V263" i="13"/>
  <c r="W263" i="13" s="1"/>
  <c r="V207" i="13"/>
  <c r="W207" i="13" s="1"/>
  <c r="V208" i="13"/>
  <c r="W208" i="13" s="1"/>
  <c r="V239" i="13"/>
  <c r="W239" i="13" s="1"/>
  <c r="V111" i="13"/>
  <c r="W111" i="13" s="1"/>
  <c r="V352" i="13"/>
  <c r="W352" i="13" s="1"/>
  <c r="V72" i="13"/>
  <c r="W72" i="13" s="1"/>
  <c r="V85" i="13"/>
  <c r="W85" i="13" s="1"/>
  <c r="L40" i="13"/>
  <c r="M40" i="13"/>
  <c r="V358" i="13"/>
  <c r="W358" i="13" s="1"/>
  <c r="V394" i="13"/>
  <c r="W394" i="13" s="1"/>
  <c r="V102" i="13"/>
  <c r="W102" i="13" s="1"/>
  <c r="U44" i="13"/>
  <c r="T44" i="13"/>
  <c r="V240" i="13"/>
  <c r="W240" i="13" s="1"/>
  <c r="N252" i="13"/>
  <c r="V251" i="13"/>
  <c r="W251" i="13" s="1"/>
  <c r="T79" i="13"/>
  <c r="P79" i="13"/>
  <c r="V45" i="13"/>
  <c r="W45" i="13" s="1"/>
  <c r="V274" i="13"/>
  <c r="W274" i="13" s="1"/>
  <c r="V356" i="13"/>
  <c r="W356" i="13" s="1"/>
  <c r="V296" i="13"/>
  <c r="W296" i="13" s="1"/>
  <c r="N311" i="13"/>
  <c r="V61" i="13"/>
  <c r="W61" i="13" s="1"/>
  <c r="S90" i="13"/>
  <c r="V325" i="13"/>
  <c r="W325" i="13" s="1"/>
  <c r="M24" i="13"/>
  <c r="L24" i="13"/>
  <c r="N171" i="13"/>
  <c r="V288" i="13"/>
  <c r="W288" i="13" s="1"/>
  <c r="N288" i="13"/>
  <c r="V106" i="13"/>
  <c r="W106" i="13" s="1"/>
  <c r="V247" i="13"/>
  <c r="W247" i="13" s="1"/>
  <c r="N19" i="13"/>
  <c r="V183" i="13"/>
  <c r="W183" i="13" s="1"/>
  <c r="L44" i="13"/>
  <c r="M44" i="13"/>
  <c r="N44" i="13" s="1"/>
  <c r="V402" i="13"/>
  <c r="W402" i="13" s="1"/>
  <c r="V273" i="13"/>
  <c r="W273" i="13" s="1"/>
  <c r="V109" i="13"/>
  <c r="W109" i="13" s="1"/>
  <c r="V384" i="13"/>
  <c r="W384" i="13" s="1"/>
  <c r="V260" i="13"/>
  <c r="W260" i="13" s="1"/>
  <c r="V103" i="13"/>
  <c r="W103" i="13" s="1"/>
  <c r="L90" i="13"/>
  <c r="M90" i="13"/>
  <c r="N90" i="13" s="1"/>
  <c r="Q112" i="13"/>
  <c r="T112" i="13"/>
  <c r="U112" i="13"/>
  <c r="P112" i="13"/>
  <c r="V112" i="13" s="1"/>
  <c r="W112" i="13" s="1"/>
  <c r="S112" i="13"/>
  <c r="R112" i="13"/>
  <c r="N159" i="13"/>
  <c r="V132" i="13"/>
  <c r="W132" i="13" s="1"/>
  <c r="L23" i="13"/>
  <c r="M23" i="13"/>
  <c r="V415" i="13"/>
  <c r="W415" i="13" s="1"/>
  <c r="R90" i="13"/>
  <c r="P90" i="13"/>
  <c r="U90" i="13"/>
  <c r="V46" i="13"/>
  <c r="W46" i="13" s="1"/>
  <c r="V231" i="13"/>
  <c r="W231" i="13" s="1"/>
  <c r="V280" i="13"/>
  <c r="W280" i="13" s="1"/>
  <c r="M113" i="13"/>
  <c r="N113" i="13" s="1"/>
  <c r="L113" i="13"/>
  <c r="U123" i="13"/>
  <c r="T123" i="13"/>
  <c r="Q123" i="13"/>
  <c r="V123" i="13" s="1"/>
  <c r="W123" i="13" s="1"/>
  <c r="R123" i="13"/>
  <c r="S123" i="13"/>
  <c r="N279" i="13"/>
  <c r="V77" i="13"/>
  <c r="W77" i="13" s="1"/>
  <c r="S24" i="13"/>
  <c r="P113" i="13"/>
  <c r="Q113" i="13"/>
  <c r="R113" i="13"/>
  <c r="U113" i="13"/>
  <c r="S113" i="13"/>
  <c r="T113" i="13"/>
  <c r="V36" i="13"/>
  <c r="W36" i="13" s="1"/>
  <c r="N36" i="13"/>
  <c r="V271" i="13"/>
  <c r="W271" i="13" s="1"/>
  <c r="N417" i="13"/>
  <c r="N41" i="13"/>
  <c r="V73" i="13"/>
  <c r="W73" i="13" s="1"/>
  <c r="V350" i="13"/>
  <c r="W350" i="13" s="1"/>
  <c r="V194" i="13"/>
  <c r="W194" i="13" s="1"/>
  <c r="T90" i="13"/>
  <c r="S122" i="13"/>
  <c r="R122" i="13"/>
  <c r="T122" i="13"/>
  <c r="Q122" i="13"/>
  <c r="U122" i="13"/>
  <c r="P122" i="13"/>
  <c r="P40" i="13"/>
  <c r="Q40" i="13"/>
  <c r="R40" i="13"/>
  <c r="S40" i="13"/>
  <c r="T40" i="13"/>
  <c r="U40" i="13"/>
  <c r="V44" i="13"/>
  <c r="W44" i="13" s="1"/>
  <c r="V193" i="13"/>
  <c r="W193" i="13" s="1"/>
  <c r="V211" i="13"/>
  <c r="W211" i="13" s="1"/>
  <c r="Q79" i="13"/>
  <c r="V76" i="13"/>
  <c r="W76" i="13" s="1"/>
  <c r="M79" i="13"/>
  <c r="Q86" i="13"/>
  <c r="U86" i="13"/>
  <c r="S86" i="13"/>
  <c r="R86" i="13"/>
  <c r="T86" i="13"/>
  <c r="P86" i="13"/>
  <c r="N287" i="13"/>
  <c r="V285" i="13"/>
  <c r="W285" i="13" s="1"/>
  <c r="V241" i="13"/>
  <c r="W241" i="13" s="1"/>
  <c r="N299" i="13"/>
  <c r="S44" i="13"/>
  <c r="V335" i="13"/>
  <c r="W335" i="13" s="1"/>
  <c r="M95" i="13"/>
  <c r="L95" i="13"/>
  <c r="R95" i="13"/>
  <c r="P95" i="13"/>
  <c r="T95" i="13"/>
  <c r="U95" i="13"/>
  <c r="Q95" i="13"/>
  <c r="S95" i="13"/>
  <c r="N242" i="13"/>
  <c r="M17" i="13"/>
  <c r="L17" i="13"/>
  <c r="S427" i="14"/>
  <c r="X427" i="14" s="1"/>
  <c r="S393" i="14"/>
  <c r="X393" i="14" s="1"/>
  <c r="S289" i="14"/>
  <c r="X289" i="14" s="1"/>
  <c r="S422" i="14"/>
  <c r="X422" i="14" s="1"/>
  <c r="S292" i="14"/>
  <c r="X292" i="14" s="1"/>
  <c r="S337" i="14"/>
  <c r="X337" i="14" s="1"/>
  <c r="S356" i="14"/>
  <c r="X356" i="14" s="1"/>
  <c r="S399" i="14"/>
  <c r="X399" i="14" s="1"/>
  <c r="S394" i="14"/>
  <c r="X394" i="14" s="1"/>
  <c r="V378" i="14"/>
  <c r="W378" i="14" s="1"/>
  <c r="S408" i="14"/>
  <c r="X408" i="14" s="1"/>
  <c r="S358" i="14"/>
  <c r="X358" i="14" s="1"/>
  <c r="S368" i="14"/>
  <c r="X368" i="14" s="1"/>
  <c r="V426" i="14"/>
  <c r="W426" i="14" s="1"/>
  <c r="S288" i="14"/>
  <c r="X288" i="14" s="1"/>
  <c r="V365" i="14"/>
  <c r="W365" i="14" s="1"/>
  <c r="S324" i="14"/>
  <c r="X324" i="14" s="1"/>
  <c r="V322" i="14"/>
  <c r="W322" i="14" s="1"/>
  <c r="V363" i="14"/>
  <c r="W363" i="14" s="1"/>
  <c r="S401" i="14"/>
  <c r="X401" i="14" s="1"/>
  <c r="S344" i="14"/>
  <c r="X344" i="14" s="1"/>
  <c r="S425" i="14"/>
  <c r="X425" i="14" s="1"/>
  <c r="S372" i="14"/>
  <c r="X372" i="14" s="1"/>
  <c r="S280" i="14"/>
  <c r="X280" i="14" s="1"/>
  <c r="S153" i="14"/>
  <c r="X153" i="14" s="1"/>
  <c r="V260" i="14"/>
  <c r="W260" i="14" s="1"/>
  <c r="V197" i="14"/>
  <c r="W197" i="14" s="1"/>
  <c r="V231" i="14"/>
  <c r="W231" i="14" s="1"/>
  <c r="V265" i="14"/>
  <c r="W265" i="14" s="1"/>
  <c r="V186" i="14"/>
  <c r="W186" i="14" s="1"/>
  <c r="V196" i="14"/>
  <c r="W196" i="14" s="1"/>
  <c r="S224" i="14"/>
  <c r="X224" i="14" s="1"/>
  <c r="V191" i="14"/>
  <c r="W191" i="14" s="1"/>
  <c r="S204" i="14"/>
  <c r="X204" i="14" s="1"/>
  <c r="V167" i="14"/>
  <c r="W167" i="14" s="1"/>
  <c r="S158" i="14"/>
  <c r="X158" i="14" s="1"/>
  <c r="S208" i="14"/>
  <c r="X208" i="14" s="1"/>
  <c r="S202" i="14"/>
  <c r="X202" i="14" s="1"/>
  <c r="V253" i="14"/>
  <c r="W253" i="14" s="1"/>
  <c r="S215" i="14"/>
  <c r="X215" i="14" s="1"/>
  <c r="S146" i="14"/>
  <c r="X146" i="14" s="1"/>
  <c r="V243" i="14"/>
  <c r="W243" i="14" s="1"/>
  <c r="S154" i="14"/>
  <c r="X154" i="14" s="1"/>
  <c r="S244" i="14"/>
  <c r="X244" i="14" s="1"/>
  <c r="S185" i="14"/>
  <c r="X185" i="14" s="1"/>
  <c r="S272" i="14"/>
  <c r="X272" i="14" s="1"/>
  <c r="S147" i="14"/>
  <c r="X147" i="14" s="1"/>
  <c r="S156" i="14"/>
  <c r="X156" i="14" s="1"/>
  <c r="Q177" i="14"/>
  <c r="R177" i="14"/>
  <c r="R116" i="14"/>
  <c r="Q116" i="14"/>
  <c r="Q206" i="14"/>
  <c r="R206" i="14"/>
  <c r="R94" i="14"/>
  <c r="Q94" i="14"/>
  <c r="S94" i="14" s="1"/>
  <c r="X94" i="14" s="1"/>
  <c r="Q229" i="14"/>
  <c r="R229" i="14"/>
  <c r="Q117" i="14"/>
  <c r="R117" i="14"/>
  <c r="Q271" i="14"/>
  <c r="R271" i="14"/>
  <c r="S416" i="14"/>
  <c r="X416" i="14" s="1"/>
  <c r="Q90" i="14"/>
  <c r="R90" i="14"/>
  <c r="S173" i="14"/>
  <c r="X173" i="14" s="1"/>
  <c r="S268" i="14"/>
  <c r="X268" i="14" s="1"/>
  <c r="S55" i="14"/>
  <c r="X55" i="14" s="1"/>
  <c r="Q40" i="14"/>
  <c r="R40" i="14"/>
  <c r="R57" i="14"/>
  <c r="Q57" i="14"/>
  <c r="S57" i="14" s="1"/>
  <c r="X57" i="14" s="1"/>
  <c r="Q184" i="14"/>
  <c r="R184" i="14"/>
  <c r="V271" i="14"/>
  <c r="W271" i="14" s="1"/>
  <c r="R341" i="14"/>
  <c r="Q341" i="14"/>
  <c r="S341" i="14" s="1"/>
  <c r="X341" i="14" s="1"/>
  <c r="R378" i="14"/>
  <c r="Q378" i="14"/>
  <c r="S140" i="14"/>
  <c r="X140" i="14" s="1"/>
  <c r="S255" i="14"/>
  <c r="X255" i="14" s="1"/>
  <c r="S239" i="14"/>
  <c r="X239" i="14" s="1"/>
  <c r="Q196" i="14"/>
  <c r="R196" i="14"/>
  <c r="Q299" i="14"/>
  <c r="R299" i="14"/>
  <c r="Q253" i="14"/>
  <c r="R253" i="14"/>
  <c r="Q338" i="14"/>
  <c r="R338" i="14"/>
  <c r="Q43" i="14"/>
  <c r="R43" i="14"/>
  <c r="S79" i="14"/>
  <c r="X79" i="14" s="1"/>
  <c r="V206" i="14"/>
  <c r="W206" i="14" s="1"/>
  <c r="S284" i="14"/>
  <c r="X284" i="14" s="1"/>
  <c r="Q86" i="14"/>
  <c r="R86" i="14"/>
  <c r="S237" i="14"/>
  <c r="X237" i="14" s="1"/>
  <c r="S105" i="14"/>
  <c r="X105" i="14" s="1"/>
  <c r="Q277" i="14"/>
  <c r="R277" i="14"/>
  <c r="S164" i="14"/>
  <c r="X164" i="14" s="1"/>
  <c r="S404" i="14"/>
  <c r="X404" i="14" s="1"/>
  <c r="S227" i="14"/>
  <c r="X227" i="14" s="1"/>
  <c r="R141" i="14"/>
  <c r="Q141" i="14"/>
  <c r="S141" i="14" s="1"/>
  <c r="X141" i="14" s="1"/>
  <c r="S126" i="14"/>
  <c r="X126" i="14" s="1"/>
  <c r="S161" i="14"/>
  <c r="X161" i="14" s="1"/>
  <c r="S339" i="14"/>
  <c r="X339" i="14" s="1"/>
  <c r="Q22" i="14"/>
  <c r="R22" i="14"/>
  <c r="Q186" i="14"/>
  <c r="R186" i="14"/>
  <c r="S89" i="14"/>
  <c r="X89" i="14" s="1"/>
  <c r="R191" i="14"/>
  <c r="Q191" i="14"/>
  <c r="R246" i="14"/>
  <c r="Q246" i="14"/>
  <c r="S400" i="14"/>
  <c r="X400" i="14" s="1"/>
  <c r="V117" i="14"/>
  <c r="W117" i="14" s="1"/>
  <c r="S108" i="14"/>
  <c r="X108" i="14" s="1"/>
  <c r="S386" i="14"/>
  <c r="X386" i="14" s="1"/>
  <c r="V116" i="14"/>
  <c r="W116" i="14" s="1"/>
  <c r="R294" i="14"/>
  <c r="Q294" i="14"/>
  <c r="R71" i="14"/>
  <c r="Q71" i="14"/>
  <c r="R66" i="14"/>
  <c r="Q66" i="14"/>
  <c r="S218" i="14"/>
  <c r="X218" i="14" s="1"/>
  <c r="S47" i="14"/>
  <c r="X47" i="14" s="1"/>
  <c r="S283" i="14"/>
  <c r="X283" i="14" s="1"/>
  <c r="S29" i="14"/>
  <c r="X29" i="14" s="1"/>
  <c r="Q91" i="14"/>
  <c r="R91" i="14"/>
  <c r="R296" i="14"/>
  <c r="Q296" i="14"/>
  <c r="Q351" i="14"/>
  <c r="R351" i="14"/>
  <c r="V351" i="14"/>
  <c r="W351" i="14" s="1"/>
  <c r="Q109" i="14"/>
  <c r="R109" i="14"/>
  <c r="S162" i="14"/>
  <c r="X162" i="14" s="1"/>
  <c r="Q85" i="14"/>
  <c r="R85" i="14"/>
  <c r="V277" i="14"/>
  <c r="W277" i="14" s="1"/>
  <c r="Q111" i="14"/>
  <c r="R111" i="14"/>
  <c r="V40" i="14"/>
  <c r="W40" i="14" s="1"/>
  <c r="S14" i="14"/>
  <c r="X14" i="14" s="1"/>
  <c r="S142" i="14"/>
  <c r="X142" i="14" s="1"/>
  <c r="Q38" i="14"/>
  <c r="R38" i="14"/>
  <c r="Q222" i="14"/>
  <c r="R222" i="14"/>
  <c r="Q406" i="14"/>
  <c r="R406" i="14"/>
  <c r="S130" i="14"/>
  <c r="X130" i="14" s="1"/>
  <c r="Q293" i="14"/>
  <c r="R293" i="14"/>
  <c r="R397" i="14"/>
  <c r="Q397" i="14"/>
  <c r="S46" i="14"/>
  <c r="X46" i="14" s="1"/>
  <c r="V222" i="14"/>
  <c r="W222" i="14" s="1"/>
  <c r="S319" i="14"/>
  <c r="X319" i="14" s="1"/>
  <c r="Q34" i="14"/>
  <c r="R34" i="14"/>
  <c r="R187" i="14"/>
  <c r="Q187" i="14"/>
  <c r="R119" i="14"/>
  <c r="Q119" i="14"/>
  <c r="S371" i="14"/>
  <c r="X371" i="14" s="1"/>
  <c r="S212" i="14"/>
  <c r="X212" i="14" s="1"/>
  <c r="S313" i="14"/>
  <c r="X313" i="14" s="1"/>
  <c r="S179" i="14"/>
  <c r="X179" i="14" s="1"/>
  <c r="S198" i="14"/>
  <c r="X198" i="14" s="1"/>
  <c r="S205" i="14"/>
  <c r="X205" i="14" s="1"/>
  <c r="V341" i="14"/>
  <c r="W341" i="14" s="1"/>
  <c r="S240" i="14"/>
  <c r="X240" i="14" s="1"/>
  <c r="R157" i="14"/>
  <c r="Q157" i="14"/>
  <c r="S157" i="14" s="1"/>
  <c r="X157" i="14" s="1"/>
  <c r="R349" i="14"/>
  <c r="Q349" i="14"/>
  <c r="S349" i="14" s="1"/>
  <c r="X349" i="14" s="1"/>
  <c r="S101" i="14"/>
  <c r="X101" i="14" s="1"/>
  <c r="S163" i="14"/>
  <c r="X163" i="14" s="1"/>
  <c r="S155" i="14"/>
  <c r="X155" i="14" s="1"/>
  <c r="Q118" i="14"/>
  <c r="R118" i="14"/>
  <c r="V90" i="14"/>
  <c r="W90" i="14" s="1"/>
  <c r="Q420" i="14"/>
  <c r="R420" i="14"/>
  <c r="S373" i="14"/>
  <c r="X373" i="14" s="1"/>
  <c r="V177" i="14"/>
  <c r="W177" i="14" s="1"/>
  <c r="R80" i="14"/>
  <c r="Q80" i="14"/>
  <c r="S80" i="14" s="1"/>
  <c r="X80" i="14" s="1"/>
  <c r="Q137" i="14"/>
  <c r="R137" i="14"/>
  <c r="R332" i="14"/>
  <c r="Q332" i="14"/>
  <c r="V229" i="14"/>
  <c r="W229" i="14" s="1"/>
  <c r="Q301" i="14"/>
  <c r="R301" i="14"/>
  <c r="S398" i="14"/>
  <c r="X398" i="14" s="1"/>
  <c r="V43" i="14"/>
  <c r="W43" i="14" s="1"/>
  <c r="R357" i="14"/>
  <c r="Q357" i="14"/>
  <c r="V349" i="14"/>
  <c r="W349" i="14" s="1"/>
  <c r="S115" i="14"/>
  <c r="X115" i="14" s="1"/>
  <c r="Q35" i="14"/>
  <c r="R35" i="14"/>
  <c r="S273" i="14"/>
  <c r="X273" i="14" s="1"/>
  <c r="R30" i="14"/>
  <c r="Q30" i="14"/>
  <c r="S30" i="14" s="1"/>
  <c r="X30" i="14" s="1"/>
  <c r="Q68" i="14"/>
  <c r="R68" i="14"/>
  <c r="Q31" i="14"/>
  <c r="R31" i="14"/>
  <c r="Q234" i="14"/>
  <c r="R234" i="14"/>
  <c r="Q414" i="14"/>
  <c r="R414" i="14"/>
  <c r="S44" i="14"/>
  <c r="X44" i="14" s="1"/>
  <c r="Q75" i="14"/>
  <c r="R75" i="14"/>
  <c r="S311" i="14"/>
  <c r="X311" i="14" s="1"/>
  <c r="V80" i="14"/>
  <c r="W80" i="14" s="1"/>
  <c r="V71" i="14"/>
  <c r="W71" i="14" s="1"/>
  <c r="Q81" i="14"/>
  <c r="R81" i="14"/>
  <c r="R65" i="14"/>
  <c r="Q65" i="14"/>
  <c r="S65" i="14" s="1"/>
  <c r="X65" i="14" s="1"/>
  <c r="Q377" i="14"/>
  <c r="R377" i="14"/>
  <c r="R36" i="14"/>
  <c r="Q36" i="14"/>
  <c r="S36" i="14" s="1"/>
  <c r="X36" i="14" s="1"/>
  <c r="Q363" i="14"/>
  <c r="R363" i="14"/>
  <c r="R197" i="14"/>
  <c r="Q197" i="14"/>
  <c r="S197" i="14" s="1"/>
  <c r="X197" i="14" s="1"/>
  <c r="S61" i="14"/>
  <c r="X61" i="14" s="1"/>
  <c r="S310" i="14"/>
  <c r="X310" i="14" s="1"/>
  <c r="Q243" i="14"/>
  <c r="R243" i="14"/>
  <c r="V94" i="14"/>
  <c r="W94" i="14" s="1"/>
  <c r="V406" i="14"/>
  <c r="W406" i="14" s="1"/>
  <c r="Q260" i="14"/>
  <c r="R260" i="14"/>
  <c r="S325" i="14"/>
  <c r="X325" i="14" s="1"/>
  <c r="S174" i="14"/>
  <c r="X174" i="14" s="1"/>
  <c r="V109" i="14"/>
  <c r="W109" i="14" s="1"/>
  <c r="Q266" i="14"/>
  <c r="R266" i="14"/>
  <c r="R149" i="14"/>
  <c r="Q149" i="14"/>
  <c r="R216" i="14"/>
  <c r="Q216" i="14"/>
  <c r="S144" i="14"/>
  <c r="X144" i="14" s="1"/>
  <c r="Q231" i="14"/>
  <c r="R231" i="14"/>
  <c r="S82" i="14"/>
  <c r="X82" i="14" s="1"/>
  <c r="Q226" i="14"/>
  <c r="R226" i="14"/>
  <c r="S251" i="14"/>
  <c r="X251" i="14" s="1"/>
  <c r="R145" i="14"/>
  <c r="Q145" i="14"/>
  <c r="S145" i="14" s="1"/>
  <c r="X145" i="14" s="1"/>
  <c r="S275" i="14"/>
  <c r="X275" i="14" s="1"/>
  <c r="Q265" i="14"/>
  <c r="R265" i="14"/>
  <c r="S418" i="14"/>
  <c r="X418" i="14" s="1"/>
  <c r="R114" i="14"/>
  <c r="Q114" i="14"/>
  <c r="S343" i="14"/>
  <c r="X343" i="14" s="1"/>
  <c r="V66" i="14"/>
  <c r="W66" i="14" s="1"/>
  <c r="V91" i="14"/>
  <c r="W91" i="14" s="1"/>
  <c r="Q167" i="14"/>
  <c r="R167" i="14"/>
  <c r="S415" i="14"/>
  <c r="X415" i="14" s="1"/>
  <c r="Q98" i="14"/>
  <c r="R98" i="14"/>
  <c r="S127" i="14"/>
  <c r="X127" i="14" s="1"/>
  <c r="R159" i="14"/>
  <c r="Q159" i="14"/>
  <c r="Q365" i="14"/>
  <c r="R365" i="14"/>
  <c r="S316" i="14"/>
  <c r="X316" i="14" s="1"/>
  <c r="S223" i="14"/>
  <c r="X223" i="14" s="1"/>
  <c r="S32" i="14"/>
  <c r="X32" i="14" s="1"/>
  <c r="S258" i="14"/>
  <c r="X258" i="14" s="1"/>
  <c r="Q409" i="14"/>
  <c r="R409" i="14"/>
  <c r="Q211" i="14"/>
  <c r="R211" i="14"/>
  <c r="R322" i="14"/>
  <c r="Q322" i="14"/>
  <c r="S322" i="14" s="1"/>
  <c r="X322" i="14" s="1"/>
  <c r="S131" i="14"/>
  <c r="X131" i="14" s="1"/>
  <c r="S194" i="14"/>
  <c r="X194" i="14" s="1"/>
  <c r="R383" i="14"/>
  <c r="Q383" i="14"/>
  <c r="S383" i="14" s="1"/>
  <c r="X383" i="14" s="1"/>
  <c r="S331" i="14"/>
  <c r="X331" i="14" s="1"/>
  <c r="Q78" i="14"/>
  <c r="R78" i="14"/>
  <c r="R122" i="14"/>
  <c r="Q122" i="14"/>
  <c r="S69" i="14"/>
  <c r="X69" i="14" s="1"/>
  <c r="S203" i="14"/>
  <c r="X203" i="14" s="1"/>
  <c r="S64" i="14"/>
  <c r="X64" i="14" s="1"/>
  <c r="Q426" i="14"/>
  <c r="R426" i="14"/>
  <c r="V86" i="14"/>
  <c r="W86" i="14" s="1"/>
  <c r="S353" i="14"/>
  <c r="X353" i="14" s="1"/>
  <c r="V64" i="13"/>
  <c r="W64" i="13" s="1"/>
  <c r="V326" i="13"/>
  <c r="W326" i="13" s="1"/>
  <c r="V94" i="13"/>
  <c r="W94" i="13" s="1"/>
  <c r="V431" i="13"/>
  <c r="W431" i="13" s="1"/>
  <c r="V26" i="13"/>
  <c r="W26" i="13" s="1"/>
  <c r="N26" i="13"/>
  <c r="V37" i="13"/>
  <c r="W37" i="13" s="1"/>
  <c r="N37" i="13"/>
  <c r="V55" i="13"/>
  <c r="W55" i="13" s="1"/>
  <c r="V182" i="13"/>
  <c r="W182" i="13" s="1"/>
  <c r="V71" i="13"/>
  <c r="W71" i="13" s="1"/>
  <c r="V47" i="13"/>
  <c r="W47" i="13" s="1"/>
  <c r="N185" i="13"/>
  <c r="V185" i="13"/>
  <c r="W185" i="13" s="1"/>
  <c r="V410" i="13"/>
  <c r="W410" i="13" s="1"/>
  <c r="N314" i="13"/>
  <c r="V314" i="13"/>
  <c r="W314" i="13" s="1"/>
  <c r="V16" i="13"/>
  <c r="W16" i="13" s="1"/>
  <c r="N16" i="13"/>
  <c r="N129" i="13"/>
  <c r="V129" i="13"/>
  <c r="W129" i="13" s="1"/>
  <c r="S15" i="13"/>
  <c r="P15" i="13"/>
  <c r="R15" i="13"/>
  <c r="Q15" i="13"/>
  <c r="U15" i="13"/>
  <c r="T15" i="13"/>
  <c r="V158" i="13"/>
  <c r="W158" i="13" s="1"/>
  <c r="N158" i="13"/>
  <c r="V267" i="13"/>
  <c r="W267" i="13" s="1"/>
  <c r="V100" i="13"/>
  <c r="W100" i="13" s="1"/>
  <c r="N100" i="13"/>
  <c r="N30" i="13"/>
  <c r="V30" i="13"/>
  <c r="W30" i="13" s="1"/>
  <c r="V411" i="13"/>
  <c r="W411" i="13" s="1"/>
  <c r="V96" i="13"/>
  <c r="W96" i="13" s="1"/>
  <c r="N291" i="13"/>
  <c r="V291" i="13"/>
  <c r="W291" i="13" s="1"/>
  <c r="V391" i="13"/>
  <c r="W391" i="13" s="1"/>
  <c r="V351" i="13"/>
  <c r="W351" i="13" s="1"/>
  <c r="N303" i="13"/>
  <c r="V303" i="13"/>
  <c r="W303" i="13" s="1"/>
  <c r="N312" i="13"/>
  <c r="V312" i="13"/>
  <c r="W312" i="13" s="1"/>
  <c r="V268" i="13"/>
  <c r="W268" i="13" s="1"/>
  <c r="N39" i="13"/>
  <c r="V39" i="13"/>
  <c r="W39" i="13" s="1"/>
  <c r="V302" i="13"/>
  <c r="W302" i="13" s="1"/>
  <c r="N108" i="13"/>
  <c r="V108" i="13"/>
  <c r="W108" i="13" s="1"/>
  <c r="V110" i="13"/>
  <c r="W110" i="13" s="1"/>
  <c r="V22" i="13"/>
  <c r="W22" i="13" s="1"/>
  <c r="N22" i="13"/>
  <c r="V203" i="13"/>
  <c r="W203" i="13" s="1"/>
  <c r="N149" i="13"/>
  <c r="V149" i="13"/>
  <c r="W149" i="13" s="1"/>
  <c r="N84" i="13"/>
  <c r="N241" i="13"/>
  <c r="V50" i="13"/>
  <c r="W50" i="13" s="1"/>
  <c r="N31" i="13"/>
  <c r="V31" i="13"/>
  <c r="W31" i="13" s="1"/>
  <c r="N156" i="13"/>
  <c r="V156" i="13"/>
  <c r="W156" i="13" s="1"/>
  <c r="V163" i="13"/>
  <c r="W163" i="13" s="1"/>
  <c r="N163" i="13"/>
  <c r="V289" i="13"/>
  <c r="W289" i="13" s="1"/>
  <c r="V293" i="13"/>
  <c r="W293" i="13" s="1"/>
  <c r="N293" i="13"/>
  <c r="N136" i="13"/>
  <c r="V136" i="13"/>
  <c r="W136" i="13" s="1"/>
  <c r="N380" i="13"/>
  <c r="V380" i="13"/>
  <c r="W380" i="13" s="1"/>
  <c r="N319" i="13"/>
  <c r="V319" i="13"/>
  <c r="W319" i="13" s="1"/>
  <c r="V170" i="13"/>
  <c r="W170" i="13" s="1"/>
  <c r="V121" i="13"/>
  <c r="W121" i="13" s="1"/>
  <c r="V361" i="13"/>
  <c r="W361" i="13" s="1"/>
  <c r="N223" i="13"/>
  <c r="V223" i="13"/>
  <c r="W223" i="13" s="1"/>
  <c r="N261" i="13"/>
  <c r="V261" i="13"/>
  <c r="W261" i="13" s="1"/>
  <c r="V224" i="13"/>
  <c r="W224" i="13" s="1"/>
  <c r="N224" i="13"/>
  <c r="N160" i="13"/>
  <c r="V160" i="13"/>
  <c r="W160" i="13" s="1"/>
  <c r="V172" i="13"/>
  <c r="W172" i="13" s="1"/>
  <c r="N172" i="13"/>
  <c r="V82" i="13"/>
  <c r="W82" i="13" s="1"/>
  <c r="N82" i="13"/>
  <c r="V393" i="13"/>
  <c r="W393" i="13" s="1"/>
  <c r="N393" i="13"/>
  <c r="V249" i="13"/>
  <c r="W249" i="13" s="1"/>
  <c r="N249" i="13"/>
  <c r="V209" i="13"/>
  <c r="W209" i="13" s="1"/>
  <c r="N209" i="13"/>
  <c r="V38" i="13"/>
  <c r="W38" i="13" s="1"/>
  <c r="N38" i="13"/>
  <c r="N340" i="13"/>
  <c r="V340" i="13"/>
  <c r="W340" i="13" s="1"/>
  <c r="N117" i="13"/>
  <c r="V117" i="13"/>
  <c r="W117" i="13" s="1"/>
  <c r="N428" i="13"/>
  <c r="V428" i="13"/>
  <c r="W428" i="13" s="1"/>
  <c r="V426" i="13"/>
  <c r="W426" i="13" s="1"/>
  <c r="N426" i="13"/>
  <c r="V348" i="13"/>
  <c r="W348" i="13" s="1"/>
  <c r="N348" i="13"/>
  <c r="V70" i="13"/>
  <c r="W70" i="13" s="1"/>
  <c r="N70" i="13"/>
  <c r="V34" i="13"/>
  <c r="W34" i="13" s="1"/>
  <c r="N34" i="13"/>
  <c r="N424" i="13"/>
  <c r="V424" i="13"/>
  <c r="W424" i="13" s="1"/>
  <c r="V344" i="13"/>
  <c r="W344" i="13" s="1"/>
  <c r="N344" i="13"/>
  <c r="V265" i="13"/>
  <c r="W265" i="13" s="1"/>
  <c r="N265" i="13"/>
  <c r="V418" i="13"/>
  <c r="W418" i="13" s="1"/>
  <c r="N418" i="13"/>
  <c r="N264" i="13"/>
  <c r="V264" i="13"/>
  <c r="W264" i="13" s="1"/>
  <c r="V337" i="13"/>
  <c r="W337" i="13" s="1"/>
  <c r="N337" i="13"/>
  <c r="N404" i="13"/>
  <c r="V404" i="13"/>
  <c r="W404" i="13" s="1"/>
  <c r="N147" i="13"/>
  <c r="V147" i="13"/>
  <c r="W147" i="13" s="1"/>
  <c r="V48" i="13"/>
  <c r="W48" i="13" s="1"/>
  <c r="N48" i="13"/>
  <c r="V97" i="13"/>
  <c r="W97" i="13" s="1"/>
  <c r="N97" i="13"/>
  <c r="V168" i="13"/>
  <c r="W168" i="13" s="1"/>
  <c r="N168" i="13"/>
  <c r="V381" i="13"/>
  <c r="W381" i="13" s="1"/>
  <c r="N381" i="13"/>
  <c r="V180" i="13"/>
  <c r="W180" i="13" s="1"/>
  <c r="N180" i="13"/>
  <c r="N104" i="13"/>
  <c r="V104" i="13"/>
  <c r="W104" i="13" s="1"/>
  <c r="N215" i="13"/>
  <c r="V215" i="13"/>
  <c r="W215" i="13" s="1"/>
  <c r="V52" i="13"/>
  <c r="W52" i="13" s="1"/>
  <c r="N52" i="13"/>
  <c r="V124" i="13"/>
  <c r="W124" i="13" s="1"/>
  <c r="N124" i="13"/>
  <c r="V80" i="13"/>
  <c r="W80" i="13" s="1"/>
  <c r="N80" i="13"/>
  <c r="N101" i="13"/>
  <c r="V101" i="13"/>
  <c r="W101" i="13" s="1"/>
  <c r="V369" i="13"/>
  <c r="W369" i="13" s="1"/>
  <c r="N369" i="13"/>
  <c r="N270" i="13"/>
  <c r="V270" i="13"/>
  <c r="W270" i="13" s="1"/>
  <c r="N56" i="13"/>
  <c r="V56" i="13"/>
  <c r="W56" i="13" s="1"/>
  <c r="V118" i="13"/>
  <c r="W118" i="13" s="1"/>
  <c r="N118" i="13"/>
  <c r="V430" i="13"/>
  <c r="W430" i="13" s="1"/>
  <c r="N430" i="13"/>
  <c r="N409" i="13"/>
  <c r="V409" i="13"/>
  <c r="W409" i="13" s="1"/>
  <c r="V363" i="13"/>
  <c r="W363" i="13" s="1"/>
  <c r="N363" i="13"/>
  <c r="V145" i="13"/>
  <c r="W145" i="13" s="1"/>
  <c r="N145" i="13"/>
  <c r="V206" i="13"/>
  <c r="W206" i="13" s="1"/>
  <c r="N206" i="13"/>
  <c r="V212" i="13"/>
  <c r="W212" i="13" s="1"/>
  <c r="N212" i="13"/>
  <c r="V220" i="13"/>
  <c r="W220" i="13" s="1"/>
  <c r="N220" i="13"/>
  <c r="V416" i="13"/>
  <c r="W416" i="13" s="1"/>
  <c r="N416" i="13"/>
  <c r="V320" i="13"/>
  <c r="W320" i="13" s="1"/>
  <c r="N320" i="13"/>
  <c r="N330" i="13"/>
  <c r="V330" i="13"/>
  <c r="W330" i="13" s="1"/>
  <c r="V131" i="13"/>
  <c r="W131" i="13" s="1"/>
  <c r="N131" i="13"/>
  <c r="N210" i="13"/>
  <c r="V210" i="13"/>
  <c r="W210" i="13" s="1"/>
  <c r="V67" i="13"/>
  <c r="W67" i="13" s="1"/>
  <c r="N67" i="13"/>
  <c r="V257" i="13"/>
  <c r="W257" i="13" s="1"/>
  <c r="N257" i="13"/>
  <c r="N173" i="13"/>
  <c r="V173" i="13"/>
  <c r="W173" i="13" s="1"/>
  <c r="V25" i="13"/>
  <c r="W25" i="13" s="1"/>
  <c r="N25" i="13"/>
  <c r="N407" i="13"/>
  <c r="V407" i="13"/>
  <c r="W407" i="13" s="1"/>
  <c r="N139" i="13"/>
  <c r="V139" i="13"/>
  <c r="W139" i="13" s="1"/>
  <c r="V191" i="13"/>
  <c r="W191" i="13" s="1"/>
  <c r="N191" i="13"/>
  <c r="V213" i="13"/>
  <c r="W213" i="13" s="1"/>
  <c r="N213" i="13"/>
  <c r="N317" i="13"/>
  <c r="V317" i="13"/>
  <c r="W317" i="13" s="1"/>
  <c r="V195" i="13"/>
  <c r="W195" i="13" s="1"/>
  <c r="N195" i="13"/>
  <c r="N387" i="13"/>
  <c r="V387" i="13"/>
  <c r="W387" i="13" s="1"/>
  <c r="N175" i="13"/>
  <c r="V175" i="13"/>
  <c r="W175" i="13" s="1"/>
  <c r="V388" i="13"/>
  <c r="W388" i="13" s="1"/>
  <c r="N388" i="13"/>
  <c r="V434" i="13"/>
  <c r="W434" i="13" s="1"/>
  <c r="N434" i="13"/>
  <c r="N49" i="13"/>
  <c r="V49" i="13"/>
  <c r="W49" i="13" s="1"/>
  <c r="N398" i="13"/>
  <c r="V398" i="13"/>
  <c r="W398" i="13" s="1"/>
  <c r="N339" i="13"/>
  <c r="V339" i="13"/>
  <c r="W339" i="13" s="1"/>
  <c r="N164" i="13"/>
  <c r="V164" i="13"/>
  <c r="W164" i="13" s="1"/>
  <c r="V429" i="13"/>
  <c r="W429" i="13" s="1"/>
  <c r="N429" i="13"/>
  <c r="V359" i="13"/>
  <c r="W359" i="13" s="1"/>
  <c r="N359" i="13"/>
  <c r="V165" i="13"/>
  <c r="W165" i="13" s="1"/>
  <c r="N165" i="13"/>
  <c r="V238" i="13"/>
  <c r="W238" i="13" s="1"/>
  <c r="N238" i="13"/>
  <c r="V310" i="13"/>
  <c r="W310" i="13" s="1"/>
  <c r="N310" i="13"/>
  <c r="V255" i="13"/>
  <c r="W255" i="13" s="1"/>
  <c r="N255" i="13"/>
  <c r="V341" i="13"/>
  <c r="W341" i="13" s="1"/>
  <c r="N341" i="13"/>
  <c r="V323" i="13"/>
  <c r="W323" i="13" s="1"/>
  <c r="N323" i="13"/>
  <c r="V306" i="13"/>
  <c r="W306" i="13" s="1"/>
  <c r="N306" i="13"/>
  <c r="V198" i="13"/>
  <c r="W198" i="13" s="1"/>
  <c r="N198" i="13"/>
  <c r="N226" i="13"/>
  <c r="V226" i="13"/>
  <c r="W226" i="13" s="1"/>
  <c r="N307" i="13"/>
  <c r="V307" i="13"/>
  <c r="W307" i="13" s="1"/>
  <c r="V151" i="13"/>
  <c r="W151" i="13" s="1"/>
  <c r="N151" i="13"/>
  <c r="V272" i="13"/>
  <c r="W272" i="13" s="1"/>
  <c r="N272" i="13"/>
  <c r="N253" i="13"/>
  <c r="V253" i="13"/>
  <c r="W253" i="13" s="1"/>
  <c r="V228" i="13"/>
  <c r="W228" i="13" s="1"/>
  <c r="N228" i="13"/>
  <c r="N333" i="13"/>
  <c r="V333" i="13"/>
  <c r="W333" i="13" s="1"/>
  <c r="N201" i="13"/>
  <c r="V201" i="13"/>
  <c r="W201" i="13" s="1"/>
  <c r="V115" i="13"/>
  <c r="W115" i="13" s="1"/>
  <c r="N115" i="13"/>
  <c r="V21" i="13"/>
  <c r="W21" i="13" s="1"/>
  <c r="N21" i="13"/>
  <c r="V217" i="13"/>
  <c r="W217" i="13" s="1"/>
  <c r="N217" i="13"/>
  <c r="N74" i="13"/>
  <c r="V74" i="13"/>
  <c r="W74" i="13" s="1"/>
  <c r="V432" i="13"/>
  <c r="W432" i="13" s="1"/>
  <c r="N432" i="13"/>
  <c r="N254" i="13"/>
  <c r="V254" i="13"/>
  <c r="W254" i="13" s="1"/>
  <c r="N259" i="13"/>
  <c r="V259" i="13"/>
  <c r="W259" i="13" s="1"/>
  <c r="N143" i="13"/>
  <c r="V143" i="13"/>
  <c r="W143" i="13" s="1"/>
  <c r="N75" i="13"/>
  <c r="V75" i="13"/>
  <c r="W75" i="13" s="1"/>
  <c r="V81" i="13"/>
  <c r="W81" i="13" s="1"/>
  <c r="N81" i="13"/>
  <c r="V271" i="20"/>
  <c r="W271" i="20" s="1"/>
  <c r="N271" i="20"/>
  <c r="V42" i="20"/>
  <c r="W42" i="20" s="1"/>
  <c r="N152" i="20"/>
  <c r="V152" i="20"/>
  <c r="W152" i="20" s="1"/>
  <c r="V230" i="20"/>
  <c r="W230" i="20" s="1"/>
  <c r="N230" i="20"/>
  <c r="N283" i="20"/>
  <c r="V283" i="20"/>
  <c r="W283" i="20" s="1"/>
  <c r="V328" i="20"/>
  <c r="W328" i="20" s="1"/>
  <c r="N328" i="20"/>
  <c r="V364" i="20"/>
  <c r="W364" i="20" s="1"/>
  <c r="N91" i="20"/>
  <c r="V91" i="20"/>
  <c r="W91" i="20" s="1"/>
  <c r="N335" i="20"/>
  <c r="V335" i="20"/>
  <c r="W335" i="20" s="1"/>
  <c r="V225" i="20"/>
  <c r="W225" i="20" s="1"/>
  <c r="N225" i="20"/>
  <c r="V178" i="20"/>
  <c r="W178" i="20" s="1"/>
  <c r="V66" i="20"/>
  <c r="W66" i="20" s="1"/>
  <c r="N295" i="20"/>
  <c r="V295" i="20"/>
  <c r="W295" i="20" s="1"/>
  <c r="V232" i="20"/>
  <c r="W232" i="20" s="1"/>
  <c r="V197" i="20"/>
  <c r="W197" i="20" s="1"/>
  <c r="N197" i="20"/>
  <c r="V171" i="20"/>
  <c r="W171" i="20" s="1"/>
  <c r="N171" i="20"/>
  <c r="V233" i="20"/>
  <c r="W233" i="20" s="1"/>
  <c r="V287" i="20"/>
  <c r="W287" i="20" s="1"/>
  <c r="N287" i="20"/>
  <c r="V346" i="20"/>
  <c r="W346" i="20" s="1"/>
  <c r="V399" i="20"/>
  <c r="W399" i="20" s="1"/>
  <c r="V387" i="20"/>
  <c r="W387" i="20" s="1"/>
  <c r="N148" i="20"/>
  <c r="V148" i="20"/>
  <c r="W148" i="20" s="1"/>
  <c r="N291" i="20"/>
  <c r="V291" i="20"/>
  <c r="W291" i="20" s="1"/>
  <c r="N67" i="20"/>
  <c r="V67" i="20"/>
  <c r="W67" i="20" s="1"/>
  <c r="N53" i="20"/>
  <c r="V53" i="20"/>
  <c r="W53" i="20" s="1"/>
  <c r="V262" i="20"/>
  <c r="W262" i="20" s="1"/>
  <c r="N340" i="20"/>
  <c r="V340" i="20"/>
  <c r="W340" i="20" s="1"/>
  <c r="V183" i="20"/>
  <c r="W183" i="20" s="1"/>
  <c r="N183" i="20"/>
  <c r="V218" i="20"/>
  <c r="W218" i="20" s="1"/>
  <c r="V324" i="20"/>
  <c r="W324" i="20" s="1"/>
  <c r="N324" i="20"/>
  <c r="V347" i="20"/>
  <c r="W347" i="20" s="1"/>
  <c r="N23" i="20"/>
  <c r="V23" i="20"/>
  <c r="W23" i="20" s="1"/>
  <c r="V350" i="20"/>
  <c r="W350" i="20" s="1"/>
  <c r="N208" i="20"/>
  <c r="V208" i="20"/>
  <c r="W208" i="20" s="1"/>
  <c r="V229" i="20"/>
  <c r="W229" i="20" s="1"/>
  <c r="V415" i="20"/>
  <c r="W415" i="20" s="1"/>
  <c r="V422" i="19"/>
  <c r="W422" i="19" s="1"/>
  <c r="V90" i="19"/>
  <c r="W90" i="19" s="1"/>
  <c r="V168" i="19"/>
  <c r="W168" i="19" s="1"/>
  <c r="V220" i="19"/>
  <c r="W220" i="19" s="1"/>
  <c r="V223" i="19"/>
  <c r="W223" i="19" s="1"/>
  <c r="V192" i="19"/>
  <c r="W192" i="19" s="1"/>
  <c r="V385" i="19"/>
  <c r="W385" i="19" s="1"/>
  <c r="V196" i="19"/>
  <c r="W196" i="19" s="1"/>
  <c r="V69" i="19"/>
  <c r="W69" i="19" s="1"/>
  <c r="N69" i="19"/>
  <c r="V415" i="19"/>
  <c r="W415" i="19" s="1"/>
  <c r="N136" i="19"/>
  <c r="V136" i="19"/>
  <c r="W136" i="19" s="1"/>
  <c r="N368" i="19"/>
  <c r="V368" i="19"/>
  <c r="W368" i="19" s="1"/>
  <c r="N134" i="19"/>
  <c r="V134" i="19"/>
  <c r="W134" i="19" s="1"/>
  <c r="V365" i="19"/>
  <c r="W365" i="19" s="1"/>
  <c r="V394" i="19"/>
  <c r="W394" i="19" s="1"/>
  <c r="V99" i="19"/>
  <c r="W99" i="19" s="1"/>
  <c r="N99" i="19"/>
  <c r="V403" i="19"/>
  <c r="W403" i="19" s="1"/>
  <c r="V323" i="19"/>
  <c r="W323" i="19" s="1"/>
  <c r="N322" i="19"/>
  <c r="V322" i="19"/>
  <c r="W322" i="19" s="1"/>
  <c r="N219" i="19"/>
  <c r="V219" i="19"/>
  <c r="W219" i="19" s="1"/>
  <c r="V89" i="19"/>
  <c r="W89" i="19" s="1"/>
  <c r="N404" i="19"/>
  <c r="V404" i="19"/>
  <c r="W404" i="19" s="1"/>
  <c r="N110" i="19"/>
  <c r="V110" i="19"/>
  <c r="W110" i="19" s="1"/>
  <c r="N320" i="19"/>
  <c r="V320" i="19"/>
  <c r="W320" i="19" s="1"/>
  <c r="N370" i="19"/>
  <c r="V370" i="19"/>
  <c r="W370" i="19" s="1"/>
  <c r="V205" i="19"/>
  <c r="W205" i="19" s="1"/>
  <c r="N205" i="19"/>
  <c r="N412" i="19"/>
  <c r="V412" i="19"/>
  <c r="W412" i="19" s="1"/>
  <c r="V55" i="19"/>
  <c r="W55" i="19" s="1"/>
  <c r="V195" i="19"/>
  <c r="W195" i="19" s="1"/>
  <c r="V235" i="19"/>
  <c r="W235" i="19" s="1"/>
  <c r="V176" i="19"/>
  <c r="W176" i="19" s="1"/>
  <c r="V10" i="19"/>
  <c r="W10" i="19" s="1"/>
  <c r="N10" i="19"/>
  <c r="N399" i="19"/>
  <c r="V399" i="19"/>
  <c r="W399" i="19" s="1"/>
  <c r="V420" i="19"/>
  <c r="W420" i="19" s="1"/>
  <c r="V372" i="19"/>
  <c r="W372" i="19" s="1"/>
  <c r="V56" i="19"/>
  <c r="W56" i="19" s="1"/>
  <c r="V173" i="19"/>
  <c r="W173" i="19" s="1"/>
  <c r="N40" i="19"/>
  <c r="V40" i="19"/>
  <c r="W40" i="19" s="1"/>
  <c r="N207" i="19"/>
  <c r="V207" i="19"/>
  <c r="W207" i="19" s="1"/>
  <c r="V184" i="19"/>
  <c r="W184" i="19" s="1"/>
  <c r="V105" i="19"/>
  <c r="W105" i="19" s="1"/>
  <c r="N304" i="19"/>
  <c r="V304" i="19"/>
  <c r="W304" i="19" s="1"/>
  <c r="V401" i="19"/>
  <c r="W401" i="19" s="1"/>
  <c r="V243" i="19"/>
  <c r="W243" i="19" s="1"/>
  <c r="N163" i="19"/>
  <c r="V163" i="19"/>
  <c r="W163" i="19" s="1"/>
  <c r="N150" i="19"/>
  <c r="V150" i="19"/>
  <c r="W150" i="19" s="1"/>
  <c r="V375" i="19"/>
  <c r="W375" i="19" s="1"/>
  <c r="V49" i="19"/>
  <c r="W49" i="19" s="1"/>
  <c r="V86" i="19"/>
  <c r="W86" i="19" s="1"/>
  <c r="N86" i="19"/>
  <c r="V339" i="19"/>
  <c r="W339" i="19" s="1"/>
  <c r="V383" i="19"/>
  <c r="W383" i="19" s="1"/>
  <c r="V416" i="19"/>
  <c r="W416" i="19" s="1"/>
  <c r="M296" i="11"/>
  <c r="M398" i="11"/>
  <c r="V381" i="11"/>
  <c r="W381" i="11" s="1"/>
  <c r="M315" i="11"/>
  <c r="N315" i="11" s="1"/>
  <c r="M360" i="11"/>
  <c r="M384" i="11"/>
  <c r="V331" i="11"/>
  <c r="W331" i="11" s="1"/>
  <c r="M391" i="11"/>
  <c r="N391" i="11" s="1"/>
  <c r="M294" i="11"/>
  <c r="M363" i="11"/>
  <c r="N363" i="11" s="1"/>
  <c r="M357" i="11"/>
  <c r="N357" i="11" s="1"/>
  <c r="M411" i="11"/>
  <c r="N411" i="11" s="1"/>
  <c r="M325" i="11"/>
  <c r="M334" i="11"/>
  <c r="N334" i="11" s="1"/>
  <c r="M305" i="11"/>
  <c r="V365" i="11"/>
  <c r="W365" i="11" s="1"/>
  <c r="M352" i="11"/>
  <c r="N352" i="11" s="1"/>
  <c r="V415" i="11"/>
  <c r="W415" i="11" s="1"/>
  <c r="M303" i="11"/>
  <c r="N303" i="11" s="1"/>
  <c r="M414" i="11"/>
  <c r="N414" i="11" s="1"/>
  <c r="M163" i="11"/>
  <c r="M242" i="11"/>
  <c r="M259" i="11"/>
  <c r="N259" i="11" s="1"/>
  <c r="M157" i="11"/>
  <c r="N157" i="11" s="1"/>
  <c r="M248" i="11"/>
  <c r="M236" i="11"/>
  <c r="V212" i="11"/>
  <c r="W212" i="11" s="1"/>
  <c r="M144" i="11"/>
  <c r="M271" i="11"/>
  <c r="N271" i="11" s="1"/>
  <c r="M149" i="11"/>
  <c r="M240" i="11"/>
  <c r="M254" i="11"/>
  <c r="N254" i="11" s="1"/>
  <c r="M225" i="11"/>
  <c r="N225" i="11" s="1"/>
  <c r="M151" i="11"/>
  <c r="V158" i="11"/>
  <c r="W158" i="11" s="1"/>
  <c r="V255" i="11"/>
  <c r="W255" i="11" s="1"/>
  <c r="V231" i="11"/>
  <c r="W231" i="11" s="1"/>
  <c r="V218" i="11"/>
  <c r="W218" i="11" s="1"/>
  <c r="M142" i="11"/>
  <c r="V142" i="11" s="1"/>
  <c r="W142" i="11" s="1"/>
  <c r="V193" i="11"/>
  <c r="W193" i="11" s="1"/>
  <c r="V202" i="11"/>
  <c r="W202" i="11" s="1"/>
  <c r="V185" i="11"/>
  <c r="W185" i="11" s="1"/>
  <c r="V154" i="11"/>
  <c r="W154" i="11" s="1"/>
  <c r="M265" i="11"/>
  <c r="N265" i="11" s="1"/>
  <c r="M241" i="11"/>
  <c r="N241" i="11" s="1"/>
  <c r="V271" i="11"/>
  <c r="W271" i="11" s="1"/>
  <c r="M175" i="11"/>
  <c r="N175" i="11" s="1"/>
  <c r="M272" i="11"/>
  <c r="N272" i="11" s="1"/>
  <c r="M128" i="11"/>
  <c r="V272" i="11"/>
  <c r="W272" i="11" s="1"/>
  <c r="M258" i="11"/>
  <c r="N258" i="11" s="1"/>
  <c r="M182" i="11"/>
  <c r="M226" i="11"/>
  <c r="M243" i="11"/>
  <c r="N243" i="11" s="1"/>
  <c r="M264" i="11"/>
  <c r="M136" i="11"/>
  <c r="M414" i="10"/>
  <c r="N414" i="10" s="1"/>
  <c r="M287" i="10"/>
  <c r="N287" i="10" s="1"/>
  <c r="M388" i="10"/>
  <c r="N388" i="10" s="1"/>
  <c r="M393" i="10"/>
  <c r="N393" i="10" s="1"/>
  <c r="M381" i="10"/>
  <c r="N381" i="10" s="1"/>
  <c r="M340" i="10"/>
  <c r="N340" i="10" s="1"/>
  <c r="M295" i="10"/>
  <c r="V295" i="10" s="1"/>
  <c r="W295" i="10" s="1"/>
  <c r="M275" i="10"/>
  <c r="V275" i="10" s="1"/>
  <c r="W275" i="10" s="1"/>
  <c r="M351" i="10"/>
  <c r="N351" i="10" s="1"/>
  <c r="V388" i="10"/>
  <c r="W388" i="10" s="1"/>
  <c r="M413" i="10"/>
  <c r="N413" i="10" s="1"/>
  <c r="M406" i="10"/>
  <c r="N406" i="10" s="1"/>
  <c r="M387" i="10"/>
  <c r="N387" i="10" s="1"/>
  <c r="V300" i="10"/>
  <c r="W300" i="10" s="1"/>
  <c r="V292" i="10"/>
  <c r="W292" i="10" s="1"/>
  <c r="V352" i="10"/>
  <c r="W352" i="10" s="1"/>
  <c r="M343" i="10"/>
  <c r="N343" i="10" s="1"/>
  <c r="M373" i="10"/>
  <c r="N373" i="10" s="1"/>
  <c r="M286" i="10"/>
  <c r="V286" i="10" s="1"/>
  <c r="W286" i="10" s="1"/>
  <c r="M366" i="10"/>
  <c r="N366" i="10" s="1"/>
  <c r="M347" i="10"/>
  <c r="N347" i="10" s="1"/>
  <c r="M400" i="10"/>
  <c r="M418" i="10"/>
  <c r="N418" i="10" s="1"/>
  <c r="M399" i="10"/>
  <c r="N399" i="10" s="1"/>
  <c r="V371" i="10"/>
  <c r="W371" i="10" s="1"/>
  <c r="M334" i="10"/>
  <c r="N334" i="10" s="1"/>
  <c r="M297" i="10"/>
  <c r="N297" i="10" s="1"/>
  <c r="M391" i="10"/>
  <c r="N391" i="10" s="1"/>
  <c r="M390" i="10"/>
  <c r="N390" i="10" s="1"/>
  <c r="M385" i="10"/>
  <c r="N385" i="10" s="1"/>
  <c r="M301" i="10"/>
  <c r="M375" i="10"/>
  <c r="N375" i="10" s="1"/>
  <c r="M348" i="10"/>
  <c r="M239" i="10"/>
  <c r="N239" i="10" s="1"/>
  <c r="M258" i="10"/>
  <c r="N258" i="10" s="1"/>
  <c r="M149" i="10"/>
  <c r="N149" i="10" s="1"/>
  <c r="M220" i="10"/>
  <c r="N220" i="10" s="1"/>
  <c r="M192" i="10"/>
  <c r="N192" i="10" s="1"/>
  <c r="M211" i="10"/>
  <c r="N211" i="10" s="1"/>
  <c r="M196" i="10"/>
  <c r="N196" i="10" s="1"/>
  <c r="M236" i="10"/>
  <c r="N236" i="10" s="1"/>
  <c r="M241" i="10"/>
  <c r="N241" i="10" s="1"/>
  <c r="M167" i="10"/>
  <c r="N167" i="10" s="1"/>
  <c r="M205" i="10"/>
  <c r="N205" i="10" s="1"/>
  <c r="M199" i="10"/>
  <c r="N199" i="10" s="1"/>
  <c r="M124" i="10"/>
  <c r="M174" i="10"/>
  <c r="N174" i="10" s="1"/>
  <c r="M183" i="10"/>
  <c r="N183" i="10" s="1"/>
  <c r="M222" i="10"/>
  <c r="N222" i="10" s="1"/>
  <c r="M152" i="10"/>
  <c r="N152" i="10" s="1"/>
  <c r="M190" i="10"/>
  <c r="V127" i="10"/>
  <c r="W127" i="10" s="1"/>
  <c r="M164" i="10"/>
  <c r="N164" i="10" s="1"/>
  <c r="M177" i="10"/>
  <c r="N177" i="10" s="1"/>
  <c r="M163" i="10"/>
  <c r="N163" i="10" s="1"/>
  <c r="M165" i="10"/>
  <c r="N165" i="10" s="1"/>
  <c r="M180" i="10"/>
  <c r="N180" i="10" s="1"/>
  <c r="M134" i="10"/>
  <c r="V134" i="10" s="1"/>
  <c r="W134" i="10" s="1"/>
  <c r="M187" i="10"/>
  <c r="N187" i="10" s="1"/>
  <c r="M189" i="10"/>
  <c r="N189" i="10" s="1"/>
  <c r="M255" i="10"/>
  <c r="N255" i="10" s="1"/>
  <c r="M179" i="10"/>
  <c r="M212" i="10"/>
  <c r="V242" i="10"/>
  <c r="W242" i="10" s="1"/>
  <c r="M172" i="10"/>
  <c r="N172" i="10" s="1"/>
  <c r="V206" i="10"/>
  <c r="W206" i="10" s="1"/>
  <c r="V411" i="11"/>
  <c r="W411" i="11" s="1"/>
  <c r="N412" i="11"/>
  <c r="V412" i="11"/>
  <c r="W412" i="11" s="1"/>
  <c r="V371" i="11"/>
  <c r="W371" i="11" s="1"/>
  <c r="M114" i="11"/>
  <c r="M323" i="11"/>
  <c r="M8" i="11"/>
  <c r="M183" i="11"/>
  <c r="M372" i="11"/>
  <c r="M63" i="11"/>
  <c r="M34" i="11"/>
  <c r="N34" i="11" s="1"/>
  <c r="M165" i="11"/>
  <c r="M413" i="11"/>
  <c r="M66" i="11"/>
  <c r="N66" i="11" s="1"/>
  <c r="M313" i="11"/>
  <c r="N313" i="11" s="1"/>
  <c r="M69" i="11"/>
  <c r="M289" i="11"/>
  <c r="M81" i="11"/>
  <c r="M354" i="11"/>
  <c r="M319" i="11"/>
  <c r="V347" i="11"/>
  <c r="W347" i="11" s="1"/>
  <c r="M92" i="11"/>
  <c r="M337" i="11"/>
  <c r="M205" i="11"/>
  <c r="V60" i="11"/>
  <c r="W60" i="11" s="1"/>
  <c r="V300" i="11"/>
  <c r="W300" i="11" s="1"/>
  <c r="N300" i="11"/>
  <c r="N91" i="11"/>
  <c r="V91" i="11"/>
  <c r="W91" i="11" s="1"/>
  <c r="N247" i="11"/>
  <c r="V247" i="11"/>
  <c r="W247" i="11" s="1"/>
  <c r="M341" i="11"/>
  <c r="N284" i="11"/>
  <c r="V284" i="11"/>
  <c r="W284" i="11" s="1"/>
  <c r="N266" i="11"/>
  <c r="V266" i="11"/>
  <c r="W266" i="11" s="1"/>
  <c r="M394" i="11"/>
  <c r="N394" i="11" s="1"/>
  <c r="V355" i="11"/>
  <c r="W355" i="11" s="1"/>
  <c r="V12" i="11"/>
  <c r="W12" i="11" s="1"/>
  <c r="N12" i="11"/>
  <c r="N137" i="11"/>
  <c r="V137" i="11"/>
  <c r="W137" i="11" s="1"/>
  <c r="M111" i="11"/>
  <c r="N240" i="11"/>
  <c r="V240" i="11"/>
  <c r="W240" i="11" s="1"/>
  <c r="M53" i="11"/>
  <c r="V90" i="11"/>
  <c r="W90" i="11" s="1"/>
  <c r="V113" i="11"/>
  <c r="W113" i="11" s="1"/>
  <c r="V339" i="11"/>
  <c r="W339" i="11" s="1"/>
  <c r="V406" i="11"/>
  <c r="W406" i="11" s="1"/>
  <c r="N102" i="11"/>
  <c r="V102" i="11"/>
  <c r="W102" i="11" s="1"/>
  <c r="M298" i="11"/>
  <c r="V343" i="11"/>
  <c r="W343" i="11" s="1"/>
  <c r="N420" i="11"/>
  <c r="V420" i="11"/>
  <c r="W420" i="11" s="1"/>
  <c r="N233" i="11"/>
  <c r="V233" i="11"/>
  <c r="W233" i="11" s="1"/>
  <c r="V26" i="11"/>
  <c r="W26" i="11" s="1"/>
  <c r="N26" i="11"/>
  <c r="N222" i="11"/>
  <c r="V222" i="11"/>
  <c r="W222" i="11" s="1"/>
  <c r="V254" i="11"/>
  <c r="W254" i="11" s="1"/>
  <c r="M253" i="11"/>
  <c r="M232" i="11"/>
  <c r="M132" i="11"/>
  <c r="N84" i="11"/>
  <c r="V84" i="11"/>
  <c r="W84" i="11" s="1"/>
  <c r="M73" i="11"/>
  <c r="V133" i="11"/>
  <c r="W133" i="11" s="1"/>
  <c r="N133" i="11"/>
  <c r="V16" i="11"/>
  <c r="W16" i="11" s="1"/>
  <c r="N16" i="11"/>
  <c r="M418" i="11"/>
  <c r="M228" i="11"/>
  <c r="N340" i="11"/>
  <c r="V340" i="11"/>
  <c r="W340" i="11" s="1"/>
  <c r="V244" i="11"/>
  <c r="W244" i="11" s="1"/>
  <c r="V388" i="11"/>
  <c r="W388" i="11" s="1"/>
  <c r="M68" i="11"/>
  <c r="N18" i="11"/>
  <c r="V18" i="11"/>
  <c r="W18" i="11" s="1"/>
  <c r="N173" i="11"/>
  <c r="V173" i="11"/>
  <c r="W173" i="11" s="1"/>
  <c r="N122" i="11"/>
  <c r="V122" i="11"/>
  <c r="W122" i="11" s="1"/>
  <c r="V55" i="11"/>
  <c r="W55" i="11" s="1"/>
  <c r="M101" i="11"/>
  <c r="M397" i="11"/>
  <c r="N397" i="11" s="1"/>
  <c r="M106" i="11"/>
  <c r="M188" i="11"/>
  <c r="M95" i="11"/>
  <c r="M200" i="11"/>
  <c r="N200" i="11" s="1"/>
  <c r="M77" i="11"/>
  <c r="M38" i="11"/>
  <c r="M25" i="11"/>
  <c r="M168" i="11"/>
  <c r="M36" i="11"/>
  <c r="M217" i="11"/>
  <c r="N217" i="11" s="1"/>
  <c r="M410" i="11"/>
  <c r="N410" i="11" s="1"/>
  <c r="M191" i="11"/>
  <c r="M310" i="11"/>
  <c r="M286" i="11"/>
  <c r="M263" i="11"/>
  <c r="N263" i="11" s="1"/>
  <c r="M342" i="11"/>
  <c r="V57" i="11"/>
  <c r="W57" i="11" s="1"/>
  <c r="V76" i="11"/>
  <c r="W76" i="11" s="1"/>
  <c r="N6" i="11"/>
  <c r="V6" i="11"/>
  <c r="W6" i="11" s="1"/>
  <c r="M392" i="11"/>
  <c r="N392" i="11" s="1"/>
  <c r="N138" i="11"/>
  <c r="V138" i="11"/>
  <c r="W138" i="11" s="1"/>
  <c r="M234" i="11"/>
  <c r="N234" i="11" s="1"/>
  <c r="N163" i="11"/>
  <c r="V163" i="11"/>
  <c r="W163" i="11" s="1"/>
  <c r="V335" i="11"/>
  <c r="W335" i="11" s="1"/>
  <c r="N335" i="11"/>
  <c r="N236" i="11"/>
  <c r="V236" i="11"/>
  <c r="W236" i="11" s="1"/>
  <c r="N153" i="11"/>
  <c r="V153" i="11"/>
  <c r="W153" i="11" s="1"/>
  <c r="V409" i="11"/>
  <c r="W409" i="11" s="1"/>
  <c r="N409" i="11"/>
  <c r="N89" i="11"/>
  <c r="V89" i="11"/>
  <c r="W89" i="11" s="1"/>
  <c r="N227" i="11"/>
  <c r="V227" i="11"/>
  <c r="W227" i="11" s="1"/>
  <c r="N179" i="11"/>
  <c r="V179" i="11"/>
  <c r="W179" i="11" s="1"/>
  <c r="V368" i="11"/>
  <c r="W368" i="11" s="1"/>
  <c r="N50" i="11"/>
  <c r="V50" i="11"/>
  <c r="W50" i="11" s="1"/>
  <c r="M290" i="11"/>
  <c r="M368" i="11"/>
  <c r="N368" i="11" s="1"/>
  <c r="M48" i="11"/>
  <c r="M297" i="11"/>
  <c r="V116" i="11"/>
  <c r="W116" i="11" s="1"/>
  <c r="V96" i="11"/>
  <c r="W96" i="11" s="1"/>
  <c r="N96" i="11"/>
  <c r="N31" i="11"/>
  <c r="V31" i="11"/>
  <c r="W31" i="11" s="1"/>
  <c r="M187" i="11"/>
  <c r="M139" i="11"/>
  <c r="M103" i="11"/>
  <c r="V281" i="11"/>
  <c r="W281" i="11" s="1"/>
  <c r="N281" i="11"/>
  <c r="M279" i="11"/>
  <c r="N273" i="11"/>
  <c r="V273" i="11"/>
  <c r="W273" i="11" s="1"/>
  <c r="M213" i="11"/>
  <c r="N213" i="11" s="1"/>
  <c r="N311" i="11"/>
  <c r="V311" i="11"/>
  <c r="W311" i="11" s="1"/>
  <c r="V235" i="11"/>
  <c r="W235" i="11" s="1"/>
  <c r="N79" i="11"/>
  <c r="V79" i="11"/>
  <c r="W79" i="11" s="1"/>
  <c r="N147" i="11"/>
  <c r="V147" i="11"/>
  <c r="W147" i="11" s="1"/>
  <c r="N374" i="11"/>
  <c r="V374" i="11"/>
  <c r="W374" i="11" s="1"/>
  <c r="V108" i="11"/>
  <c r="W108" i="11" s="1"/>
  <c r="V166" i="11"/>
  <c r="W166" i="11" s="1"/>
  <c r="M358" i="11"/>
  <c r="N376" i="11"/>
  <c r="V376" i="11"/>
  <c r="W376" i="11" s="1"/>
  <c r="M278" i="11"/>
  <c r="V220" i="11"/>
  <c r="W220" i="11" s="1"/>
  <c r="V400" i="11"/>
  <c r="W400" i="11" s="1"/>
  <c r="V34" i="11"/>
  <c r="W34" i="11" s="1"/>
  <c r="V121" i="11"/>
  <c r="W121" i="11" s="1"/>
  <c r="N184" i="11"/>
  <c r="V184" i="11"/>
  <c r="W184" i="11" s="1"/>
  <c r="M104" i="11"/>
  <c r="N104" i="11" s="1"/>
  <c r="N83" i="11"/>
  <c r="V83" i="11"/>
  <c r="W83" i="11" s="1"/>
  <c r="N54" i="11"/>
  <c r="V54" i="11"/>
  <c r="W54" i="11" s="1"/>
  <c r="M134" i="11"/>
  <c r="M93" i="11"/>
  <c r="N338" i="11"/>
  <c r="V338" i="11"/>
  <c r="W338" i="11" s="1"/>
  <c r="M349" i="11"/>
  <c r="V361" i="11"/>
  <c r="W361" i="11" s="1"/>
  <c r="N361" i="11"/>
  <c r="M307" i="11"/>
  <c r="V136" i="11"/>
  <c r="W136" i="11" s="1"/>
  <c r="N136" i="11"/>
  <c r="M29" i="11"/>
  <c r="V362" i="11"/>
  <c r="W362" i="11" s="1"/>
  <c r="N362" i="11"/>
  <c r="N329" i="11"/>
  <c r="V329" i="11"/>
  <c r="W329" i="11" s="1"/>
  <c r="M98" i="11"/>
  <c r="N42" i="11"/>
  <c r="V42" i="11"/>
  <c r="W42" i="11" s="1"/>
  <c r="V277" i="11"/>
  <c r="W277" i="11" s="1"/>
  <c r="N277" i="11"/>
  <c r="V373" i="11"/>
  <c r="W373" i="11" s="1"/>
  <c r="M170" i="11"/>
  <c r="M100" i="11"/>
  <c r="M256" i="11"/>
  <c r="M383" i="11"/>
  <c r="N383" i="11" s="1"/>
  <c r="M172" i="11"/>
  <c r="M320" i="11"/>
  <c r="M33" i="11"/>
  <c r="N33" i="11" s="1"/>
  <c r="N19" i="11"/>
  <c r="V19" i="11"/>
  <c r="W19" i="11" s="1"/>
  <c r="N398" i="11"/>
  <c r="V398" i="11"/>
  <c r="W398" i="11" s="1"/>
  <c r="M204" i="11"/>
  <c r="M80" i="11"/>
  <c r="M87" i="11"/>
  <c r="M276" i="11"/>
  <c r="M402" i="11"/>
  <c r="V357" i="11"/>
  <c r="W357" i="11" s="1"/>
  <c r="V234" i="11"/>
  <c r="W234" i="11" s="1"/>
  <c r="V219" i="11"/>
  <c r="W219" i="11" s="1"/>
  <c r="V104" i="11"/>
  <c r="W104" i="11" s="1"/>
  <c r="V308" i="11"/>
  <c r="W308" i="11" s="1"/>
  <c r="V379" i="11"/>
  <c r="W379" i="11" s="1"/>
  <c r="V216" i="11"/>
  <c r="W216" i="11" s="1"/>
  <c r="V391" i="11"/>
  <c r="W391" i="11" s="1"/>
  <c r="N70" i="11"/>
  <c r="V70" i="11"/>
  <c r="W70" i="11" s="1"/>
  <c r="V317" i="11"/>
  <c r="W317" i="11" s="1"/>
  <c r="M76" i="11"/>
  <c r="N76" i="11" s="1"/>
  <c r="M421" i="11"/>
  <c r="N380" i="11"/>
  <c r="V380" i="11"/>
  <c r="W380" i="11" s="1"/>
  <c r="N180" i="11"/>
  <c r="V180" i="11"/>
  <c r="W180" i="11" s="1"/>
  <c r="N370" i="11"/>
  <c r="V370" i="11"/>
  <c r="W370" i="11" s="1"/>
  <c r="M309" i="11"/>
  <c r="N309" i="11" s="1"/>
  <c r="V291" i="11"/>
  <c r="W291" i="11" s="1"/>
  <c r="N291" i="11"/>
  <c r="V268" i="11"/>
  <c r="W268" i="11" s="1"/>
  <c r="N268" i="11"/>
  <c r="V313" i="11"/>
  <c r="W313" i="11" s="1"/>
  <c r="V9" i="11"/>
  <c r="W9" i="11" s="1"/>
  <c r="N9" i="11"/>
  <c r="V397" i="11"/>
  <c r="W397" i="11" s="1"/>
  <c r="V37" i="11"/>
  <c r="W37" i="11" s="1"/>
  <c r="N37" i="11"/>
  <c r="M40" i="11"/>
  <c r="M192" i="11"/>
  <c r="M75" i="11"/>
  <c r="N177" i="11"/>
  <c r="V177" i="11"/>
  <c r="W177" i="11" s="1"/>
  <c r="N149" i="11"/>
  <c r="V149" i="11"/>
  <c r="W149" i="11" s="1"/>
  <c r="V350" i="11"/>
  <c r="W350" i="11" s="1"/>
  <c r="N350" i="11"/>
  <c r="M78" i="11"/>
  <c r="N78" i="11" s="1"/>
  <c r="N203" i="11"/>
  <c r="V203" i="11"/>
  <c r="W203" i="11" s="1"/>
  <c r="V17" i="11"/>
  <c r="W17" i="11" s="1"/>
  <c r="N17" i="11"/>
  <c r="N30" i="11"/>
  <c r="V30" i="11"/>
  <c r="W30" i="11" s="1"/>
  <c r="N292" i="11"/>
  <c r="V292" i="11"/>
  <c r="W292" i="11" s="1"/>
  <c r="N269" i="11"/>
  <c r="V269" i="11"/>
  <c r="W269" i="11" s="1"/>
  <c r="N416" i="11"/>
  <c r="V416" i="11"/>
  <c r="W416" i="11" s="1"/>
  <c r="M195" i="11"/>
  <c r="V186" i="11"/>
  <c r="W186" i="11" s="1"/>
  <c r="M23" i="11"/>
  <c r="N260" i="11"/>
  <c r="V260" i="11"/>
  <c r="W260" i="11" s="1"/>
  <c r="M404" i="11"/>
  <c r="N251" i="11"/>
  <c r="V251" i="11"/>
  <c r="W251" i="11" s="1"/>
  <c r="N65" i="11"/>
  <c r="V65" i="11"/>
  <c r="W65" i="11" s="1"/>
  <c r="N280" i="11"/>
  <c r="V280" i="11"/>
  <c r="W280" i="11" s="1"/>
  <c r="V140" i="11"/>
  <c r="W140" i="11" s="1"/>
  <c r="N140" i="11"/>
  <c r="V11" i="11"/>
  <c r="W11" i="11" s="1"/>
  <c r="N11" i="11"/>
  <c r="N161" i="11"/>
  <c r="V161" i="11"/>
  <c r="W161" i="11" s="1"/>
  <c r="N245" i="11"/>
  <c r="V245" i="11"/>
  <c r="W245" i="11" s="1"/>
  <c r="N142" i="11"/>
  <c r="M312" i="11"/>
  <c r="N336" i="11"/>
  <c r="V336" i="11"/>
  <c r="W336" i="11" s="1"/>
  <c r="N28" i="11"/>
  <c r="V28" i="11"/>
  <c r="W28" i="11" s="1"/>
  <c r="V226" i="11"/>
  <c r="W226" i="11" s="1"/>
  <c r="N226" i="11"/>
  <c r="N43" i="11"/>
  <c r="V43" i="11"/>
  <c r="W43" i="11" s="1"/>
  <c r="V237" i="11"/>
  <c r="W237" i="11" s="1"/>
  <c r="N345" i="11"/>
  <c r="V345" i="11"/>
  <c r="W345" i="11" s="1"/>
  <c r="M127" i="11"/>
  <c r="M67" i="11"/>
  <c r="N67" i="11" s="1"/>
  <c r="M223" i="11"/>
  <c r="M396" i="11"/>
  <c r="N386" i="11"/>
  <c r="V386" i="11"/>
  <c r="W386" i="11" s="1"/>
  <c r="V162" i="11"/>
  <c r="W162" i="11" s="1"/>
  <c r="N246" i="11"/>
  <c r="V246" i="11"/>
  <c r="W246" i="11" s="1"/>
  <c r="V33" i="11"/>
  <c r="W33" i="11" s="1"/>
  <c r="V217" i="11"/>
  <c r="W217" i="11" s="1"/>
  <c r="N384" i="11"/>
  <c r="V384" i="11"/>
  <c r="W384" i="11" s="1"/>
  <c r="M359" i="11"/>
  <c r="N359" i="11" s="1"/>
  <c r="M330" i="11"/>
  <c r="N330" i="11" s="1"/>
  <c r="M178" i="11"/>
  <c r="N283" i="11"/>
  <c r="V283" i="11"/>
  <c r="W283" i="11" s="1"/>
  <c r="N24" i="11"/>
  <c r="V24" i="11"/>
  <c r="W24" i="11" s="1"/>
  <c r="M27" i="11"/>
  <c r="M46" i="11"/>
  <c r="M387" i="11"/>
  <c r="M375" i="11"/>
  <c r="N375" i="11" s="1"/>
  <c r="M124" i="11"/>
  <c r="V230" i="11"/>
  <c r="W230" i="11" s="1"/>
  <c r="V64" i="11"/>
  <c r="W64" i="11" s="1"/>
  <c r="V115" i="11"/>
  <c r="W115" i="11" s="1"/>
  <c r="V171" i="11"/>
  <c r="W171" i="11" s="1"/>
  <c r="N135" i="11"/>
  <c r="V135" i="11"/>
  <c r="W135" i="11" s="1"/>
  <c r="N287" i="11"/>
  <c r="V287" i="11"/>
  <c r="W287" i="11" s="1"/>
  <c r="V252" i="11"/>
  <c r="W252" i="11" s="1"/>
  <c r="N250" i="11"/>
  <c r="V250" i="11"/>
  <c r="W250" i="11" s="1"/>
  <c r="V263" i="11"/>
  <c r="W263" i="11" s="1"/>
  <c r="N242" i="11"/>
  <c r="V242" i="11"/>
  <c r="W242" i="11" s="1"/>
  <c r="M401" i="11"/>
  <c r="M274" i="11"/>
  <c r="V151" i="11"/>
  <c r="W151" i="11" s="1"/>
  <c r="N151" i="11"/>
  <c r="M189" i="11"/>
  <c r="N189" i="11" s="1"/>
  <c r="V21" i="11"/>
  <c r="W21" i="11" s="1"/>
  <c r="N21" i="11"/>
  <c r="N238" i="11"/>
  <c r="V238" i="11"/>
  <c r="W238" i="11" s="1"/>
  <c r="N399" i="11"/>
  <c r="V399" i="11"/>
  <c r="W399" i="11" s="1"/>
  <c r="M267" i="11"/>
  <c r="V395" i="11"/>
  <c r="W395" i="11" s="1"/>
  <c r="M174" i="11"/>
  <c r="N174" i="11" s="1"/>
  <c r="V150" i="11"/>
  <c r="W150" i="11" s="1"/>
  <c r="V35" i="11"/>
  <c r="W35" i="11" s="1"/>
  <c r="V315" i="11"/>
  <c r="W315" i="11" s="1"/>
  <c r="N15" i="11"/>
  <c r="V15" i="11"/>
  <c r="W15" i="11" s="1"/>
  <c r="M215" i="11"/>
  <c r="N215" i="11" s="1"/>
  <c r="N419" i="11"/>
  <c r="V419" i="11"/>
  <c r="W419" i="11" s="1"/>
  <c r="M20" i="11"/>
  <c r="N326" i="11"/>
  <c r="V326" i="11"/>
  <c r="W326" i="11" s="1"/>
  <c r="V159" i="11"/>
  <c r="W159" i="11" s="1"/>
  <c r="M261" i="11"/>
  <c r="N261" i="11" s="1"/>
  <c r="M417" i="11"/>
  <c r="N417" i="11" s="1"/>
  <c r="M366" i="11"/>
  <c r="M318" i="11"/>
  <c r="M201" i="11"/>
  <c r="N325" i="11"/>
  <c r="V325" i="11"/>
  <c r="W325" i="11" s="1"/>
  <c r="M327" i="11"/>
  <c r="N408" i="11"/>
  <c r="V408" i="11"/>
  <c r="W408" i="11" s="1"/>
  <c r="V167" i="11"/>
  <c r="W167" i="11" s="1"/>
  <c r="V221" i="11"/>
  <c r="W221" i="11" s="1"/>
  <c r="M58" i="11"/>
  <c r="N214" i="11"/>
  <c r="V214" i="11"/>
  <c r="W214" i="11" s="1"/>
  <c r="N301" i="11"/>
  <c r="V301" i="11"/>
  <c r="W301" i="11" s="1"/>
  <c r="V407" i="11"/>
  <c r="W407" i="11" s="1"/>
  <c r="N407" i="11"/>
  <c r="V351" i="11"/>
  <c r="W351" i="11" s="1"/>
  <c r="V169" i="11"/>
  <c r="W169" i="11" s="1"/>
  <c r="V82" i="11"/>
  <c r="W82" i="11" s="1"/>
  <c r="N82" i="11"/>
  <c r="M270" i="11"/>
  <c r="V249" i="11"/>
  <c r="W249" i="11" s="1"/>
  <c r="N249" i="11"/>
  <c r="N117" i="11"/>
  <c r="V117" i="11"/>
  <c r="W117" i="11" s="1"/>
  <c r="N393" i="11"/>
  <c r="V393" i="11"/>
  <c r="W393" i="11" s="1"/>
  <c r="N304" i="11"/>
  <c r="V304" i="11"/>
  <c r="W304" i="11" s="1"/>
  <c r="V367" i="11"/>
  <c r="W367" i="11" s="1"/>
  <c r="M378" i="11"/>
  <c r="M262" i="11"/>
  <c r="M285" i="11"/>
  <c r="N353" i="11"/>
  <c r="V353" i="11"/>
  <c r="W353" i="11" s="1"/>
  <c r="V224" i="11"/>
  <c r="W224" i="11" s="1"/>
  <c r="N224" i="11"/>
  <c r="N322" i="11"/>
  <c r="V322" i="11"/>
  <c r="W322" i="11" s="1"/>
  <c r="V305" i="11"/>
  <c r="W305" i="11" s="1"/>
  <c r="N305" i="11"/>
  <c r="N333" i="11"/>
  <c r="V333" i="11"/>
  <c r="W333" i="11" s="1"/>
  <c r="M22" i="11"/>
  <c r="M239" i="11"/>
  <c r="M302" i="11"/>
  <c r="M39" i="11"/>
  <c r="M190" i="11"/>
  <c r="M282" i="11"/>
  <c r="M207" i="11"/>
  <c r="N207" i="11" s="1"/>
  <c r="M164" i="11"/>
  <c r="M125" i="11"/>
  <c r="M156" i="11"/>
  <c r="M146" i="11"/>
  <c r="M88" i="11"/>
  <c r="M385" i="11"/>
  <c r="M129" i="11"/>
  <c r="M314" i="11"/>
  <c r="V176" i="11"/>
  <c r="W176" i="11" s="1"/>
  <c r="V334" i="11"/>
  <c r="W334" i="11" s="1"/>
  <c r="V59" i="11"/>
  <c r="W59" i="11" s="1"/>
  <c r="V160" i="11"/>
  <c r="W160" i="11" s="1"/>
  <c r="V66" i="11"/>
  <c r="W66" i="11" s="1"/>
  <c r="V78" i="11"/>
  <c r="W78" i="11" s="1"/>
  <c r="M47" i="11"/>
  <c r="M62" i="11"/>
  <c r="N382" i="11"/>
  <c r="V382" i="11"/>
  <c r="W382" i="11" s="1"/>
  <c r="N44" i="11"/>
  <c r="V44" i="11"/>
  <c r="W44" i="11" s="1"/>
  <c r="N41" i="11"/>
  <c r="V41" i="11"/>
  <c r="W41" i="11" s="1"/>
  <c r="V85" i="11"/>
  <c r="W85" i="11" s="1"/>
  <c r="N85" i="11"/>
  <c r="M148" i="11"/>
  <c r="M210" i="11"/>
  <c r="N248" i="11"/>
  <c r="V248" i="11"/>
  <c r="W248" i="11" s="1"/>
  <c r="N344" i="11"/>
  <c r="V344" i="11"/>
  <c r="W344" i="11" s="1"/>
  <c r="N145" i="11"/>
  <c r="V145" i="11"/>
  <c r="W145" i="11" s="1"/>
  <c r="N294" i="11"/>
  <c r="V294" i="11"/>
  <c r="W294" i="11" s="1"/>
  <c r="M56" i="11"/>
  <c r="V375" i="11"/>
  <c r="W375" i="11" s="1"/>
  <c r="V128" i="11"/>
  <c r="W128" i="11" s="1"/>
  <c r="N128" i="11"/>
  <c r="N110" i="11"/>
  <c r="V110" i="11"/>
  <c r="W110" i="11" s="1"/>
  <c r="M209" i="11"/>
  <c r="M316" i="11"/>
  <c r="N5" i="11"/>
  <c r="V5" i="11"/>
  <c r="W5" i="11" s="1"/>
  <c r="V189" i="11"/>
  <c r="W189" i="11" s="1"/>
  <c r="N61" i="11"/>
  <c r="V61" i="11"/>
  <c r="W61" i="11" s="1"/>
  <c r="N105" i="11"/>
  <c r="V105" i="11"/>
  <c r="W105" i="11" s="1"/>
  <c r="V199" i="11"/>
  <c r="W199" i="11" s="1"/>
  <c r="N199" i="11"/>
  <c r="V13" i="11"/>
  <c r="W13" i="11" s="1"/>
  <c r="N13" i="11"/>
  <c r="N130" i="11"/>
  <c r="V130" i="11"/>
  <c r="W130" i="11" s="1"/>
  <c r="M10" i="11"/>
  <c r="N403" i="11"/>
  <c r="V403" i="11"/>
  <c r="W403" i="11" s="1"/>
  <c r="V364" i="11"/>
  <c r="W364" i="11" s="1"/>
  <c r="N364" i="11"/>
  <c r="N144" i="11"/>
  <c r="V144" i="11"/>
  <c r="W144" i="11" s="1"/>
  <c r="N4" i="11"/>
  <c r="V4" i="11"/>
  <c r="W4" i="11" s="1"/>
  <c r="N45" i="11"/>
  <c r="V45" i="11"/>
  <c r="W45" i="11" s="1"/>
  <c r="N182" i="11"/>
  <c r="V182" i="11"/>
  <c r="W182" i="11" s="1"/>
  <c r="V143" i="11"/>
  <c r="W143" i="11" s="1"/>
  <c r="N143" i="11"/>
  <c r="N296" i="11"/>
  <c r="V296" i="11"/>
  <c r="W296" i="11" s="1"/>
  <c r="V86" i="11"/>
  <c r="W86" i="11" s="1"/>
  <c r="V32" i="11"/>
  <c r="W32" i="11" s="1"/>
  <c r="V51" i="11"/>
  <c r="W51" i="11" s="1"/>
  <c r="V348" i="11"/>
  <c r="W348" i="11" s="1"/>
  <c r="V321" i="11"/>
  <c r="W321" i="11" s="1"/>
  <c r="N71" i="11"/>
  <c r="V71" i="11"/>
  <c r="W71" i="11" s="1"/>
  <c r="M405" i="11"/>
  <c r="N264" i="11"/>
  <c r="V264" i="11"/>
  <c r="W264" i="11" s="1"/>
  <c r="M206" i="11"/>
  <c r="N206" i="11" s="1"/>
  <c r="M295" i="11"/>
  <c r="M194" i="11"/>
  <c r="N194" i="11" s="1"/>
  <c r="N356" i="11"/>
  <c r="V356" i="11"/>
  <c r="W356" i="11" s="1"/>
  <c r="N332" i="11"/>
  <c r="V332" i="11"/>
  <c r="W332" i="11" s="1"/>
  <c r="V152" i="11"/>
  <c r="W152" i="11" s="1"/>
  <c r="N152" i="11"/>
  <c r="V257" i="11"/>
  <c r="W257" i="11" s="1"/>
  <c r="N257" i="11"/>
  <c r="M390" i="11"/>
  <c r="V299" i="11"/>
  <c r="W299" i="11" s="1"/>
  <c r="N299" i="11"/>
  <c r="V293" i="11"/>
  <c r="W293" i="11" s="1"/>
  <c r="N293" i="11"/>
  <c r="N141" i="11"/>
  <c r="V141" i="11"/>
  <c r="W141" i="11" s="1"/>
  <c r="V123" i="11"/>
  <c r="W123" i="11" s="1"/>
  <c r="N123" i="11"/>
  <c r="V14" i="11"/>
  <c r="W14" i="11" s="1"/>
  <c r="N14" i="11"/>
  <c r="V72" i="11"/>
  <c r="W72" i="11" s="1"/>
  <c r="V126" i="11"/>
  <c r="W126" i="11" s="1"/>
  <c r="N126" i="11"/>
  <c r="M99" i="11"/>
  <c r="V324" i="11"/>
  <c r="W324" i="11" s="1"/>
  <c r="V328" i="11"/>
  <c r="W328" i="11" s="1"/>
  <c r="N288" i="11"/>
  <c r="V288" i="11"/>
  <c r="W288" i="11" s="1"/>
  <c r="N346" i="11"/>
  <c r="V346" i="11"/>
  <c r="W346" i="11" s="1"/>
  <c r="M181" i="11"/>
  <c r="M131" i="11"/>
  <c r="V112" i="11"/>
  <c r="W112" i="11" s="1"/>
  <c r="V422" i="11"/>
  <c r="W422" i="11" s="1"/>
  <c r="M120" i="11"/>
  <c r="M74" i="11"/>
  <c r="N229" i="11"/>
  <c r="V229" i="11"/>
  <c r="W229" i="11" s="1"/>
  <c r="N196" i="11"/>
  <c r="V196" i="11"/>
  <c r="W196" i="11" s="1"/>
  <c r="M7" i="11"/>
  <c r="M377" i="11"/>
  <c r="M94" i="11"/>
  <c r="M369" i="11"/>
  <c r="M49" i="11"/>
  <c r="N49" i="11" s="1"/>
  <c r="M72" i="11"/>
  <c r="N72" i="11" s="1"/>
  <c r="M121" i="11"/>
  <c r="N121" i="11" s="1"/>
  <c r="M275" i="11"/>
  <c r="M155" i="11"/>
  <c r="M211" i="11"/>
  <c r="M208" i="11"/>
  <c r="M197" i="11"/>
  <c r="V198" i="11"/>
  <c r="W198" i="11" s="1"/>
  <c r="V52" i="11"/>
  <c r="W52" i="11" s="1"/>
  <c r="N281" i="10"/>
  <c r="V281" i="10"/>
  <c r="W281" i="10" s="1"/>
  <c r="P47" i="10"/>
  <c r="V47" i="10" s="1"/>
  <c r="W47" i="10" s="1"/>
  <c r="T47" i="10"/>
  <c r="U47" i="10"/>
  <c r="Q47" i="10"/>
  <c r="S47" i="10"/>
  <c r="R47" i="10"/>
  <c r="Q122" i="10"/>
  <c r="P122" i="10"/>
  <c r="S122" i="10"/>
  <c r="R122" i="10"/>
  <c r="T122" i="10"/>
  <c r="U122" i="10"/>
  <c r="V122" i="10" s="1"/>
  <c r="W122" i="10" s="1"/>
  <c r="P156" i="10"/>
  <c r="S156" i="10"/>
  <c r="R156" i="10"/>
  <c r="U156" i="10"/>
  <c r="T156" i="10"/>
  <c r="Q156" i="10"/>
  <c r="P183" i="10"/>
  <c r="S183" i="10"/>
  <c r="U183" i="10"/>
  <c r="Q183" i="10"/>
  <c r="R183" i="10"/>
  <c r="T183" i="10"/>
  <c r="U188" i="10"/>
  <c r="P188" i="10"/>
  <c r="T188" i="10"/>
  <c r="R188" i="10"/>
  <c r="S188" i="10"/>
  <c r="Q188" i="10"/>
  <c r="P180" i="10"/>
  <c r="Q180" i="10"/>
  <c r="T180" i="10"/>
  <c r="S180" i="10"/>
  <c r="R180" i="10"/>
  <c r="U180" i="10"/>
  <c r="S311" i="10"/>
  <c r="T311" i="10"/>
  <c r="P311" i="10"/>
  <c r="Q311" i="10"/>
  <c r="R311" i="10"/>
  <c r="U311" i="10"/>
  <c r="U288" i="10"/>
  <c r="R288" i="10"/>
  <c r="T288" i="10"/>
  <c r="P288" i="10"/>
  <c r="V288" i="10" s="1"/>
  <c r="W288" i="10" s="1"/>
  <c r="Q288" i="10"/>
  <c r="S288" i="10"/>
  <c r="S210" i="10"/>
  <c r="P210" i="10"/>
  <c r="Q210" i="10"/>
  <c r="R210" i="10"/>
  <c r="U210" i="10"/>
  <c r="T210" i="10"/>
  <c r="Q172" i="10"/>
  <c r="T172" i="10"/>
  <c r="S172" i="10"/>
  <c r="U172" i="10"/>
  <c r="R172" i="10"/>
  <c r="P172" i="10"/>
  <c r="U377" i="10"/>
  <c r="S377" i="10"/>
  <c r="R377" i="10"/>
  <c r="T377" i="10"/>
  <c r="Q377" i="10"/>
  <c r="P377" i="10"/>
  <c r="Q123" i="10"/>
  <c r="R123" i="10"/>
  <c r="S123" i="10"/>
  <c r="T123" i="10"/>
  <c r="U123" i="10"/>
  <c r="P123" i="10"/>
  <c r="N266" i="10"/>
  <c r="M154" i="10"/>
  <c r="N284" i="10"/>
  <c r="V284" i="10"/>
  <c r="W284" i="10" s="1"/>
  <c r="N212" i="10"/>
  <c r="M85" i="10"/>
  <c r="N85" i="10" s="1"/>
  <c r="V297" i="10"/>
  <c r="W297" i="10" s="1"/>
  <c r="T108" i="10"/>
  <c r="Q108" i="10"/>
  <c r="S108" i="10"/>
  <c r="R108" i="10"/>
  <c r="U108" i="10"/>
  <c r="P108" i="10"/>
  <c r="V108" i="10" s="1"/>
  <c r="W108" i="10" s="1"/>
  <c r="P53" i="10"/>
  <c r="V53" i="10" s="1"/>
  <c r="W53" i="10" s="1"/>
  <c r="R53" i="10"/>
  <c r="U53" i="10"/>
  <c r="Q53" i="10"/>
  <c r="S53" i="10"/>
  <c r="T53" i="10"/>
  <c r="P168" i="10"/>
  <c r="S168" i="10"/>
  <c r="U168" i="10"/>
  <c r="R168" i="10"/>
  <c r="T168" i="10"/>
  <c r="Q168" i="10"/>
  <c r="Q31" i="10"/>
  <c r="U31" i="10"/>
  <c r="T31" i="10"/>
  <c r="P31" i="10"/>
  <c r="S31" i="10"/>
  <c r="R31" i="10"/>
  <c r="Q329" i="10"/>
  <c r="P329" i="10"/>
  <c r="R329" i="10"/>
  <c r="S329" i="10"/>
  <c r="T329" i="10"/>
  <c r="U329" i="10"/>
  <c r="U251" i="10"/>
  <c r="S251" i="10"/>
  <c r="T251" i="10"/>
  <c r="P251" i="10"/>
  <c r="R251" i="10"/>
  <c r="Q251" i="10"/>
  <c r="P84" i="10"/>
  <c r="R84" i="10"/>
  <c r="T84" i="10"/>
  <c r="S84" i="10"/>
  <c r="U84" i="10"/>
  <c r="Q84" i="10"/>
  <c r="V84" i="10" s="1"/>
  <c r="W84" i="10" s="1"/>
  <c r="R332" i="10"/>
  <c r="S332" i="10"/>
  <c r="T332" i="10"/>
  <c r="Q332" i="10"/>
  <c r="U332" i="10"/>
  <c r="P332" i="10"/>
  <c r="S421" i="10"/>
  <c r="T421" i="10"/>
  <c r="U421" i="10"/>
  <c r="R421" i="10"/>
  <c r="P421" i="10"/>
  <c r="Q421" i="10"/>
  <c r="U105" i="10"/>
  <c r="R105" i="10"/>
  <c r="S105" i="10"/>
  <c r="P105" i="10"/>
  <c r="T105" i="10"/>
  <c r="Q105" i="10"/>
  <c r="V105" i="10" s="1"/>
  <c r="W105" i="10" s="1"/>
  <c r="T265" i="10"/>
  <c r="Q265" i="10"/>
  <c r="P265" i="10"/>
  <c r="R265" i="10"/>
  <c r="U265" i="10"/>
  <c r="S265" i="10"/>
  <c r="N179" i="10"/>
  <c r="N90" i="10"/>
  <c r="V90" i="10"/>
  <c r="W90" i="10" s="1"/>
  <c r="M145" i="10"/>
  <c r="N270" i="10"/>
  <c r="V270" i="10"/>
  <c r="W270" i="10" s="1"/>
  <c r="M99" i="10"/>
  <c r="V56" i="10"/>
  <c r="W56" i="10" s="1"/>
  <c r="N56" i="10"/>
  <c r="U118" i="10"/>
  <c r="S118" i="10"/>
  <c r="R118" i="10"/>
  <c r="Q118" i="10"/>
  <c r="T118" i="10"/>
  <c r="P118" i="10"/>
  <c r="S50" i="10"/>
  <c r="R50" i="10"/>
  <c r="Q50" i="10"/>
  <c r="P50" i="10"/>
  <c r="U50" i="10"/>
  <c r="T50" i="10"/>
  <c r="P121" i="10"/>
  <c r="T121" i="10"/>
  <c r="U121" i="10"/>
  <c r="Q121" i="10"/>
  <c r="S121" i="10"/>
  <c r="R121" i="10"/>
  <c r="U99" i="10"/>
  <c r="R99" i="10"/>
  <c r="T99" i="10"/>
  <c r="P99" i="10"/>
  <c r="S99" i="10"/>
  <c r="Q99" i="10"/>
  <c r="S86" i="10"/>
  <c r="T86" i="10"/>
  <c r="U86" i="10"/>
  <c r="R86" i="10"/>
  <c r="Q86" i="10"/>
  <c r="V86" i="10" s="1"/>
  <c r="W86" i="10" s="1"/>
  <c r="P86" i="10"/>
  <c r="T376" i="10"/>
  <c r="R376" i="10"/>
  <c r="S376" i="10"/>
  <c r="Q376" i="10"/>
  <c r="U376" i="10"/>
  <c r="P376" i="10"/>
  <c r="U367" i="10"/>
  <c r="Q367" i="10"/>
  <c r="R367" i="10"/>
  <c r="P367" i="10"/>
  <c r="V367" i="10" s="1"/>
  <c r="W367" i="10" s="1"/>
  <c r="T367" i="10"/>
  <c r="S367" i="10"/>
  <c r="U327" i="10"/>
  <c r="Q327" i="10"/>
  <c r="P327" i="10"/>
  <c r="S327" i="10"/>
  <c r="T327" i="10"/>
  <c r="R327" i="10"/>
  <c r="Q383" i="10"/>
  <c r="R383" i="10"/>
  <c r="U383" i="10"/>
  <c r="P383" i="10"/>
  <c r="S383" i="10"/>
  <c r="T383" i="10"/>
  <c r="Q221" i="10"/>
  <c r="T221" i="10"/>
  <c r="U221" i="10"/>
  <c r="P221" i="10"/>
  <c r="R221" i="10"/>
  <c r="S221" i="10"/>
  <c r="S228" i="10"/>
  <c r="R228" i="10"/>
  <c r="T228" i="10"/>
  <c r="P228" i="10"/>
  <c r="U228" i="10"/>
  <c r="Q228" i="10"/>
  <c r="P208" i="10"/>
  <c r="R208" i="10"/>
  <c r="T208" i="10"/>
  <c r="S208" i="10"/>
  <c r="U208" i="10"/>
  <c r="Q208" i="10"/>
  <c r="S195" i="10"/>
  <c r="T195" i="10"/>
  <c r="U195" i="10"/>
  <c r="P195" i="10"/>
  <c r="R195" i="10"/>
  <c r="Q195" i="10"/>
  <c r="Q286" i="10"/>
  <c r="P286" i="10"/>
  <c r="R286" i="10"/>
  <c r="S286" i="10"/>
  <c r="T286" i="10"/>
  <c r="U286" i="10"/>
  <c r="S93" i="10"/>
  <c r="T93" i="10"/>
  <c r="P93" i="10"/>
  <c r="U93" i="10"/>
  <c r="Q93" i="10"/>
  <c r="R93" i="10"/>
  <c r="P412" i="10"/>
  <c r="Q412" i="10"/>
  <c r="R412" i="10"/>
  <c r="S412" i="10"/>
  <c r="T412" i="10"/>
  <c r="U412" i="10"/>
  <c r="N200" i="10"/>
  <c r="V200" i="10"/>
  <c r="W200" i="10" s="1"/>
  <c r="M244" i="10"/>
  <c r="M148" i="10"/>
  <c r="N148" i="10" s="1"/>
  <c r="V124" i="10"/>
  <c r="W124" i="10" s="1"/>
  <c r="N124" i="10"/>
  <c r="N400" i="10"/>
  <c r="M302" i="10"/>
  <c r="N302" i="10" s="1"/>
  <c r="M30" i="10"/>
  <c r="N30" i="10" s="1"/>
  <c r="M71" i="10"/>
  <c r="M11" i="10"/>
  <c r="N11" i="10" s="1"/>
  <c r="M318" i="10"/>
  <c r="M204" i="10"/>
  <c r="M247" i="10"/>
  <c r="N247" i="10" s="1"/>
  <c r="M419" i="10"/>
  <c r="N419" i="10" s="1"/>
  <c r="M249" i="10"/>
  <c r="M376" i="10"/>
  <c r="N376" i="10" s="1"/>
  <c r="V282" i="10"/>
  <c r="W282" i="10" s="1"/>
  <c r="Q64" i="10"/>
  <c r="R64" i="10"/>
  <c r="S64" i="10"/>
  <c r="P64" i="10"/>
  <c r="T64" i="10"/>
  <c r="U64" i="10"/>
  <c r="P91" i="10"/>
  <c r="Q91" i="10"/>
  <c r="R91" i="10"/>
  <c r="T91" i="10"/>
  <c r="U91" i="10"/>
  <c r="S91" i="10"/>
  <c r="Q71" i="10"/>
  <c r="T71" i="10"/>
  <c r="R71" i="10"/>
  <c r="P71" i="10"/>
  <c r="S71" i="10"/>
  <c r="U71" i="10"/>
  <c r="T55" i="10"/>
  <c r="Q55" i="10"/>
  <c r="R55" i="10"/>
  <c r="S55" i="10"/>
  <c r="U55" i="10"/>
  <c r="P55" i="10"/>
  <c r="P417" i="10"/>
  <c r="U417" i="10"/>
  <c r="Q417" i="10"/>
  <c r="T417" i="10"/>
  <c r="R417" i="10"/>
  <c r="S417" i="10"/>
  <c r="S13" i="10"/>
  <c r="U13" i="10"/>
  <c r="R13" i="10"/>
  <c r="P13" i="10"/>
  <c r="Q13" i="10"/>
  <c r="T13" i="10"/>
  <c r="T246" i="10"/>
  <c r="R246" i="10"/>
  <c r="U246" i="10"/>
  <c r="S246" i="10"/>
  <c r="P246" i="10"/>
  <c r="Q246" i="10"/>
  <c r="R291" i="10"/>
  <c r="T291" i="10"/>
  <c r="U291" i="10"/>
  <c r="P291" i="10"/>
  <c r="Q291" i="10"/>
  <c r="S291" i="10"/>
  <c r="P276" i="10"/>
  <c r="T276" i="10"/>
  <c r="Q276" i="10"/>
  <c r="R276" i="10"/>
  <c r="S276" i="10"/>
  <c r="U276" i="10"/>
  <c r="M294" i="10"/>
  <c r="N294" i="10" s="1"/>
  <c r="M144" i="10"/>
  <c r="M233" i="10"/>
  <c r="N233" i="10" s="1"/>
  <c r="M49" i="10"/>
  <c r="M168" i="10"/>
  <c r="N168" i="10" s="1"/>
  <c r="M344" i="10"/>
  <c r="N344" i="10" s="1"/>
  <c r="N123" i="10"/>
  <c r="V123" i="10"/>
  <c r="W123" i="10" s="1"/>
  <c r="P70" i="10"/>
  <c r="S70" i="10"/>
  <c r="T70" i="10"/>
  <c r="Q70" i="10"/>
  <c r="R70" i="10"/>
  <c r="U70" i="10"/>
  <c r="U203" i="10"/>
  <c r="S203" i="10"/>
  <c r="T203" i="10"/>
  <c r="R203" i="10"/>
  <c r="Q203" i="10"/>
  <c r="P203" i="10"/>
  <c r="V203" i="10" s="1"/>
  <c r="W203" i="10" s="1"/>
  <c r="P134" i="10"/>
  <c r="Q134" i="10"/>
  <c r="R134" i="10"/>
  <c r="S134" i="10"/>
  <c r="U134" i="10"/>
  <c r="T134" i="10"/>
  <c r="U344" i="10"/>
  <c r="R344" i="10"/>
  <c r="P344" i="10"/>
  <c r="T344" i="10"/>
  <c r="S344" i="10"/>
  <c r="Q344" i="10"/>
  <c r="Q240" i="10"/>
  <c r="U240" i="10"/>
  <c r="S240" i="10"/>
  <c r="T240" i="10"/>
  <c r="P240" i="10"/>
  <c r="R240" i="10"/>
  <c r="P129" i="10"/>
  <c r="S129" i="10"/>
  <c r="R129" i="10"/>
  <c r="U129" i="10"/>
  <c r="T129" i="10"/>
  <c r="Q129" i="10"/>
  <c r="R227" i="10"/>
  <c r="S227" i="10"/>
  <c r="U227" i="10"/>
  <c r="Q227" i="10"/>
  <c r="P227" i="10"/>
  <c r="T227" i="10"/>
  <c r="Q239" i="10"/>
  <c r="R239" i="10"/>
  <c r="T239" i="10"/>
  <c r="P239" i="10"/>
  <c r="U239" i="10"/>
  <c r="S239" i="10"/>
  <c r="N356" i="10"/>
  <c r="Q124" i="10"/>
  <c r="S124" i="10"/>
  <c r="T124" i="10"/>
  <c r="U124" i="10"/>
  <c r="P124" i="10"/>
  <c r="R124" i="10"/>
  <c r="N111" i="10"/>
  <c r="N339" i="10"/>
  <c r="N132" i="10"/>
  <c r="V132" i="10"/>
  <c r="W132" i="10" s="1"/>
  <c r="M372" i="10"/>
  <c r="M17" i="10"/>
  <c r="N17" i="10" s="1"/>
  <c r="M219" i="10"/>
  <c r="M354" i="10"/>
  <c r="M234" i="10"/>
  <c r="V152" i="10"/>
  <c r="W152" i="10" s="1"/>
  <c r="V211" i="10"/>
  <c r="W211" i="10" s="1"/>
  <c r="Q196" i="10"/>
  <c r="P196" i="10"/>
  <c r="V196" i="10" s="1"/>
  <c r="W196" i="10" s="1"/>
  <c r="R196" i="10"/>
  <c r="T196" i="10"/>
  <c r="S196" i="10"/>
  <c r="U196" i="10"/>
  <c r="U191" i="10"/>
  <c r="S191" i="10"/>
  <c r="T191" i="10"/>
  <c r="R191" i="10"/>
  <c r="Q191" i="10"/>
  <c r="P191" i="10"/>
  <c r="U187" i="10"/>
  <c r="Q187" i="10"/>
  <c r="T187" i="10"/>
  <c r="P187" i="10"/>
  <c r="R187" i="10"/>
  <c r="S187" i="10"/>
  <c r="S216" i="10"/>
  <c r="P216" i="10"/>
  <c r="R216" i="10"/>
  <c r="Q216" i="10"/>
  <c r="U216" i="10"/>
  <c r="T216" i="10"/>
  <c r="S95" i="10"/>
  <c r="P95" i="10"/>
  <c r="T95" i="10"/>
  <c r="U95" i="10"/>
  <c r="Q95" i="10"/>
  <c r="R95" i="10"/>
  <c r="N129" i="10"/>
  <c r="T171" i="10"/>
  <c r="Q171" i="10"/>
  <c r="P171" i="10"/>
  <c r="U171" i="10"/>
  <c r="S171" i="10"/>
  <c r="R171" i="10"/>
  <c r="P162" i="10"/>
  <c r="V162" i="10" s="1"/>
  <c r="W162" i="10" s="1"/>
  <c r="R162" i="10"/>
  <c r="Q162" i="10"/>
  <c r="U162" i="10"/>
  <c r="T162" i="10"/>
  <c r="S162" i="10"/>
  <c r="P373" i="10"/>
  <c r="R373" i="10"/>
  <c r="T373" i="10"/>
  <c r="Q373" i="10"/>
  <c r="S373" i="10"/>
  <c r="U373" i="10"/>
  <c r="P73" i="10"/>
  <c r="U73" i="10"/>
  <c r="R73" i="10"/>
  <c r="S73" i="10"/>
  <c r="T73" i="10"/>
  <c r="Q73" i="10"/>
  <c r="R109" i="10"/>
  <c r="S109" i="10"/>
  <c r="T109" i="10"/>
  <c r="P109" i="10"/>
  <c r="Q109" i="10"/>
  <c r="U109" i="10"/>
  <c r="T361" i="10"/>
  <c r="U361" i="10"/>
  <c r="R361" i="10"/>
  <c r="S361" i="10"/>
  <c r="P361" i="10"/>
  <c r="Q361" i="10"/>
  <c r="P226" i="10"/>
  <c r="S226" i="10"/>
  <c r="Q226" i="10"/>
  <c r="T226" i="10"/>
  <c r="U226" i="10"/>
  <c r="R226" i="10"/>
  <c r="T45" i="10"/>
  <c r="U45" i="10"/>
  <c r="P45" i="10"/>
  <c r="V45" i="10" s="1"/>
  <c r="W45" i="10" s="1"/>
  <c r="S45" i="10"/>
  <c r="Q45" i="10"/>
  <c r="R45" i="10"/>
  <c r="Q307" i="10"/>
  <c r="R307" i="10"/>
  <c r="T307" i="10"/>
  <c r="P307" i="10"/>
  <c r="S307" i="10"/>
  <c r="U307" i="10"/>
  <c r="P38" i="10"/>
  <c r="T38" i="10"/>
  <c r="S38" i="10"/>
  <c r="U38" i="10"/>
  <c r="R38" i="10"/>
  <c r="Q38" i="10"/>
  <c r="R257" i="10"/>
  <c r="P257" i="10"/>
  <c r="Q257" i="10"/>
  <c r="T257" i="10"/>
  <c r="U257" i="10"/>
  <c r="S257" i="10"/>
  <c r="P204" i="10"/>
  <c r="S204" i="10"/>
  <c r="U204" i="10"/>
  <c r="R204" i="10"/>
  <c r="T204" i="10"/>
  <c r="Q204" i="10"/>
  <c r="M91" i="10"/>
  <c r="V285" i="10"/>
  <c r="W285" i="10" s="1"/>
  <c r="N285" i="10"/>
  <c r="S154" i="10"/>
  <c r="T154" i="10"/>
  <c r="Q154" i="10"/>
  <c r="R154" i="10"/>
  <c r="P154" i="10"/>
  <c r="U154" i="10"/>
  <c r="V110" i="10"/>
  <c r="W110" i="10" s="1"/>
  <c r="U19" i="10"/>
  <c r="P19" i="10"/>
  <c r="Q19" i="10"/>
  <c r="V19" i="10" s="1"/>
  <c r="W19" i="10" s="1"/>
  <c r="R19" i="10"/>
  <c r="T19" i="10"/>
  <c r="S19" i="10"/>
  <c r="U97" i="10"/>
  <c r="S97" i="10"/>
  <c r="P97" i="10"/>
  <c r="Q97" i="10"/>
  <c r="R97" i="10"/>
  <c r="T97" i="10"/>
  <c r="P57" i="10"/>
  <c r="U57" i="10"/>
  <c r="S57" i="10"/>
  <c r="R57" i="10"/>
  <c r="T57" i="10"/>
  <c r="Q57" i="10"/>
  <c r="V57" i="10" s="1"/>
  <c r="W57" i="10" s="1"/>
  <c r="R194" i="10"/>
  <c r="U194" i="10"/>
  <c r="T194" i="10"/>
  <c r="S194" i="10"/>
  <c r="P194" i="10"/>
  <c r="Q194" i="10"/>
  <c r="U17" i="10"/>
  <c r="S17" i="10"/>
  <c r="P17" i="10"/>
  <c r="R17" i="10"/>
  <c r="T17" i="10"/>
  <c r="Q17" i="10"/>
  <c r="P59" i="10"/>
  <c r="R59" i="10"/>
  <c r="U59" i="10"/>
  <c r="S59" i="10"/>
  <c r="T59" i="10"/>
  <c r="Q59" i="10"/>
  <c r="U51" i="10"/>
  <c r="S51" i="10"/>
  <c r="P51" i="10"/>
  <c r="Q51" i="10"/>
  <c r="T51" i="10"/>
  <c r="R51" i="10"/>
  <c r="R235" i="10"/>
  <c r="U235" i="10"/>
  <c r="Q235" i="10"/>
  <c r="S235" i="10"/>
  <c r="P235" i="10"/>
  <c r="T235" i="10"/>
  <c r="R336" i="10"/>
  <c r="P336" i="10"/>
  <c r="S336" i="10"/>
  <c r="T336" i="10"/>
  <c r="U336" i="10"/>
  <c r="Q336" i="10"/>
  <c r="P382" i="10"/>
  <c r="S382" i="10"/>
  <c r="Q382" i="10"/>
  <c r="R382" i="10"/>
  <c r="U382" i="10"/>
  <c r="T382" i="10"/>
  <c r="Q396" i="10"/>
  <c r="U396" i="10"/>
  <c r="S396" i="10"/>
  <c r="R396" i="10"/>
  <c r="P396" i="10"/>
  <c r="T396" i="10"/>
  <c r="P261" i="10"/>
  <c r="Q261" i="10"/>
  <c r="T261" i="10"/>
  <c r="S261" i="10"/>
  <c r="R261" i="10"/>
  <c r="U261" i="10"/>
  <c r="U411" i="10"/>
  <c r="S411" i="10"/>
  <c r="T411" i="10"/>
  <c r="R411" i="10"/>
  <c r="P411" i="10"/>
  <c r="Q411" i="10"/>
  <c r="T107" i="10"/>
  <c r="P107" i="10"/>
  <c r="Q107" i="10"/>
  <c r="S107" i="10"/>
  <c r="U107" i="10"/>
  <c r="R107" i="10"/>
  <c r="N310" i="10"/>
  <c r="N301" i="10"/>
  <c r="V301" i="10"/>
  <c r="W301" i="10" s="1"/>
  <c r="U80" i="10"/>
  <c r="S80" i="10"/>
  <c r="R80" i="10"/>
  <c r="T80" i="10"/>
  <c r="P80" i="10"/>
  <c r="Q80" i="10"/>
  <c r="P234" i="10"/>
  <c r="S234" i="10"/>
  <c r="Q234" i="10"/>
  <c r="U234" i="10"/>
  <c r="R234" i="10"/>
  <c r="T234" i="10"/>
  <c r="P63" i="10"/>
  <c r="Q63" i="10"/>
  <c r="R63" i="10"/>
  <c r="U63" i="10"/>
  <c r="S63" i="10"/>
  <c r="T63" i="10"/>
  <c r="T309" i="10"/>
  <c r="S309" i="10"/>
  <c r="Q309" i="10"/>
  <c r="R309" i="10"/>
  <c r="U309" i="10"/>
  <c r="P309" i="10"/>
  <c r="Q160" i="10"/>
  <c r="P160" i="10"/>
  <c r="S160" i="10"/>
  <c r="U160" i="10"/>
  <c r="R160" i="10"/>
  <c r="T160" i="10"/>
  <c r="R305" i="10"/>
  <c r="T305" i="10"/>
  <c r="U305" i="10"/>
  <c r="S305" i="10"/>
  <c r="Q305" i="10"/>
  <c r="P305" i="10"/>
  <c r="V289" i="10"/>
  <c r="W289" i="10" s="1"/>
  <c r="U362" i="10"/>
  <c r="Q362" i="10"/>
  <c r="R362" i="10"/>
  <c r="S362" i="10"/>
  <c r="T362" i="10"/>
  <c r="P362" i="10"/>
  <c r="Q349" i="10"/>
  <c r="R349" i="10"/>
  <c r="S349" i="10"/>
  <c r="U349" i="10"/>
  <c r="T349" i="10"/>
  <c r="P349" i="10"/>
  <c r="N394" i="10"/>
  <c r="N9" i="10"/>
  <c r="V9" i="10"/>
  <c r="W9" i="10" s="1"/>
  <c r="N26" i="10"/>
  <c r="V26" i="10"/>
  <c r="W26" i="10" s="1"/>
  <c r="Q150" i="10"/>
  <c r="T150" i="10"/>
  <c r="S150" i="10"/>
  <c r="P150" i="10"/>
  <c r="U150" i="10"/>
  <c r="R150" i="10"/>
  <c r="S144" i="10"/>
  <c r="R144" i="10"/>
  <c r="Q144" i="10"/>
  <c r="U144" i="10"/>
  <c r="P144" i="10"/>
  <c r="T144" i="10"/>
  <c r="R219" i="10"/>
  <c r="T219" i="10"/>
  <c r="Q219" i="10"/>
  <c r="P219" i="10"/>
  <c r="U219" i="10"/>
  <c r="S219" i="10"/>
  <c r="Q247" i="10"/>
  <c r="P247" i="10"/>
  <c r="S247" i="10"/>
  <c r="T247" i="10"/>
  <c r="R247" i="10"/>
  <c r="U247" i="10"/>
  <c r="R271" i="10"/>
  <c r="T271" i="10"/>
  <c r="U271" i="10"/>
  <c r="Q271" i="10"/>
  <c r="P271" i="10"/>
  <c r="S271" i="10"/>
  <c r="P15" i="10"/>
  <c r="S15" i="10"/>
  <c r="U15" i="10"/>
  <c r="T15" i="10"/>
  <c r="Q15" i="10"/>
  <c r="R15" i="10"/>
  <c r="V102" i="10"/>
  <c r="W102" i="10" s="1"/>
  <c r="P348" i="10"/>
  <c r="R348" i="10"/>
  <c r="T348" i="10"/>
  <c r="Q348" i="10"/>
  <c r="V348" i="10" s="1"/>
  <c r="W348" i="10" s="1"/>
  <c r="U348" i="10"/>
  <c r="S348" i="10"/>
  <c r="P44" i="10"/>
  <c r="V44" i="10" s="1"/>
  <c r="W44" i="10" s="1"/>
  <c r="R44" i="10"/>
  <c r="S44" i="10"/>
  <c r="T44" i="10"/>
  <c r="Q44" i="10"/>
  <c r="U44" i="10"/>
  <c r="Q149" i="10"/>
  <c r="S149" i="10"/>
  <c r="V149" i="10" s="1"/>
  <c r="W149" i="10" s="1"/>
  <c r="U149" i="10"/>
  <c r="T149" i="10"/>
  <c r="P149" i="10"/>
  <c r="R149" i="10"/>
  <c r="T85" i="10"/>
  <c r="S85" i="10"/>
  <c r="Q85" i="10"/>
  <c r="U85" i="10"/>
  <c r="R85" i="10"/>
  <c r="P85" i="10"/>
  <c r="V85" i="10" s="1"/>
  <c r="W85" i="10" s="1"/>
  <c r="Q6" i="10"/>
  <c r="U6" i="10"/>
  <c r="R6" i="10"/>
  <c r="S6" i="10"/>
  <c r="P6" i="10"/>
  <c r="T6" i="10"/>
  <c r="V214" i="10"/>
  <c r="W214" i="10" s="1"/>
  <c r="M246" i="10"/>
  <c r="N246" i="10" s="1"/>
  <c r="V51" i="10"/>
  <c r="W51" i="10" s="1"/>
  <c r="M290" i="10"/>
  <c r="M130" i="10"/>
  <c r="N130" i="10" s="1"/>
  <c r="N267" i="10"/>
  <c r="V7" i="10"/>
  <c r="W7" i="10" s="1"/>
  <c r="T270" i="10"/>
  <c r="U270" i="10"/>
  <c r="R270" i="10"/>
  <c r="S270" i="10"/>
  <c r="P270" i="10"/>
  <c r="Q270" i="10"/>
  <c r="P28" i="10"/>
  <c r="T28" i="10"/>
  <c r="Q28" i="10"/>
  <c r="R28" i="10"/>
  <c r="S28" i="10"/>
  <c r="U28" i="10"/>
  <c r="T189" i="10"/>
  <c r="U189" i="10"/>
  <c r="P189" i="10"/>
  <c r="Q189" i="10"/>
  <c r="R189" i="10"/>
  <c r="S189" i="10"/>
  <c r="Q157" i="10"/>
  <c r="U157" i="10"/>
  <c r="S157" i="10"/>
  <c r="R157" i="10"/>
  <c r="P157" i="10"/>
  <c r="T157" i="10"/>
  <c r="T302" i="10"/>
  <c r="U302" i="10"/>
  <c r="P302" i="10"/>
  <c r="Q302" i="10"/>
  <c r="R302" i="10"/>
  <c r="S302" i="10"/>
  <c r="U277" i="10"/>
  <c r="Q277" i="10"/>
  <c r="R277" i="10"/>
  <c r="P277" i="10"/>
  <c r="T277" i="10"/>
  <c r="S277" i="10"/>
  <c r="P106" i="10"/>
  <c r="Q106" i="10"/>
  <c r="V106" i="10" s="1"/>
  <c r="W106" i="10" s="1"/>
  <c r="U106" i="10"/>
  <c r="R106" i="10"/>
  <c r="T106" i="10"/>
  <c r="S106" i="10"/>
  <c r="N44" i="10"/>
  <c r="P48" i="10"/>
  <c r="V48" i="10" s="1"/>
  <c r="W48" i="10" s="1"/>
  <c r="Q48" i="10"/>
  <c r="T48" i="10"/>
  <c r="R48" i="10"/>
  <c r="S48" i="10"/>
  <c r="U48" i="10"/>
  <c r="U356" i="10"/>
  <c r="T356" i="10"/>
  <c r="S356" i="10"/>
  <c r="P356" i="10"/>
  <c r="Q356" i="10"/>
  <c r="R356" i="10"/>
  <c r="V287" i="10"/>
  <c r="W287" i="10" s="1"/>
  <c r="S312" i="10"/>
  <c r="U312" i="10"/>
  <c r="Q312" i="10"/>
  <c r="T312" i="10"/>
  <c r="R312" i="10"/>
  <c r="P312" i="10"/>
  <c r="R205" i="10"/>
  <c r="P205" i="10"/>
  <c r="S205" i="10"/>
  <c r="U205" i="10"/>
  <c r="T205" i="10"/>
  <c r="Q205" i="10"/>
  <c r="P5" i="10"/>
  <c r="U5" i="10"/>
  <c r="Q5" i="10"/>
  <c r="R5" i="10"/>
  <c r="S5" i="10"/>
  <c r="T5" i="10"/>
  <c r="Q120" i="10"/>
  <c r="T120" i="10"/>
  <c r="R120" i="10"/>
  <c r="S120" i="10"/>
  <c r="U120" i="10"/>
  <c r="P120" i="10"/>
  <c r="V120" i="10" s="1"/>
  <c r="W120" i="10" s="1"/>
  <c r="M181" i="10"/>
  <c r="M276" i="10"/>
  <c r="M309" i="10"/>
  <c r="N105" i="10"/>
  <c r="M16" i="10"/>
  <c r="V16" i="10" s="1"/>
  <c r="W16" i="10" s="1"/>
  <c r="M69" i="10"/>
  <c r="N240" i="10"/>
  <c r="N190" i="10"/>
  <c r="V190" i="10"/>
  <c r="W190" i="10" s="1"/>
  <c r="R52" i="10"/>
  <c r="Q52" i="10"/>
  <c r="P52" i="10"/>
  <c r="U52" i="10"/>
  <c r="S52" i="10"/>
  <c r="T52" i="10"/>
  <c r="T192" i="10"/>
  <c r="P192" i="10"/>
  <c r="V192" i="10" s="1"/>
  <c r="W192" i="10" s="1"/>
  <c r="R192" i="10"/>
  <c r="U192" i="10"/>
  <c r="Q192" i="10"/>
  <c r="S192" i="10"/>
  <c r="S66" i="10"/>
  <c r="T66" i="10"/>
  <c r="U66" i="10"/>
  <c r="Q66" i="10"/>
  <c r="R66" i="10"/>
  <c r="P66" i="10"/>
  <c r="T176" i="10"/>
  <c r="P176" i="10"/>
  <c r="Q176" i="10"/>
  <c r="R176" i="10"/>
  <c r="S176" i="10"/>
  <c r="U176" i="10"/>
  <c r="Q258" i="10"/>
  <c r="P258" i="10"/>
  <c r="R258" i="10"/>
  <c r="S258" i="10"/>
  <c r="T258" i="10"/>
  <c r="U258" i="10"/>
  <c r="V346" i="10"/>
  <c r="W346" i="10" s="1"/>
  <c r="T283" i="10"/>
  <c r="U283" i="10"/>
  <c r="Q283" i="10"/>
  <c r="S283" i="10"/>
  <c r="R283" i="10"/>
  <c r="P283" i="10"/>
  <c r="V283" i="10" s="1"/>
  <c r="W283" i="10" s="1"/>
  <c r="V317" i="10"/>
  <c r="W317" i="10" s="1"/>
  <c r="M128" i="10"/>
  <c r="N128" i="10" s="1"/>
  <c r="M277" i="10"/>
  <c r="N277" i="10" s="1"/>
  <c r="M150" i="10"/>
  <c r="N150" i="10" s="1"/>
  <c r="M420" i="10"/>
  <c r="N420" i="10" s="1"/>
  <c r="M50" i="10"/>
  <c r="M72" i="10"/>
  <c r="N72" i="10" s="1"/>
  <c r="M229" i="10"/>
  <c r="M308" i="10"/>
  <c r="M8" i="10"/>
  <c r="M185" i="10"/>
  <c r="N185" i="10" s="1"/>
  <c r="M336" i="10"/>
  <c r="V76" i="10"/>
  <c r="W76" i="10" s="1"/>
  <c r="U136" i="10"/>
  <c r="S136" i="10"/>
  <c r="R136" i="10"/>
  <c r="Q136" i="10"/>
  <c r="P136" i="10"/>
  <c r="T136" i="10"/>
  <c r="T409" i="10"/>
  <c r="Q409" i="10"/>
  <c r="U409" i="10"/>
  <c r="S409" i="10"/>
  <c r="R409" i="10"/>
  <c r="P409" i="10"/>
  <c r="T368" i="10"/>
  <c r="P368" i="10"/>
  <c r="R368" i="10"/>
  <c r="U368" i="10"/>
  <c r="Q368" i="10"/>
  <c r="S368" i="10"/>
  <c r="P213" i="10"/>
  <c r="S213" i="10"/>
  <c r="R213" i="10"/>
  <c r="Q213" i="10"/>
  <c r="T213" i="10"/>
  <c r="U213" i="10"/>
  <c r="N66" i="10"/>
  <c r="Q193" i="10"/>
  <c r="R193" i="10"/>
  <c r="U193" i="10"/>
  <c r="T193" i="10"/>
  <c r="S193" i="10"/>
  <c r="P193" i="10"/>
  <c r="T297" i="10"/>
  <c r="U297" i="10"/>
  <c r="P297" i="10"/>
  <c r="R297" i="10"/>
  <c r="Q297" i="10"/>
  <c r="S297" i="10"/>
  <c r="U236" i="10"/>
  <c r="P236" i="10"/>
  <c r="R236" i="10"/>
  <c r="S236" i="10"/>
  <c r="T236" i="10"/>
  <c r="Q236" i="10"/>
  <c r="Q209" i="10"/>
  <c r="S209" i="10"/>
  <c r="U209" i="10"/>
  <c r="P209" i="10"/>
  <c r="R209" i="10"/>
  <c r="T209" i="10"/>
  <c r="Q211" i="10"/>
  <c r="R211" i="10"/>
  <c r="S211" i="10"/>
  <c r="T211" i="10"/>
  <c r="U211" i="10"/>
  <c r="P211" i="10"/>
  <c r="P256" i="10"/>
  <c r="Q256" i="10"/>
  <c r="T256" i="10"/>
  <c r="U256" i="10"/>
  <c r="R256" i="10"/>
  <c r="S256" i="10"/>
  <c r="V256" i="10" s="1"/>
  <c r="W256" i="10" s="1"/>
  <c r="U43" i="10"/>
  <c r="P43" i="10"/>
  <c r="T43" i="10"/>
  <c r="R43" i="10"/>
  <c r="Q43" i="10"/>
  <c r="S43" i="10"/>
  <c r="R301" i="10"/>
  <c r="T301" i="10"/>
  <c r="U301" i="10"/>
  <c r="P301" i="10"/>
  <c r="Q301" i="10"/>
  <c r="S301" i="10"/>
  <c r="S58" i="10"/>
  <c r="Q58" i="10"/>
  <c r="T58" i="10"/>
  <c r="U58" i="10"/>
  <c r="P58" i="10"/>
  <c r="R58" i="10"/>
  <c r="U233" i="10"/>
  <c r="R233" i="10"/>
  <c r="Q233" i="10"/>
  <c r="P233" i="10"/>
  <c r="S233" i="10"/>
  <c r="T233" i="10"/>
  <c r="U278" i="10"/>
  <c r="S278" i="10"/>
  <c r="R278" i="10"/>
  <c r="T278" i="10"/>
  <c r="P278" i="10"/>
  <c r="Q278" i="10"/>
  <c r="T267" i="10"/>
  <c r="R267" i="10"/>
  <c r="Q267" i="10"/>
  <c r="U267" i="10"/>
  <c r="S267" i="10"/>
  <c r="P267" i="10"/>
  <c r="V267" i="10" s="1"/>
  <c r="W267" i="10" s="1"/>
  <c r="P275" i="10"/>
  <c r="S275" i="10"/>
  <c r="T275" i="10"/>
  <c r="U275" i="10"/>
  <c r="R275" i="10"/>
  <c r="Q275" i="10"/>
  <c r="V10" i="10"/>
  <c r="W10" i="10" s="1"/>
  <c r="Q241" i="10"/>
  <c r="T241" i="10"/>
  <c r="U241" i="10"/>
  <c r="S241" i="10"/>
  <c r="P241" i="10"/>
  <c r="R241" i="10"/>
  <c r="M112" i="10"/>
  <c r="V374" i="10"/>
  <c r="W374" i="10" s="1"/>
  <c r="N374" i="10"/>
  <c r="M160" i="10"/>
  <c r="N160" i="10" s="1"/>
  <c r="M158" i="10"/>
  <c r="N158" i="10" s="1"/>
  <c r="M147" i="10"/>
  <c r="M15" i="10"/>
  <c r="N15" i="10" s="1"/>
  <c r="M272" i="10"/>
  <c r="N272" i="10" s="1"/>
  <c r="M379" i="10"/>
  <c r="S207" i="10"/>
  <c r="R207" i="10"/>
  <c r="U207" i="10"/>
  <c r="T207" i="10"/>
  <c r="P207" i="10"/>
  <c r="Q207" i="10"/>
  <c r="P222" i="10"/>
  <c r="T222" i="10"/>
  <c r="Q222" i="10"/>
  <c r="U222" i="10"/>
  <c r="S222" i="10"/>
  <c r="R222" i="10"/>
  <c r="Q391" i="10"/>
  <c r="S391" i="10"/>
  <c r="T391" i="10"/>
  <c r="R391" i="10"/>
  <c r="P391" i="10"/>
  <c r="V391" i="10" s="1"/>
  <c r="W391" i="10" s="1"/>
  <c r="U391" i="10"/>
  <c r="R220" i="10"/>
  <c r="S220" i="10"/>
  <c r="P220" i="10"/>
  <c r="U220" i="10"/>
  <c r="Q220" i="10"/>
  <c r="V220" i="10" s="1"/>
  <c r="W220" i="10" s="1"/>
  <c r="T220" i="10"/>
  <c r="R212" i="10"/>
  <c r="P212" i="10"/>
  <c r="Q212" i="10"/>
  <c r="S212" i="10"/>
  <c r="U212" i="10"/>
  <c r="T212" i="10"/>
  <c r="Q32" i="10"/>
  <c r="R32" i="10"/>
  <c r="T32" i="10"/>
  <c r="U32" i="10"/>
  <c r="S32" i="10"/>
  <c r="P32" i="10"/>
  <c r="V32" i="10" s="1"/>
  <c r="W32" i="10" s="1"/>
  <c r="T179" i="10"/>
  <c r="U179" i="10"/>
  <c r="R179" i="10"/>
  <c r="P179" i="10"/>
  <c r="Q179" i="10"/>
  <c r="S179" i="10"/>
  <c r="P167" i="10"/>
  <c r="Q167" i="10"/>
  <c r="U167" i="10"/>
  <c r="S167" i="10"/>
  <c r="T167" i="10"/>
  <c r="R167" i="10"/>
  <c r="T225" i="10"/>
  <c r="R225" i="10"/>
  <c r="S225" i="10"/>
  <c r="U225" i="10"/>
  <c r="P225" i="10"/>
  <c r="Q225" i="10"/>
  <c r="V225" i="10" s="1"/>
  <c r="W225" i="10" s="1"/>
  <c r="P375" i="10"/>
  <c r="T375" i="10"/>
  <c r="U375" i="10"/>
  <c r="S375" i="10"/>
  <c r="Q375" i="10"/>
  <c r="R375" i="10"/>
  <c r="T351" i="10"/>
  <c r="S351" i="10"/>
  <c r="P351" i="10"/>
  <c r="Q351" i="10"/>
  <c r="U351" i="10"/>
  <c r="R351" i="10"/>
  <c r="R268" i="10"/>
  <c r="T268" i="10"/>
  <c r="U268" i="10"/>
  <c r="P268" i="10"/>
  <c r="Q268" i="10"/>
  <c r="S268" i="10"/>
  <c r="S260" i="10"/>
  <c r="P260" i="10"/>
  <c r="R260" i="10"/>
  <c r="U260" i="10"/>
  <c r="T260" i="10"/>
  <c r="Q260" i="10"/>
  <c r="M251" i="10"/>
  <c r="M243" i="10"/>
  <c r="N243" i="10" s="1"/>
  <c r="M70" i="10"/>
  <c r="M175" i="10"/>
  <c r="M224" i="10"/>
  <c r="M278" i="10"/>
  <c r="N278" i="10" s="1"/>
  <c r="Q281" i="10"/>
  <c r="P281" i="10"/>
  <c r="R281" i="10"/>
  <c r="S281" i="10"/>
  <c r="T281" i="10"/>
  <c r="U281" i="10"/>
  <c r="Q49" i="10"/>
  <c r="R49" i="10"/>
  <c r="P49" i="10"/>
  <c r="S49" i="10"/>
  <c r="T49" i="10"/>
  <c r="U49" i="10"/>
  <c r="T128" i="10"/>
  <c r="R128" i="10"/>
  <c r="U128" i="10"/>
  <c r="S128" i="10"/>
  <c r="P128" i="10"/>
  <c r="Q128" i="10"/>
  <c r="T174" i="10"/>
  <c r="U174" i="10"/>
  <c r="P174" i="10"/>
  <c r="R174" i="10"/>
  <c r="S174" i="10"/>
  <c r="Q174" i="10"/>
  <c r="R318" i="10"/>
  <c r="S318" i="10"/>
  <c r="P318" i="10"/>
  <c r="T318" i="10"/>
  <c r="U318" i="10"/>
  <c r="Q318" i="10"/>
  <c r="T130" i="10"/>
  <c r="P130" i="10"/>
  <c r="Q130" i="10"/>
  <c r="R130" i="10"/>
  <c r="U130" i="10"/>
  <c r="S130" i="10"/>
  <c r="S199" i="10"/>
  <c r="T199" i="10"/>
  <c r="R199" i="10"/>
  <c r="Q199" i="10"/>
  <c r="U199" i="10"/>
  <c r="P199" i="10"/>
  <c r="Q215" i="10"/>
  <c r="U215" i="10"/>
  <c r="P215" i="10"/>
  <c r="R215" i="10"/>
  <c r="T215" i="10"/>
  <c r="S215" i="10"/>
  <c r="P164" i="10"/>
  <c r="Q164" i="10"/>
  <c r="T164" i="10"/>
  <c r="R164" i="10"/>
  <c r="U164" i="10"/>
  <c r="S164" i="10"/>
  <c r="N202" i="10"/>
  <c r="R408" i="10"/>
  <c r="U408" i="10"/>
  <c r="T408" i="10"/>
  <c r="P408" i="10"/>
  <c r="S408" i="10"/>
  <c r="Q408" i="10"/>
  <c r="Q245" i="10"/>
  <c r="T245" i="10"/>
  <c r="U245" i="10"/>
  <c r="S245" i="10"/>
  <c r="R245" i="10"/>
  <c r="P245" i="10"/>
  <c r="U103" i="10"/>
  <c r="R103" i="10"/>
  <c r="T103" i="10"/>
  <c r="P103" i="10"/>
  <c r="S103" i="10"/>
  <c r="Q103" i="10"/>
  <c r="V33" i="10"/>
  <c r="W33" i="10" s="1"/>
  <c r="P379" i="10"/>
  <c r="T379" i="10"/>
  <c r="R379" i="10"/>
  <c r="S379" i="10"/>
  <c r="U379" i="10"/>
  <c r="Q379" i="10"/>
  <c r="Q186" i="10"/>
  <c r="S186" i="10"/>
  <c r="P186" i="10"/>
  <c r="R186" i="10"/>
  <c r="T186" i="10"/>
  <c r="U186" i="10"/>
  <c r="Q178" i="10"/>
  <c r="U178" i="10"/>
  <c r="P178" i="10"/>
  <c r="S178" i="10"/>
  <c r="T178" i="10"/>
  <c r="R178" i="10"/>
  <c r="V321" i="10"/>
  <c r="W321" i="10" s="1"/>
  <c r="Q29" i="10"/>
  <c r="T29" i="10"/>
  <c r="S29" i="10"/>
  <c r="V29" i="10" s="1"/>
  <c r="W29" i="10" s="1"/>
  <c r="U29" i="10"/>
  <c r="P29" i="10"/>
  <c r="R29" i="10"/>
  <c r="R202" i="10"/>
  <c r="U202" i="10"/>
  <c r="S202" i="10"/>
  <c r="T202" i="10"/>
  <c r="P202" i="10"/>
  <c r="Q202" i="10"/>
  <c r="U304" i="10"/>
  <c r="P304" i="10"/>
  <c r="V304" i="10" s="1"/>
  <c r="W304" i="10" s="1"/>
  <c r="T304" i="10"/>
  <c r="S304" i="10"/>
  <c r="Q304" i="10"/>
  <c r="R304" i="10"/>
  <c r="P16" i="10"/>
  <c r="S16" i="10"/>
  <c r="U16" i="10"/>
  <c r="R16" i="10"/>
  <c r="T16" i="10"/>
  <c r="Q16" i="10"/>
  <c r="Q273" i="10"/>
  <c r="U273" i="10"/>
  <c r="R273" i="10"/>
  <c r="T273" i="10"/>
  <c r="S273" i="10"/>
  <c r="P273" i="10"/>
  <c r="M323" i="10"/>
  <c r="N323" i="10" s="1"/>
  <c r="M104" i="10"/>
  <c r="M223" i="10"/>
  <c r="M63" i="10"/>
  <c r="N63" i="10" s="1"/>
  <c r="R323" i="10"/>
  <c r="U323" i="10"/>
  <c r="S323" i="10"/>
  <c r="P323" i="10"/>
  <c r="T323" i="10"/>
  <c r="Q323" i="10"/>
  <c r="S147" i="10"/>
  <c r="P147" i="10"/>
  <c r="Q147" i="10"/>
  <c r="U147" i="10"/>
  <c r="R147" i="10"/>
  <c r="T147" i="10"/>
  <c r="S161" i="10"/>
  <c r="Q161" i="10"/>
  <c r="P161" i="10"/>
  <c r="T161" i="10"/>
  <c r="U161" i="10"/>
  <c r="R161" i="10"/>
  <c r="Q141" i="10"/>
  <c r="R141" i="10"/>
  <c r="T141" i="10"/>
  <c r="P141" i="10"/>
  <c r="V141" i="10" s="1"/>
  <c r="W141" i="10" s="1"/>
  <c r="S141" i="10"/>
  <c r="U141" i="10"/>
  <c r="U100" i="10"/>
  <c r="P100" i="10"/>
  <c r="R100" i="10"/>
  <c r="T100" i="10"/>
  <c r="Q100" i="10"/>
  <c r="S100" i="10"/>
  <c r="M89" i="10"/>
  <c r="N20" i="10"/>
  <c r="V20" i="10"/>
  <c r="W20" i="10" s="1"/>
  <c r="N203" i="10"/>
  <c r="M194" i="10"/>
  <c r="N194" i="10" s="1"/>
  <c r="M57" i="10"/>
  <c r="N57" i="10" s="1"/>
  <c r="V198" i="10"/>
  <c r="W198" i="10" s="1"/>
  <c r="T354" i="10"/>
  <c r="R354" i="10"/>
  <c r="P354" i="10"/>
  <c r="Q354" i="10"/>
  <c r="S354" i="10"/>
  <c r="U354" i="10"/>
  <c r="R252" i="10"/>
  <c r="S252" i="10"/>
  <c r="T252" i="10"/>
  <c r="U252" i="10"/>
  <c r="Q252" i="10"/>
  <c r="P252" i="10"/>
  <c r="Q81" i="10"/>
  <c r="S81" i="10"/>
  <c r="U81" i="10"/>
  <c r="P81" i="10"/>
  <c r="T81" i="10"/>
  <c r="R81" i="10"/>
  <c r="P255" i="10"/>
  <c r="Q255" i="10"/>
  <c r="T255" i="10"/>
  <c r="U255" i="10"/>
  <c r="S255" i="10"/>
  <c r="R255" i="10"/>
  <c r="M120" i="10"/>
  <c r="N120" i="10" s="1"/>
  <c r="M80" i="10"/>
  <c r="N14" i="10"/>
  <c r="V14" i="10"/>
  <c r="W14" i="10" s="1"/>
  <c r="P314" i="10"/>
  <c r="T314" i="10"/>
  <c r="S314" i="10"/>
  <c r="Q314" i="10"/>
  <c r="R314" i="10"/>
  <c r="U314" i="10"/>
  <c r="P169" i="10"/>
  <c r="Q169" i="10"/>
  <c r="R169" i="10"/>
  <c r="S169" i="10"/>
  <c r="T169" i="10"/>
  <c r="U169" i="10"/>
  <c r="R155" i="10"/>
  <c r="T155" i="10"/>
  <c r="S155" i="10"/>
  <c r="Q155" i="10"/>
  <c r="P155" i="10"/>
  <c r="U155" i="10"/>
  <c r="U306" i="10"/>
  <c r="P306" i="10"/>
  <c r="T306" i="10"/>
  <c r="R306" i="10"/>
  <c r="Q306" i="10"/>
  <c r="S306" i="10"/>
  <c r="P420" i="10"/>
  <c r="Q420" i="10"/>
  <c r="S420" i="10"/>
  <c r="T420" i="10"/>
  <c r="U420" i="10"/>
  <c r="R420" i="10"/>
  <c r="T143" i="10"/>
  <c r="P143" i="10"/>
  <c r="S143" i="10"/>
  <c r="R143" i="10"/>
  <c r="Q143" i="10"/>
  <c r="U143" i="10"/>
  <c r="P406" i="10"/>
  <c r="Q406" i="10"/>
  <c r="R406" i="10"/>
  <c r="S406" i="10"/>
  <c r="T406" i="10"/>
  <c r="U406" i="10"/>
  <c r="M138" i="10"/>
  <c r="N138" i="10" s="1"/>
  <c r="M363" i="10"/>
  <c r="M380" i="10"/>
  <c r="M264" i="10"/>
  <c r="M78" i="10"/>
  <c r="M129" i="10"/>
  <c r="M291" i="10"/>
  <c r="M225" i="10"/>
  <c r="N225" i="10" s="1"/>
  <c r="M114" i="10"/>
  <c r="N114" i="10" s="1"/>
  <c r="M361" i="10"/>
  <c r="N361" i="10" s="1"/>
  <c r="M378" i="10"/>
  <c r="V259" i="10"/>
  <c r="W259" i="10" s="1"/>
  <c r="V82" i="10"/>
  <c r="W82" i="10" s="1"/>
  <c r="P399" i="10"/>
  <c r="U399" i="10"/>
  <c r="R399" i="10"/>
  <c r="T399" i="10"/>
  <c r="S399" i="10"/>
  <c r="Q399" i="10"/>
  <c r="U79" i="10"/>
  <c r="P79" i="10"/>
  <c r="Q79" i="10"/>
  <c r="R79" i="10"/>
  <c r="S79" i="10"/>
  <c r="T79" i="10"/>
  <c r="T266" i="10"/>
  <c r="U266" i="10"/>
  <c r="Q266" i="10"/>
  <c r="V266" i="10" s="1"/>
  <c r="W266" i="10" s="1"/>
  <c r="S266" i="10"/>
  <c r="P266" i="10"/>
  <c r="R266" i="10"/>
  <c r="P350" i="10"/>
  <c r="T350" i="10"/>
  <c r="U350" i="10"/>
  <c r="R350" i="10"/>
  <c r="Q350" i="10"/>
  <c r="S350" i="10"/>
  <c r="N126" i="10"/>
  <c r="Q253" i="10"/>
  <c r="S253" i="10"/>
  <c r="U253" i="10"/>
  <c r="T253" i="10"/>
  <c r="P253" i="10"/>
  <c r="R253" i="10"/>
  <c r="V137" i="10"/>
  <c r="W137" i="10" s="1"/>
  <c r="S347" i="10"/>
  <c r="Q347" i="10"/>
  <c r="P347" i="10"/>
  <c r="T347" i="10"/>
  <c r="R347" i="10"/>
  <c r="U347" i="10"/>
  <c r="R41" i="10"/>
  <c r="S41" i="10"/>
  <c r="P41" i="10"/>
  <c r="V41" i="10" s="1"/>
  <c r="W41" i="10" s="1"/>
  <c r="T41" i="10"/>
  <c r="U41" i="10"/>
  <c r="Q41" i="10"/>
  <c r="Q69" i="10"/>
  <c r="U69" i="10"/>
  <c r="T69" i="10"/>
  <c r="S69" i="10"/>
  <c r="P69" i="10"/>
  <c r="R69" i="10"/>
  <c r="N367" i="10"/>
  <c r="P269" i="10"/>
  <c r="Q269" i="10"/>
  <c r="S269" i="10"/>
  <c r="R269" i="10"/>
  <c r="T269" i="10"/>
  <c r="U269" i="10"/>
  <c r="M97" i="10"/>
  <c r="M349" i="10"/>
  <c r="V94" i="10"/>
  <c r="W94" i="10" s="1"/>
  <c r="Q326" i="10"/>
  <c r="P326" i="10"/>
  <c r="T326" i="10"/>
  <c r="R326" i="10"/>
  <c r="U326" i="10"/>
  <c r="S326" i="10"/>
  <c r="P415" i="10"/>
  <c r="Q415" i="10"/>
  <c r="R415" i="10"/>
  <c r="U415" i="10"/>
  <c r="S415" i="10"/>
  <c r="T415" i="10"/>
  <c r="S422" i="10"/>
  <c r="T422" i="10"/>
  <c r="U422" i="10"/>
  <c r="Q422" i="10"/>
  <c r="R422" i="10"/>
  <c r="P422" i="10"/>
  <c r="N36" i="10"/>
  <c r="N227" i="10"/>
  <c r="M186" i="10"/>
  <c r="T386" i="10"/>
  <c r="U386" i="10"/>
  <c r="Q386" i="10"/>
  <c r="R386" i="10"/>
  <c r="P386" i="10"/>
  <c r="S386" i="10"/>
  <c r="T300" i="10"/>
  <c r="Q300" i="10"/>
  <c r="U300" i="10"/>
  <c r="R300" i="10"/>
  <c r="S300" i="10"/>
  <c r="P300" i="10"/>
  <c r="Q201" i="10"/>
  <c r="T201" i="10"/>
  <c r="S201" i="10"/>
  <c r="U201" i="10"/>
  <c r="P201" i="10"/>
  <c r="R201" i="10"/>
  <c r="P94" i="10"/>
  <c r="R94" i="10"/>
  <c r="U94" i="10"/>
  <c r="Q94" i="10"/>
  <c r="S94" i="10"/>
  <c r="T94" i="10"/>
  <c r="V384" i="10"/>
  <c r="W384" i="10" s="1"/>
  <c r="N122" i="10"/>
  <c r="M133" i="10"/>
  <c r="P56" i="10"/>
  <c r="U56" i="10"/>
  <c r="R56" i="10"/>
  <c r="S56" i="10"/>
  <c r="T56" i="10"/>
  <c r="Q56" i="10"/>
  <c r="P294" i="10"/>
  <c r="T294" i="10"/>
  <c r="Q294" i="10"/>
  <c r="U294" i="10"/>
  <c r="R294" i="10"/>
  <c r="S294" i="10"/>
  <c r="V340" i="10"/>
  <c r="W340" i="10" s="1"/>
  <c r="Q133" i="10"/>
  <c r="R133" i="10"/>
  <c r="S133" i="10"/>
  <c r="T133" i="10"/>
  <c r="P133" i="10"/>
  <c r="U133" i="10"/>
  <c r="M237" i="10"/>
  <c r="M119" i="10"/>
  <c r="T310" i="10"/>
  <c r="R310" i="10"/>
  <c r="P310" i="10"/>
  <c r="Q310" i="10"/>
  <c r="U310" i="10"/>
  <c r="S310" i="10"/>
  <c r="R338" i="10"/>
  <c r="P338" i="10"/>
  <c r="V338" i="10" s="1"/>
  <c r="W338" i="10" s="1"/>
  <c r="U338" i="10"/>
  <c r="Q338" i="10"/>
  <c r="T338" i="10"/>
  <c r="S338" i="10"/>
  <c r="M28" i="10"/>
  <c r="M161" i="10"/>
  <c r="M5" i="10"/>
  <c r="N5" i="10" s="1"/>
  <c r="M407" i="10"/>
  <c r="N92" i="10"/>
  <c r="M118" i="10"/>
  <c r="M416" i="10"/>
  <c r="N416" i="10" s="1"/>
  <c r="V140" i="10"/>
  <c r="W140" i="10" s="1"/>
  <c r="S42" i="10"/>
  <c r="T42" i="10"/>
  <c r="U42" i="10"/>
  <c r="Q42" i="10"/>
  <c r="R42" i="10"/>
  <c r="P42" i="10"/>
  <c r="R385" i="10"/>
  <c r="T385" i="10"/>
  <c r="U385" i="10"/>
  <c r="Q385" i="10"/>
  <c r="S385" i="10"/>
  <c r="P385" i="10"/>
  <c r="M238" i="10"/>
  <c r="M415" i="10"/>
  <c r="N415" i="10" s="1"/>
  <c r="M221" i="10"/>
  <c r="N221" i="10" s="1"/>
  <c r="N40" i="10"/>
  <c r="V40" i="10"/>
  <c r="W40" i="10" s="1"/>
  <c r="M210" i="10"/>
  <c r="M96" i="10"/>
  <c r="N42" i="10"/>
  <c r="V42" i="10"/>
  <c r="W42" i="10" s="1"/>
  <c r="N151" i="10"/>
  <c r="V151" i="10"/>
  <c r="W151" i="10" s="1"/>
  <c r="M166" i="10"/>
  <c r="M46" i="10"/>
  <c r="M412" i="10"/>
  <c r="N412" i="10" s="1"/>
  <c r="M411" i="10"/>
  <c r="V21" i="10"/>
  <c r="W21" i="10" s="1"/>
  <c r="N21" i="10"/>
  <c r="M193" i="10"/>
  <c r="M252" i="10"/>
  <c r="M314" i="10"/>
  <c r="M296" i="10"/>
  <c r="N296" i="10" s="1"/>
  <c r="R303" i="10"/>
  <c r="P303" i="10"/>
  <c r="S303" i="10"/>
  <c r="Q303" i="10"/>
  <c r="U303" i="10"/>
  <c r="T303" i="10"/>
  <c r="P111" i="10"/>
  <c r="V111" i="10" s="1"/>
  <c r="W111" i="10" s="1"/>
  <c r="Q111" i="10"/>
  <c r="U111" i="10"/>
  <c r="T111" i="10"/>
  <c r="R111" i="10"/>
  <c r="S111" i="10"/>
  <c r="Q357" i="10"/>
  <c r="P357" i="10"/>
  <c r="R357" i="10"/>
  <c r="S357" i="10"/>
  <c r="T357" i="10"/>
  <c r="U357" i="10"/>
  <c r="Q292" i="10"/>
  <c r="U292" i="10"/>
  <c r="T292" i="10"/>
  <c r="R292" i="10"/>
  <c r="P292" i="10"/>
  <c r="S292" i="10"/>
  <c r="P173" i="10"/>
  <c r="S173" i="10"/>
  <c r="T173" i="10"/>
  <c r="R173" i="10"/>
  <c r="Q173" i="10"/>
  <c r="U173" i="10"/>
  <c r="U389" i="10"/>
  <c r="Q389" i="10"/>
  <c r="R389" i="10"/>
  <c r="S389" i="10"/>
  <c r="T389" i="10"/>
  <c r="P389" i="10"/>
  <c r="R295" i="10"/>
  <c r="Q295" i="10"/>
  <c r="U295" i="10"/>
  <c r="T295" i="10"/>
  <c r="P295" i="10"/>
  <c r="S295" i="10"/>
  <c r="V74" i="10"/>
  <c r="W74" i="10" s="1"/>
  <c r="S131" i="10"/>
  <c r="U131" i="10"/>
  <c r="T131" i="10"/>
  <c r="Q131" i="10"/>
  <c r="P131" i="10"/>
  <c r="R131" i="10"/>
  <c r="S232" i="10"/>
  <c r="U232" i="10"/>
  <c r="P232" i="10"/>
  <c r="Q232" i="10"/>
  <c r="T232" i="10"/>
  <c r="R232" i="10"/>
  <c r="P322" i="10"/>
  <c r="S322" i="10"/>
  <c r="Q322" i="10"/>
  <c r="R322" i="10"/>
  <c r="U322" i="10"/>
  <c r="T322" i="10"/>
  <c r="V313" i="10"/>
  <c r="W313" i="10" s="1"/>
  <c r="P418" i="10"/>
  <c r="R418" i="10"/>
  <c r="S418" i="10"/>
  <c r="U418" i="10"/>
  <c r="Q418" i="10"/>
  <c r="T418" i="10"/>
  <c r="P393" i="10"/>
  <c r="T393" i="10"/>
  <c r="S393" i="10"/>
  <c r="U393" i="10"/>
  <c r="R393" i="10"/>
  <c r="Q393" i="10"/>
  <c r="Q163" i="10"/>
  <c r="R163" i="10"/>
  <c r="P163" i="10"/>
  <c r="S163" i="10"/>
  <c r="T163" i="10"/>
  <c r="U163" i="10"/>
  <c r="R11" i="10"/>
  <c r="S11" i="10"/>
  <c r="P11" i="10"/>
  <c r="T11" i="10"/>
  <c r="U11" i="10"/>
  <c r="Q11" i="10"/>
  <c r="M280" i="10"/>
  <c r="N100" i="10"/>
  <c r="V100" i="10"/>
  <c r="W100" i="10" s="1"/>
  <c r="P315" i="10"/>
  <c r="S315" i="10"/>
  <c r="T315" i="10"/>
  <c r="U315" i="10"/>
  <c r="Q315" i="10"/>
  <c r="R315" i="10"/>
  <c r="R416" i="10"/>
  <c r="T416" i="10"/>
  <c r="U416" i="10"/>
  <c r="Q416" i="10"/>
  <c r="S416" i="10"/>
  <c r="P416" i="10"/>
  <c r="N348" i="10"/>
  <c r="Q402" i="10"/>
  <c r="S402" i="10"/>
  <c r="P402" i="10"/>
  <c r="R402" i="10"/>
  <c r="T402" i="10"/>
  <c r="U402" i="10"/>
  <c r="U223" i="10"/>
  <c r="P223" i="10"/>
  <c r="R223" i="10"/>
  <c r="Q223" i="10"/>
  <c r="T223" i="10"/>
  <c r="S223" i="10"/>
  <c r="T237" i="10"/>
  <c r="Q237" i="10"/>
  <c r="S237" i="10"/>
  <c r="U237" i="10"/>
  <c r="R237" i="10"/>
  <c r="P237" i="10"/>
  <c r="N16" i="10"/>
  <c r="P308" i="10"/>
  <c r="S308" i="10"/>
  <c r="T308" i="10"/>
  <c r="R308" i="10"/>
  <c r="U308" i="10"/>
  <c r="Q308" i="10"/>
  <c r="S83" i="10"/>
  <c r="T83" i="10"/>
  <c r="P83" i="10"/>
  <c r="Q83" i="10"/>
  <c r="R83" i="10"/>
  <c r="U83" i="10"/>
  <c r="S360" i="10"/>
  <c r="T360" i="10"/>
  <c r="R360" i="10"/>
  <c r="U360" i="10"/>
  <c r="P360" i="10"/>
  <c r="Q360" i="10"/>
  <c r="M6" i="10"/>
  <c r="M359" i="10"/>
  <c r="M355" i="10"/>
  <c r="N355" i="10" s="1"/>
  <c r="V109" i="10"/>
  <c r="W109" i="10" s="1"/>
  <c r="Q407" i="10"/>
  <c r="P407" i="10"/>
  <c r="S407" i="10"/>
  <c r="R407" i="10"/>
  <c r="U407" i="10"/>
  <c r="T407" i="10"/>
  <c r="T328" i="10"/>
  <c r="P328" i="10"/>
  <c r="Q328" i="10"/>
  <c r="S328" i="10"/>
  <c r="R328" i="10"/>
  <c r="U328" i="10"/>
  <c r="R238" i="10"/>
  <c r="Q238" i="10"/>
  <c r="T238" i="10"/>
  <c r="S238" i="10"/>
  <c r="P238" i="10"/>
  <c r="U238" i="10"/>
  <c r="Q231" i="10"/>
  <c r="R231" i="10"/>
  <c r="S231" i="10"/>
  <c r="T231" i="10"/>
  <c r="U231" i="10"/>
  <c r="P231" i="10"/>
  <c r="P92" i="10"/>
  <c r="V92" i="10" s="1"/>
  <c r="W92" i="10" s="1"/>
  <c r="Q92" i="10"/>
  <c r="R92" i="10"/>
  <c r="U92" i="10"/>
  <c r="T92" i="10"/>
  <c r="S92" i="10"/>
  <c r="R264" i="10"/>
  <c r="S264" i="10"/>
  <c r="T264" i="10"/>
  <c r="U264" i="10"/>
  <c r="P264" i="10"/>
  <c r="Q264" i="10"/>
  <c r="Q116" i="10"/>
  <c r="P116" i="10"/>
  <c r="V116" i="10" s="1"/>
  <c r="W116" i="10" s="1"/>
  <c r="U116" i="10"/>
  <c r="T116" i="10"/>
  <c r="R116" i="10"/>
  <c r="S116" i="10"/>
  <c r="M143" i="10"/>
  <c r="N32" i="10"/>
  <c r="M107" i="10"/>
  <c r="N107" i="10" s="1"/>
  <c r="Q285" i="10"/>
  <c r="R285" i="10"/>
  <c r="U285" i="10"/>
  <c r="P285" i="10"/>
  <c r="S285" i="10"/>
  <c r="T285" i="10"/>
  <c r="V37" i="10"/>
  <c r="W37" i="10" s="1"/>
  <c r="R254" i="10"/>
  <c r="P254" i="10"/>
  <c r="Q254" i="10"/>
  <c r="S254" i="10"/>
  <c r="U254" i="10"/>
  <c r="T254" i="10"/>
  <c r="M23" i="10"/>
  <c r="V23" i="10" s="1"/>
  <c r="W23" i="10" s="1"/>
  <c r="N275" i="10"/>
  <c r="M396" i="10"/>
  <c r="N396" i="10" s="1"/>
  <c r="S21" i="10"/>
  <c r="Q21" i="10"/>
  <c r="U21" i="10"/>
  <c r="P21" i="10"/>
  <c r="R21" i="10"/>
  <c r="T21" i="10"/>
  <c r="S248" i="10"/>
  <c r="U248" i="10"/>
  <c r="P248" i="10"/>
  <c r="V248" i="10" s="1"/>
  <c r="W248" i="10" s="1"/>
  <c r="Q248" i="10"/>
  <c r="R248" i="10"/>
  <c r="T248" i="10"/>
  <c r="R34" i="10"/>
  <c r="P34" i="10"/>
  <c r="T34" i="10"/>
  <c r="U34" i="10"/>
  <c r="S34" i="10"/>
  <c r="Q34" i="10"/>
  <c r="U320" i="10"/>
  <c r="R320" i="10"/>
  <c r="T320" i="10"/>
  <c r="P320" i="10"/>
  <c r="Q320" i="10"/>
  <c r="V320" i="10" s="1"/>
  <c r="W320" i="10" s="1"/>
  <c r="S320" i="10"/>
  <c r="T400" i="10"/>
  <c r="P400" i="10"/>
  <c r="S400" i="10"/>
  <c r="R400" i="10"/>
  <c r="U400" i="10"/>
  <c r="Q400" i="10"/>
  <c r="Q410" i="10"/>
  <c r="R410" i="10"/>
  <c r="P410" i="10"/>
  <c r="U410" i="10"/>
  <c r="S410" i="10"/>
  <c r="T410" i="10"/>
  <c r="P24" i="10"/>
  <c r="U24" i="10"/>
  <c r="Q24" i="10"/>
  <c r="R24" i="10"/>
  <c r="S24" i="10"/>
  <c r="V24" i="10" s="1"/>
  <c r="W24" i="10" s="1"/>
  <c r="T24" i="10"/>
  <c r="P126" i="10"/>
  <c r="R126" i="10"/>
  <c r="U126" i="10"/>
  <c r="Q126" i="10"/>
  <c r="T126" i="10"/>
  <c r="S126" i="10"/>
  <c r="Q217" i="10"/>
  <c r="T217" i="10"/>
  <c r="P217" i="10"/>
  <c r="S217" i="10"/>
  <c r="U217" i="10"/>
  <c r="R217" i="10"/>
  <c r="P401" i="10"/>
  <c r="R401" i="10"/>
  <c r="Q401" i="10"/>
  <c r="S401" i="10"/>
  <c r="T401" i="10"/>
  <c r="U401" i="10"/>
  <c r="R369" i="10"/>
  <c r="Q369" i="10"/>
  <c r="T369" i="10"/>
  <c r="S369" i="10"/>
  <c r="P369" i="10"/>
  <c r="U369" i="10"/>
  <c r="P324" i="10"/>
  <c r="T324" i="10"/>
  <c r="S324" i="10"/>
  <c r="Q324" i="10"/>
  <c r="R324" i="10"/>
  <c r="U324" i="10"/>
  <c r="S142" i="10"/>
  <c r="P142" i="10"/>
  <c r="T142" i="10"/>
  <c r="Q142" i="10"/>
  <c r="V142" i="10" s="1"/>
  <c r="W142" i="10" s="1"/>
  <c r="R142" i="10"/>
  <c r="U142" i="10"/>
  <c r="S140" i="10"/>
  <c r="T140" i="10"/>
  <c r="U140" i="10"/>
  <c r="Q140" i="10"/>
  <c r="R140" i="10"/>
  <c r="P140" i="10"/>
  <c r="Q414" i="10"/>
  <c r="S414" i="10"/>
  <c r="T414" i="10"/>
  <c r="U414" i="10"/>
  <c r="R414" i="10"/>
  <c r="P414" i="10"/>
  <c r="T77" i="10"/>
  <c r="S77" i="10"/>
  <c r="R77" i="10"/>
  <c r="Q77" i="10"/>
  <c r="P77" i="10"/>
  <c r="V77" i="10" s="1"/>
  <c r="W77" i="10" s="1"/>
  <c r="U77" i="10"/>
  <c r="M93" i="10"/>
  <c r="M176" i="10"/>
  <c r="V131" i="10"/>
  <c r="W131" i="10" s="1"/>
  <c r="N131" i="10"/>
  <c r="M24" i="10"/>
  <c r="N24" i="10" s="1"/>
  <c r="M31" i="10"/>
  <c r="N31" i="10" s="1"/>
  <c r="M13" i="10"/>
  <c r="N13" i="10" s="1"/>
  <c r="M170" i="10"/>
  <c r="N170" i="10" s="1"/>
  <c r="M22" i="10"/>
  <c r="M299" i="10"/>
  <c r="N299" i="10" s="1"/>
  <c r="M260" i="10"/>
  <c r="M312" i="10"/>
  <c r="V75" i="10"/>
  <c r="W75" i="10" s="1"/>
  <c r="V250" i="10"/>
  <c r="W250" i="10" s="1"/>
  <c r="V87" i="10"/>
  <c r="W87" i="10" s="1"/>
  <c r="N303" i="10"/>
  <c r="S395" i="10"/>
  <c r="T395" i="10"/>
  <c r="P395" i="10"/>
  <c r="R395" i="10"/>
  <c r="Q395" i="10"/>
  <c r="U395" i="10"/>
  <c r="U403" i="10"/>
  <c r="T403" i="10"/>
  <c r="Q403" i="10"/>
  <c r="R403" i="10"/>
  <c r="S403" i="10"/>
  <c r="P403" i="10"/>
  <c r="T337" i="10"/>
  <c r="S337" i="10"/>
  <c r="Q337" i="10"/>
  <c r="P337" i="10"/>
  <c r="R337" i="10"/>
  <c r="U337" i="10"/>
  <c r="V263" i="10"/>
  <c r="W263" i="10" s="1"/>
  <c r="N51" i="10"/>
  <c r="P353" i="10"/>
  <c r="U353" i="10"/>
  <c r="T353" i="10"/>
  <c r="Q353" i="10"/>
  <c r="R353" i="10"/>
  <c r="S353" i="10"/>
  <c r="U364" i="10"/>
  <c r="P364" i="10"/>
  <c r="V364" i="10" s="1"/>
  <c r="W364" i="10" s="1"/>
  <c r="T364" i="10"/>
  <c r="Q364" i="10"/>
  <c r="S364" i="10"/>
  <c r="R364" i="10"/>
  <c r="S398" i="10"/>
  <c r="P398" i="10"/>
  <c r="R398" i="10"/>
  <c r="T398" i="10"/>
  <c r="U398" i="10"/>
  <c r="Q398" i="10"/>
  <c r="Q62" i="10"/>
  <c r="T62" i="10"/>
  <c r="R62" i="10"/>
  <c r="U62" i="10"/>
  <c r="P62" i="10"/>
  <c r="V62" i="10" s="1"/>
  <c r="W62" i="10" s="1"/>
  <c r="S62" i="10"/>
  <c r="U98" i="10"/>
  <c r="T98" i="10"/>
  <c r="S98" i="10"/>
  <c r="Q98" i="10"/>
  <c r="R98" i="10"/>
  <c r="P98" i="10"/>
  <c r="N295" i="10"/>
  <c r="V333" i="10"/>
  <c r="W333" i="10" s="1"/>
  <c r="N322" i="10"/>
  <c r="Q197" i="10"/>
  <c r="P197" i="10"/>
  <c r="U197" i="10"/>
  <c r="S197" i="10"/>
  <c r="R197" i="10"/>
  <c r="T197" i="10"/>
  <c r="N228" i="10"/>
  <c r="V228" i="10"/>
  <c r="W228" i="10" s="1"/>
  <c r="M261" i="10"/>
  <c r="N261" i="10" s="1"/>
  <c r="R182" i="10"/>
  <c r="Q182" i="10"/>
  <c r="P182" i="10"/>
  <c r="S182" i="10"/>
  <c r="U182" i="10"/>
  <c r="T182" i="10"/>
  <c r="U114" i="10"/>
  <c r="R114" i="10"/>
  <c r="S114" i="10"/>
  <c r="Q114" i="10"/>
  <c r="P114" i="10"/>
  <c r="T114" i="10"/>
  <c r="M404" i="10"/>
  <c r="S158" i="10"/>
  <c r="R158" i="10"/>
  <c r="U158" i="10"/>
  <c r="P158" i="10"/>
  <c r="T158" i="10"/>
  <c r="Q158" i="10"/>
  <c r="M402" i="10"/>
  <c r="U138" i="10"/>
  <c r="T138" i="10"/>
  <c r="S138" i="10"/>
  <c r="P138" i="10"/>
  <c r="Q138" i="10"/>
  <c r="R138" i="10"/>
  <c r="P358" i="10"/>
  <c r="R358" i="10"/>
  <c r="S358" i="10"/>
  <c r="T358" i="10"/>
  <c r="Q358" i="10"/>
  <c r="U358" i="10"/>
  <c r="R262" i="10"/>
  <c r="P262" i="10"/>
  <c r="S262" i="10"/>
  <c r="T262" i="10"/>
  <c r="U262" i="10"/>
  <c r="Q262" i="10"/>
  <c r="S148" i="10"/>
  <c r="U148" i="10"/>
  <c r="R148" i="10"/>
  <c r="T148" i="10"/>
  <c r="P148" i="10"/>
  <c r="Q148" i="10"/>
  <c r="U175" i="10"/>
  <c r="Q175" i="10"/>
  <c r="R175" i="10"/>
  <c r="S175" i="10"/>
  <c r="T175" i="10"/>
  <c r="P175" i="10"/>
  <c r="M113" i="10"/>
  <c r="M27" i="10"/>
  <c r="M305" i="10"/>
  <c r="N305" i="10" s="1"/>
  <c r="M386" i="10"/>
  <c r="N386" i="10" s="1"/>
  <c r="V165" i="10"/>
  <c r="W165" i="10" s="1"/>
  <c r="R125" i="10"/>
  <c r="S125" i="10"/>
  <c r="P125" i="10"/>
  <c r="T125" i="10"/>
  <c r="U125" i="10"/>
  <c r="Q125" i="10"/>
  <c r="P230" i="10"/>
  <c r="T230" i="10"/>
  <c r="S230" i="10"/>
  <c r="R230" i="10"/>
  <c r="U230" i="10"/>
  <c r="Q230" i="10"/>
  <c r="M245" i="10"/>
  <c r="N245" i="10" s="1"/>
  <c r="M319" i="10"/>
  <c r="U274" i="10"/>
  <c r="P274" i="10"/>
  <c r="S274" i="10"/>
  <c r="T274" i="10"/>
  <c r="Q274" i="10"/>
  <c r="V274" i="10" s="1"/>
  <c r="W274" i="10" s="1"/>
  <c r="R274" i="10"/>
  <c r="P413" i="10"/>
  <c r="R413" i="10"/>
  <c r="U413" i="10"/>
  <c r="S413" i="10"/>
  <c r="T413" i="10"/>
  <c r="Q413" i="10"/>
  <c r="M18" i="10"/>
  <c r="M215" i="10"/>
  <c r="N12" i="10"/>
  <c r="V12" i="10"/>
  <c r="W12" i="10" s="1"/>
  <c r="M335" i="10"/>
  <c r="M188" i="10"/>
  <c r="M405" i="10"/>
  <c r="N405" i="10" s="1"/>
  <c r="M307" i="10"/>
  <c r="M271" i="10"/>
  <c r="M35" i="10"/>
  <c r="M257" i="10"/>
  <c r="N257" i="10" s="1"/>
  <c r="M155" i="10"/>
  <c r="M178" i="10"/>
  <c r="M209" i="10"/>
  <c r="N209" i="10" s="1"/>
  <c r="M408" i="10"/>
  <c r="M39" i="10"/>
  <c r="N320" i="10"/>
  <c r="M216" i="10"/>
  <c r="V88" i="10"/>
  <c r="W88" i="10" s="1"/>
  <c r="V390" i="10"/>
  <c r="W390" i="10" s="1"/>
  <c r="T87" i="10"/>
  <c r="S87" i="10"/>
  <c r="U87" i="10"/>
  <c r="R87" i="10"/>
  <c r="P87" i="10"/>
  <c r="Q87" i="10"/>
  <c r="R296" i="10"/>
  <c r="P296" i="10"/>
  <c r="U296" i="10"/>
  <c r="S296" i="10"/>
  <c r="T296" i="10"/>
  <c r="Q296" i="10"/>
  <c r="T170" i="10"/>
  <c r="P170" i="10"/>
  <c r="Q170" i="10"/>
  <c r="U170" i="10"/>
  <c r="R170" i="10"/>
  <c r="S170" i="10"/>
  <c r="P115" i="10"/>
  <c r="V115" i="10" s="1"/>
  <c r="W115" i="10" s="1"/>
  <c r="R115" i="10"/>
  <c r="S115" i="10"/>
  <c r="T115" i="10"/>
  <c r="Q115" i="10"/>
  <c r="U115" i="10"/>
  <c r="P394" i="10"/>
  <c r="S394" i="10"/>
  <c r="T394" i="10"/>
  <c r="U394" i="10"/>
  <c r="Q394" i="10"/>
  <c r="R394" i="10"/>
  <c r="P365" i="10"/>
  <c r="V365" i="10" s="1"/>
  <c r="W365" i="10" s="1"/>
  <c r="S365" i="10"/>
  <c r="R365" i="10"/>
  <c r="Q365" i="10"/>
  <c r="U365" i="10"/>
  <c r="T365" i="10"/>
  <c r="Q88" i="10"/>
  <c r="R88" i="10"/>
  <c r="U88" i="10"/>
  <c r="S88" i="10"/>
  <c r="P88" i="10"/>
  <c r="T88" i="10"/>
  <c r="V65" i="10"/>
  <c r="W65" i="10" s="1"/>
  <c r="S325" i="10"/>
  <c r="Q325" i="10"/>
  <c r="P325" i="10"/>
  <c r="U325" i="10"/>
  <c r="T325" i="10"/>
  <c r="R325" i="10"/>
  <c r="R184" i="10"/>
  <c r="Q184" i="10"/>
  <c r="U184" i="10"/>
  <c r="P184" i="10"/>
  <c r="S184" i="10"/>
  <c r="T184" i="10"/>
  <c r="U159" i="10"/>
  <c r="T159" i="10"/>
  <c r="P159" i="10"/>
  <c r="V159" i="10" s="1"/>
  <c r="W159" i="10" s="1"/>
  <c r="Q159" i="10"/>
  <c r="R159" i="10"/>
  <c r="S159" i="10"/>
  <c r="Q378" i="10"/>
  <c r="P378" i="10"/>
  <c r="R378" i="10"/>
  <c r="S378" i="10"/>
  <c r="T378" i="10"/>
  <c r="U378" i="10"/>
  <c r="P298" i="10"/>
  <c r="Q298" i="10"/>
  <c r="R298" i="10"/>
  <c r="U298" i="10"/>
  <c r="S298" i="10"/>
  <c r="T298" i="10"/>
  <c r="Q381" i="10"/>
  <c r="P381" i="10"/>
  <c r="R381" i="10"/>
  <c r="T381" i="10"/>
  <c r="S381" i="10"/>
  <c r="U381" i="10"/>
  <c r="N341" i="10"/>
  <c r="V341" i="10"/>
  <c r="W341" i="10" s="1"/>
  <c r="S20" i="10"/>
  <c r="U20" i="10"/>
  <c r="Q20" i="10"/>
  <c r="T20" i="10"/>
  <c r="R20" i="10"/>
  <c r="P20" i="10"/>
  <c r="S14" i="10"/>
  <c r="U14" i="10"/>
  <c r="T14" i="10"/>
  <c r="R14" i="10"/>
  <c r="P14" i="10"/>
  <c r="Q14" i="10"/>
  <c r="Q8" i="10"/>
  <c r="R8" i="10"/>
  <c r="T8" i="10"/>
  <c r="U8" i="10"/>
  <c r="S8" i="10"/>
  <c r="P8" i="10"/>
  <c r="T153" i="10"/>
  <c r="U153" i="10"/>
  <c r="Q153" i="10"/>
  <c r="S153" i="10"/>
  <c r="R153" i="10"/>
  <c r="P153" i="10"/>
  <c r="U243" i="10"/>
  <c r="R243" i="10"/>
  <c r="S243" i="10"/>
  <c r="T243" i="10"/>
  <c r="Q243" i="10"/>
  <c r="P243" i="10"/>
  <c r="P392" i="10"/>
  <c r="S392" i="10"/>
  <c r="T392" i="10"/>
  <c r="U392" i="10"/>
  <c r="Q392" i="10"/>
  <c r="V392" i="10" s="1"/>
  <c r="W392" i="10" s="1"/>
  <c r="R392" i="10"/>
  <c r="P316" i="10"/>
  <c r="Q316" i="10"/>
  <c r="S316" i="10"/>
  <c r="T316" i="10"/>
  <c r="R316" i="10"/>
  <c r="U316" i="10"/>
  <c r="P372" i="10"/>
  <c r="S372" i="10"/>
  <c r="Q372" i="10"/>
  <c r="T372" i="10"/>
  <c r="R372" i="10"/>
  <c r="U372" i="10"/>
  <c r="T335" i="10"/>
  <c r="Q335" i="10"/>
  <c r="P335" i="10"/>
  <c r="S335" i="10"/>
  <c r="U335" i="10"/>
  <c r="R335" i="10"/>
  <c r="U293" i="10"/>
  <c r="P293" i="10"/>
  <c r="Q293" i="10"/>
  <c r="T293" i="10"/>
  <c r="S293" i="10"/>
  <c r="R293" i="10"/>
  <c r="V293" i="10" s="1"/>
  <c r="W293" i="10" s="1"/>
  <c r="R152" i="10"/>
  <c r="Q152" i="10"/>
  <c r="T152" i="10"/>
  <c r="S152" i="10"/>
  <c r="U152" i="10"/>
  <c r="P152" i="10"/>
  <c r="S166" i="10"/>
  <c r="U166" i="10"/>
  <c r="P166" i="10"/>
  <c r="Q166" i="10"/>
  <c r="R166" i="10"/>
  <c r="T166" i="10"/>
  <c r="P177" i="10"/>
  <c r="U177" i="10"/>
  <c r="R177" i="10"/>
  <c r="S177" i="10"/>
  <c r="Q177" i="10"/>
  <c r="T177" i="10"/>
  <c r="Q359" i="10"/>
  <c r="P359" i="10"/>
  <c r="S359" i="10"/>
  <c r="T359" i="10"/>
  <c r="R359" i="10"/>
  <c r="U359" i="10"/>
  <c r="R319" i="10"/>
  <c r="S319" i="10"/>
  <c r="T319" i="10"/>
  <c r="U319" i="10"/>
  <c r="P319" i="10"/>
  <c r="Q319" i="10"/>
  <c r="P23" i="10"/>
  <c r="S23" i="10"/>
  <c r="Q23" i="10"/>
  <c r="T23" i="10"/>
  <c r="R23" i="10"/>
  <c r="U23" i="10"/>
  <c r="N139" i="10"/>
  <c r="V139" i="10"/>
  <c r="W139" i="10" s="1"/>
  <c r="V279" i="10"/>
  <c r="W279" i="10" s="1"/>
  <c r="N279" i="10"/>
  <c r="N136" i="10"/>
  <c r="V136" i="10"/>
  <c r="W136" i="10" s="1"/>
  <c r="Q330" i="10"/>
  <c r="V330" i="10" s="1"/>
  <c r="W330" i="10" s="1"/>
  <c r="U330" i="10"/>
  <c r="T330" i="10"/>
  <c r="S330" i="10"/>
  <c r="R330" i="10"/>
  <c r="P330" i="10"/>
  <c r="R272" i="10"/>
  <c r="S272" i="10"/>
  <c r="T272" i="10"/>
  <c r="P272" i="10"/>
  <c r="U272" i="10"/>
  <c r="Q272" i="10"/>
  <c r="Q181" i="10"/>
  <c r="U181" i="10"/>
  <c r="T181" i="10"/>
  <c r="R181" i="10"/>
  <c r="P181" i="10"/>
  <c r="S181" i="10"/>
  <c r="T54" i="10"/>
  <c r="S54" i="10"/>
  <c r="U54" i="10"/>
  <c r="P54" i="10"/>
  <c r="Q54" i="10"/>
  <c r="R54" i="10"/>
  <c r="Q112" i="10"/>
  <c r="U112" i="10"/>
  <c r="S112" i="10"/>
  <c r="R112" i="10"/>
  <c r="T112" i="10"/>
  <c r="P112" i="10"/>
  <c r="R404" i="10"/>
  <c r="S404" i="10"/>
  <c r="U404" i="10"/>
  <c r="P404" i="10"/>
  <c r="Q404" i="10"/>
  <c r="T404" i="10"/>
  <c r="P35" i="10"/>
  <c r="Q35" i="10"/>
  <c r="R35" i="10"/>
  <c r="S35" i="10"/>
  <c r="U35" i="10"/>
  <c r="T35" i="10"/>
  <c r="N268" i="10"/>
  <c r="Q299" i="10"/>
  <c r="P299" i="10"/>
  <c r="U299" i="10"/>
  <c r="T299" i="10"/>
  <c r="S299" i="10"/>
  <c r="R299" i="10"/>
  <c r="M316" i="10"/>
  <c r="M54" i="10"/>
  <c r="M171" i="10"/>
  <c r="M254" i="10"/>
  <c r="N254" i="10" s="1"/>
  <c r="M253" i="10"/>
  <c r="M382" i="10"/>
  <c r="M208" i="10"/>
  <c r="M326" i="10"/>
  <c r="V52" i="10"/>
  <c r="W52" i="10" s="1"/>
  <c r="T27" i="10"/>
  <c r="S27" i="10"/>
  <c r="Q27" i="10"/>
  <c r="R27" i="10"/>
  <c r="U27" i="10"/>
  <c r="P27" i="10"/>
  <c r="P132" i="10"/>
  <c r="T132" i="10"/>
  <c r="S132" i="10"/>
  <c r="U132" i="10"/>
  <c r="R132" i="10"/>
  <c r="Q132" i="10"/>
  <c r="P339" i="10"/>
  <c r="Q339" i="10"/>
  <c r="R339" i="10"/>
  <c r="S339" i="10"/>
  <c r="U339" i="10"/>
  <c r="T339" i="10"/>
  <c r="Q370" i="10"/>
  <c r="U370" i="10"/>
  <c r="T370" i="10"/>
  <c r="R370" i="10"/>
  <c r="S370" i="10"/>
  <c r="P370" i="10"/>
  <c r="Q331" i="10"/>
  <c r="R331" i="10"/>
  <c r="P331" i="10"/>
  <c r="U331" i="10"/>
  <c r="S331" i="10"/>
  <c r="T331" i="10"/>
  <c r="T342" i="10"/>
  <c r="P342" i="10"/>
  <c r="Q342" i="10"/>
  <c r="R342" i="10"/>
  <c r="S342" i="10"/>
  <c r="U342" i="10"/>
  <c r="U218" i="10"/>
  <c r="P218" i="10"/>
  <c r="Q218" i="10"/>
  <c r="S218" i="10"/>
  <c r="T218" i="10"/>
  <c r="R218" i="10"/>
  <c r="V218" i="10" s="1"/>
  <c r="W218" i="10" s="1"/>
  <c r="N378" i="10"/>
  <c r="M59" i="10"/>
  <c r="M157" i="10"/>
  <c r="M231" i="10"/>
  <c r="M83" i="10"/>
  <c r="M201" i="10"/>
  <c r="M345" i="10"/>
  <c r="N345" i="10" s="1"/>
  <c r="M226" i="10"/>
  <c r="M383" i="10"/>
  <c r="N383" i="10" s="1"/>
  <c r="M273" i="10"/>
  <c r="M235" i="10"/>
  <c r="N235" i="10" s="1"/>
  <c r="M230" i="10"/>
  <c r="M64" i="10"/>
  <c r="M191" i="10"/>
  <c r="N191" i="10" s="1"/>
  <c r="M153" i="10"/>
  <c r="N60" i="10"/>
  <c r="V60" i="10"/>
  <c r="W60" i="10" s="1"/>
  <c r="M269" i="10"/>
  <c r="N269" i="10" s="1"/>
  <c r="M121" i="10"/>
  <c r="M3" i="10"/>
  <c r="V3" i="10" s="1"/>
  <c r="W3" i="10" s="1"/>
  <c r="M325" i="10"/>
  <c r="N325" i="10" s="1"/>
  <c r="N4" i="10"/>
  <c r="V4" i="10"/>
  <c r="W4" i="10" s="1"/>
  <c r="M135" i="10"/>
  <c r="M38" i="10"/>
  <c r="M55" i="10"/>
  <c r="M315" i="10"/>
  <c r="M298" i="10"/>
  <c r="V125" i="10"/>
  <c r="W125" i="10" s="1"/>
  <c r="Q104" i="10"/>
  <c r="R104" i="10"/>
  <c r="U104" i="10"/>
  <c r="T104" i="10"/>
  <c r="P104" i="10"/>
  <c r="S104" i="10"/>
  <c r="R405" i="10"/>
  <c r="U405" i="10"/>
  <c r="S405" i="10"/>
  <c r="T405" i="10"/>
  <c r="Q405" i="10"/>
  <c r="P405" i="10"/>
  <c r="U345" i="10"/>
  <c r="P345" i="10"/>
  <c r="R345" i="10"/>
  <c r="S345" i="10"/>
  <c r="T345" i="10"/>
  <c r="Q345" i="10"/>
  <c r="P18" i="10"/>
  <c r="Q18" i="10"/>
  <c r="S18" i="10"/>
  <c r="U18" i="10"/>
  <c r="R18" i="10"/>
  <c r="T18" i="10"/>
  <c r="P30" i="10"/>
  <c r="R30" i="10"/>
  <c r="Q30" i="10"/>
  <c r="T30" i="10"/>
  <c r="U30" i="10"/>
  <c r="S30" i="10"/>
  <c r="U290" i="10"/>
  <c r="R290" i="10"/>
  <c r="S290" i="10"/>
  <c r="P290" i="10"/>
  <c r="T290" i="10"/>
  <c r="Q290" i="10"/>
  <c r="Q397" i="10"/>
  <c r="P397" i="10"/>
  <c r="R397" i="10"/>
  <c r="S397" i="10"/>
  <c r="T397" i="10"/>
  <c r="U397" i="10"/>
  <c r="Q39" i="10"/>
  <c r="S39" i="10"/>
  <c r="T39" i="10"/>
  <c r="R39" i="10"/>
  <c r="P39" i="10"/>
  <c r="U39" i="10"/>
  <c r="U36" i="10"/>
  <c r="T36" i="10"/>
  <c r="P36" i="10"/>
  <c r="V36" i="10" s="1"/>
  <c r="W36" i="10" s="1"/>
  <c r="Q36" i="10"/>
  <c r="S36" i="10"/>
  <c r="R36" i="10"/>
  <c r="S224" i="10"/>
  <c r="P224" i="10"/>
  <c r="R224" i="10"/>
  <c r="Q224" i="10"/>
  <c r="U224" i="10"/>
  <c r="T224" i="10"/>
  <c r="P185" i="10"/>
  <c r="U185" i="10"/>
  <c r="S185" i="10"/>
  <c r="Q185" i="10"/>
  <c r="T185" i="10"/>
  <c r="R185" i="10"/>
  <c r="R280" i="10"/>
  <c r="U280" i="10"/>
  <c r="P280" i="10"/>
  <c r="Q280" i="10"/>
  <c r="S280" i="10"/>
  <c r="T280" i="10"/>
  <c r="Q113" i="10"/>
  <c r="R113" i="10"/>
  <c r="T113" i="10"/>
  <c r="U113" i="10"/>
  <c r="P113" i="10"/>
  <c r="S113" i="10"/>
  <c r="Q419" i="10"/>
  <c r="P419" i="10"/>
  <c r="T419" i="10"/>
  <c r="S419" i="10"/>
  <c r="R419" i="10"/>
  <c r="U419" i="10"/>
  <c r="U355" i="10"/>
  <c r="R355" i="10"/>
  <c r="T355" i="10"/>
  <c r="P355" i="10"/>
  <c r="S355" i="10"/>
  <c r="Q355" i="10"/>
  <c r="V338" i="9"/>
  <c r="W338" i="9" s="1"/>
  <c r="V329" i="9"/>
  <c r="W329" i="9" s="1"/>
  <c r="V332" i="9"/>
  <c r="W332" i="9" s="1"/>
  <c r="V415" i="9"/>
  <c r="W415" i="9" s="1"/>
  <c r="N349" i="9"/>
  <c r="V325" i="9"/>
  <c r="W325" i="9" s="1"/>
  <c r="V323" i="9"/>
  <c r="W323" i="9" s="1"/>
  <c r="V374" i="9"/>
  <c r="W374" i="9" s="1"/>
  <c r="V402" i="9"/>
  <c r="W402" i="9" s="1"/>
  <c r="V308" i="9"/>
  <c r="W308" i="9" s="1"/>
  <c r="V416" i="9"/>
  <c r="W416" i="9" s="1"/>
  <c r="V386" i="9"/>
  <c r="W386" i="9" s="1"/>
  <c r="V381" i="9"/>
  <c r="W381" i="9" s="1"/>
  <c r="V401" i="9"/>
  <c r="W401" i="9" s="1"/>
  <c r="V236" i="9"/>
  <c r="W236" i="9" s="1"/>
  <c r="V212" i="9"/>
  <c r="W212" i="9" s="1"/>
  <c r="V219" i="9"/>
  <c r="W219" i="9" s="1"/>
  <c r="V172" i="9"/>
  <c r="W172" i="9" s="1"/>
  <c r="V234" i="9"/>
  <c r="W234" i="9" s="1"/>
  <c r="V265" i="9"/>
  <c r="W265" i="9" s="1"/>
  <c r="V204" i="9"/>
  <c r="W204" i="9" s="1"/>
  <c r="V199" i="9"/>
  <c r="W199" i="9" s="1"/>
  <c r="V242" i="9"/>
  <c r="W242" i="9" s="1"/>
  <c r="V270" i="9"/>
  <c r="W270" i="9" s="1"/>
  <c r="V252" i="9"/>
  <c r="W252" i="9" s="1"/>
  <c r="V255" i="9"/>
  <c r="W255" i="9" s="1"/>
  <c r="V137" i="9"/>
  <c r="W137" i="9" s="1"/>
  <c r="N137" i="9"/>
  <c r="V297" i="9"/>
  <c r="W297" i="9" s="1"/>
  <c r="N297" i="9"/>
  <c r="N168" i="9"/>
  <c r="V168" i="9"/>
  <c r="W168" i="9" s="1"/>
  <c r="V213" i="9"/>
  <c r="W213" i="9" s="1"/>
  <c r="N213" i="9"/>
  <c r="N291" i="9"/>
  <c r="V291" i="9"/>
  <c r="W291" i="9" s="1"/>
  <c r="N289" i="9"/>
  <c r="V289" i="9"/>
  <c r="W289" i="9" s="1"/>
  <c r="V376" i="9"/>
  <c r="W376" i="9" s="1"/>
  <c r="N376" i="9"/>
  <c r="V175" i="9"/>
  <c r="W175" i="9" s="1"/>
  <c r="N175" i="9"/>
  <c r="V132" i="9"/>
  <c r="W132" i="9" s="1"/>
  <c r="N132" i="9"/>
  <c r="N162" i="9"/>
  <c r="V162" i="9"/>
  <c r="W162" i="9" s="1"/>
  <c r="N9" i="9"/>
  <c r="V9" i="9"/>
  <c r="W9" i="9" s="1"/>
  <c r="V177" i="9"/>
  <c r="W177" i="9" s="1"/>
  <c r="N177" i="9"/>
  <c r="V52" i="9"/>
  <c r="W52" i="9" s="1"/>
  <c r="N52" i="9"/>
  <c r="N241" i="9"/>
  <c r="V241" i="9"/>
  <c r="W241" i="9" s="1"/>
  <c r="V404" i="9"/>
  <c r="W404" i="9" s="1"/>
  <c r="N404" i="9"/>
  <c r="N31" i="9"/>
  <c r="V31" i="9"/>
  <c r="W31" i="9" s="1"/>
  <c r="N103" i="9"/>
  <c r="V103" i="9"/>
  <c r="W103" i="9" s="1"/>
  <c r="V81" i="9"/>
  <c r="W81" i="9" s="1"/>
  <c r="N81" i="9"/>
  <c r="N309" i="9"/>
  <c r="V309" i="9"/>
  <c r="W309" i="9" s="1"/>
  <c r="N153" i="9"/>
  <c r="V153" i="9"/>
  <c r="W153" i="9" s="1"/>
  <c r="N229" i="9"/>
  <c r="V229" i="9"/>
  <c r="W229" i="9" s="1"/>
  <c r="V189" i="9"/>
  <c r="W189" i="9" s="1"/>
  <c r="N189" i="9"/>
  <c r="V347" i="9"/>
  <c r="W347" i="9" s="1"/>
  <c r="N347" i="9"/>
  <c r="N361" i="9"/>
  <c r="V361" i="9"/>
  <c r="W361" i="9" s="1"/>
  <c r="N109" i="9"/>
  <c r="V109" i="9"/>
  <c r="W109" i="9" s="1"/>
  <c r="V18" i="9"/>
  <c r="W18" i="9" s="1"/>
  <c r="N18" i="9"/>
  <c r="V50" i="9"/>
  <c r="W50" i="9" s="1"/>
  <c r="N50" i="9"/>
  <c r="V154" i="9"/>
  <c r="W154" i="9" s="1"/>
  <c r="N154" i="9"/>
  <c r="N245" i="9"/>
  <c r="V245" i="9"/>
  <c r="W245" i="9" s="1"/>
  <c r="V248" i="9"/>
  <c r="W248" i="9" s="1"/>
  <c r="N248" i="9"/>
  <c r="N324" i="9"/>
  <c r="V324" i="9"/>
  <c r="W324" i="9" s="1"/>
  <c r="V194" i="9"/>
  <c r="W194" i="9" s="1"/>
  <c r="N194" i="9"/>
  <c r="N140" i="9"/>
  <c r="V140" i="9"/>
  <c r="W140" i="9" s="1"/>
  <c r="N377" i="9"/>
  <c r="V377" i="9"/>
  <c r="W377" i="9" s="1"/>
  <c r="N392" i="9"/>
  <c r="V392" i="9"/>
  <c r="W392" i="9" s="1"/>
  <c r="N237" i="9"/>
  <c r="V237" i="9"/>
  <c r="W237" i="9" s="1"/>
  <c r="N249" i="9"/>
  <c r="V249" i="9"/>
  <c r="W249" i="9" s="1"/>
  <c r="V210" i="9"/>
  <c r="W210" i="9" s="1"/>
  <c r="N210" i="9"/>
  <c r="N125" i="9"/>
  <c r="V125" i="9"/>
  <c r="W125" i="9" s="1"/>
  <c r="N58" i="9"/>
  <c r="V58" i="9"/>
  <c r="W58" i="9" s="1"/>
  <c r="V116" i="9"/>
  <c r="W116" i="9" s="1"/>
  <c r="N116" i="9"/>
  <c r="V6" i="9"/>
  <c r="W6" i="9" s="1"/>
  <c r="N6" i="9"/>
  <c r="V101" i="9"/>
  <c r="W101" i="9" s="1"/>
  <c r="N101" i="9"/>
  <c r="V267" i="9"/>
  <c r="W267" i="9" s="1"/>
  <c r="N267" i="9"/>
  <c r="N202" i="9"/>
  <c r="V202" i="9"/>
  <c r="W202" i="9" s="1"/>
  <c r="V385" i="9"/>
  <c r="W385" i="9" s="1"/>
  <c r="N385" i="9"/>
  <c r="N359" i="9"/>
  <c r="V359" i="9"/>
  <c r="W359" i="9" s="1"/>
  <c r="N340" i="9"/>
  <c r="V340" i="9"/>
  <c r="W340" i="9" s="1"/>
  <c r="N42" i="9"/>
  <c r="V42" i="9"/>
  <c r="W42" i="9" s="1"/>
  <c r="V244" i="9"/>
  <c r="W244" i="9" s="1"/>
  <c r="N244" i="9"/>
  <c r="V280" i="9"/>
  <c r="W280" i="9" s="1"/>
  <c r="N280" i="9"/>
  <c r="N405" i="9"/>
  <c r="V405" i="9"/>
  <c r="W405" i="9" s="1"/>
  <c r="V45" i="9"/>
  <c r="W45" i="9" s="1"/>
  <c r="N45" i="9"/>
  <c r="N305" i="9"/>
  <c r="V305" i="9"/>
  <c r="W305" i="9" s="1"/>
  <c r="V15" i="9"/>
  <c r="W15" i="9" s="1"/>
  <c r="N15" i="9"/>
  <c r="N147" i="9"/>
  <c r="V147" i="9"/>
  <c r="W147" i="9" s="1"/>
  <c r="N135" i="9"/>
  <c r="V135" i="9"/>
  <c r="W135" i="9" s="1"/>
  <c r="V222" i="9"/>
  <c r="W222" i="9" s="1"/>
  <c r="N222" i="9"/>
  <c r="V165" i="9"/>
  <c r="W165" i="9" s="1"/>
  <c r="N165" i="9"/>
  <c r="V174" i="9"/>
  <c r="W174" i="9" s="1"/>
  <c r="N174" i="9"/>
  <c r="N8" i="9"/>
  <c r="V8" i="9"/>
  <c r="W8" i="9" s="1"/>
  <c r="V118" i="9"/>
  <c r="W118" i="9" s="1"/>
  <c r="N118" i="9"/>
  <c r="V32" i="9"/>
  <c r="W32" i="9" s="1"/>
  <c r="N32" i="9"/>
  <c r="V76" i="9"/>
  <c r="W76" i="9" s="1"/>
  <c r="N76" i="9"/>
  <c r="N25" i="9"/>
  <c r="V25" i="9"/>
  <c r="W25" i="9" s="1"/>
  <c r="V91" i="9"/>
  <c r="W91" i="9" s="1"/>
  <c r="N91" i="9"/>
  <c r="N21" i="9"/>
  <c r="V21" i="9"/>
  <c r="W21" i="9" s="1"/>
  <c r="N53" i="9"/>
  <c r="V53" i="9"/>
  <c r="W53" i="9" s="1"/>
  <c r="N367" i="9"/>
  <c r="V367" i="9"/>
  <c r="W367" i="9" s="1"/>
  <c r="N306" i="9"/>
  <c r="V306" i="9"/>
  <c r="W306" i="9" s="1"/>
  <c r="V69" i="9"/>
  <c r="W69" i="9" s="1"/>
  <c r="N69" i="9"/>
  <c r="V226" i="9"/>
  <c r="W226" i="9" s="1"/>
  <c r="N226" i="9"/>
  <c r="V311" i="9"/>
  <c r="W311" i="9" s="1"/>
  <c r="N311" i="9"/>
  <c r="V383" i="9"/>
  <c r="W383" i="9" s="1"/>
  <c r="N383" i="9"/>
  <c r="V59" i="9"/>
  <c r="W59" i="9" s="1"/>
  <c r="N59" i="9"/>
  <c r="V250" i="9"/>
  <c r="W250" i="9" s="1"/>
  <c r="N250" i="9"/>
  <c r="V39" i="9"/>
  <c r="W39" i="9" s="1"/>
  <c r="N39" i="9"/>
  <c r="V20" i="9"/>
  <c r="W20" i="9" s="1"/>
  <c r="N20" i="9"/>
  <c r="V24" i="9"/>
  <c r="W24" i="9" s="1"/>
  <c r="N24" i="9"/>
  <c r="N397" i="9"/>
  <c r="V397" i="9"/>
  <c r="W397" i="9" s="1"/>
  <c r="V191" i="9"/>
  <c r="W191" i="9" s="1"/>
  <c r="N191" i="9"/>
  <c r="N410" i="9"/>
  <c r="V410" i="9"/>
  <c r="W410" i="9" s="1"/>
  <c r="N341" i="9"/>
  <c r="V341" i="9"/>
  <c r="W341" i="9" s="1"/>
  <c r="N15" i="13"/>
  <c r="V343" i="7"/>
  <c r="W343" i="7" s="1"/>
  <c r="V404" i="7"/>
  <c r="W404" i="7" s="1"/>
  <c r="M346" i="7"/>
  <c r="M291" i="7"/>
  <c r="M305" i="7"/>
  <c r="M297" i="7"/>
  <c r="V374" i="7"/>
  <c r="W374" i="7" s="1"/>
  <c r="M268" i="7"/>
  <c r="M159" i="7"/>
  <c r="M190" i="7"/>
  <c r="M245" i="7"/>
  <c r="M127" i="7"/>
  <c r="M128" i="7"/>
  <c r="M218" i="7"/>
  <c r="M217" i="7"/>
  <c r="M219" i="7"/>
  <c r="M227" i="7"/>
  <c r="M212" i="7"/>
  <c r="N294" i="7"/>
  <c r="N127" i="8"/>
  <c r="N146" i="8"/>
  <c r="M52" i="7"/>
  <c r="N52" i="7" s="1"/>
  <c r="M141" i="7"/>
  <c r="M304" i="7"/>
  <c r="M281" i="7"/>
  <c r="V281" i="7" s="1"/>
  <c r="W281" i="7" s="1"/>
  <c r="M412" i="7"/>
  <c r="M89" i="7"/>
  <c r="M61" i="7"/>
  <c r="M201" i="7"/>
  <c r="N201" i="7" s="1"/>
  <c r="M278" i="7"/>
  <c r="V278" i="7" s="1"/>
  <c r="W278" i="7" s="1"/>
  <c r="N149" i="8"/>
  <c r="M164" i="7"/>
  <c r="N164" i="7" s="1"/>
  <c r="M59" i="7"/>
  <c r="M155" i="7"/>
  <c r="N14" i="8"/>
  <c r="M200" i="7"/>
  <c r="M380" i="7"/>
  <c r="N380" i="7" s="1"/>
  <c r="M420" i="7"/>
  <c r="M332" i="7"/>
  <c r="N332" i="7" s="1"/>
  <c r="M259" i="7"/>
  <c r="M152" i="7"/>
  <c r="M70" i="7"/>
  <c r="M32" i="7"/>
  <c r="M390" i="7"/>
  <c r="M353" i="7"/>
  <c r="M292" i="7"/>
  <c r="V292" i="7" s="1"/>
  <c r="W292" i="7" s="1"/>
  <c r="M121" i="7"/>
  <c r="V121" i="7" s="1"/>
  <c r="W121" i="7" s="1"/>
  <c r="M237" i="7"/>
  <c r="N102" i="8"/>
  <c r="M316" i="7"/>
  <c r="M262" i="7"/>
  <c r="M142" i="7"/>
  <c r="M334" i="7"/>
  <c r="N129" i="8"/>
  <c r="M260" i="7"/>
  <c r="M184" i="7"/>
  <c r="N158" i="8"/>
  <c r="M336" i="7"/>
  <c r="N336" i="7" s="1"/>
  <c r="M414" i="7"/>
  <c r="N414" i="7" s="1"/>
  <c r="M65" i="7"/>
  <c r="M269" i="7"/>
  <c r="N79" i="8"/>
  <c r="N170" i="8"/>
  <c r="M267" i="7"/>
  <c r="N267" i="7" s="1"/>
  <c r="N54" i="8"/>
  <c r="M27" i="7"/>
  <c r="M253" i="7"/>
  <c r="M338" i="7"/>
  <c r="M5" i="7"/>
  <c r="N126" i="8"/>
  <c r="M95" i="7"/>
  <c r="N95" i="7" s="1"/>
  <c r="M310" i="7"/>
  <c r="N310" i="7" s="1"/>
  <c r="M234" i="7"/>
  <c r="M347" i="7"/>
  <c r="N347" i="7" s="1"/>
  <c r="M199" i="7"/>
  <c r="M226" i="7"/>
  <c r="V226" i="7" s="1"/>
  <c r="W226" i="7" s="1"/>
  <c r="M364" i="7"/>
  <c r="M20" i="7"/>
  <c r="N41" i="8"/>
  <c r="M173" i="7"/>
  <c r="V173" i="7" s="1"/>
  <c r="W173" i="7" s="1"/>
  <c r="M342" i="7"/>
  <c r="N342" i="7" s="1"/>
  <c r="M302" i="7"/>
  <c r="M411" i="7"/>
  <c r="N411" i="7" s="1"/>
  <c r="M301" i="7"/>
  <c r="M182" i="7"/>
  <c r="N19" i="8"/>
  <c r="M169" i="7"/>
  <c r="N169" i="7" s="1"/>
  <c r="M271" i="7"/>
  <c r="V271" i="7" s="1"/>
  <c r="W271" i="7" s="1"/>
  <c r="M75" i="7"/>
  <c r="M328" i="7"/>
  <c r="N144" i="8"/>
  <c r="M124" i="7"/>
  <c r="V124" i="7" s="1"/>
  <c r="W124" i="7" s="1"/>
  <c r="M366" i="7"/>
  <c r="V366" i="7" s="1"/>
  <c r="W366" i="7" s="1"/>
  <c r="M168" i="7"/>
  <c r="M418" i="7"/>
  <c r="M137" i="7"/>
  <c r="V137" i="7" s="1"/>
  <c r="W137" i="7" s="1"/>
  <c r="M391" i="7"/>
  <c r="M14" i="7"/>
  <c r="M255" i="7"/>
  <c r="M258" i="7"/>
  <c r="N258" i="7" s="1"/>
  <c r="M407" i="7"/>
  <c r="N13" i="8"/>
  <c r="N74" i="8"/>
  <c r="M230" i="7"/>
  <c r="M368" i="7"/>
  <c r="N63" i="8"/>
  <c r="N28" i="8"/>
  <c r="M29" i="7"/>
  <c r="N10" i="17"/>
  <c r="M362" i="7"/>
  <c r="M392" i="7"/>
  <c r="N392" i="7" s="1"/>
  <c r="M373" i="7"/>
  <c r="N373" i="7" s="1"/>
  <c r="N12" i="8"/>
  <c r="M242" i="7"/>
  <c r="M15" i="7"/>
  <c r="V15" i="7" s="1"/>
  <c r="W15" i="7" s="1"/>
  <c r="M284" i="7"/>
  <c r="V320" i="7"/>
  <c r="W320" i="7" s="1"/>
  <c r="M80" i="7"/>
  <c r="N9" i="8"/>
  <c r="N101" i="8"/>
  <c r="M211" i="7"/>
  <c r="N211" i="7" s="1"/>
  <c r="N136" i="8"/>
  <c r="N71" i="8"/>
  <c r="N50" i="8"/>
  <c r="N4" i="8"/>
  <c r="N21" i="8"/>
  <c r="N48" i="8"/>
  <c r="M134" i="7"/>
  <c r="N134" i="7" s="1"/>
  <c r="N96" i="8"/>
  <c r="N43" i="8"/>
  <c r="M270" i="7"/>
  <c r="M225" i="7"/>
  <c r="N225" i="7" s="1"/>
  <c r="M409" i="7"/>
  <c r="M299" i="7"/>
  <c r="V299" i="7" s="1"/>
  <c r="W299" i="7" s="1"/>
  <c r="N55" i="8"/>
  <c r="N23" i="8"/>
  <c r="N72" i="8"/>
  <c r="M8" i="7"/>
  <c r="V8" i="7" s="1"/>
  <c r="W8" i="7" s="1"/>
  <c r="M401" i="7"/>
  <c r="V401" i="7" s="1"/>
  <c r="W401" i="7" s="1"/>
  <c r="M171" i="7"/>
  <c r="N171" i="7" s="1"/>
  <c r="M344" i="7"/>
  <c r="N344" i="7" s="1"/>
  <c r="M387" i="7"/>
  <c r="N387" i="7" s="1"/>
  <c r="M145" i="7"/>
  <c r="N46" i="8"/>
  <c r="M213" i="7"/>
  <c r="M157" i="7"/>
  <c r="N105" i="8"/>
  <c r="M166" i="7"/>
  <c r="M170" i="7"/>
  <c r="M313" i="7"/>
  <c r="M321" i="7"/>
  <c r="N321" i="7" s="1"/>
  <c r="M252" i="7"/>
  <c r="N135" i="8"/>
  <c r="M215" i="7"/>
  <c r="M136" i="7"/>
  <c r="M193" i="7"/>
  <c r="N193" i="7" s="1"/>
  <c r="N80" i="8"/>
  <c r="N140" i="8"/>
  <c r="M241" i="7"/>
  <c r="N241" i="7" s="1"/>
  <c r="M139" i="7"/>
  <c r="M4" i="7"/>
  <c r="M146" i="7"/>
  <c r="V146" i="7" s="1"/>
  <c r="W146" i="7" s="1"/>
  <c r="M62" i="7"/>
  <c r="M46" i="7"/>
  <c r="M254" i="7"/>
  <c r="M140" i="7"/>
  <c r="M79" i="7"/>
  <c r="M371" i="7"/>
  <c r="N61" i="8"/>
  <c r="M119" i="7"/>
  <c r="N119" i="7" s="1"/>
  <c r="M382" i="7"/>
  <c r="N382" i="7" s="1"/>
  <c r="M415" i="7"/>
  <c r="N415" i="7" s="1"/>
  <c r="M132" i="7"/>
  <c r="M372" i="7"/>
  <c r="N142" i="8"/>
  <c r="M197" i="7"/>
  <c r="N197" i="7" s="1"/>
  <c r="M325" i="7"/>
  <c r="M417" i="7"/>
  <c r="V417" i="7" s="1"/>
  <c r="W417" i="7" s="1"/>
  <c r="N108" i="8"/>
  <c r="M314" i="7"/>
  <c r="M34" i="7"/>
  <c r="V34" i="7" s="1"/>
  <c r="W34" i="7" s="1"/>
  <c r="M249" i="7"/>
  <c r="V249" i="7" s="1"/>
  <c r="W249" i="7" s="1"/>
  <c r="M147" i="7"/>
  <c r="V147" i="7" s="1"/>
  <c r="W147" i="7" s="1"/>
  <c r="M98" i="7"/>
  <c r="M42" i="7"/>
  <c r="N42" i="7" s="1"/>
  <c r="N3" i="17"/>
  <c r="M207" i="7"/>
  <c r="M293" i="7"/>
  <c r="N293" i="7" s="1"/>
  <c r="M354" i="7"/>
  <c r="M118" i="7"/>
  <c r="N118" i="7" s="1"/>
  <c r="N110" i="8"/>
  <c r="M13" i="7"/>
  <c r="V13" i="7" s="1"/>
  <c r="W13" i="7" s="1"/>
  <c r="N124" i="8"/>
  <c r="M405" i="7"/>
  <c r="N405" i="7" s="1"/>
  <c r="M421" i="7"/>
  <c r="N421" i="7" s="1"/>
  <c r="N97" i="8"/>
  <c r="M49" i="7"/>
  <c r="M18" i="7"/>
  <c r="M191" i="7"/>
  <c r="M33" i="7"/>
  <c r="M394" i="7"/>
  <c r="N394" i="7" s="1"/>
  <c r="M192" i="7"/>
  <c r="M355" i="7"/>
  <c r="N20" i="8"/>
  <c r="M108" i="7"/>
  <c r="N164" i="8"/>
  <c r="N112" i="8"/>
  <c r="M115" i="7"/>
  <c r="N115" i="7" s="1"/>
  <c r="N38" i="8"/>
  <c r="M53" i="7"/>
  <c r="M195" i="7"/>
  <c r="N53" i="8"/>
  <c r="N95" i="8"/>
  <c r="O95" i="8" s="1"/>
  <c r="M126" i="7"/>
  <c r="M67" i="7"/>
  <c r="M167" i="7"/>
  <c r="N67" i="8"/>
  <c r="M138" i="7"/>
  <c r="N125" i="8"/>
  <c r="M397" i="7"/>
  <c r="N8" i="17"/>
  <c r="M51" i="7"/>
  <c r="N47" i="8"/>
  <c r="M149" i="7"/>
  <c r="M403" i="7"/>
  <c r="N403" i="7" s="1"/>
  <c r="N82" i="8"/>
  <c r="M177" i="7"/>
  <c r="M194" i="7"/>
  <c r="M235" i="7"/>
  <c r="M287" i="7"/>
  <c r="N287" i="7" s="1"/>
  <c r="M220" i="7"/>
  <c r="M398" i="7"/>
  <c r="M36" i="7"/>
  <c r="M375" i="7"/>
  <c r="N375" i="7" s="1"/>
  <c r="M112" i="7"/>
  <c r="M73" i="7"/>
  <c r="N73" i="7" s="1"/>
  <c r="M111" i="7"/>
  <c r="N24" i="8"/>
  <c r="M198" i="7"/>
  <c r="M63" i="7"/>
  <c r="M105" i="7"/>
  <c r="M385" i="7"/>
  <c r="N385" i="7" s="1"/>
  <c r="M296" i="7"/>
  <c r="V296" i="7" s="1"/>
  <c r="W296" i="7" s="1"/>
  <c r="M107" i="7"/>
  <c r="M162" i="7"/>
  <c r="M47" i="7"/>
  <c r="M7" i="7"/>
  <c r="M204" i="7"/>
  <c r="M422" i="7"/>
  <c r="M341" i="7"/>
  <c r="V357" i="7"/>
  <c r="W357" i="7" s="1"/>
  <c r="M348" i="7"/>
  <c r="M308" i="7"/>
  <c r="N308" i="7" s="1"/>
  <c r="M90" i="7"/>
  <c r="M275" i="7"/>
  <c r="M396" i="7"/>
  <c r="N396" i="7" s="1"/>
  <c r="M68" i="7"/>
  <c r="M161" i="7"/>
  <c r="N161" i="7" s="1"/>
  <c r="M317" i="7"/>
  <c r="M263" i="7"/>
  <c r="M413" i="7"/>
  <c r="M383" i="7"/>
  <c r="M214" i="7"/>
  <c r="N214" i="7" s="1"/>
  <c r="M309" i="7"/>
  <c r="M399" i="7"/>
  <c r="M175" i="7"/>
  <c r="V175" i="7" s="1"/>
  <c r="W175" i="7" s="1"/>
  <c r="M250" i="7"/>
  <c r="M388" i="7"/>
  <c r="M239" i="7"/>
  <c r="M125" i="7"/>
  <c r="M393" i="7"/>
  <c r="N393" i="7" s="1"/>
  <c r="V378" i="7"/>
  <c r="W378" i="7" s="1"/>
  <c r="M370" i="7"/>
  <c r="M389" i="7"/>
  <c r="N389" i="7" s="1"/>
  <c r="M180" i="7"/>
  <c r="N180" i="7" s="1"/>
  <c r="M359" i="7"/>
  <c r="M288" i="7"/>
  <c r="M283" i="7"/>
  <c r="M333" i="7"/>
  <c r="M83" i="7"/>
  <c r="M203" i="7"/>
  <c r="M202" i="7"/>
  <c r="N202" i="7" s="1"/>
  <c r="M130" i="7"/>
  <c r="M16" i="7"/>
  <c r="N16" i="7" s="1"/>
  <c r="M279" i="7"/>
  <c r="N279" i="7" s="1"/>
  <c r="M44" i="7"/>
  <c r="N44" i="7" s="1"/>
  <c r="M277" i="7"/>
  <c r="M221" i="7"/>
  <c r="M303" i="7"/>
  <c r="N303" i="7" s="1"/>
  <c r="M228" i="7"/>
  <c r="N228" i="7" s="1"/>
  <c r="M351" i="7"/>
  <c r="M109" i="7"/>
  <c r="M11" i="7"/>
  <c r="M74" i="7"/>
  <c r="M38" i="7"/>
  <c r="M85" i="7"/>
  <c r="N85" i="7" s="1"/>
  <c r="M25" i="7"/>
  <c r="M19" i="7"/>
  <c r="W19" i="7" s="1"/>
  <c r="M272" i="7"/>
  <c r="N272" i="7" s="1"/>
  <c r="M251" i="7"/>
  <c r="M35" i="7"/>
  <c r="M102" i="7"/>
  <c r="M183" i="7"/>
  <c r="M160" i="7"/>
  <c r="N160" i="7" s="1"/>
  <c r="M318" i="7"/>
  <c r="N318" i="7" s="1"/>
  <c r="M64" i="7"/>
  <c r="N64" i="7" s="1"/>
  <c r="M43" i="7"/>
  <c r="M379" i="7"/>
  <c r="N379" i="7" s="1"/>
  <c r="M144" i="7"/>
  <c r="M356" i="7"/>
  <c r="M189" i="7"/>
  <c r="N189" i="7" s="1"/>
  <c r="M295" i="7"/>
  <c r="M330" i="7"/>
  <c r="M103" i="7"/>
  <c r="N103" i="7" s="1"/>
  <c r="M104" i="7"/>
  <c r="M232" i="7"/>
  <c r="V232" i="7" s="1"/>
  <c r="W232" i="7" s="1"/>
  <c r="M363" i="7"/>
  <c r="M386" i="7"/>
  <c r="M69" i="7"/>
  <c r="N69" i="7" s="1"/>
  <c r="M41" i="7"/>
  <c r="N41" i="7" s="1"/>
  <c r="M306" i="7"/>
  <c r="M72" i="7"/>
  <c r="M188" i="7"/>
  <c r="M96" i="7"/>
  <c r="N96" i="7" s="1"/>
  <c r="M276" i="7"/>
  <c r="M223" i="7"/>
  <c r="M122" i="7"/>
  <c r="M113" i="7"/>
  <c r="N113" i="7" s="1"/>
  <c r="M264" i="7"/>
  <c r="N264" i="7" s="1"/>
  <c r="M172" i="7"/>
  <c r="N172" i="7" s="1"/>
  <c r="M94" i="7"/>
  <c r="M248" i="7"/>
  <c r="N248" i="7" s="1"/>
  <c r="M340" i="7"/>
  <c r="M352" i="7"/>
  <c r="M148" i="7"/>
  <c r="M92" i="7"/>
  <c r="M117" i="7"/>
  <c r="M50" i="7"/>
  <c r="V50" i="7" s="1"/>
  <c r="W50" i="7" s="1"/>
  <c r="M265" i="7"/>
  <c r="M135" i="7"/>
  <c r="V135" i="7" s="1"/>
  <c r="W135" i="7" s="1"/>
  <c r="M39" i="7"/>
  <c r="M185" i="7"/>
  <c r="N185" i="7" s="1"/>
  <c r="M257" i="7"/>
  <c r="M350" i="7"/>
  <c r="M120" i="7"/>
  <c r="V120" i="7" s="1"/>
  <c r="W120" i="7" s="1"/>
  <c r="M17" i="7"/>
  <c r="M229" i="7"/>
  <c r="M377" i="7"/>
  <c r="N377" i="7" s="1"/>
  <c r="M322" i="7"/>
  <c r="M312" i="7"/>
  <c r="V312" i="7" s="1"/>
  <c r="W312" i="7" s="1"/>
  <c r="M178" i="7"/>
  <c r="M186" i="7"/>
  <c r="M256" i="7"/>
  <c r="M31" i="7"/>
  <c r="M238" i="7"/>
  <c r="N238" i="7" s="1"/>
  <c r="M286" i="7"/>
  <c r="M78" i="7"/>
  <c r="M114" i="7"/>
  <c r="M179" i="7"/>
  <c r="M274" i="7"/>
  <c r="M282" i="7"/>
  <c r="M205" i="7"/>
  <c r="M376" i="7"/>
  <c r="M307" i="7"/>
  <c r="M187" i="7"/>
  <c r="M88" i="7"/>
  <c r="M365" i="7"/>
  <c r="N365" i="7" s="1"/>
  <c r="M30" i="7"/>
  <c r="M222" i="7"/>
  <c r="N222" i="7" s="1"/>
  <c r="M57" i="7"/>
  <c r="M156" i="7"/>
  <c r="M266" i="7"/>
  <c r="M335" i="7"/>
  <c r="N335" i="7" s="1"/>
  <c r="M402" i="7"/>
  <c r="M381" i="7"/>
  <c r="M12" i="7"/>
  <c r="N12" i="7" s="1"/>
  <c r="M216" i="7"/>
  <c r="M40" i="7"/>
  <c r="V40" i="7" s="1"/>
  <c r="W40" i="7" s="1"/>
  <c r="M233" i="7"/>
  <c r="M21" i="7"/>
  <c r="M384" i="7"/>
  <c r="V384" i="7" s="1"/>
  <c r="W384" i="7" s="1"/>
  <c r="M419" i="7"/>
  <c r="M93" i="7"/>
  <c r="M71" i="7"/>
  <c r="M26" i="7"/>
  <c r="M110" i="7"/>
  <c r="M82" i="7"/>
  <c r="M163" i="7"/>
  <c r="M23" i="7"/>
  <c r="M176" i="7"/>
  <c r="M261" i="7"/>
  <c r="V261" i="7" s="1"/>
  <c r="W261" i="7" s="1"/>
  <c r="M327" i="7"/>
  <c r="M129" i="7"/>
  <c r="M9" i="7"/>
  <c r="M76" i="7"/>
  <c r="M360" i="7"/>
  <c r="M416" i="7"/>
  <c r="M289" i="7"/>
  <c r="N289" i="7" s="1"/>
  <c r="M45" i="7"/>
  <c r="V410" i="7"/>
  <c r="W410" i="7" s="1"/>
  <c r="V290" i="7"/>
  <c r="W290" i="7" s="1"/>
  <c r="V319" i="7"/>
  <c r="W319" i="7" s="1"/>
  <c r="V326" i="7"/>
  <c r="W326" i="7" s="1"/>
  <c r="V236" i="7"/>
  <c r="W236" i="7" s="1"/>
  <c r="V315" i="7"/>
  <c r="W315" i="7" s="1"/>
  <c r="V369" i="7"/>
  <c r="W369" i="7" s="1"/>
  <c r="V367" i="7"/>
  <c r="W367" i="7" s="1"/>
  <c r="R26" i="8"/>
  <c r="Q26" i="8"/>
  <c r="V26" i="8"/>
  <c r="U26" i="8"/>
  <c r="T26" i="8"/>
  <c r="S26" i="8"/>
  <c r="V6" i="8"/>
  <c r="U6" i="8"/>
  <c r="T6" i="8"/>
  <c r="S6" i="8"/>
  <c r="Q6" i="8"/>
  <c r="R6" i="8"/>
  <c r="N51" i="8"/>
  <c r="Q21" i="8"/>
  <c r="T21" i="8"/>
  <c r="S21" i="8"/>
  <c r="R21" i="8"/>
  <c r="V21" i="8"/>
  <c r="U21" i="8"/>
  <c r="T45" i="8"/>
  <c r="V45" i="8"/>
  <c r="U45" i="8"/>
  <c r="S45" i="8"/>
  <c r="R45" i="8"/>
  <c r="Q45" i="8"/>
  <c r="O3" i="8"/>
  <c r="N109" i="8"/>
  <c r="V219" i="7"/>
  <c r="W219" i="7" s="1"/>
  <c r="V128" i="8"/>
  <c r="U128" i="8"/>
  <c r="S128" i="8"/>
  <c r="R128" i="8"/>
  <c r="Q128" i="8"/>
  <c r="T128" i="8"/>
  <c r="V16" i="7"/>
  <c r="W16" i="7" s="1"/>
  <c r="V207" i="7"/>
  <c r="W207" i="7" s="1"/>
  <c r="Q41" i="8"/>
  <c r="V41" i="8"/>
  <c r="U41" i="8"/>
  <c r="T41" i="8"/>
  <c r="S41" i="8"/>
  <c r="R41" i="8"/>
  <c r="V134" i="8"/>
  <c r="U134" i="8"/>
  <c r="T134" i="8"/>
  <c r="S134" i="8"/>
  <c r="R134" i="8"/>
  <c r="Q134" i="8"/>
  <c r="S39" i="8"/>
  <c r="R39" i="8"/>
  <c r="U39" i="8"/>
  <c r="T39" i="8"/>
  <c r="Q39" i="8"/>
  <c r="V39" i="8"/>
  <c r="N45" i="8"/>
  <c r="W130" i="8"/>
  <c r="X130" i="8" s="1"/>
  <c r="O130" i="8"/>
  <c r="N94" i="8"/>
  <c r="O126" i="8"/>
  <c r="N219" i="7"/>
  <c r="N91" i="8"/>
  <c r="S139" i="8"/>
  <c r="T139" i="8"/>
  <c r="R139" i="8"/>
  <c r="V139" i="8"/>
  <c r="U139" i="8"/>
  <c r="Q139" i="8"/>
  <c r="N69" i="8"/>
  <c r="V64" i="8"/>
  <c r="T64" i="8"/>
  <c r="U64" i="8"/>
  <c r="S64" i="8"/>
  <c r="R64" i="8"/>
  <c r="Q64" i="8"/>
  <c r="O103" i="8"/>
  <c r="U109" i="8"/>
  <c r="Q109" i="8"/>
  <c r="T109" i="8"/>
  <c r="S109" i="8"/>
  <c r="V109" i="8"/>
  <c r="R109" i="8"/>
  <c r="R126" i="8"/>
  <c r="U126" i="8"/>
  <c r="T126" i="8"/>
  <c r="S126" i="8"/>
  <c r="Q126" i="8"/>
  <c r="V126" i="8"/>
  <c r="O146" i="8"/>
  <c r="O139" i="8"/>
  <c r="N64" i="8"/>
  <c r="S103" i="8"/>
  <c r="R103" i="8"/>
  <c r="Q103" i="8"/>
  <c r="V103" i="8"/>
  <c r="U103" i="8"/>
  <c r="T103" i="8"/>
  <c r="N7" i="8"/>
  <c r="V91" i="8"/>
  <c r="U91" i="8"/>
  <c r="T91" i="8"/>
  <c r="S91" i="8"/>
  <c r="R91" i="8"/>
  <c r="Q91" i="8"/>
  <c r="N113" i="8"/>
  <c r="V171" i="8"/>
  <c r="R171" i="8"/>
  <c r="Q171" i="8"/>
  <c r="U171" i="8"/>
  <c r="T171" i="8"/>
  <c r="S171" i="8"/>
  <c r="V32" i="8"/>
  <c r="U32" i="8"/>
  <c r="T32" i="8"/>
  <c r="S32" i="8"/>
  <c r="R32" i="8"/>
  <c r="Q32" i="8"/>
  <c r="Q69" i="8"/>
  <c r="R69" i="8"/>
  <c r="V69" i="8"/>
  <c r="U69" i="8"/>
  <c r="T69" i="8"/>
  <c r="S69" i="8"/>
  <c r="N27" i="8"/>
  <c r="N36" i="8"/>
  <c r="O53" i="8"/>
  <c r="S95" i="8"/>
  <c r="R95" i="8"/>
  <c r="Q95" i="8"/>
  <c r="V95" i="8"/>
  <c r="U95" i="8"/>
  <c r="T95" i="8"/>
  <c r="U49" i="8"/>
  <c r="T49" i="8"/>
  <c r="S49" i="8"/>
  <c r="R49" i="8"/>
  <c r="Q49" i="8"/>
  <c r="V49" i="8"/>
  <c r="N282" i="7"/>
  <c r="O25" i="8"/>
  <c r="O97" i="8"/>
  <c r="N212" i="7"/>
  <c r="V258" i="7"/>
  <c r="W258" i="7" s="1"/>
  <c r="U73" i="8"/>
  <c r="T73" i="8"/>
  <c r="S73" i="8"/>
  <c r="R73" i="8"/>
  <c r="Q73" i="8"/>
  <c r="V73" i="8"/>
  <c r="V108" i="7"/>
  <c r="W108" i="7" s="1"/>
  <c r="V158" i="7"/>
  <c r="W158" i="7" s="1"/>
  <c r="N158" i="7"/>
  <c r="V101" i="8"/>
  <c r="R101" i="8"/>
  <c r="Q101" i="8"/>
  <c r="U101" i="8"/>
  <c r="T101" i="8"/>
  <c r="S101" i="8"/>
  <c r="O157" i="8"/>
  <c r="O96" i="8"/>
  <c r="N49" i="8"/>
  <c r="V282" i="7"/>
  <c r="W282" i="7" s="1"/>
  <c r="Q97" i="8"/>
  <c r="T97" i="8"/>
  <c r="V97" i="8"/>
  <c r="S97" i="8"/>
  <c r="R97" i="8"/>
  <c r="U97" i="8"/>
  <c r="R157" i="8"/>
  <c r="Q157" i="8"/>
  <c r="V157" i="8"/>
  <c r="U157" i="8"/>
  <c r="T157" i="8"/>
  <c r="S157" i="8"/>
  <c r="O63" i="8"/>
  <c r="U53" i="8"/>
  <c r="T53" i="8"/>
  <c r="S53" i="8"/>
  <c r="R53" i="8"/>
  <c r="Q53" i="8"/>
  <c r="V53" i="8"/>
  <c r="F54" i="15"/>
  <c r="O110" i="8"/>
  <c r="N78" i="8"/>
  <c r="V63" i="8"/>
  <c r="U63" i="8"/>
  <c r="T63" i="8"/>
  <c r="S63" i="8"/>
  <c r="R63" i="8"/>
  <c r="Q63" i="8"/>
  <c r="T124" i="8"/>
  <c r="V124" i="8"/>
  <c r="U124" i="8"/>
  <c r="S124" i="8"/>
  <c r="W124" i="8" s="1"/>
  <c r="X124" i="8" s="1"/>
  <c r="R124" i="8"/>
  <c r="Q124" i="8"/>
  <c r="N4" i="17"/>
  <c r="Q129" i="8"/>
  <c r="R129" i="8"/>
  <c r="V129" i="8"/>
  <c r="U129" i="8"/>
  <c r="T129" i="8"/>
  <c r="S129" i="8"/>
  <c r="T47" i="8"/>
  <c r="S47" i="8"/>
  <c r="V47" i="8"/>
  <c r="U47" i="8"/>
  <c r="Q47" i="8"/>
  <c r="R47" i="8"/>
  <c r="N168" i="8"/>
  <c r="T24" i="8"/>
  <c r="W24" i="8" s="1"/>
  <c r="X24" i="8" s="1"/>
  <c r="S24" i="8"/>
  <c r="Q24" i="8"/>
  <c r="R24" i="8"/>
  <c r="V24" i="8"/>
  <c r="U24" i="8"/>
  <c r="N261" i="7"/>
  <c r="T51" i="8"/>
  <c r="V51" i="8"/>
  <c r="U51" i="8"/>
  <c r="S51" i="8"/>
  <c r="R51" i="8"/>
  <c r="Q51" i="8"/>
  <c r="O147" i="8"/>
  <c r="O65" i="8"/>
  <c r="O47" i="8"/>
  <c r="O129" i="8"/>
  <c r="O127" i="8"/>
  <c r="U65" i="8"/>
  <c r="T65" i="8"/>
  <c r="S65" i="8"/>
  <c r="R65" i="8"/>
  <c r="Q65" i="8"/>
  <c r="V65" i="8"/>
  <c r="R110" i="8"/>
  <c r="Q110" i="8"/>
  <c r="V110" i="8"/>
  <c r="U110" i="8"/>
  <c r="T110" i="8"/>
  <c r="S110" i="8"/>
  <c r="N58" i="7"/>
  <c r="U81" i="8"/>
  <c r="Q81" i="8"/>
  <c r="V81" i="8"/>
  <c r="T81" i="8"/>
  <c r="S81" i="8"/>
  <c r="R81" i="8"/>
  <c r="N22" i="7"/>
  <c r="V78" i="8"/>
  <c r="U78" i="8"/>
  <c r="T78" i="8"/>
  <c r="S78" i="8"/>
  <c r="R78" i="8"/>
  <c r="Q78" i="8"/>
  <c r="V361" i="7"/>
  <c r="W361" i="7" s="1"/>
  <c r="N361" i="7"/>
  <c r="O133" i="8"/>
  <c r="V168" i="8"/>
  <c r="T168" i="8"/>
  <c r="S168" i="8"/>
  <c r="R168" i="8"/>
  <c r="Q168" i="8"/>
  <c r="U168" i="8"/>
  <c r="N87" i="7"/>
  <c r="V22" i="7"/>
  <c r="W22" i="7" s="1"/>
  <c r="O124" i="8"/>
  <c r="S112" i="8"/>
  <c r="V112" i="8"/>
  <c r="T112" i="8"/>
  <c r="R112" i="8"/>
  <c r="Q112" i="8"/>
  <c r="U112" i="8"/>
  <c r="N81" i="8"/>
  <c r="V87" i="7"/>
  <c r="W87" i="7" s="1"/>
  <c r="V17" i="8"/>
  <c r="U17" i="8"/>
  <c r="T17" i="8"/>
  <c r="S17" i="8"/>
  <c r="R17" i="8"/>
  <c r="Q17" i="8"/>
  <c r="V50" i="8"/>
  <c r="U50" i="8"/>
  <c r="S50" i="8"/>
  <c r="R50" i="8"/>
  <c r="Q50" i="8"/>
  <c r="T50" i="8"/>
  <c r="O80" i="8"/>
  <c r="V147" i="8"/>
  <c r="U147" i="8"/>
  <c r="T147" i="8"/>
  <c r="S147" i="8"/>
  <c r="R147" i="8"/>
  <c r="Q147" i="8"/>
  <c r="N56" i="8"/>
  <c r="V38" i="8"/>
  <c r="S38" i="8"/>
  <c r="Q38" i="8"/>
  <c r="R38" i="8"/>
  <c r="T38" i="8"/>
  <c r="U38" i="8"/>
  <c r="N5" i="8"/>
  <c r="N17" i="8"/>
  <c r="O50" i="8"/>
  <c r="V133" i="8"/>
  <c r="U133" i="8"/>
  <c r="Q133" i="8"/>
  <c r="T133" i="8"/>
  <c r="S133" i="8"/>
  <c r="R133" i="8"/>
  <c r="N131" i="8"/>
  <c r="V35" i="8"/>
  <c r="T35" i="8"/>
  <c r="R35" i="8"/>
  <c r="U35" i="8"/>
  <c r="S35" i="8"/>
  <c r="Q35" i="8"/>
  <c r="Q107" i="8"/>
  <c r="T107" i="8"/>
  <c r="S107" i="8"/>
  <c r="V107" i="8"/>
  <c r="U107" i="8"/>
  <c r="R107" i="8"/>
  <c r="V10" i="8"/>
  <c r="U10" i="8"/>
  <c r="S10" i="8"/>
  <c r="T10" i="8"/>
  <c r="R10" i="8"/>
  <c r="Q10" i="8"/>
  <c r="N281" i="7"/>
  <c r="V56" i="7"/>
  <c r="W56" i="7" s="1"/>
  <c r="R15" i="8"/>
  <c r="Q15" i="8"/>
  <c r="V15" i="8"/>
  <c r="U15" i="8"/>
  <c r="T15" i="8"/>
  <c r="S15" i="8"/>
  <c r="V337" i="7"/>
  <c r="W337" i="7" s="1"/>
  <c r="N337" i="7"/>
  <c r="V11" i="17"/>
  <c r="U11" i="17"/>
  <c r="T11" i="17"/>
  <c r="S11" i="17"/>
  <c r="Q11" i="17"/>
  <c r="R11" i="17"/>
  <c r="N135" i="7"/>
  <c r="N57" i="8"/>
  <c r="T80" i="8"/>
  <c r="S80" i="8"/>
  <c r="R80" i="8"/>
  <c r="Q80" i="8"/>
  <c r="V80" i="8"/>
  <c r="U80" i="8"/>
  <c r="O140" i="8"/>
  <c r="V131" i="8"/>
  <c r="U131" i="8"/>
  <c r="T131" i="8"/>
  <c r="S131" i="8"/>
  <c r="R131" i="8"/>
  <c r="Q131" i="8"/>
  <c r="O28" i="8"/>
  <c r="O107" i="8"/>
  <c r="O24" i="8"/>
  <c r="S111" i="8"/>
  <c r="V111" i="8"/>
  <c r="U111" i="8"/>
  <c r="T111" i="8"/>
  <c r="R111" i="8"/>
  <c r="Q111" i="8"/>
  <c r="V10" i="7"/>
  <c r="W10" i="7" s="1"/>
  <c r="N11" i="17"/>
  <c r="N75" i="8"/>
  <c r="Q57" i="8"/>
  <c r="S57" i="8"/>
  <c r="V57" i="8"/>
  <c r="T57" i="8"/>
  <c r="R57" i="8"/>
  <c r="U57" i="8"/>
  <c r="V273" i="7"/>
  <c r="W273" i="7" s="1"/>
  <c r="N273" i="7"/>
  <c r="V115" i="8"/>
  <c r="U115" i="8"/>
  <c r="T115" i="8"/>
  <c r="S115" i="8"/>
  <c r="R115" i="8"/>
  <c r="Q115" i="8"/>
  <c r="R79" i="8"/>
  <c r="V79" i="8"/>
  <c r="Q79" i="8"/>
  <c r="U79" i="8"/>
  <c r="T79" i="8"/>
  <c r="S79" i="8"/>
  <c r="N3" i="10"/>
  <c r="O170" i="8"/>
  <c r="O14" i="8"/>
  <c r="V76" i="8"/>
  <c r="U76" i="8"/>
  <c r="T76" i="8"/>
  <c r="S76" i="8"/>
  <c r="R76" i="8"/>
  <c r="Q76" i="8"/>
  <c r="Q56" i="8"/>
  <c r="V56" i="8"/>
  <c r="U56" i="8"/>
  <c r="T56" i="8"/>
  <c r="S56" i="8"/>
  <c r="R56" i="8"/>
  <c r="V22" i="8"/>
  <c r="U22" i="8"/>
  <c r="S22" i="8"/>
  <c r="Q22" i="8"/>
  <c r="R22" i="8"/>
  <c r="T22" i="8"/>
  <c r="N182" i="7"/>
  <c r="V140" i="8"/>
  <c r="U140" i="8"/>
  <c r="T140" i="8"/>
  <c r="S140" i="8"/>
  <c r="R140" i="8"/>
  <c r="Q140" i="8"/>
  <c r="O79" i="8"/>
  <c r="V28" i="8"/>
  <c r="U28" i="8"/>
  <c r="S28" i="8"/>
  <c r="T28" i="8"/>
  <c r="R28" i="8"/>
  <c r="Q28" i="8"/>
  <c r="R7" i="17"/>
  <c r="Q7" i="17"/>
  <c r="V7" i="17"/>
  <c r="U7" i="17"/>
  <c r="T7" i="17"/>
  <c r="S7" i="17"/>
  <c r="N52" i="8"/>
  <c r="Q141" i="8"/>
  <c r="T141" i="8"/>
  <c r="S141" i="8"/>
  <c r="R141" i="8"/>
  <c r="V141" i="8"/>
  <c r="U141" i="8"/>
  <c r="R14" i="8"/>
  <c r="S14" i="8"/>
  <c r="Q14" i="8"/>
  <c r="V14" i="8"/>
  <c r="U14" i="8"/>
  <c r="T14" i="8"/>
  <c r="N165" i="8"/>
  <c r="N31" i="8"/>
  <c r="N29" i="8"/>
  <c r="V89" i="7"/>
  <c r="W89" i="7" s="1"/>
  <c r="N89" i="7"/>
  <c r="O111" i="8"/>
  <c r="U20" i="8"/>
  <c r="S20" i="8"/>
  <c r="T20" i="8"/>
  <c r="V20" i="8"/>
  <c r="R20" i="8"/>
  <c r="Q20" i="8"/>
  <c r="N66" i="7"/>
  <c r="R42" i="8"/>
  <c r="T42" i="8"/>
  <c r="S42" i="8"/>
  <c r="Q42" i="8"/>
  <c r="V42" i="8"/>
  <c r="U42" i="8"/>
  <c r="V182" i="7"/>
  <c r="W182" i="7" s="1"/>
  <c r="N68" i="8"/>
  <c r="N86" i="8"/>
  <c r="N30" i="8"/>
  <c r="N32" i="7"/>
  <c r="N153" i="7"/>
  <c r="V244" i="7"/>
  <c r="W244" i="7" s="1"/>
  <c r="N244" i="7"/>
  <c r="N141" i="8"/>
  <c r="V349" i="7"/>
  <c r="W349" i="7" s="1"/>
  <c r="O3" i="17"/>
  <c r="S30" i="8"/>
  <c r="R30" i="8"/>
  <c r="Q30" i="8"/>
  <c r="V30" i="8"/>
  <c r="U30" i="8"/>
  <c r="T30" i="8"/>
  <c r="V31" i="8"/>
  <c r="U31" i="8"/>
  <c r="T31" i="8"/>
  <c r="S31" i="8"/>
  <c r="R31" i="8"/>
  <c r="Q31" i="8"/>
  <c r="V191" i="7"/>
  <c r="W191" i="7" s="1"/>
  <c r="W171" i="8"/>
  <c r="X171" i="8" s="1"/>
  <c r="O171" i="8"/>
  <c r="N147" i="7"/>
  <c r="V7" i="8"/>
  <c r="T7" i="8"/>
  <c r="R7" i="8"/>
  <c r="U7" i="8"/>
  <c r="S7" i="8"/>
  <c r="Q7" i="8"/>
  <c r="N15" i="8"/>
  <c r="T4" i="17"/>
  <c r="S4" i="17"/>
  <c r="R4" i="17"/>
  <c r="Q4" i="17"/>
  <c r="U4" i="17"/>
  <c r="V4" i="17"/>
  <c r="N173" i="7"/>
  <c r="V5" i="8"/>
  <c r="T5" i="8"/>
  <c r="Q5" i="8"/>
  <c r="S5" i="8"/>
  <c r="R5" i="8"/>
  <c r="U5" i="8"/>
  <c r="N184" i="7"/>
  <c r="N191" i="7"/>
  <c r="V74" i="8"/>
  <c r="U74" i="8"/>
  <c r="Q74" i="8"/>
  <c r="R74" i="8"/>
  <c r="T74" i="8"/>
  <c r="S74" i="8"/>
  <c r="T96" i="8"/>
  <c r="U96" i="8"/>
  <c r="S96" i="8"/>
  <c r="R96" i="8"/>
  <c r="Q96" i="8"/>
  <c r="V96" i="8"/>
  <c r="N36" i="7"/>
  <c r="O161" i="8"/>
  <c r="W161" i="8"/>
  <c r="X161" i="8" s="1"/>
  <c r="V122" i="7"/>
  <c r="W122" i="7" s="1"/>
  <c r="N122" i="7"/>
  <c r="V208" i="7"/>
  <c r="W208" i="7" s="1"/>
  <c r="N208" i="7"/>
  <c r="V102" i="8"/>
  <c r="U102" i="8"/>
  <c r="T102" i="8"/>
  <c r="R102" i="8"/>
  <c r="S102" i="8"/>
  <c r="Q102" i="8"/>
  <c r="V298" i="7"/>
  <c r="W298" i="7" s="1"/>
  <c r="N298" i="7"/>
  <c r="N240" i="7"/>
  <c r="V201" i="7"/>
  <c r="W201" i="7" s="1"/>
  <c r="T68" i="8"/>
  <c r="S68" i="8"/>
  <c r="R68" i="8"/>
  <c r="Q68" i="8"/>
  <c r="V68" i="8"/>
  <c r="U68" i="8"/>
  <c r="R98" i="8"/>
  <c r="Q98" i="8"/>
  <c r="U98" i="8"/>
  <c r="T98" i="8"/>
  <c r="S98" i="8"/>
  <c r="V98" i="8"/>
  <c r="W101" i="8"/>
  <c r="X101" i="8" s="1"/>
  <c r="O101" i="8"/>
  <c r="N10" i="7"/>
  <c r="N85" i="8"/>
  <c r="U9" i="8"/>
  <c r="T9" i="8"/>
  <c r="R9" i="8"/>
  <c r="V9" i="8"/>
  <c r="S9" i="8"/>
  <c r="Q9" i="8"/>
  <c r="W9" i="8" s="1"/>
  <c r="X9" i="8" s="1"/>
  <c r="Q5" i="17"/>
  <c r="R5" i="17"/>
  <c r="U5" i="17"/>
  <c r="S5" i="17"/>
  <c r="V5" i="17"/>
  <c r="T5" i="17"/>
  <c r="T108" i="8"/>
  <c r="S108" i="8"/>
  <c r="R108" i="8"/>
  <c r="Q108" i="8"/>
  <c r="U108" i="8"/>
  <c r="V108" i="8"/>
  <c r="N159" i="8"/>
  <c r="N3" i="11"/>
  <c r="V122" i="8"/>
  <c r="U122" i="8"/>
  <c r="Q122" i="8"/>
  <c r="T122" i="8"/>
  <c r="S122" i="8"/>
  <c r="R122" i="8"/>
  <c r="N395" i="7"/>
  <c r="V395" i="7"/>
  <c r="W395" i="7" s="1"/>
  <c r="N84" i="7"/>
  <c r="N134" i="8"/>
  <c r="N32" i="8"/>
  <c r="R36" i="8"/>
  <c r="Q36" i="8"/>
  <c r="U36" i="8"/>
  <c r="T36" i="8"/>
  <c r="S36" i="8"/>
  <c r="V36" i="8"/>
  <c r="N76" i="8"/>
  <c r="N165" i="7"/>
  <c r="O98" i="8"/>
  <c r="N246" i="7"/>
  <c r="O108" i="8"/>
  <c r="V406" i="7"/>
  <c r="W406" i="7" s="1"/>
  <c r="N406" i="7"/>
  <c r="N139" i="7"/>
  <c r="O122" i="8"/>
  <c r="V37" i="7"/>
  <c r="W37" i="7" s="1"/>
  <c r="N37" i="7"/>
  <c r="O164" i="8"/>
  <c r="S55" i="8"/>
  <c r="V55" i="8"/>
  <c r="U55" i="8"/>
  <c r="R55" i="8"/>
  <c r="Q55" i="8"/>
  <c r="T55" i="8"/>
  <c r="N5" i="17"/>
  <c r="Q142" i="8"/>
  <c r="T142" i="8"/>
  <c r="U142" i="8"/>
  <c r="S142" i="8"/>
  <c r="V142" i="8"/>
  <c r="R142" i="8"/>
  <c r="W142" i="8" s="1"/>
  <c r="X142" i="8" s="1"/>
  <c r="V223" i="7"/>
  <c r="W223" i="7" s="1"/>
  <c r="S44" i="8"/>
  <c r="R44" i="8"/>
  <c r="U44" i="8"/>
  <c r="T44" i="8"/>
  <c r="Q44" i="8"/>
  <c r="V44" i="8"/>
  <c r="N106" i="8"/>
  <c r="N77" i="8"/>
  <c r="V100" i="8"/>
  <c r="U100" i="8"/>
  <c r="T100" i="8"/>
  <c r="S100" i="8"/>
  <c r="R100" i="8"/>
  <c r="Q100" i="8"/>
  <c r="N33" i="8"/>
  <c r="O26" i="8"/>
  <c r="W26" i="8"/>
  <c r="X26" i="8" s="1"/>
  <c r="N154" i="7"/>
  <c r="O112" i="8"/>
  <c r="W112" i="8"/>
  <c r="X112" i="8" s="1"/>
  <c r="W20" i="8"/>
  <c r="X20" i="8" s="1"/>
  <c r="O20" i="8"/>
  <c r="N3" i="7"/>
  <c r="N311" i="7"/>
  <c r="V311" i="7"/>
  <c r="W311" i="7" s="1"/>
  <c r="O13" i="8"/>
  <c r="T12" i="8"/>
  <c r="R12" i="8"/>
  <c r="Q12" i="8"/>
  <c r="V12" i="8"/>
  <c r="S12" i="8"/>
  <c r="U12" i="8"/>
  <c r="T88" i="8"/>
  <c r="S88" i="8"/>
  <c r="R88" i="8"/>
  <c r="Q88" i="8"/>
  <c r="V88" i="8"/>
  <c r="U88" i="8"/>
  <c r="N223" i="7"/>
  <c r="O44" i="8"/>
  <c r="T164" i="8"/>
  <c r="S164" i="8"/>
  <c r="R164" i="8"/>
  <c r="Q164" i="8"/>
  <c r="V164" i="8"/>
  <c r="U164" i="8"/>
  <c r="W160" i="8"/>
  <c r="X160" i="8" s="1"/>
  <c r="O160" i="8"/>
  <c r="O55" i="8"/>
  <c r="N102" i="7"/>
  <c r="V318" i="7"/>
  <c r="W318" i="7" s="1"/>
  <c r="N196" i="7"/>
  <c r="V33" i="8"/>
  <c r="T33" i="8"/>
  <c r="R33" i="8"/>
  <c r="Q33" i="8"/>
  <c r="U33" i="8"/>
  <c r="S33" i="8"/>
  <c r="O61" i="8"/>
  <c r="V132" i="8"/>
  <c r="U132" i="8"/>
  <c r="T132" i="8"/>
  <c r="S132" i="8"/>
  <c r="R132" i="8"/>
  <c r="Q132" i="8"/>
  <c r="O72" i="8"/>
  <c r="V400" i="7"/>
  <c r="W400" i="7" s="1"/>
  <c r="N400" i="7"/>
  <c r="S27" i="8"/>
  <c r="V27" i="8"/>
  <c r="U27" i="8"/>
  <c r="T27" i="8"/>
  <c r="Q27" i="8"/>
  <c r="R27" i="8"/>
  <c r="U93" i="8"/>
  <c r="T93" i="8"/>
  <c r="S93" i="8"/>
  <c r="R93" i="8"/>
  <c r="Q93" i="8"/>
  <c r="V93" i="8"/>
  <c r="S3" i="17"/>
  <c r="Q3" i="17"/>
  <c r="V3" i="17"/>
  <c r="U3" i="17"/>
  <c r="T3" i="17"/>
  <c r="R3" i="17"/>
  <c r="Q85" i="8"/>
  <c r="V85" i="8"/>
  <c r="U85" i="8"/>
  <c r="T85" i="8"/>
  <c r="S85" i="8"/>
  <c r="R85" i="8"/>
  <c r="V150" i="7"/>
  <c r="W150" i="7" s="1"/>
  <c r="N150" i="7"/>
  <c r="O155" i="8"/>
  <c r="T159" i="8"/>
  <c r="S159" i="8"/>
  <c r="R159" i="8"/>
  <c r="Q159" i="8"/>
  <c r="V159" i="8"/>
  <c r="U159" i="8"/>
  <c r="O100" i="8"/>
  <c r="V139" i="7"/>
  <c r="W139" i="7" s="1"/>
  <c r="N123" i="7"/>
  <c r="N209" i="7"/>
  <c r="O142" i="8"/>
  <c r="N60" i="7"/>
  <c r="N91" i="7"/>
  <c r="V285" i="7"/>
  <c r="W285" i="7" s="1"/>
  <c r="V48" i="7"/>
  <c r="W48" i="7" s="1"/>
  <c r="N48" i="7"/>
  <c r="V106" i="8"/>
  <c r="U106" i="8"/>
  <c r="T106" i="8"/>
  <c r="S106" i="8"/>
  <c r="R106" i="8"/>
  <c r="Q106" i="8"/>
  <c r="S77" i="8"/>
  <c r="V77" i="8"/>
  <c r="R77" i="8"/>
  <c r="U77" i="8"/>
  <c r="Q77" i="8"/>
  <c r="T77" i="8"/>
  <c r="V19" i="8"/>
  <c r="U19" i="8"/>
  <c r="T19" i="8"/>
  <c r="S19" i="8"/>
  <c r="R19" i="8"/>
  <c r="Q19" i="8"/>
  <c r="R72" i="8"/>
  <c r="S72" i="8"/>
  <c r="V72" i="8"/>
  <c r="T72" i="8"/>
  <c r="Q72" i="8"/>
  <c r="U72" i="8"/>
  <c r="O123" i="8"/>
  <c r="V260" i="7"/>
  <c r="W260" i="7" s="1"/>
  <c r="O102" i="8"/>
  <c r="O59" i="8"/>
  <c r="O93" i="8"/>
  <c r="V246" i="7"/>
  <c r="W246" i="7" s="1"/>
  <c r="O9" i="8"/>
  <c r="O12" i="8"/>
  <c r="N101" i="7"/>
  <c r="O23" i="8"/>
  <c r="O105" i="8"/>
  <c r="S123" i="8"/>
  <c r="R123" i="8"/>
  <c r="Q123" i="8"/>
  <c r="V123" i="8"/>
  <c r="U123" i="8"/>
  <c r="T123" i="8"/>
  <c r="N260" i="7"/>
  <c r="U48" i="8"/>
  <c r="T48" i="8"/>
  <c r="W48" i="8" s="1"/>
  <c r="X48" i="8" s="1"/>
  <c r="S48" i="8"/>
  <c r="V48" i="8"/>
  <c r="R48" i="8"/>
  <c r="Q48" i="8"/>
  <c r="O48" i="8"/>
  <c r="V123" i="7"/>
  <c r="W123" i="7" s="1"/>
  <c r="N285" i="7"/>
  <c r="N107" i="7"/>
  <c r="N3" i="9"/>
  <c r="N114" i="7"/>
  <c r="O19" i="8"/>
  <c r="N181" i="7"/>
  <c r="T23" i="8"/>
  <c r="S23" i="8"/>
  <c r="R23" i="8"/>
  <c r="Q23" i="8"/>
  <c r="V23" i="8"/>
  <c r="U23" i="8"/>
  <c r="N297" i="7"/>
  <c r="N280" i="7"/>
  <c r="U1" i="17"/>
  <c r="S1" i="17"/>
  <c r="R1" i="17"/>
  <c r="Q1" i="17"/>
  <c r="V1" i="17"/>
  <c r="T1" i="17"/>
  <c r="W70" i="8"/>
  <c r="X70" i="8" s="1"/>
  <c r="O70" i="8"/>
  <c r="N108" i="7"/>
  <c r="W38" i="8"/>
  <c r="X38" i="8" s="1"/>
  <c r="O38" i="8"/>
  <c r="N117" i="7"/>
  <c r="N408" i="7"/>
  <c r="V408" i="7"/>
  <c r="W408" i="7" s="1"/>
  <c r="U155" i="8"/>
  <c r="R155" i="8"/>
  <c r="Q155" i="8"/>
  <c r="T155" i="8"/>
  <c r="S155" i="8"/>
  <c r="V155" i="8"/>
  <c r="N190" i="7"/>
  <c r="O136" i="8"/>
  <c r="O46" i="8"/>
  <c r="O1" i="17"/>
  <c r="O132" i="8"/>
  <c r="O54" i="8"/>
  <c r="N268" i="7"/>
  <c r="V71" i="7"/>
  <c r="W71" i="7" s="1"/>
  <c r="V217" i="7"/>
  <c r="W217" i="7" s="1"/>
  <c r="N6" i="8"/>
  <c r="V143" i="8"/>
  <c r="U143" i="8"/>
  <c r="T143" i="8"/>
  <c r="S143" i="8"/>
  <c r="R143" i="8"/>
  <c r="Q143" i="8"/>
  <c r="V89" i="8"/>
  <c r="U89" i="8"/>
  <c r="T89" i="8"/>
  <c r="R89" i="8"/>
  <c r="S89" i="8"/>
  <c r="Q89" i="8"/>
  <c r="V331" i="7"/>
  <c r="W331" i="7" s="1"/>
  <c r="N331" i="7"/>
  <c r="O21" i="8"/>
  <c r="W21" i="8"/>
  <c r="X21" i="8" s="1"/>
  <c r="V134" i="7"/>
  <c r="W134" i="7" s="1"/>
  <c r="N217" i="7"/>
  <c r="T136" i="8"/>
  <c r="S136" i="8"/>
  <c r="R136" i="8"/>
  <c r="Q136" i="8"/>
  <c r="V136" i="8"/>
  <c r="U136" i="8"/>
  <c r="V297" i="7"/>
  <c r="W297" i="7" s="1"/>
  <c r="V113" i="7"/>
  <c r="W113" i="7" s="1"/>
  <c r="V46" i="8"/>
  <c r="U46" i="8"/>
  <c r="R46" i="8"/>
  <c r="Q46" i="8"/>
  <c r="T46" i="8"/>
  <c r="S46" i="8"/>
  <c r="S114" i="8"/>
  <c r="R114" i="8"/>
  <c r="V114" i="8"/>
  <c r="U114" i="8"/>
  <c r="T114" i="8"/>
  <c r="Q114" i="8"/>
  <c r="W73" i="8"/>
  <c r="X73" i="8" s="1"/>
  <c r="O73" i="8"/>
  <c r="T52" i="8"/>
  <c r="S52" i="8"/>
  <c r="Q52" i="8"/>
  <c r="V52" i="8"/>
  <c r="R52" i="8"/>
  <c r="U52" i="8"/>
  <c r="N34" i="7"/>
  <c r="V59" i="8"/>
  <c r="Q59" i="8"/>
  <c r="T59" i="8"/>
  <c r="U59" i="8"/>
  <c r="S59" i="8"/>
  <c r="R59" i="8"/>
  <c r="R54" i="8"/>
  <c r="Q54" i="8"/>
  <c r="V54" i="8"/>
  <c r="U54" i="8"/>
  <c r="T54" i="8"/>
  <c r="S54" i="8"/>
  <c r="N71" i="7"/>
  <c r="O143" i="8"/>
  <c r="N89" i="8"/>
  <c r="N39" i="8"/>
  <c r="V3" i="8"/>
  <c r="Q3" i="8"/>
  <c r="U3" i="8"/>
  <c r="T3" i="8"/>
  <c r="S3" i="8"/>
  <c r="R3" i="8"/>
  <c r="V64" i="7"/>
  <c r="W64" i="7" s="1"/>
  <c r="V94" i="8"/>
  <c r="R94" i="8"/>
  <c r="Q94" i="8"/>
  <c r="U94" i="8"/>
  <c r="T94" i="8"/>
  <c r="S94" i="8"/>
  <c r="N323" i="7"/>
  <c r="V323" i="7"/>
  <c r="W323" i="7" s="1"/>
  <c r="V280" i="7"/>
  <c r="W280" i="7" s="1"/>
  <c r="N114" i="8"/>
  <c r="N58" i="8"/>
  <c r="W156" i="8"/>
  <c r="X156" i="8" s="1"/>
  <c r="N207" i="7"/>
  <c r="N11" i="8"/>
  <c r="W41" i="8"/>
  <c r="X41" i="8" s="1"/>
  <c r="O41" i="8"/>
  <c r="O84" i="8"/>
  <c r="V148" i="8"/>
  <c r="U148" i="8"/>
  <c r="S148" i="8"/>
  <c r="R148" i="8"/>
  <c r="Q148" i="8"/>
  <c r="T148" i="8"/>
  <c r="G13" i="16"/>
  <c r="B437" i="14"/>
  <c r="F13" i="16"/>
  <c r="F39" i="15"/>
  <c r="G54" i="15"/>
  <c r="Q169" i="8"/>
  <c r="T169" i="8"/>
  <c r="S169" i="8"/>
  <c r="R169" i="8"/>
  <c r="V169" i="8"/>
  <c r="U169" i="8"/>
  <c r="N148" i="8"/>
  <c r="T84" i="8"/>
  <c r="U84" i="8"/>
  <c r="V84" i="8"/>
  <c r="R84" i="8"/>
  <c r="Q84" i="8"/>
  <c r="S84" i="8"/>
  <c r="N346" i="7"/>
  <c r="N151" i="7"/>
  <c r="O37" i="8"/>
  <c r="O169" i="8"/>
  <c r="N88" i="8"/>
  <c r="N34" i="8"/>
  <c r="W74" i="8"/>
  <c r="X74" i="8" s="1"/>
  <c r="O74" i="8"/>
  <c r="R154" i="8"/>
  <c r="U154" i="8"/>
  <c r="T154" i="8"/>
  <c r="V154" i="8"/>
  <c r="S154" i="8"/>
  <c r="Q154" i="8"/>
  <c r="V61" i="8"/>
  <c r="U61" i="8"/>
  <c r="T61" i="8"/>
  <c r="Q61" i="8"/>
  <c r="S61" i="8"/>
  <c r="R61" i="8"/>
  <c r="V119" i="7"/>
  <c r="W119" i="7" s="1"/>
  <c r="V184" i="7"/>
  <c r="W184" i="7" s="1"/>
  <c r="V2" i="17"/>
  <c r="U2" i="17"/>
  <c r="T2" i="17"/>
  <c r="S2" i="17"/>
  <c r="Q2" i="17"/>
  <c r="R2" i="17"/>
  <c r="V34" i="8"/>
  <c r="U34" i="8"/>
  <c r="T34" i="8"/>
  <c r="R34" i="8"/>
  <c r="Q34" i="8"/>
  <c r="S34" i="8"/>
  <c r="N154" i="8"/>
  <c r="V151" i="7"/>
  <c r="W151" i="7" s="1"/>
  <c r="U37" i="8"/>
  <c r="T37" i="8"/>
  <c r="R37" i="8"/>
  <c r="V37" i="8"/>
  <c r="Q37" i="8"/>
  <c r="S37" i="8"/>
  <c r="V345" i="7"/>
  <c r="W345" i="7" s="1"/>
  <c r="N345" i="7"/>
  <c r="V105" i="8"/>
  <c r="U105" i="8"/>
  <c r="T105" i="8"/>
  <c r="S105" i="8"/>
  <c r="Q105" i="8"/>
  <c r="R105" i="8"/>
  <c r="N2" i="17"/>
  <c r="N40" i="8"/>
  <c r="N356" i="7"/>
  <c r="O135" i="8"/>
  <c r="O149" i="8"/>
  <c r="O158" i="8"/>
  <c r="O153" i="8"/>
  <c r="V8" i="17"/>
  <c r="R8" i="17"/>
  <c r="W8" i="17" s="1"/>
  <c r="X8" i="17" s="1"/>
  <c r="U8" i="17"/>
  <c r="Q8" i="17"/>
  <c r="T8" i="17"/>
  <c r="S8" i="17"/>
  <c r="B436" i="14"/>
  <c r="E54" i="15"/>
  <c r="H54" i="15"/>
  <c r="E13" i="16"/>
  <c r="H13" i="16"/>
  <c r="U149" i="8"/>
  <c r="T149" i="8"/>
  <c r="S149" i="8"/>
  <c r="R149" i="8"/>
  <c r="Q149" i="8"/>
  <c r="V149" i="8"/>
  <c r="N33" i="7"/>
  <c r="T40" i="8"/>
  <c r="S40" i="8"/>
  <c r="R40" i="8"/>
  <c r="Q40" i="8"/>
  <c r="V40" i="8"/>
  <c r="U40" i="8"/>
  <c r="N159" i="7"/>
  <c r="O8" i="17"/>
  <c r="T135" i="8"/>
  <c r="Q135" i="8"/>
  <c r="V135" i="8"/>
  <c r="U135" i="8"/>
  <c r="S135" i="8"/>
  <c r="R135" i="8"/>
  <c r="O166" i="8"/>
  <c r="W166" i="8"/>
  <c r="X166" i="8" s="1"/>
  <c r="E39" i="15"/>
  <c r="N235" i="7"/>
  <c r="V158" i="8"/>
  <c r="U158" i="8"/>
  <c r="T158" i="8"/>
  <c r="S158" i="8"/>
  <c r="Q158" i="8"/>
  <c r="R158" i="8"/>
  <c r="Q153" i="8"/>
  <c r="V153" i="8"/>
  <c r="U153" i="8"/>
  <c r="T153" i="8"/>
  <c r="S153" i="8"/>
  <c r="R153" i="8"/>
  <c r="U18" i="8"/>
  <c r="V18" i="8"/>
  <c r="T18" i="8"/>
  <c r="Q18" i="8"/>
  <c r="S18" i="8"/>
  <c r="R18" i="8"/>
  <c r="V305" i="7"/>
  <c r="W305" i="7" s="1"/>
  <c r="O10" i="17"/>
  <c r="V58" i="8"/>
  <c r="U58" i="8"/>
  <c r="T58" i="8"/>
  <c r="S58" i="8"/>
  <c r="R58" i="8"/>
  <c r="Q58" i="8"/>
  <c r="N128" i="8"/>
  <c r="V288" i="7"/>
  <c r="W288" i="7" s="1"/>
  <c r="N305" i="7"/>
  <c r="Q10" i="17"/>
  <c r="T10" i="17"/>
  <c r="S10" i="17"/>
  <c r="R10" i="17"/>
  <c r="U10" i="17"/>
  <c r="V10" i="17"/>
  <c r="U43" i="8"/>
  <c r="T43" i="8"/>
  <c r="S43" i="8"/>
  <c r="Q43" i="8"/>
  <c r="R43" i="8"/>
  <c r="V43" i="8"/>
  <c r="V235" i="7"/>
  <c r="W235" i="7" s="1"/>
  <c r="N18" i="8"/>
  <c r="O43" i="8"/>
  <c r="N141" i="7"/>
  <c r="N288" i="7"/>
  <c r="O9" i="17"/>
  <c r="V145" i="8"/>
  <c r="U145" i="8"/>
  <c r="T145" i="8"/>
  <c r="R145" i="8"/>
  <c r="S145" i="8"/>
  <c r="Q145" i="8"/>
  <c r="S11" i="8"/>
  <c r="R11" i="8"/>
  <c r="V11" i="8"/>
  <c r="U11" i="8"/>
  <c r="T11" i="8"/>
  <c r="Q11" i="8"/>
  <c r="N137" i="8"/>
  <c r="N145" i="8"/>
  <c r="T9" i="17"/>
  <c r="S9" i="17"/>
  <c r="V9" i="17"/>
  <c r="U9" i="17"/>
  <c r="Q9" i="17"/>
  <c r="R9" i="17"/>
  <c r="N291" i="7"/>
  <c r="U137" i="8"/>
  <c r="Q137" i="8"/>
  <c r="V137" i="8"/>
  <c r="T137" i="8"/>
  <c r="S137" i="8"/>
  <c r="R137" i="8"/>
  <c r="T62" i="8"/>
  <c r="V62" i="8"/>
  <c r="U62" i="8"/>
  <c r="S62" i="8"/>
  <c r="R62" i="8"/>
  <c r="Q62" i="8"/>
  <c r="V291" i="7"/>
  <c r="W291" i="7" s="1"/>
  <c r="Q113" i="8"/>
  <c r="V113" i="8"/>
  <c r="U113" i="8"/>
  <c r="R113" i="8"/>
  <c r="T113" i="8"/>
  <c r="S113" i="8"/>
  <c r="U25" i="8"/>
  <c r="V25" i="8"/>
  <c r="T25" i="8"/>
  <c r="S25" i="8"/>
  <c r="R25" i="8"/>
  <c r="Q25" i="8"/>
  <c r="V279" i="7"/>
  <c r="W279" i="7" s="1"/>
  <c r="V60" i="8"/>
  <c r="S60" i="8"/>
  <c r="R60" i="8"/>
  <c r="U60" i="8"/>
  <c r="T60" i="8"/>
  <c r="Q60" i="8"/>
  <c r="U146" i="8"/>
  <c r="T146" i="8"/>
  <c r="S146" i="8"/>
  <c r="R146" i="8"/>
  <c r="Q146" i="8"/>
  <c r="V146" i="8"/>
  <c r="N62" i="8"/>
  <c r="U172" i="8"/>
  <c r="T172" i="8"/>
  <c r="S172" i="8"/>
  <c r="R172" i="8"/>
  <c r="Q172" i="8"/>
  <c r="V172" i="8"/>
  <c r="V162" i="8"/>
  <c r="U162" i="8"/>
  <c r="T162" i="8"/>
  <c r="S162" i="8"/>
  <c r="R162" i="8"/>
  <c r="Q162" i="8"/>
  <c r="N162" i="8"/>
  <c r="T127" i="8"/>
  <c r="S127" i="8"/>
  <c r="V127" i="8"/>
  <c r="U127" i="8"/>
  <c r="R127" i="8"/>
  <c r="Q127" i="8"/>
  <c r="V20" i="7"/>
  <c r="W20" i="7" s="1"/>
  <c r="N20" i="7"/>
  <c r="V66" i="8"/>
  <c r="U66" i="8"/>
  <c r="T66" i="8"/>
  <c r="S66" i="8"/>
  <c r="R66" i="8"/>
  <c r="Q66" i="8"/>
  <c r="N60" i="8"/>
  <c r="N172" i="8"/>
  <c r="S167" i="8"/>
  <c r="V167" i="8"/>
  <c r="U167" i="8"/>
  <c r="T167" i="8"/>
  <c r="R167" i="8"/>
  <c r="Q167" i="8"/>
  <c r="V283" i="7"/>
  <c r="W283" i="7" s="1"/>
  <c r="N66" i="8"/>
  <c r="N90" i="8"/>
  <c r="N167" i="8"/>
  <c r="N417" i="7"/>
  <c r="V163" i="8"/>
  <c r="U163" i="8"/>
  <c r="T163" i="8"/>
  <c r="S163" i="8"/>
  <c r="R163" i="8"/>
  <c r="Q163" i="8"/>
  <c r="W35" i="8"/>
  <c r="X35" i="8" s="1"/>
  <c r="O35" i="8"/>
  <c r="V87" i="8"/>
  <c r="Q87" i="8"/>
  <c r="T87" i="8"/>
  <c r="U87" i="8"/>
  <c r="R87" i="8"/>
  <c r="S87" i="8"/>
  <c r="O82" i="8"/>
  <c r="N83" i="8"/>
  <c r="V90" i="8"/>
  <c r="U90" i="8"/>
  <c r="T90" i="8"/>
  <c r="Q90" i="8"/>
  <c r="S90" i="8"/>
  <c r="R90" i="8"/>
  <c r="V44" i="7"/>
  <c r="W44" i="7" s="1"/>
  <c r="V144" i="8"/>
  <c r="Q144" i="8"/>
  <c r="S144" i="8"/>
  <c r="R144" i="8"/>
  <c r="U144" i="8"/>
  <c r="T144" i="8"/>
  <c r="N283" i="7"/>
  <c r="N151" i="8"/>
  <c r="N163" i="8"/>
  <c r="N87" i="8"/>
  <c r="V8" i="8"/>
  <c r="T8" i="8"/>
  <c r="U8" i="8"/>
  <c r="S8" i="8"/>
  <c r="R8" i="8"/>
  <c r="Q8" i="8"/>
  <c r="T71" i="8"/>
  <c r="V71" i="8"/>
  <c r="U71" i="8"/>
  <c r="S71" i="8"/>
  <c r="R71" i="8"/>
  <c r="Q71" i="8"/>
  <c r="O144" i="8"/>
  <c r="R82" i="8"/>
  <c r="Q82" i="8"/>
  <c r="U82" i="8"/>
  <c r="V82" i="8"/>
  <c r="S82" i="8"/>
  <c r="T82" i="8"/>
  <c r="O8" i="8"/>
  <c r="S83" i="8"/>
  <c r="R83" i="8"/>
  <c r="Q83" i="8"/>
  <c r="V83" i="8"/>
  <c r="U83" i="8"/>
  <c r="T83" i="8"/>
  <c r="V104" i="8"/>
  <c r="U104" i="8"/>
  <c r="T104" i="8"/>
  <c r="S104" i="8"/>
  <c r="R104" i="8"/>
  <c r="Q104" i="8"/>
  <c r="V131" i="7"/>
  <c r="W131" i="7" s="1"/>
  <c r="N131" i="7"/>
  <c r="O71" i="8"/>
  <c r="O125" i="8"/>
  <c r="O16" i="8"/>
  <c r="S151" i="8"/>
  <c r="R151" i="8"/>
  <c r="Q151" i="8"/>
  <c r="V151" i="8"/>
  <c r="U151" i="8"/>
  <c r="T151" i="8"/>
  <c r="W10" i="8"/>
  <c r="X10" i="8" s="1"/>
  <c r="O10" i="8"/>
  <c r="N7" i="17"/>
  <c r="N104" i="8"/>
  <c r="O138" i="8"/>
  <c r="W138" i="8"/>
  <c r="X138" i="8" s="1"/>
  <c r="T170" i="8"/>
  <c r="S170" i="8"/>
  <c r="R170" i="8"/>
  <c r="V170" i="8"/>
  <c r="U170" i="8"/>
  <c r="Q170" i="8"/>
  <c r="V143" i="7"/>
  <c r="W143" i="7" s="1"/>
  <c r="S4" i="8"/>
  <c r="V4" i="8"/>
  <c r="Q4" i="8"/>
  <c r="U4" i="8"/>
  <c r="T4" i="8"/>
  <c r="R4" i="8"/>
  <c r="Q125" i="8"/>
  <c r="T125" i="8"/>
  <c r="S125" i="8"/>
  <c r="R125" i="8"/>
  <c r="W125" i="8" s="1"/>
  <c r="X125" i="8" s="1"/>
  <c r="V125" i="8"/>
  <c r="U125" i="8"/>
  <c r="V16" i="8"/>
  <c r="U16" i="8"/>
  <c r="T16" i="8"/>
  <c r="S16" i="8"/>
  <c r="R16" i="8"/>
  <c r="Q16" i="8"/>
  <c r="N143" i="7"/>
  <c r="R99" i="8"/>
  <c r="Q99" i="8"/>
  <c r="V99" i="8"/>
  <c r="U99" i="8"/>
  <c r="T99" i="8"/>
  <c r="S99" i="8"/>
  <c r="O67" i="8"/>
  <c r="O4" i="8"/>
  <c r="R92" i="8"/>
  <c r="U92" i="8"/>
  <c r="S92" i="8"/>
  <c r="Q92" i="8"/>
  <c r="V92" i="8"/>
  <c r="T92" i="8"/>
  <c r="N124" i="7"/>
  <c r="T152" i="8"/>
  <c r="V152" i="8"/>
  <c r="S152" i="8"/>
  <c r="R152" i="8"/>
  <c r="U152" i="8"/>
  <c r="Q152" i="8"/>
  <c r="R138" i="8"/>
  <c r="Q138" i="8"/>
  <c r="V138" i="8"/>
  <c r="U138" i="8"/>
  <c r="T138" i="8"/>
  <c r="S138" i="8"/>
  <c r="N22" i="8"/>
  <c r="Q13" i="8"/>
  <c r="U13" i="8"/>
  <c r="R13" i="8"/>
  <c r="V13" i="8"/>
  <c r="T13" i="8"/>
  <c r="S13" i="8"/>
  <c r="V75" i="8"/>
  <c r="U75" i="8"/>
  <c r="T75" i="8"/>
  <c r="S75" i="8"/>
  <c r="R75" i="8"/>
  <c r="Q75" i="8"/>
  <c r="N42" i="8"/>
  <c r="N115" i="8"/>
  <c r="V86" i="8"/>
  <c r="U86" i="8"/>
  <c r="T86" i="8"/>
  <c r="S86" i="8"/>
  <c r="R86" i="8"/>
  <c r="Q86" i="8"/>
  <c r="U165" i="8"/>
  <c r="R165" i="8"/>
  <c r="V165" i="8"/>
  <c r="T165" i="8"/>
  <c r="S165" i="8"/>
  <c r="Q165" i="8"/>
  <c r="N99" i="8"/>
  <c r="S67" i="8"/>
  <c r="R67" i="8"/>
  <c r="Q67" i="8"/>
  <c r="V67" i="8"/>
  <c r="U67" i="8"/>
  <c r="T67" i="8"/>
  <c r="Q29" i="8"/>
  <c r="R29" i="8"/>
  <c r="U29" i="8"/>
  <c r="V29" i="8"/>
  <c r="T29" i="8"/>
  <c r="S29" i="8"/>
  <c r="N92" i="8"/>
  <c r="N152" i="8"/>
  <c r="N8" i="7" l="1"/>
  <c r="S132" i="14"/>
  <c r="X132" i="14" s="1"/>
  <c r="S38" i="14"/>
  <c r="X38" i="14" s="1"/>
  <c r="S226" i="14"/>
  <c r="X226" i="14" s="1"/>
  <c r="S328" i="14"/>
  <c r="X328" i="14" s="1"/>
  <c r="S376" i="14"/>
  <c r="X376" i="14" s="1"/>
  <c r="V60" i="14"/>
  <c r="W60" i="14" s="1"/>
  <c r="Q60" i="14"/>
  <c r="R60" i="14"/>
  <c r="S184" i="14"/>
  <c r="X184" i="14" s="1"/>
  <c r="S242" i="14"/>
  <c r="X242" i="14" s="1"/>
  <c r="S59" i="14"/>
  <c r="X59" i="14" s="1"/>
  <c r="S423" i="14"/>
  <c r="X423" i="14" s="1"/>
  <c r="S395" i="14"/>
  <c r="X395" i="14" s="1"/>
  <c r="S282" i="14"/>
  <c r="X282" i="14" s="1"/>
  <c r="S246" i="14"/>
  <c r="X246" i="14" s="1"/>
  <c r="S264" i="14"/>
  <c r="X264" i="14" s="1"/>
  <c r="S136" i="14"/>
  <c r="X136" i="14" s="1"/>
  <c r="S352" i="14"/>
  <c r="X352" i="14" s="1"/>
  <c r="S332" i="14"/>
  <c r="X332" i="14" s="1"/>
  <c r="S119" i="14"/>
  <c r="X119" i="14" s="1"/>
  <c r="S326" i="14"/>
  <c r="X326" i="14" s="1"/>
  <c r="S70" i="14"/>
  <c r="X70" i="14" s="1"/>
  <c r="S67" i="14"/>
  <c r="X67" i="14" s="1"/>
  <c r="S354" i="14"/>
  <c r="X354" i="14" s="1"/>
  <c r="S277" i="14"/>
  <c r="X277" i="14" s="1"/>
  <c r="S361" i="14"/>
  <c r="X361" i="14" s="1"/>
  <c r="Q24" i="14"/>
  <c r="R24" i="14"/>
  <c r="V56" i="14"/>
  <c r="W56" i="14" s="1"/>
  <c r="Q56" i="14"/>
  <c r="R56" i="14"/>
  <c r="S350" i="14"/>
  <c r="X350" i="14" s="1"/>
  <c r="S222" i="14"/>
  <c r="X222" i="14" s="1"/>
  <c r="S270" i="14"/>
  <c r="X270" i="14" s="1"/>
  <c r="S23" i="14"/>
  <c r="X23" i="14" s="1"/>
  <c r="S392" i="14"/>
  <c r="X392" i="14" s="1"/>
  <c r="S84" i="14"/>
  <c r="X84" i="14" s="1"/>
  <c r="S100" i="14"/>
  <c r="X100" i="14" s="1"/>
  <c r="S110" i="14"/>
  <c r="X110" i="14" s="1"/>
  <c r="S187" i="14"/>
  <c r="X187" i="14" s="1"/>
  <c r="S191" i="14"/>
  <c r="X191" i="14" s="1"/>
  <c r="S122" i="14"/>
  <c r="X122" i="14" s="1"/>
  <c r="S104" i="14"/>
  <c r="X104" i="14" s="1"/>
  <c r="S318" i="14"/>
  <c r="X318" i="14" s="1"/>
  <c r="S243" i="14"/>
  <c r="X243" i="14" s="1"/>
  <c r="S123" i="14"/>
  <c r="X123" i="14" s="1"/>
  <c r="S406" i="14"/>
  <c r="X406" i="14" s="1"/>
  <c r="S93" i="14"/>
  <c r="X93" i="14" s="1"/>
  <c r="S247" i="14"/>
  <c r="X247" i="14" s="1"/>
  <c r="S410" i="14"/>
  <c r="X410" i="14" s="1"/>
  <c r="S196" i="14"/>
  <c r="X196" i="14" s="1"/>
  <c r="S22" i="14"/>
  <c r="X22" i="14" s="1"/>
  <c r="S51" i="14"/>
  <c r="X51" i="14" s="1"/>
  <c r="Q10" i="14"/>
  <c r="R10" i="14"/>
  <c r="S362" i="14"/>
  <c r="X362" i="14" s="1"/>
  <c r="S149" i="14"/>
  <c r="X149" i="14" s="1"/>
  <c r="V17" i="13"/>
  <c r="W17" i="13" s="1"/>
  <c r="N17" i="13"/>
  <c r="V122" i="13"/>
  <c r="W122" i="13" s="1"/>
  <c r="N40" i="13"/>
  <c r="V40" i="13"/>
  <c r="W40" i="13" s="1"/>
  <c r="N95" i="13"/>
  <c r="V95" i="13"/>
  <c r="W95" i="13" s="1"/>
  <c r="V86" i="13"/>
  <c r="W86" i="13" s="1"/>
  <c r="N23" i="13"/>
  <c r="V23" i="13"/>
  <c r="W23" i="13" s="1"/>
  <c r="N24" i="13"/>
  <c r="V24" i="13"/>
  <c r="W24" i="13" s="1"/>
  <c r="V79" i="13"/>
  <c r="W79" i="13" s="1"/>
  <c r="N79" i="13"/>
  <c r="V113" i="13"/>
  <c r="W113" i="13" s="1"/>
  <c r="V90" i="13"/>
  <c r="W90" i="13" s="1"/>
  <c r="S299" i="14"/>
  <c r="X299" i="14" s="1"/>
  <c r="S397" i="14"/>
  <c r="X397" i="14" s="1"/>
  <c r="S357" i="14"/>
  <c r="X357" i="14" s="1"/>
  <c r="S294" i="14"/>
  <c r="X294" i="14" s="1"/>
  <c r="S159" i="14"/>
  <c r="X159" i="14" s="1"/>
  <c r="S216" i="14"/>
  <c r="X216" i="14" s="1"/>
  <c r="S211" i="14"/>
  <c r="X211" i="14" s="1"/>
  <c r="S206" i="14"/>
  <c r="X206" i="14" s="1"/>
  <c r="S177" i="14"/>
  <c r="X177" i="14" s="1"/>
  <c r="S40" i="14"/>
  <c r="X40" i="14" s="1"/>
  <c r="S98" i="14"/>
  <c r="X98" i="14" s="1"/>
  <c r="S43" i="14"/>
  <c r="X43" i="14" s="1"/>
  <c r="S167" i="14"/>
  <c r="X167" i="14" s="1"/>
  <c r="S137" i="14"/>
  <c r="X137" i="14" s="1"/>
  <c r="S109" i="14"/>
  <c r="X109" i="14" s="1"/>
  <c r="S90" i="14"/>
  <c r="X90" i="14" s="1"/>
  <c r="S414" i="14"/>
  <c r="X414" i="14" s="1"/>
  <c r="S34" i="14"/>
  <c r="X34" i="14" s="1"/>
  <c r="S78" i="14"/>
  <c r="X78" i="14" s="1"/>
  <c r="S260" i="14"/>
  <c r="X260" i="14" s="1"/>
  <c r="S351" i="14"/>
  <c r="X351" i="14" s="1"/>
  <c r="S186" i="14"/>
  <c r="X186" i="14" s="1"/>
  <c r="S253" i="14"/>
  <c r="X253" i="14" s="1"/>
  <c r="S365" i="14"/>
  <c r="X365" i="14" s="1"/>
  <c r="S75" i="14"/>
  <c r="X75" i="14" s="1"/>
  <c r="S338" i="14"/>
  <c r="X338" i="14" s="1"/>
  <c r="S114" i="14"/>
  <c r="X114" i="14" s="1"/>
  <c r="S234" i="14"/>
  <c r="X234" i="14" s="1"/>
  <c r="S296" i="14"/>
  <c r="X296" i="14" s="1"/>
  <c r="S271" i="14"/>
  <c r="X271" i="14" s="1"/>
  <c r="S31" i="14"/>
  <c r="X31" i="14" s="1"/>
  <c r="S420" i="14"/>
  <c r="X420" i="14" s="1"/>
  <c r="S117" i="14"/>
  <c r="X117" i="14" s="1"/>
  <c r="S68" i="14"/>
  <c r="X68" i="14" s="1"/>
  <c r="S81" i="14"/>
  <c r="X81" i="14" s="1"/>
  <c r="S426" i="14"/>
  <c r="X426" i="14" s="1"/>
  <c r="S118" i="14"/>
  <c r="X118" i="14" s="1"/>
  <c r="S265" i="14"/>
  <c r="X265" i="14" s="1"/>
  <c r="S293" i="14"/>
  <c r="X293" i="14" s="1"/>
  <c r="S231" i="14"/>
  <c r="X231" i="14" s="1"/>
  <c r="S378" i="14"/>
  <c r="X378" i="14" s="1"/>
  <c r="S111" i="14"/>
  <c r="X111" i="14" s="1"/>
  <c r="S377" i="14"/>
  <c r="X377" i="14" s="1"/>
  <c r="S266" i="14"/>
  <c r="X266" i="14" s="1"/>
  <c r="S229" i="14"/>
  <c r="X229" i="14" s="1"/>
  <c r="S116" i="14"/>
  <c r="X116" i="14" s="1"/>
  <c r="S301" i="14"/>
  <c r="X301" i="14" s="1"/>
  <c r="S409" i="14"/>
  <c r="X409" i="14" s="1"/>
  <c r="S363" i="14"/>
  <c r="X363" i="14" s="1"/>
  <c r="S35" i="14"/>
  <c r="X35" i="14" s="1"/>
  <c r="S66" i="14"/>
  <c r="X66" i="14" s="1"/>
  <c r="S91" i="14"/>
  <c r="X91" i="14" s="1"/>
  <c r="S86" i="14"/>
  <c r="X86" i="14" s="1"/>
  <c r="S85" i="14"/>
  <c r="X85" i="14" s="1"/>
  <c r="S71" i="14"/>
  <c r="X71" i="14" s="1"/>
  <c r="V330" i="11"/>
  <c r="W330" i="11" s="1"/>
  <c r="V392" i="11"/>
  <c r="W392" i="11" s="1"/>
  <c r="V383" i="11"/>
  <c r="W383" i="11" s="1"/>
  <c r="V410" i="11"/>
  <c r="W410" i="11" s="1"/>
  <c r="N360" i="11"/>
  <c r="V360" i="11"/>
  <c r="W360" i="11" s="1"/>
  <c r="V414" i="11"/>
  <c r="W414" i="11" s="1"/>
  <c r="V352" i="11"/>
  <c r="W352" i="11" s="1"/>
  <c r="V363" i="11"/>
  <c r="W363" i="11" s="1"/>
  <c r="V303" i="11"/>
  <c r="W303" i="11" s="1"/>
  <c r="V359" i="11"/>
  <c r="W359" i="11" s="1"/>
  <c r="V243" i="11"/>
  <c r="W243" i="11" s="1"/>
  <c r="V175" i="11"/>
  <c r="W175" i="11" s="1"/>
  <c r="V225" i="11"/>
  <c r="W225" i="11" s="1"/>
  <c r="V265" i="11"/>
  <c r="W265" i="11" s="1"/>
  <c r="V259" i="11"/>
  <c r="W259" i="11" s="1"/>
  <c r="V157" i="11"/>
  <c r="W157" i="11" s="1"/>
  <c r="V258" i="11"/>
  <c r="W258" i="11" s="1"/>
  <c r="V215" i="11"/>
  <c r="W215" i="11" s="1"/>
  <c r="V241" i="11"/>
  <c r="W241" i="11" s="1"/>
  <c r="V200" i="11"/>
  <c r="W200" i="11" s="1"/>
  <c r="V403" i="10"/>
  <c r="W403" i="10" s="1"/>
  <c r="V387" i="10"/>
  <c r="W387" i="10" s="1"/>
  <c r="V370" i="10"/>
  <c r="W370" i="10" s="1"/>
  <c r="V409" i="10"/>
  <c r="W409" i="10" s="1"/>
  <c r="V418" i="10"/>
  <c r="W418" i="10" s="1"/>
  <c r="V278" i="10"/>
  <c r="W278" i="10" s="1"/>
  <c r="V339" i="10"/>
  <c r="W339" i="10" s="1"/>
  <c r="V413" i="10"/>
  <c r="W413" i="10" s="1"/>
  <c r="V362" i="10"/>
  <c r="W362" i="10" s="1"/>
  <c r="V356" i="10"/>
  <c r="W356" i="10" s="1"/>
  <c r="V400" i="10"/>
  <c r="W400" i="10" s="1"/>
  <c r="V394" i="10"/>
  <c r="W394" i="10" s="1"/>
  <c r="V353" i="10"/>
  <c r="W353" i="10" s="1"/>
  <c r="V344" i="10"/>
  <c r="W344" i="10" s="1"/>
  <c r="V385" i="10"/>
  <c r="W385" i="10" s="1"/>
  <c r="V366" i="10"/>
  <c r="W366" i="10" s="1"/>
  <c r="V310" i="10"/>
  <c r="W310" i="10" s="1"/>
  <c r="V306" i="10"/>
  <c r="W306" i="10" s="1"/>
  <c r="V343" i="10"/>
  <c r="W343" i="10" s="1"/>
  <c r="V325" i="10"/>
  <c r="W325" i="10" s="1"/>
  <c r="V334" i="10"/>
  <c r="W334" i="10" s="1"/>
  <c r="V417" i="10"/>
  <c r="W417" i="10" s="1"/>
  <c r="V337" i="10"/>
  <c r="W337" i="10" s="1"/>
  <c r="V421" i="10"/>
  <c r="W421" i="10" s="1"/>
  <c r="V369" i="10"/>
  <c r="W369" i="10" s="1"/>
  <c r="V360" i="10"/>
  <c r="W360" i="10" s="1"/>
  <c r="V397" i="10"/>
  <c r="W397" i="10" s="1"/>
  <c r="N286" i="10"/>
  <c r="V416" i="10"/>
  <c r="W416" i="10" s="1"/>
  <c r="V182" i="10"/>
  <c r="W182" i="10" s="1"/>
  <c r="V205" i="10"/>
  <c r="W205" i="10" s="1"/>
  <c r="V239" i="10"/>
  <c r="W239" i="10" s="1"/>
  <c r="V168" i="10"/>
  <c r="W168" i="10" s="1"/>
  <c r="V156" i="10"/>
  <c r="W156" i="10" s="1"/>
  <c r="V194" i="10"/>
  <c r="W194" i="10" s="1"/>
  <c r="N134" i="10"/>
  <c r="V172" i="10"/>
  <c r="W172" i="10" s="1"/>
  <c r="V255" i="10"/>
  <c r="W255" i="10" s="1"/>
  <c r="V202" i="10"/>
  <c r="W202" i="10" s="1"/>
  <c r="V129" i="10"/>
  <c r="W129" i="10" s="1"/>
  <c r="V180" i="10"/>
  <c r="W180" i="10" s="1"/>
  <c r="V148" i="10"/>
  <c r="W148" i="10" s="1"/>
  <c r="V209" i="10"/>
  <c r="W209" i="10" s="1"/>
  <c r="V187" i="10"/>
  <c r="W187" i="10" s="1"/>
  <c r="V212" i="10"/>
  <c r="W212" i="10" s="1"/>
  <c r="V173" i="10"/>
  <c r="W173" i="10" s="1"/>
  <c r="V179" i="10"/>
  <c r="W179" i="10" s="1"/>
  <c r="V213" i="10"/>
  <c r="W213" i="10" s="1"/>
  <c r="V240" i="10"/>
  <c r="W240" i="10" s="1"/>
  <c r="V185" i="10"/>
  <c r="W185" i="10" s="1"/>
  <c r="V268" i="10"/>
  <c r="W268" i="10" s="1"/>
  <c r="V227" i="10"/>
  <c r="W227" i="10" s="1"/>
  <c r="V163" i="10"/>
  <c r="W163" i="10" s="1"/>
  <c r="V199" i="10"/>
  <c r="W199" i="10" s="1"/>
  <c r="V236" i="10"/>
  <c r="W236" i="10" s="1"/>
  <c r="V189" i="10"/>
  <c r="W189" i="10" s="1"/>
  <c r="V183" i="10"/>
  <c r="W183" i="10" s="1"/>
  <c r="N377" i="11"/>
  <c r="V377" i="11"/>
  <c r="W377" i="11" s="1"/>
  <c r="V129" i="11"/>
  <c r="W129" i="11" s="1"/>
  <c r="N129" i="11"/>
  <c r="V58" i="11"/>
  <c r="W58" i="11" s="1"/>
  <c r="N58" i="11"/>
  <c r="N192" i="11"/>
  <c r="V192" i="11"/>
  <c r="W192" i="11" s="1"/>
  <c r="V297" i="11"/>
  <c r="W297" i="11" s="1"/>
  <c r="N297" i="11"/>
  <c r="V286" i="11"/>
  <c r="W286" i="11" s="1"/>
  <c r="N286" i="11"/>
  <c r="N7" i="11"/>
  <c r="V7" i="11"/>
  <c r="W7" i="11" s="1"/>
  <c r="V295" i="11"/>
  <c r="W295" i="11" s="1"/>
  <c r="N295" i="11"/>
  <c r="V285" i="11"/>
  <c r="W285" i="11" s="1"/>
  <c r="N285" i="11"/>
  <c r="N256" i="11"/>
  <c r="V256" i="11"/>
  <c r="W256" i="11" s="1"/>
  <c r="N93" i="11"/>
  <c r="V93" i="11"/>
  <c r="W93" i="11" s="1"/>
  <c r="N48" i="11"/>
  <c r="V48" i="11"/>
  <c r="W48" i="11" s="1"/>
  <c r="N310" i="11"/>
  <c r="V310" i="11"/>
  <c r="W310" i="11" s="1"/>
  <c r="N319" i="11"/>
  <c r="V319" i="11"/>
  <c r="W319" i="11" s="1"/>
  <c r="N385" i="11"/>
  <c r="V385" i="11"/>
  <c r="W385" i="11" s="1"/>
  <c r="N262" i="11"/>
  <c r="V262" i="11"/>
  <c r="W262" i="11" s="1"/>
  <c r="N404" i="11"/>
  <c r="V404" i="11"/>
  <c r="W404" i="11" s="1"/>
  <c r="N40" i="11"/>
  <c r="V40" i="11"/>
  <c r="W40" i="11" s="1"/>
  <c r="N100" i="11"/>
  <c r="V100" i="11"/>
  <c r="W100" i="11" s="1"/>
  <c r="N134" i="11"/>
  <c r="V134" i="11"/>
  <c r="W134" i="11" s="1"/>
  <c r="N191" i="11"/>
  <c r="V191" i="11"/>
  <c r="W191" i="11" s="1"/>
  <c r="N253" i="11"/>
  <c r="V253" i="11"/>
  <c r="W253" i="11" s="1"/>
  <c r="N354" i="11"/>
  <c r="V354" i="11"/>
  <c r="W354" i="11" s="1"/>
  <c r="N88" i="11"/>
  <c r="V88" i="11"/>
  <c r="W88" i="11" s="1"/>
  <c r="N378" i="11"/>
  <c r="V378" i="11"/>
  <c r="W378" i="11" s="1"/>
  <c r="V49" i="11"/>
  <c r="W49" i="11" s="1"/>
  <c r="N170" i="11"/>
  <c r="V170" i="11"/>
  <c r="W170" i="11" s="1"/>
  <c r="N290" i="11"/>
  <c r="V290" i="11"/>
  <c r="W290" i="11" s="1"/>
  <c r="V146" i="11"/>
  <c r="W146" i="11" s="1"/>
  <c r="N146" i="11"/>
  <c r="N81" i="11"/>
  <c r="V81" i="11"/>
  <c r="W81" i="11" s="1"/>
  <c r="N405" i="11"/>
  <c r="V405" i="11"/>
  <c r="W405" i="11" s="1"/>
  <c r="N156" i="11"/>
  <c r="V156" i="11"/>
  <c r="W156" i="11" s="1"/>
  <c r="N23" i="11"/>
  <c r="V23" i="11"/>
  <c r="W23" i="11" s="1"/>
  <c r="V36" i="11"/>
  <c r="W36" i="11" s="1"/>
  <c r="N36" i="11"/>
  <c r="V289" i="11"/>
  <c r="W289" i="11" s="1"/>
  <c r="N289" i="11"/>
  <c r="N125" i="11"/>
  <c r="V125" i="11"/>
  <c r="W125" i="11" s="1"/>
  <c r="N327" i="11"/>
  <c r="V327" i="11"/>
  <c r="W327" i="11" s="1"/>
  <c r="V207" i="11"/>
  <c r="W207" i="11" s="1"/>
  <c r="V168" i="11"/>
  <c r="W168" i="11" s="1"/>
  <c r="N168" i="11"/>
  <c r="N68" i="11"/>
  <c r="V68" i="11"/>
  <c r="W68" i="11" s="1"/>
  <c r="N69" i="11"/>
  <c r="V69" i="11"/>
  <c r="W69" i="11" s="1"/>
  <c r="N74" i="11"/>
  <c r="V74" i="11"/>
  <c r="W74" i="11" s="1"/>
  <c r="N316" i="11"/>
  <c r="V316" i="11"/>
  <c r="W316" i="11" s="1"/>
  <c r="N62" i="11"/>
  <c r="V62" i="11"/>
  <c r="W62" i="11" s="1"/>
  <c r="N274" i="11"/>
  <c r="V274" i="11"/>
  <c r="W274" i="11" s="1"/>
  <c r="N195" i="11"/>
  <c r="V195" i="11"/>
  <c r="W195" i="11" s="1"/>
  <c r="N25" i="11"/>
  <c r="V25" i="11"/>
  <c r="W25" i="11" s="1"/>
  <c r="N120" i="11"/>
  <c r="V120" i="11"/>
  <c r="W120" i="11" s="1"/>
  <c r="N209" i="11"/>
  <c r="V209" i="11"/>
  <c r="W209" i="11" s="1"/>
  <c r="N47" i="11"/>
  <c r="V47" i="11"/>
  <c r="W47" i="11" s="1"/>
  <c r="N164" i="11"/>
  <c r="V164" i="11"/>
  <c r="W164" i="11" s="1"/>
  <c r="N401" i="11"/>
  <c r="V401" i="11"/>
  <c r="W401" i="11" s="1"/>
  <c r="N38" i="11"/>
  <c r="V38" i="11"/>
  <c r="W38" i="11" s="1"/>
  <c r="N201" i="11"/>
  <c r="V201" i="11"/>
  <c r="W201" i="11" s="1"/>
  <c r="V124" i="11"/>
  <c r="W124" i="11" s="1"/>
  <c r="N124" i="11"/>
  <c r="N312" i="11"/>
  <c r="V312" i="11"/>
  <c r="W312" i="11" s="1"/>
  <c r="V77" i="11"/>
  <c r="W77" i="11" s="1"/>
  <c r="N77" i="11"/>
  <c r="N413" i="11"/>
  <c r="V413" i="11"/>
  <c r="W413" i="11" s="1"/>
  <c r="V282" i="11"/>
  <c r="W282" i="11" s="1"/>
  <c r="N282" i="11"/>
  <c r="N165" i="11"/>
  <c r="V165" i="11"/>
  <c r="W165" i="11" s="1"/>
  <c r="N190" i="11"/>
  <c r="V190" i="11"/>
  <c r="W190" i="11" s="1"/>
  <c r="N341" i="11"/>
  <c r="V341" i="11"/>
  <c r="W341" i="11" s="1"/>
  <c r="N131" i="11"/>
  <c r="V131" i="11"/>
  <c r="W131" i="11" s="1"/>
  <c r="N39" i="11"/>
  <c r="V39" i="11"/>
  <c r="W39" i="11" s="1"/>
  <c r="N95" i="11"/>
  <c r="V95" i="11"/>
  <c r="W95" i="11" s="1"/>
  <c r="V63" i="11"/>
  <c r="W63" i="11" s="1"/>
  <c r="E32" i="16" s="1"/>
  <c r="N63" i="11"/>
  <c r="N181" i="11"/>
  <c r="V181" i="11"/>
  <c r="W181" i="11" s="1"/>
  <c r="N302" i="11"/>
  <c r="V302" i="11"/>
  <c r="W302" i="11" s="1"/>
  <c r="N270" i="11"/>
  <c r="V270" i="11"/>
  <c r="W270" i="11" s="1"/>
  <c r="V194" i="11"/>
  <c r="W194" i="11" s="1"/>
  <c r="N98" i="11"/>
  <c r="V98" i="11"/>
  <c r="W98" i="11" s="1"/>
  <c r="N188" i="11"/>
  <c r="V188" i="11"/>
  <c r="W188" i="11" s="1"/>
  <c r="N372" i="11"/>
  <c r="V372" i="11"/>
  <c r="W372" i="11" s="1"/>
  <c r="N183" i="11"/>
  <c r="V183" i="11"/>
  <c r="W183" i="11" s="1"/>
  <c r="N239" i="11"/>
  <c r="V239" i="11"/>
  <c r="W239" i="11" s="1"/>
  <c r="N318" i="11"/>
  <c r="V318" i="11"/>
  <c r="W318" i="11" s="1"/>
  <c r="N402" i="11"/>
  <c r="V402" i="11"/>
  <c r="W402" i="11" s="1"/>
  <c r="V10" i="11"/>
  <c r="W10" i="11" s="1"/>
  <c r="N10" i="11"/>
  <c r="N22" i="11"/>
  <c r="V22" i="11"/>
  <c r="W22" i="11" s="1"/>
  <c r="N366" i="11"/>
  <c r="V366" i="11"/>
  <c r="W366" i="11" s="1"/>
  <c r="N396" i="11"/>
  <c r="V396" i="11"/>
  <c r="W396" i="11" s="1"/>
  <c r="N276" i="11"/>
  <c r="V276" i="11"/>
  <c r="W276" i="11" s="1"/>
  <c r="N106" i="11"/>
  <c r="V106" i="11"/>
  <c r="W106" i="11" s="1"/>
  <c r="N228" i="11"/>
  <c r="V228" i="11"/>
  <c r="W228" i="11" s="1"/>
  <c r="V298" i="11"/>
  <c r="W298" i="11" s="1"/>
  <c r="N298" i="11"/>
  <c r="V8" i="11"/>
  <c r="W8" i="11" s="1"/>
  <c r="N8" i="11"/>
  <c r="N56" i="11"/>
  <c r="V56" i="11"/>
  <c r="W56" i="11" s="1"/>
  <c r="N223" i="11"/>
  <c r="V223" i="11"/>
  <c r="W223" i="11" s="1"/>
  <c r="V418" i="11"/>
  <c r="W418" i="11" s="1"/>
  <c r="N418" i="11"/>
  <c r="N323" i="11"/>
  <c r="V323" i="11"/>
  <c r="W323" i="11" s="1"/>
  <c r="N387" i="11"/>
  <c r="V387" i="11"/>
  <c r="W387" i="11" s="1"/>
  <c r="N278" i="11"/>
  <c r="V278" i="11"/>
  <c r="W278" i="11" s="1"/>
  <c r="N279" i="11"/>
  <c r="V279" i="11"/>
  <c r="W279" i="11" s="1"/>
  <c r="N101" i="11"/>
  <c r="V101" i="11"/>
  <c r="W101" i="11" s="1"/>
  <c r="N114" i="11"/>
  <c r="V114" i="11"/>
  <c r="W114" i="11" s="1"/>
  <c r="N197" i="11"/>
  <c r="V197" i="11"/>
  <c r="W197" i="11" s="1"/>
  <c r="N46" i="11"/>
  <c r="V46" i="11"/>
  <c r="W46" i="11" s="1"/>
  <c r="V87" i="11"/>
  <c r="W87" i="11" s="1"/>
  <c r="N87" i="11"/>
  <c r="V29" i="11"/>
  <c r="W29" i="11" s="1"/>
  <c r="N29" i="11"/>
  <c r="V309" i="11"/>
  <c r="W309" i="11" s="1"/>
  <c r="N208" i="11"/>
  <c r="V208" i="11"/>
  <c r="W208" i="11" s="1"/>
  <c r="N390" i="11"/>
  <c r="V390" i="11"/>
  <c r="W390" i="11" s="1"/>
  <c r="N80" i="11"/>
  <c r="V80" i="11"/>
  <c r="W80" i="11" s="1"/>
  <c r="N211" i="11"/>
  <c r="V211" i="11"/>
  <c r="W211" i="11" s="1"/>
  <c r="V206" i="11"/>
  <c r="W206" i="11" s="1"/>
  <c r="V174" i="11"/>
  <c r="W174" i="11" s="1"/>
  <c r="N27" i="11"/>
  <c r="V27" i="11"/>
  <c r="W27" i="11" s="1"/>
  <c r="V127" i="11"/>
  <c r="W127" i="11" s="1"/>
  <c r="N127" i="11"/>
  <c r="N204" i="11"/>
  <c r="V204" i="11"/>
  <c r="W204" i="11" s="1"/>
  <c r="N358" i="11"/>
  <c r="V358" i="11"/>
  <c r="W358" i="11" s="1"/>
  <c r="N103" i="11"/>
  <c r="V103" i="11"/>
  <c r="W103" i="11" s="1"/>
  <c r="V205" i="11"/>
  <c r="W205" i="11" s="1"/>
  <c r="N205" i="11"/>
  <c r="N155" i="11"/>
  <c r="V155" i="11"/>
  <c r="W155" i="11" s="1"/>
  <c r="V394" i="11"/>
  <c r="W394" i="11" s="1"/>
  <c r="N139" i="11"/>
  <c r="V139" i="11"/>
  <c r="W139" i="11" s="1"/>
  <c r="N73" i="11"/>
  <c r="V73" i="11"/>
  <c r="W73" i="11" s="1"/>
  <c r="N337" i="11"/>
  <c r="V337" i="11"/>
  <c r="W337" i="11" s="1"/>
  <c r="N275" i="11"/>
  <c r="V275" i="11"/>
  <c r="W275" i="11" s="1"/>
  <c r="N187" i="11"/>
  <c r="V187" i="11"/>
  <c r="W187" i="11" s="1"/>
  <c r="N92" i="11"/>
  <c r="V92" i="11"/>
  <c r="W92" i="11" s="1"/>
  <c r="V213" i="11"/>
  <c r="W213" i="11" s="1"/>
  <c r="V417" i="11"/>
  <c r="W417" i="11" s="1"/>
  <c r="N20" i="11"/>
  <c r="V20" i="11"/>
  <c r="W20" i="11" s="1"/>
  <c r="N421" i="11"/>
  <c r="V421" i="11"/>
  <c r="W421" i="11" s="1"/>
  <c r="V307" i="11"/>
  <c r="W307" i="11" s="1"/>
  <c r="N307" i="11"/>
  <c r="V261" i="11"/>
  <c r="W261" i="11" s="1"/>
  <c r="N267" i="11"/>
  <c r="V267" i="11"/>
  <c r="W267" i="11" s="1"/>
  <c r="N53" i="11"/>
  <c r="V53" i="11"/>
  <c r="W53" i="11" s="1"/>
  <c r="V67" i="11"/>
  <c r="W67" i="11" s="1"/>
  <c r="N210" i="11"/>
  <c r="V210" i="11"/>
  <c r="W210" i="11" s="1"/>
  <c r="N178" i="11"/>
  <c r="V178" i="11"/>
  <c r="W178" i="11" s="1"/>
  <c r="V342" i="11"/>
  <c r="W342" i="11" s="1"/>
  <c r="N342" i="11"/>
  <c r="N132" i="11"/>
  <c r="V132" i="11"/>
  <c r="W132" i="11" s="1"/>
  <c r="N369" i="11"/>
  <c r="V369" i="11"/>
  <c r="W369" i="11" s="1"/>
  <c r="V148" i="11"/>
  <c r="W148" i="11" s="1"/>
  <c r="N148" i="11"/>
  <c r="N320" i="11"/>
  <c r="V320" i="11"/>
  <c r="W320" i="11" s="1"/>
  <c r="N349" i="11"/>
  <c r="V349" i="11"/>
  <c r="W349" i="11" s="1"/>
  <c r="N232" i="11"/>
  <c r="V232" i="11"/>
  <c r="W232" i="11" s="1"/>
  <c r="N94" i="11"/>
  <c r="V94" i="11"/>
  <c r="W94" i="11" s="1"/>
  <c r="V99" i="11"/>
  <c r="W99" i="11" s="1"/>
  <c r="N99" i="11"/>
  <c r="V314" i="11"/>
  <c r="W314" i="11" s="1"/>
  <c r="N314" i="11"/>
  <c r="N75" i="11"/>
  <c r="V75" i="11"/>
  <c r="W75" i="11" s="1"/>
  <c r="N172" i="11"/>
  <c r="V172" i="11"/>
  <c r="W172" i="11" s="1"/>
  <c r="N111" i="11"/>
  <c r="V111" i="11"/>
  <c r="W111" i="11" s="1"/>
  <c r="V381" i="10"/>
  <c r="W381" i="10" s="1"/>
  <c r="V243" i="10"/>
  <c r="W243" i="10" s="1"/>
  <c r="N46" i="10"/>
  <c r="V46" i="10"/>
  <c r="W46" i="10" s="1"/>
  <c r="V294" i="10"/>
  <c r="W294" i="10" s="1"/>
  <c r="N23" i="10"/>
  <c r="V58" i="10"/>
  <c r="W58" i="10" s="1"/>
  <c r="N229" i="10"/>
  <c r="V229" i="10"/>
  <c r="W229" i="10" s="1"/>
  <c r="N309" i="10"/>
  <c r="V309" i="10"/>
  <c r="W309" i="10" s="1"/>
  <c r="V247" i="10"/>
  <c r="W247" i="10" s="1"/>
  <c r="V107" i="10"/>
  <c r="W107" i="10" s="1"/>
  <c r="N249" i="10"/>
  <c r="V249" i="10"/>
  <c r="W249" i="10" s="1"/>
  <c r="V31" i="10"/>
  <c r="W31" i="10" s="1"/>
  <c r="N382" i="10"/>
  <c r="V382" i="10"/>
  <c r="W382" i="10" s="1"/>
  <c r="N155" i="10"/>
  <c r="V155" i="10"/>
  <c r="W155" i="10" s="1"/>
  <c r="V114" i="10"/>
  <c r="W114" i="10" s="1"/>
  <c r="V207" i="10"/>
  <c r="W207" i="10" s="1"/>
  <c r="V195" i="10"/>
  <c r="W195" i="10" s="1"/>
  <c r="N145" i="10"/>
  <c r="V145" i="10"/>
  <c r="W145" i="10" s="1"/>
  <c r="N201" i="10"/>
  <c r="V201" i="10"/>
  <c r="W201" i="10" s="1"/>
  <c r="N253" i="10"/>
  <c r="V253" i="10"/>
  <c r="W253" i="10" s="1"/>
  <c r="V170" i="10"/>
  <c r="W170" i="10" s="1"/>
  <c r="V257" i="10"/>
  <c r="W257" i="10" s="1"/>
  <c r="N133" i="10"/>
  <c r="V133" i="10"/>
  <c r="W133" i="10" s="1"/>
  <c r="N186" i="10"/>
  <c r="V186" i="10"/>
  <c r="W186" i="10" s="1"/>
  <c r="V269" i="10"/>
  <c r="W269" i="10" s="1"/>
  <c r="V5" i="10"/>
  <c r="W5" i="10" s="1"/>
  <c r="V246" i="10"/>
  <c r="W246" i="10" s="1"/>
  <c r="N83" i="10"/>
  <c r="V83" i="10"/>
  <c r="W83" i="10" s="1"/>
  <c r="N35" i="10"/>
  <c r="V35" i="10"/>
  <c r="W35" i="10" s="1"/>
  <c r="V254" i="10"/>
  <c r="W254" i="10" s="1"/>
  <c r="V375" i="10"/>
  <c r="W375" i="10" s="1"/>
  <c r="V43" i="10"/>
  <c r="W43" i="10" s="1"/>
  <c r="V235" i="10"/>
  <c r="W235" i="10" s="1"/>
  <c r="N157" i="10"/>
  <c r="V157" i="10"/>
  <c r="W157" i="10" s="1"/>
  <c r="N54" i="10"/>
  <c r="V54" i="10"/>
  <c r="W54" i="10" s="1"/>
  <c r="N307" i="10"/>
  <c r="V307" i="10"/>
  <c r="W307" i="10" s="1"/>
  <c r="N359" i="10"/>
  <c r="V359" i="10"/>
  <c r="W359" i="10" s="1"/>
  <c r="N280" i="10"/>
  <c r="V280" i="10"/>
  <c r="W280" i="10" s="1"/>
  <c r="V420" i="10"/>
  <c r="W420" i="10" s="1"/>
  <c r="V305" i="10"/>
  <c r="W305" i="10" s="1"/>
  <c r="N153" i="10"/>
  <c r="V153" i="10"/>
  <c r="W153" i="10" s="1"/>
  <c r="N407" i="10"/>
  <c r="V407" i="10"/>
  <c r="W407" i="10" s="1"/>
  <c r="V383" i="10"/>
  <c r="W383" i="10" s="1"/>
  <c r="V355" i="10"/>
  <c r="W355" i="10" s="1"/>
  <c r="V177" i="10"/>
  <c r="W177" i="10" s="1"/>
  <c r="V311" i="10"/>
  <c r="W311" i="10" s="1"/>
  <c r="N231" i="10"/>
  <c r="V231" i="10"/>
  <c r="W231" i="10" s="1"/>
  <c r="N171" i="10"/>
  <c r="V171" i="10"/>
  <c r="W171" i="10" s="1"/>
  <c r="N271" i="10"/>
  <c r="V271" i="10"/>
  <c r="W271" i="10" s="1"/>
  <c r="V262" i="10"/>
  <c r="W262" i="10" s="1"/>
  <c r="V322" i="10"/>
  <c r="W322" i="10" s="1"/>
  <c r="V389" i="10"/>
  <c r="W389" i="10" s="1"/>
  <c r="N238" i="10"/>
  <c r="V238" i="10"/>
  <c r="W238" i="10" s="1"/>
  <c r="V261" i="10"/>
  <c r="W261" i="10" s="1"/>
  <c r="V373" i="10"/>
  <c r="W373" i="10" s="1"/>
  <c r="V327" i="10"/>
  <c r="W327" i="10" s="1"/>
  <c r="V377" i="10"/>
  <c r="W377" i="10" s="1"/>
  <c r="V30" i="10"/>
  <c r="W30" i="10" s="1"/>
  <c r="N59" i="10"/>
  <c r="V59" i="10"/>
  <c r="W59" i="10" s="1"/>
  <c r="N316" i="10"/>
  <c r="V316" i="10"/>
  <c r="W316" i="10" s="1"/>
  <c r="N6" i="10"/>
  <c r="V6" i="10"/>
  <c r="W6" i="10" s="1"/>
  <c r="V11" i="10"/>
  <c r="W11" i="10" s="1"/>
  <c r="N80" i="10"/>
  <c r="V80" i="10"/>
  <c r="W80" i="10" s="1"/>
  <c r="V15" i="10"/>
  <c r="W15" i="10" s="1"/>
  <c r="N244" i="10"/>
  <c r="V244" i="10"/>
  <c r="W244" i="10" s="1"/>
  <c r="V265" i="10"/>
  <c r="W265" i="10" s="1"/>
  <c r="V299" i="10"/>
  <c r="W299" i="10" s="1"/>
  <c r="V296" i="10"/>
  <c r="W296" i="10" s="1"/>
  <c r="N188" i="10"/>
  <c r="V188" i="10"/>
  <c r="W188" i="10" s="1"/>
  <c r="V358" i="10"/>
  <c r="W358" i="10" s="1"/>
  <c r="V398" i="10"/>
  <c r="W398" i="10" s="1"/>
  <c r="V176" i="10"/>
  <c r="W176" i="10" s="1"/>
  <c r="N176" i="10"/>
  <c r="V34" i="10"/>
  <c r="W34" i="10" s="1"/>
  <c r="V303" i="10"/>
  <c r="W303" i="10" s="1"/>
  <c r="V422" i="10"/>
  <c r="W422" i="10" s="1"/>
  <c r="V350" i="10"/>
  <c r="W350" i="10" s="1"/>
  <c r="N224" i="10"/>
  <c r="V224" i="10"/>
  <c r="W224" i="10" s="1"/>
  <c r="N379" i="10"/>
  <c r="V379" i="10"/>
  <c r="W379" i="10" s="1"/>
  <c r="N404" i="10"/>
  <c r="V404" i="10"/>
  <c r="W404" i="10" s="1"/>
  <c r="N38" i="10"/>
  <c r="V38" i="10"/>
  <c r="W38" i="10" s="1"/>
  <c r="N215" i="10"/>
  <c r="V215" i="10"/>
  <c r="W215" i="10" s="1"/>
  <c r="V395" i="10"/>
  <c r="W395" i="10" s="1"/>
  <c r="N291" i="10"/>
  <c r="V291" i="10"/>
  <c r="W291" i="10" s="1"/>
  <c r="N89" i="10"/>
  <c r="V89" i="10"/>
  <c r="W89" i="10" s="1"/>
  <c r="N251" i="10"/>
  <c r="V251" i="10"/>
  <c r="W251" i="10" s="1"/>
  <c r="V277" i="10"/>
  <c r="W277" i="10" s="1"/>
  <c r="V412" i="10"/>
  <c r="W412" i="10" s="1"/>
  <c r="N135" i="10"/>
  <c r="V135" i="10"/>
  <c r="W135" i="10" s="1"/>
  <c r="N18" i="10"/>
  <c r="V18" i="10"/>
  <c r="W18" i="10" s="1"/>
  <c r="V138" i="10"/>
  <c r="W138" i="10" s="1"/>
  <c r="N181" i="10"/>
  <c r="V181" i="10"/>
  <c r="W181" i="10" s="1"/>
  <c r="V347" i="10"/>
  <c r="W347" i="10" s="1"/>
  <c r="N260" i="10"/>
  <c r="V260" i="10"/>
  <c r="W260" i="10" s="1"/>
  <c r="V419" i="10"/>
  <c r="W419" i="10" s="1"/>
  <c r="V258" i="10"/>
  <c r="W258" i="10" s="1"/>
  <c r="V232" i="10"/>
  <c r="W232" i="10" s="1"/>
  <c r="N314" i="10"/>
  <c r="V314" i="10"/>
  <c r="W314" i="10" s="1"/>
  <c r="N78" i="10"/>
  <c r="V78" i="10"/>
  <c r="W78" i="10" s="1"/>
  <c r="V128" i="10"/>
  <c r="W128" i="10" s="1"/>
  <c r="N49" i="10"/>
  <c r="V49" i="10"/>
  <c r="W49" i="10" s="1"/>
  <c r="N216" i="10"/>
  <c r="V216" i="10"/>
  <c r="W216" i="10" s="1"/>
  <c r="N64" i="10"/>
  <c r="V64" i="10"/>
  <c r="W64" i="10" s="1"/>
  <c r="V328" i="10"/>
  <c r="W328" i="10" s="1"/>
  <c r="N408" i="10"/>
  <c r="V408" i="10"/>
  <c r="W408" i="10" s="1"/>
  <c r="V315" i="10"/>
  <c r="W315" i="10" s="1"/>
  <c r="N315" i="10"/>
  <c r="V323" i="10"/>
  <c r="W323" i="10" s="1"/>
  <c r="V13" i="10"/>
  <c r="W13" i="10" s="1"/>
  <c r="N27" i="10"/>
  <c r="V27" i="10"/>
  <c r="W27" i="10" s="1"/>
  <c r="N252" i="10"/>
  <c r="V252" i="10"/>
  <c r="W252" i="10" s="1"/>
  <c r="N264" i="10"/>
  <c r="V264" i="10"/>
  <c r="W264" i="10" s="1"/>
  <c r="V376" i="10"/>
  <c r="W376" i="10" s="1"/>
  <c r="N276" i="10"/>
  <c r="V276" i="10"/>
  <c r="W276" i="10" s="1"/>
  <c r="V272" i="10"/>
  <c r="W272" i="10" s="1"/>
  <c r="V158" i="10"/>
  <c r="W158" i="10" s="1"/>
  <c r="N219" i="10"/>
  <c r="V219" i="10"/>
  <c r="W219" i="10" s="1"/>
  <c r="V217" i="10"/>
  <c r="W217" i="10" s="1"/>
  <c r="V349" i="10"/>
  <c r="W349" i="10" s="1"/>
  <c r="N349" i="10"/>
  <c r="N178" i="10"/>
  <c r="V178" i="10"/>
  <c r="W178" i="10" s="1"/>
  <c r="N22" i="10"/>
  <c r="V22" i="10"/>
  <c r="W22" i="10" s="1"/>
  <c r="N119" i="10"/>
  <c r="V119" i="10"/>
  <c r="W119" i="10" s="1"/>
  <c r="V345" i="10"/>
  <c r="W345" i="10" s="1"/>
  <c r="N113" i="10"/>
  <c r="V113" i="10"/>
  <c r="W113" i="10" s="1"/>
  <c r="V414" i="10"/>
  <c r="W414" i="10" s="1"/>
  <c r="N193" i="10"/>
  <c r="V193" i="10"/>
  <c r="W193" i="10" s="1"/>
  <c r="V415" i="10"/>
  <c r="W415" i="10" s="1"/>
  <c r="N380" i="10"/>
  <c r="V380" i="10"/>
  <c r="W380" i="10" s="1"/>
  <c r="N223" i="10"/>
  <c r="V223" i="10"/>
  <c r="W223" i="10" s="1"/>
  <c r="V103" i="10"/>
  <c r="W103" i="10" s="1"/>
  <c r="N112" i="10"/>
  <c r="V112" i="10"/>
  <c r="W112" i="10" s="1"/>
  <c r="V233" i="10"/>
  <c r="W233" i="10" s="1"/>
  <c r="V160" i="10"/>
  <c r="W160" i="10" s="1"/>
  <c r="N144" i="10"/>
  <c r="V144" i="10"/>
  <c r="W144" i="10" s="1"/>
  <c r="V331" i="10"/>
  <c r="W331" i="10" s="1"/>
  <c r="V357" i="10"/>
  <c r="W357" i="10" s="1"/>
  <c r="N39" i="10"/>
  <c r="V39" i="10"/>
  <c r="W39" i="10" s="1"/>
  <c r="V222" i="10"/>
  <c r="W222" i="10" s="1"/>
  <c r="V290" i="10"/>
  <c r="W290" i="10" s="1"/>
  <c r="N290" i="10"/>
  <c r="N97" i="10"/>
  <c r="V97" i="10"/>
  <c r="W97" i="10" s="1"/>
  <c r="N335" i="10"/>
  <c r="V335" i="10"/>
  <c r="W335" i="10" s="1"/>
  <c r="V93" i="10"/>
  <c r="W93" i="10" s="1"/>
  <c r="N93" i="10"/>
  <c r="V378" i="10"/>
  <c r="W378" i="10" s="1"/>
  <c r="V164" i="10"/>
  <c r="W164" i="10" s="1"/>
  <c r="V410" i="10"/>
  <c r="W410" i="10" s="1"/>
  <c r="N143" i="10"/>
  <c r="V143" i="10"/>
  <c r="W143" i="10" s="1"/>
  <c r="N363" i="10"/>
  <c r="V363" i="10"/>
  <c r="W363" i="10" s="1"/>
  <c r="V81" i="10"/>
  <c r="W81" i="10" s="1"/>
  <c r="N104" i="10"/>
  <c r="V104" i="10"/>
  <c r="W104" i="10" s="1"/>
  <c r="N336" i="10"/>
  <c r="V336" i="10"/>
  <c r="W336" i="10" s="1"/>
  <c r="N69" i="10"/>
  <c r="V69" i="10"/>
  <c r="W69" i="10" s="1"/>
  <c r="V17" i="10"/>
  <c r="W17" i="10" s="1"/>
  <c r="V405" i="10"/>
  <c r="W405" i="10" s="1"/>
  <c r="N161" i="10"/>
  <c r="V161" i="10"/>
  <c r="W161" i="10" s="1"/>
  <c r="N234" i="10"/>
  <c r="V234" i="10"/>
  <c r="W234" i="10" s="1"/>
  <c r="N204" i="10"/>
  <c r="V204" i="10"/>
  <c r="W204" i="10" s="1"/>
  <c r="N319" i="10"/>
  <c r="V319" i="10"/>
  <c r="W319" i="10" s="1"/>
  <c r="V73" i="10"/>
  <c r="W73" i="10" s="1"/>
  <c r="N273" i="10"/>
  <c r="V273" i="10"/>
  <c r="W273" i="10" s="1"/>
  <c r="N96" i="10"/>
  <c r="V96" i="10"/>
  <c r="W96" i="10" s="1"/>
  <c r="V351" i="10"/>
  <c r="W351" i="10" s="1"/>
  <c r="V191" i="10"/>
  <c r="W191" i="10" s="1"/>
  <c r="N70" i="10"/>
  <c r="V70" i="10"/>
  <c r="W70" i="10" s="1"/>
  <c r="V150" i="10"/>
  <c r="W150" i="10" s="1"/>
  <c r="N121" i="10"/>
  <c r="V121" i="10"/>
  <c r="W121" i="10" s="1"/>
  <c r="V302" i="10"/>
  <c r="W302" i="10" s="1"/>
  <c r="V406" i="10"/>
  <c r="W406" i="10" s="1"/>
  <c r="V66" i="10"/>
  <c r="W66" i="10" s="1"/>
  <c r="V230" i="10"/>
  <c r="W230" i="10" s="1"/>
  <c r="N230" i="10"/>
  <c r="V63" i="10"/>
  <c r="W63" i="10" s="1"/>
  <c r="N354" i="10"/>
  <c r="V354" i="10"/>
  <c r="W354" i="10" s="1"/>
  <c r="N318" i="10"/>
  <c r="V318" i="10"/>
  <c r="W318" i="10" s="1"/>
  <c r="V98" i="10"/>
  <c r="W98" i="10" s="1"/>
  <c r="V332" i="10"/>
  <c r="W332" i="10" s="1"/>
  <c r="N210" i="10"/>
  <c r="V210" i="10"/>
  <c r="W210" i="10" s="1"/>
  <c r="N372" i="10"/>
  <c r="V372" i="10"/>
  <c r="W372" i="10" s="1"/>
  <c r="N226" i="10"/>
  <c r="V226" i="10"/>
  <c r="W226" i="10" s="1"/>
  <c r="N298" i="10"/>
  <c r="V298" i="10"/>
  <c r="W298" i="10" s="1"/>
  <c r="V174" i="10"/>
  <c r="W174" i="10" s="1"/>
  <c r="N237" i="10"/>
  <c r="V237" i="10"/>
  <c r="W237" i="10" s="1"/>
  <c r="V147" i="10"/>
  <c r="W147" i="10" s="1"/>
  <c r="N147" i="10"/>
  <c r="V396" i="10"/>
  <c r="W396" i="10" s="1"/>
  <c r="V342" i="10"/>
  <c r="W342" i="10" s="1"/>
  <c r="V197" i="10"/>
  <c r="W197" i="10" s="1"/>
  <c r="V72" i="10"/>
  <c r="W72" i="10" s="1"/>
  <c r="N411" i="10"/>
  <c r="V411" i="10"/>
  <c r="W411" i="10" s="1"/>
  <c r="V167" i="10"/>
  <c r="W167" i="10" s="1"/>
  <c r="V241" i="10"/>
  <c r="W241" i="10" s="1"/>
  <c r="N8" i="10"/>
  <c r="V8" i="10"/>
  <c r="W8" i="10" s="1"/>
  <c r="V329" i="10"/>
  <c r="W329" i="10" s="1"/>
  <c r="N166" i="10"/>
  <c r="V166" i="10"/>
  <c r="W166" i="10" s="1"/>
  <c r="V184" i="10"/>
  <c r="W184" i="10" s="1"/>
  <c r="V79" i="10"/>
  <c r="W79" i="10" s="1"/>
  <c r="N50" i="10"/>
  <c r="V50" i="10"/>
  <c r="W50" i="10" s="1"/>
  <c r="N154" i="10"/>
  <c r="V154" i="10"/>
  <c r="W154" i="10" s="1"/>
  <c r="N28" i="10"/>
  <c r="V28" i="10"/>
  <c r="W28" i="10" s="1"/>
  <c r="N312" i="10"/>
  <c r="V312" i="10"/>
  <c r="W312" i="10" s="1"/>
  <c r="V386" i="10"/>
  <c r="W386" i="10" s="1"/>
  <c r="V169" i="10"/>
  <c r="W169" i="10" s="1"/>
  <c r="V130" i="10"/>
  <c r="W130" i="10" s="1"/>
  <c r="V399" i="10"/>
  <c r="W399" i="10" s="1"/>
  <c r="N71" i="10"/>
  <c r="V71" i="10"/>
  <c r="W71" i="10" s="1"/>
  <c r="N99" i="10"/>
  <c r="V99" i="10"/>
  <c r="W99" i="10" s="1"/>
  <c r="N326" i="10"/>
  <c r="V326" i="10"/>
  <c r="W326" i="10" s="1"/>
  <c r="N208" i="10"/>
  <c r="V208" i="10"/>
  <c r="W208" i="10" s="1"/>
  <c r="V368" i="10"/>
  <c r="W368" i="10" s="1"/>
  <c r="N91" i="10"/>
  <c r="V91" i="10"/>
  <c r="W91" i="10" s="1"/>
  <c r="V175" i="10"/>
  <c r="W175" i="10" s="1"/>
  <c r="N175" i="10"/>
  <c r="N55" i="10"/>
  <c r="V55" i="10"/>
  <c r="W55" i="10" s="1"/>
  <c r="V324" i="10"/>
  <c r="W324" i="10" s="1"/>
  <c r="V361" i="10"/>
  <c r="W361" i="10" s="1"/>
  <c r="V402" i="10"/>
  <c r="W402" i="10" s="1"/>
  <c r="N402" i="10"/>
  <c r="V401" i="10"/>
  <c r="W401" i="10" s="1"/>
  <c r="V393" i="10"/>
  <c r="W393" i="10" s="1"/>
  <c r="N118" i="10"/>
  <c r="V118" i="10"/>
  <c r="W118" i="10" s="1"/>
  <c r="V245" i="10"/>
  <c r="W245" i="10" s="1"/>
  <c r="N308" i="10"/>
  <c r="V308" i="10"/>
  <c r="W308" i="10" s="1"/>
  <c r="V95" i="10"/>
  <c r="W95" i="10" s="1"/>
  <c r="V221" i="10"/>
  <c r="W221" i="10" s="1"/>
  <c r="V373" i="7"/>
  <c r="W373" i="7" s="1"/>
  <c r="N384" i="7"/>
  <c r="N299" i="7"/>
  <c r="N401" i="7"/>
  <c r="N278" i="7"/>
  <c r="V225" i="7"/>
  <c r="W225" i="7" s="1"/>
  <c r="N249" i="7"/>
  <c r="V180" i="7"/>
  <c r="W180" i="7" s="1"/>
  <c r="N271" i="7"/>
  <c r="N15" i="7"/>
  <c r="N232" i="7"/>
  <c r="N13" i="7"/>
  <c r="N366" i="7"/>
  <c r="V382" i="7"/>
  <c r="W382" i="7" s="1"/>
  <c r="V211" i="7"/>
  <c r="W211" i="7" s="1"/>
  <c r="N296" i="7"/>
  <c r="N137" i="7"/>
  <c r="N292" i="7"/>
  <c r="V193" i="7"/>
  <c r="W193" i="7" s="1"/>
  <c r="V115" i="7"/>
  <c r="W115" i="7" s="1"/>
  <c r="V289" i="7"/>
  <c r="W289" i="7" s="1"/>
  <c r="N226" i="7"/>
  <c r="N19" i="7"/>
  <c r="V394" i="7"/>
  <c r="W394" i="7" s="1"/>
  <c r="N146" i="7"/>
  <c r="V377" i="7"/>
  <c r="W377" i="7" s="1"/>
  <c r="V335" i="7"/>
  <c r="W335" i="7" s="1"/>
  <c r="N121" i="7"/>
  <c r="V267" i="7"/>
  <c r="W267" i="7" s="1"/>
  <c r="N120" i="7"/>
  <c r="W144" i="8"/>
  <c r="X144" i="8" s="1"/>
  <c r="W19" i="8"/>
  <c r="X19" i="8" s="1"/>
  <c r="W133" i="8"/>
  <c r="X133" i="8" s="1"/>
  <c r="W135" i="8"/>
  <c r="X135" i="8" s="1"/>
  <c r="W59" i="8"/>
  <c r="X59" i="8" s="1"/>
  <c r="W102" i="8"/>
  <c r="X102" i="8" s="1"/>
  <c r="W147" i="8"/>
  <c r="X147" i="8" s="1"/>
  <c r="W43" i="8"/>
  <c r="X43" i="8" s="1"/>
  <c r="W23" i="8"/>
  <c r="X23" i="8" s="1"/>
  <c r="W136" i="8"/>
  <c r="X136" i="8" s="1"/>
  <c r="W143" i="8"/>
  <c r="X143" i="8" s="1"/>
  <c r="W63" i="8"/>
  <c r="X63" i="8" s="1"/>
  <c r="W46" i="8"/>
  <c r="X46" i="8" s="1"/>
  <c r="W93" i="8"/>
  <c r="X93" i="8" s="1"/>
  <c r="W132" i="8"/>
  <c r="X132" i="8" s="1"/>
  <c r="W50" i="8"/>
  <c r="X50" i="8" s="1"/>
  <c r="W9" i="17"/>
  <c r="X9" i="17" s="1"/>
  <c r="W105" i="8"/>
  <c r="X105" i="8" s="1"/>
  <c r="W3" i="8"/>
  <c r="X3" i="8" s="1"/>
  <c r="W3" i="17"/>
  <c r="X3" i="17" s="1"/>
  <c r="W122" i="8"/>
  <c r="X122" i="8" s="1"/>
  <c r="W82" i="8"/>
  <c r="X82" i="8" s="1"/>
  <c r="W55" i="8"/>
  <c r="X55" i="8" s="1"/>
  <c r="W157" i="8"/>
  <c r="X157" i="8" s="1"/>
  <c r="W1" i="17"/>
  <c r="X1" i="17" s="1"/>
  <c r="W12" i="8"/>
  <c r="X12" i="8" s="1"/>
  <c r="W127" i="8"/>
  <c r="X127" i="8" s="1"/>
  <c r="W170" i="8"/>
  <c r="X170" i="8" s="1"/>
  <c r="W100" i="8"/>
  <c r="X100" i="8" s="1"/>
  <c r="W79" i="8"/>
  <c r="X79" i="8" s="1"/>
  <c r="C66" i="15"/>
  <c r="W164" i="8"/>
  <c r="X164" i="8" s="1"/>
  <c r="W140" i="8"/>
  <c r="X140" i="8" s="1"/>
  <c r="W103" i="8"/>
  <c r="X103" i="8" s="1"/>
  <c r="W67" i="8"/>
  <c r="X67" i="8" s="1"/>
  <c r="W123" i="8"/>
  <c r="X123" i="8" s="1"/>
  <c r="W129" i="8"/>
  <c r="X129" i="8" s="1"/>
  <c r="D66" i="15"/>
  <c r="W72" i="8"/>
  <c r="X72" i="8" s="1"/>
  <c r="W71" i="8"/>
  <c r="X71" i="8" s="1"/>
  <c r="W37" i="8"/>
  <c r="X37" i="8" s="1"/>
  <c r="W98" i="8"/>
  <c r="X98" i="8" s="1"/>
  <c r="W153" i="8"/>
  <c r="X153" i="8" s="1"/>
  <c r="W44" i="8"/>
  <c r="X44" i="8" s="1"/>
  <c r="W80" i="8"/>
  <c r="X80" i="8" s="1"/>
  <c r="W108" i="8"/>
  <c r="X108" i="8" s="1"/>
  <c r="W96" i="8"/>
  <c r="X96" i="8" s="1"/>
  <c r="W53" i="8"/>
  <c r="X53" i="8" s="1"/>
  <c r="W107" i="8"/>
  <c r="X107" i="8" s="1"/>
  <c r="W65" i="8"/>
  <c r="X65" i="8" s="1"/>
  <c r="W95" i="8"/>
  <c r="X95" i="8" s="1"/>
  <c r="W97" i="8"/>
  <c r="X97" i="8" s="1"/>
  <c r="W158" i="8"/>
  <c r="X158" i="8" s="1"/>
  <c r="W61" i="8"/>
  <c r="X61" i="8" s="1"/>
  <c r="W54" i="8"/>
  <c r="X54" i="8" s="1"/>
  <c r="W111" i="8"/>
  <c r="X111" i="8" s="1"/>
  <c r="W155" i="8"/>
  <c r="X155" i="8" s="1"/>
  <c r="W14" i="8"/>
  <c r="X14" i="8" s="1"/>
  <c r="W28" i="8"/>
  <c r="X28" i="8" s="1"/>
  <c r="W47" i="8"/>
  <c r="X47" i="8" s="1"/>
  <c r="W126" i="8"/>
  <c r="X126" i="8" s="1"/>
  <c r="W139" i="8"/>
  <c r="X139" i="8" s="1"/>
  <c r="W84" i="8"/>
  <c r="X84" i="8" s="1"/>
  <c r="W169" i="8"/>
  <c r="X169" i="8" s="1"/>
  <c r="W110" i="8"/>
  <c r="X110" i="8" s="1"/>
  <c r="V69" i="7"/>
  <c r="W69" i="7" s="1"/>
  <c r="N175" i="7"/>
  <c r="N312" i="7"/>
  <c r="N50" i="7"/>
  <c r="N40" i="7"/>
  <c r="V12" i="7"/>
  <c r="W12" i="7" s="1"/>
  <c r="V308" i="7"/>
  <c r="W308" i="7" s="1"/>
  <c r="V197" i="7"/>
  <c r="W197" i="7" s="1"/>
  <c r="V209" i="7"/>
  <c r="W209" i="7" s="1"/>
  <c r="V160" i="7"/>
  <c r="W160" i="7" s="1"/>
  <c r="V347" i="7"/>
  <c r="W347" i="7" s="1"/>
  <c r="V107" i="7"/>
  <c r="W107" i="7" s="1"/>
  <c r="V264" i="7"/>
  <c r="W264" i="7" s="1"/>
  <c r="V95" i="7"/>
  <c r="W95" i="7" s="1"/>
  <c r="V189" i="7"/>
  <c r="W189" i="7" s="1"/>
  <c r="V414" i="7"/>
  <c r="W414" i="7" s="1"/>
  <c r="V356" i="7"/>
  <c r="W356" i="7" s="1"/>
  <c r="V240" i="7"/>
  <c r="W240" i="7" s="1"/>
  <c r="V103" i="7"/>
  <c r="W103" i="7" s="1"/>
  <c r="V380" i="7"/>
  <c r="W380" i="7" s="1"/>
  <c r="V332" i="7"/>
  <c r="W332" i="7" s="1"/>
  <c r="V101" i="7"/>
  <c r="W101" i="7" s="1"/>
  <c r="V346" i="7"/>
  <c r="W346" i="7" s="1"/>
  <c r="V228" i="7"/>
  <c r="W228" i="7" s="1"/>
  <c r="V36" i="7"/>
  <c r="W36" i="7" s="1"/>
  <c r="V32" i="7"/>
  <c r="W32" i="7" s="1"/>
  <c r="V241" i="7"/>
  <c r="W241" i="7" s="1"/>
  <c r="V164" i="7"/>
  <c r="W164" i="7" s="1"/>
  <c r="V272" i="7"/>
  <c r="W272" i="7" s="1"/>
  <c r="V73" i="7"/>
  <c r="W73" i="7" s="1"/>
  <c r="V411" i="7"/>
  <c r="W411" i="7" s="1"/>
  <c r="V212" i="7"/>
  <c r="W212" i="7" s="1"/>
  <c r="V214" i="7"/>
  <c r="W214" i="7" s="1"/>
  <c r="V190" i="7"/>
  <c r="W190" i="7" s="1"/>
  <c r="V52" i="7"/>
  <c r="W52" i="7" s="1"/>
  <c r="V196" i="7"/>
  <c r="W196" i="7" s="1"/>
  <c r="V375" i="7"/>
  <c r="W375" i="7" s="1"/>
  <c r="V321" i="7"/>
  <c r="W321" i="7" s="1"/>
  <c r="V405" i="7"/>
  <c r="W405" i="7" s="1"/>
  <c r="V114" i="7"/>
  <c r="W114" i="7" s="1"/>
  <c r="V268" i="7"/>
  <c r="W268" i="7" s="1"/>
  <c r="V342" i="7"/>
  <c r="W342" i="7" s="1"/>
  <c r="V365" i="7"/>
  <c r="W365" i="7" s="1"/>
  <c r="V396" i="7"/>
  <c r="W396" i="7" s="1"/>
  <c r="V102" i="7"/>
  <c r="W102" i="7" s="1"/>
  <c r="V91" i="7"/>
  <c r="W91" i="7" s="1"/>
  <c r="V60" i="7"/>
  <c r="W60" i="7" s="1"/>
  <c r="V403" i="7"/>
  <c r="W403" i="7" s="1"/>
  <c r="V344" i="7"/>
  <c r="W344" i="7" s="1"/>
  <c r="V96" i="7"/>
  <c r="W96" i="7" s="1"/>
  <c r="V58" i="7"/>
  <c r="W58" i="7" s="1"/>
  <c r="V85" i="7"/>
  <c r="W85" i="7" s="1"/>
  <c r="V389" i="7"/>
  <c r="W389" i="7" s="1"/>
  <c r="V185" i="7"/>
  <c r="W185" i="7" s="1"/>
  <c r="V238" i="7"/>
  <c r="W238" i="7" s="1"/>
  <c r="V336" i="7"/>
  <c r="W336" i="7" s="1"/>
  <c r="V153" i="7"/>
  <c r="W153" i="7" s="1"/>
  <c r="V172" i="7"/>
  <c r="W172" i="7" s="1"/>
  <c r="V84" i="7"/>
  <c r="W84" i="7" s="1"/>
  <c r="V415" i="7"/>
  <c r="W415" i="7" s="1"/>
  <c r="V33" i="7"/>
  <c r="W33" i="7" s="1"/>
  <c r="V393" i="7"/>
  <c r="W393" i="7" s="1"/>
  <c r="V41" i="7"/>
  <c r="W41" i="7" s="1"/>
  <c r="V379" i="7"/>
  <c r="W379" i="7" s="1"/>
  <c r="V387" i="7"/>
  <c r="W387" i="7" s="1"/>
  <c r="V165" i="7"/>
  <c r="W165" i="7" s="1"/>
  <c r="V421" i="7"/>
  <c r="W421" i="7" s="1"/>
  <c r="V202" i="7"/>
  <c r="W202" i="7" s="1"/>
  <c r="V171" i="7"/>
  <c r="W171" i="7" s="1"/>
  <c r="V169" i="7"/>
  <c r="W169" i="7" s="1"/>
  <c r="V181" i="7"/>
  <c r="W181" i="7" s="1"/>
  <c r="V118" i="7"/>
  <c r="W118" i="7" s="1"/>
  <c r="V42" i="7"/>
  <c r="W42" i="7" s="1"/>
  <c r="V248" i="7"/>
  <c r="W248" i="7" s="1"/>
  <c r="V154" i="7"/>
  <c r="W154" i="7" s="1"/>
  <c r="V3" i="7"/>
  <c r="W3" i="7" s="1"/>
  <c r="V284" i="7"/>
  <c r="W284" i="7" s="1"/>
  <c r="N284" i="7"/>
  <c r="W104" i="8"/>
  <c r="X104" i="8" s="1"/>
  <c r="O104" i="8"/>
  <c r="V257" i="7"/>
  <c r="W257" i="7" s="1"/>
  <c r="N257" i="7"/>
  <c r="V159" i="7"/>
  <c r="W159" i="7" s="1"/>
  <c r="V133" i="7"/>
  <c r="W133" i="7" s="1"/>
  <c r="N133" i="7"/>
  <c r="V204" i="7"/>
  <c r="W204" i="7" s="1"/>
  <c r="N204" i="7"/>
  <c r="N227" i="7"/>
  <c r="V227" i="7"/>
  <c r="W227" i="7" s="1"/>
  <c r="W25" i="8"/>
  <c r="X25" i="8" s="1"/>
  <c r="B446" i="14"/>
  <c r="V140" i="7"/>
  <c r="W140" i="7" s="1"/>
  <c r="N140" i="7"/>
  <c r="V287" i="7"/>
  <c r="W287" i="7" s="1"/>
  <c r="V372" i="7"/>
  <c r="W372" i="7" s="1"/>
  <c r="N372" i="7"/>
  <c r="V359" i="7"/>
  <c r="W359" i="7" s="1"/>
  <c r="N359" i="7"/>
  <c r="N9" i="7"/>
  <c r="V9" i="7"/>
  <c r="W9" i="7" s="1"/>
  <c r="O151" i="8"/>
  <c r="W151" i="8"/>
  <c r="X151" i="8" s="1"/>
  <c r="E50" i="15"/>
  <c r="V252" i="7"/>
  <c r="W252" i="7" s="1"/>
  <c r="N252" i="7"/>
  <c r="N340" i="7"/>
  <c r="V340" i="7"/>
  <c r="W340" i="7" s="1"/>
  <c r="W149" i="8"/>
  <c r="X149" i="8" s="1"/>
  <c r="V270" i="7"/>
  <c r="W270" i="7" s="1"/>
  <c r="N270" i="7"/>
  <c r="E51" i="15"/>
  <c r="W145" i="8"/>
  <c r="X145" i="8" s="1"/>
  <c r="O145" i="8"/>
  <c r="G48" i="15"/>
  <c r="V203" i="7"/>
  <c r="W203" i="7" s="1"/>
  <c r="N203" i="7"/>
  <c r="V242" i="7"/>
  <c r="W242" i="7" s="1"/>
  <c r="N242" i="7"/>
  <c r="W128" i="8"/>
  <c r="X128" i="8" s="1"/>
  <c r="O128" i="8"/>
  <c r="V221" i="7"/>
  <c r="W221" i="7" s="1"/>
  <c r="N221" i="7"/>
  <c r="N418" i="7"/>
  <c r="V418" i="7"/>
  <c r="W418" i="7" s="1"/>
  <c r="C13" i="16"/>
  <c r="N86" i="7"/>
  <c r="V86" i="7"/>
  <c r="W86" i="7" s="1"/>
  <c r="W115" i="8"/>
  <c r="X115" i="8" s="1"/>
  <c r="O115" i="8"/>
  <c r="O172" i="8"/>
  <c r="W172" i="8"/>
  <c r="X172" i="8" s="1"/>
  <c r="V409" i="7"/>
  <c r="W409" i="7" s="1"/>
  <c r="N409" i="7"/>
  <c r="V310" i="7"/>
  <c r="W310" i="7" s="1"/>
  <c r="W16" i="8"/>
  <c r="X16" i="8" s="1"/>
  <c r="V23" i="7"/>
  <c r="W23" i="7" s="1"/>
  <c r="N23" i="7"/>
  <c r="W87" i="8"/>
  <c r="X87" i="8" s="1"/>
  <c r="O87" i="8"/>
  <c r="V144" i="7"/>
  <c r="W144" i="7" s="1"/>
  <c r="N144" i="7"/>
  <c r="V152" i="7"/>
  <c r="W152" i="7" s="1"/>
  <c r="N152" i="7"/>
  <c r="O83" i="8"/>
  <c r="W83" i="8"/>
  <c r="X83" i="8" s="1"/>
  <c r="V293" i="7"/>
  <c r="W293" i="7" s="1"/>
  <c r="H8" i="16"/>
  <c r="H49" i="15"/>
  <c r="E8" i="16"/>
  <c r="E49" i="15"/>
  <c r="V322" i="7"/>
  <c r="W322" i="7" s="1"/>
  <c r="N322" i="7"/>
  <c r="N11" i="7"/>
  <c r="V11" i="7"/>
  <c r="W11" i="7" s="1"/>
  <c r="V376" i="7"/>
  <c r="W376" i="7" s="1"/>
  <c r="N376" i="7"/>
  <c r="O42" i="8"/>
  <c r="W42" i="8"/>
  <c r="X42" i="8" s="1"/>
  <c r="W10" i="17"/>
  <c r="X10" i="17" s="1"/>
  <c r="G8" i="16"/>
  <c r="F8" i="16"/>
  <c r="F49" i="15"/>
  <c r="G49" i="15"/>
  <c r="N65" i="7"/>
  <c r="V65" i="7"/>
  <c r="W65" i="7" s="1"/>
  <c r="B445" i="14"/>
  <c r="V216" i="7"/>
  <c r="W216" i="7" s="1"/>
  <c r="N216" i="7"/>
  <c r="V253" i="7"/>
  <c r="W253" i="7" s="1"/>
  <c r="N253" i="7"/>
  <c r="V392" i="7"/>
  <c r="W392" i="7" s="1"/>
  <c r="V303" i="7"/>
  <c r="W303" i="7" s="1"/>
  <c r="N420" i="7"/>
  <c r="V420" i="7"/>
  <c r="W420" i="7" s="1"/>
  <c r="E66" i="15"/>
  <c r="W92" i="8"/>
  <c r="X92" i="8" s="1"/>
  <c r="O92" i="8"/>
  <c r="V354" i="7"/>
  <c r="W354" i="7" s="1"/>
  <c r="N354" i="7"/>
  <c r="W152" i="8"/>
  <c r="X152" i="8" s="1"/>
  <c r="O152" i="8"/>
  <c r="V350" i="7"/>
  <c r="W350" i="7" s="1"/>
  <c r="N350" i="7"/>
  <c r="C39" i="15"/>
  <c r="V304" i="7"/>
  <c r="W304" i="7" s="1"/>
  <c r="N304" i="7"/>
  <c r="F18" i="15"/>
  <c r="N148" i="7"/>
  <c r="V148" i="7"/>
  <c r="W148" i="7" s="1"/>
  <c r="N192" i="7"/>
  <c r="V192" i="7"/>
  <c r="W192" i="7" s="1"/>
  <c r="N390" i="7"/>
  <c r="V390" i="7"/>
  <c r="W390" i="7" s="1"/>
  <c r="V117" i="7"/>
  <c r="W117" i="7" s="1"/>
  <c r="W90" i="8"/>
  <c r="X90" i="8" s="1"/>
  <c r="O90" i="8"/>
  <c r="V24" i="7"/>
  <c r="W24" i="7" s="1"/>
  <c r="N24" i="7"/>
  <c r="W4" i="8"/>
  <c r="X4" i="8" s="1"/>
  <c r="V105" i="7"/>
  <c r="W105" i="7" s="1"/>
  <c r="N105" i="7"/>
  <c r="N28" i="7"/>
  <c r="V28" i="7"/>
  <c r="W28" i="7" s="1"/>
  <c r="V66" i="7"/>
  <c r="W66" i="7" s="1"/>
  <c r="N255" i="7"/>
  <c r="V255" i="7"/>
  <c r="W255" i="7" s="1"/>
  <c r="V4" i="7"/>
  <c r="W4" i="7" s="1"/>
  <c r="N4" i="7"/>
  <c r="H6" i="16"/>
  <c r="H47" i="15"/>
  <c r="B11" i="15"/>
  <c r="E16" i="15"/>
  <c r="B8" i="15"/>
  <c r="E47" i="15"/>
  <c r="E6" i="16"/>
  <c r="E35" i="15"/>
  <c r="W13" i="8"/>
  <c r="X13" i="8" s="1"/>
  <c r="V5" i="7"/>
  <c r="W5" i="7" s="1"/>
  <c r="N5" i="7"/>
  <c r="W167" i="8"/>
  <c r="X167" i="8" s="1"/>
  <c r="O167" i="8"/>
  <c r="V75" i="7"/>
  <c r="W75" i="7" s="1"/>
  <c r="N75" i="7"/>
  <c r="V234" i="7"/>
  <c r="W234" i="7" s="1"/>
  <c r="N234" i="7"/>
  <c r="N55" i="7"/>
  <c r="V55" i="7"/>
  <c r="W55" i="7" s="1"/>
  <c r="N14" i="7"/>
  <c r="V14" i="7"/>
  <c r="W14" i="7" s="1"/>
  <c r="V422" i="7"/>
  <c r="W422" i="7" s="1"/>
  <c r="N422" i="7"/>
  <c r="N266" i="7"/>
  <c r="V266" i="7"/>
  <c r="W266" i="7" s="1"/>
  <c r="O7" i="17"/>
  <c r="W7" i="17"/>
  <c r="X7" i="17" s="1"/>
  <c r="O66" i="8"/>
  <c r="W66" i="8"/>
  <c r="X66" i="8" s="1"/>
  <c r="W60" i="8"/>
  <c r="X60" i="8" s="1"/>
  <c r="O60" i="8"/>
  <c r="N362" i="7"/>
  <c r="V362" i="7"/>
  <c r="W362" i="7" s="1"/>
  <c r="V70" i="7"/>
  <c r="W70" i="7" s="1"/>
  <c r="N70" i="7"/>
  <c r="E18" i="15"/>
  <c r="N47" i="7"/>
  <c r="V47" i="7"/>
  <c r="W47" i="7" s="1"/>
  <c r="B10" i="15"/>
  <c r="W8" i="8"/>
  <c r="X8" i="8" s="1"/>
  <c r="V161" i="7"/>
  <c r="W161" i="7" s="1"/>
  <c r="W146" i="8"/>
  <c r="X146" i="8" s="1"/>
  <c r="V141" i="7"/>
  <c r="W141" i="7" s="1"/>
  <c r="V21" i="7"/>
  <c r="W21" i="7" s="1"/>
  <c r="N21" i="7"/>
  <c r="V324" i="7"/>
  <c r="W324" i="7" s="1"/>
  <c r="N324" i="7"/>
  <c r="W163" i="8"/>
  <c r="X163" i="8" s="1"/>
  <c r="O163" i="8"/>
  <c r="O99" i="8"/>
  <c r="W99" i="8"/>
  <c r="X99" i="8" s="1"/>
  <c r="V61" i="7"/>
  <c r="W61" i="7" s="1"/>
  <c r="N61" i="7"/>
  <c r="E48" i="15"/>
  <c r="E7" i="16"/>
  <c r="E36" i="15"/>
  <c r="H7" i="16"/>
  <c r="H48" i="15"/>
  <c r="V399" i="7"/>
  <c r="W399" i="7" s="1"/>
  <c r="N399" i="7"/>
  <c r="N155" i="7"/>
  <c r="V155" i="7"/>
  <c r="W155" i="7" s="1"/>
  <c r="F17" i="15"/>
  <c r="V222" i="7"/>
  <c r="W222" i="7" s="1"/>
  <c r="V385" i="7"/>
  <c r="W385" i="7" s="1"/>
  <c r="W62" i="8"/>
  <c r="X62" i="8" s="1"/>
  <c r="O62" i="8"/>
  <c r="N38" i="7"/>
  <c r="V38" i="7"/>
  <c r="W38" i="7" s="1"/>
  <c r="V397" i="7"/>
  <c r="W397" i="7" s="1"/>
  <c r="N397" i="7"/>
  <c r="F47" i="15"/>
  <c r="V328" i="7"/>
  <c r="W328" i="7" s="1"/>
  <c r="N328" i="7"/>
  <c r="V39" i="7"/>
  <c r="W39" i="7" s="1"/>
  <c r="N39" i="7"/>
  <c r="N26" i="7"/>
  <c r="V26" i="7"/>
  <c r="W26" i="7" s="1"/>
  <c r="O68" i="8"/>
  <c r="W68" i="8"/>
  <c r="X68" i="8" s="1"/>
  <c r="V371" i="7"/>
  <c r="W371" i="7" s="1"/>
  <c r="N371" i="7"/>
  <c r="W78" i="8"/>
  <c r="X78" i="8" s="1"/>
  <c r="O78" i="8"/>
  <c r="F6" i="16"/>
  <c r="V301" i="7"/>
  <c r="W301" i="7" s="1"/>
  <c r="N301" i="7"/>
  <c r="W40" i="8"/>
  <c r="X40" i="8" s="1"/>
  <c r="O40" i="8"/>
  <c r="N355" i="7"/>
  <c r="V355" i="7"/>
  <c r="W355" i="7" s="1"/>
  <c r="N112" i="7"/>
  <c r="V112" i="7"/>
  <c r="W112" i="7" s="1"/>
  <c r="V106" i="7"/>
  <c r="W106" i="7" s="1"/>
  <c r="N106" i="7"/>
  <c r="V237" i="7"/>
  <c r="W237" i="7" s="1"/>
  <c r="N237" i="7"/>
  <c r="W7" i="8"/>
  <c r="X7" i="8" s="1"/>
  <c r="O7" i="8"/>
  <c r="V213" i="7"/>
  <c r="W213" i="7" s="1"/>
  <c r="N213" i="7"/>
  <c r="N334" i="7"/>
  <c r="V334" i="7"/>
  <c r="W334" i="7" s="1"/>
  <c r="W51" i="8"/>
  <c r="X51" i="8" s="1"/>
  <c r="O51" i="8"/>
  <c r="N170" i="7"/>
  <c r="V170" i="7"/>
  <c r="W170" i="7" s="1"/>
  <c r="N53" i="7"/>
  <c r="V53" i="7"/>
  <c r="W53" i="7" s="1"/>
  <c r="E9" i="16"/>
  <c r="O30" i="8"/>
  <c r="W30" i="8"/>
  <c r="X30" i="8" s="1"/>
  <c r="F48" i="15"/>
  <c r="N402" i="7"/>
  <c r="V402" i="7"/>
  <c r="W402" i="7" s="1"/>
  <c r="N99" i="7"/>
  <c r="V99" i="7"/>
  <c r="W99" i="7" s="1"/>
  <c r="V230" i="7"/>
  <c r="W230" i="7" s="1"/>
  <c r="N230" i="7"/>
  <c r="O141" i="8"/>
  <c r="W141" i="8"/>
  <c r="X141" i="8" s="1"/>
  <c r="V18" i="7"/>
  <c r="W18" i="7" s="1"/>
  <c r="N18" i="7"/>
  <c r="V370" i="7"/>
  <c r="W370" i="7" s="1"/>
  <c r="N370" i="7"/>
  <c r="W4" i="17"/>
  <c r="X4" i="17" s="1"/>
  <c r="O4" i="17"/>
  <c r="V419" i="7"/>
  <c r="W419" i="7" s="1"/>
  <c r="N419" i="7"/>
  <c r="N368" i="7"/>
  <c r="V368" i="7"/>
  <c r="W368" i="7" s="1"/>
  <c r="N313" i="7"/>
  <c r="V313" i="7"/>
  <c r="W313" i="7" s="1"/>
  <c r="N314" i="7"/>
  <c r="V314" i="7"/>
  <c r="W314" i="7" s="1"/>
  <c r="V302" i="7"/>
  <c r="W302" i="7" s="1"/>
  <c r="N302" i="7"/>
  <c r="H9" i="16"/>
  <c r="G7" i="16"/>
  <c r="V205" i="7"/>
  <c r="W205" i="7" s="1"/>
  <c r="N205" i="7"/>
  <c r="N339" i="7"/>
  <c r="V339" i="7"/>
  <c r="W339" i="7" s="1"/>
  <c r="W137" i="8"/>
  <c r="X137" i="8" s="1"/>
  <c r="O137" i="8"/>
  <c r="V125" i="7"/>
  <c r="W125" i="7" s="1"/>
  <c r="N125" i="7"/>
  <c r="N353" i="7"/>
  <c r="V353" i="7"/>
  <c r="W353" i="7" s="1"/>
  <c r="N295" i="7"/>
  <c r="V295" i="7"/>
  <c r="W295" i="7" s="1"/>
  <c r="N166" i="7"/>
  <c r="V166" i="7"/>
  <c r="W166" i="7" s="1"/>
  <c r="V111" i="7"/>
  <c r="W111" i="7" s="1"/>
  <c r="N111" i="7"/>
  <c r="H50" i="15"/>
  <c r="N220" i="7"/>
  <c r="V220" i="7"/>
  <c r="W220" i="7" s="1"/>
  <c r="O5" i="8"/>
  <c r="W5" i="8"/>
  <c r="X5" i="8" s="1"/>
  <c r="F7" i="16"/>
  <c r="V92" i="7"/>
  <c r="W92" i="7" s="1"/>
  <c r="N92" i="7"/>
  <c r="N407" i="7"/>
  <c r="V407" i="7"/>
  <c r="W407" i="7" s="1"/>
  <c r="F51" i="15"/>
  <c r="G51" i="15"/>
  <c r="F37" i="15"/>
  <c r="O6" i="8"/>
  <c r="W6" i="8"/>
  <c r="X6" i="8" s="1"/>
  <c r="W106" i="8"/>
  <c r="X106" i="8" s="1"/>
  <c r="O106" i="8"/>
  <c r="V130" i="7"/>
  <c r="W130" i="7" s="1"/>
  <c r="N130" i="7"/>
  <c r="E34" i="15"/>
  <c r="W85" i="8"/>
  <c r="X85" i="8" s="1"/>
  <c r="O85" i="8"/>
  <c r="V251" i="7"/>
  <c r="W251" i="7" s="1"/>
  <c r="N251" i="7"/>
  <c r="F36" i="15"/>
  <c r="W27" i="8"/>
  <c r="X27" i="8" s="1"/>
  <c r="O27" i="8"/>
  <c r="V215" i="7"/>
  <c r="W215" i="7" s="1"/>
  <c r="N215" i="7"/>
  <c r="V27" i="7"/>
  <c r="W27" i="7" s="1"/>
  <c r="N27" i="7"/>
  <c r="N229" i="7"/>
  <c r="V229" i="7"/>
  <c r="W229" i="7" s="1"/>
  <c r="V200" i="7"/>
  <c r="W200" i="7" s="1"/>
  <c r="N200" i="7"/>
  <c r="V25" i="7"/>
  <c r="W25" i="7" s="1"/>
  <c r="N25" i="7"/>
  <c r="N333" i="7"/>
  <c r="V333" i="7"/>
  <c r="W333" i="7" s="1"/>
  <c r="V59" i="7"/>
  <c r="W59" i="7" s="1"/>
  <c r="N59" i="7"/>
  <c r="W36" i="8"/>
  <c r="X36" i="8" s="1"/>
  <c r="O36" i="8"/>
  <c r="V77" i="7"/>
  <c r="W77" i="7" s="1"/>
  <c r="N77" i="7"/>
  <c r="V307" i="7"/>
  <c r="W307" i="7" s="1"/>
  <c r="N307" i="7"/>
  <c r="V156" i="7"/>
  <c r="W156" i="7" s="1"/>
  <c r="N156" i="7"/>
  <c r="V67" i="7"/>
  <c r="W67" i="7" s="1"/>
  <c r="N67" i="7"/>
  <c r="W58" i="8"/>
  <c r="X58" i="8" s="1"/>
  <c r="O58" i="8"/>
  <c r="W114" i="8"/>
  <c r="X114" i="8" s="1"/>
  <c r="O114" i="8"/>
  <c r="N199" i="7"/>
  <c r="V199" i="7"/>
  <c r="W199" i="7" s="1"/>
  <c r="O49" i="8"/>
  <c r="W49" i="8"/>
  <c r="X49" i="8" s="1"/>
  <c r="F50" i="15"/>
  <c r="F9" i="16"/>
  <c r="F34" i="15"/>
  <c r="G50" i="15"/>
  <c r="G9" i="16"/>
  <c r="N386" i="7"/>
  <c r="V386" i="7"/>
  <c r="W386" i="7" s="1"/>
  <c r="N245" i="7"/>
  <c r="V245" i="7"/>
  <c r="W245" i="7" s="1"/>
  <c r="O162" i="8"/>
  <c r="W162" i="8"/>
  <c r="X162" i="8" s="1"/>
  <c r="N381" i="7"/>
  <c r="V381" i="7"/>
  <c r="W381" i="7" s="1"/>
  <c r="V57" i="7"/>
  <c r="W57" i="7" s="1"/>
  <c r="N57" i="7"/>
  <c r="B66" i="15"/>
  <c r="N306" i="7"/>
  <c r="V306" i="7"/>
  <c r="W306" i="7" s="1"/>
  <c r="V309" i="7"/>
  <c r="W309" i="7" s="1"/>
  <c r="N309" i="7"/>
  <c r="W11" i="17"/>
  <c r="X11" i="17" s="1"/>
  <c r="O11" i="17"/>
  <c r="W17" i="8"/>
  <c r="X17" i="8" s="1"/>
  <c r="O17" i="8"/>
  <c r="N330" i="7"/>
  <c r="V330" i="7"/>
  <c r="W330" i="7" s="1"/>
  <c r="N30" i="7"/>
  <c r="V30" i="7"/>
  <c r="W30" i="7" s="1"/>
  <c r="N100" i="7"/>
  <c r="V100" i="7"/>
  <c r="W100" i="7" s="1"/>
  <c r="N74" i="7"/>
  <c r="V74" i="7"/>
  <c r="W74" i="7" s="1"/>
  <c r="V360" i="7"/>
  <c r="W360" i="7" s="1"/>
  <c r="N360" i="7"/>
  <c r="N329" i="7"/>
  <c r="V329" i="7"/>
  <c r="W329" i="7" s="1"/>
  <c r="V88" i="7"/>
  <c r="W88" i="7" s="1"/>
  <c r="N88" i="7"/>
  <c r="B444" i="14"/>
  <c r="W29" i="8"/>
  <c r="X29" i="8" s="1"/>
  <c r="O29" i="8"/>
  <c r="O165" i="8"/>
  <c r="W165" i="8"/>
  <c r="X165" i="8" s="1"/>
  <c r="V233" i="7"/>
  <c r="W233" i="7" s="1"/>
  <c r="N233" i="7"/>
  <c r="V206" i="7"/>
  <c r="W206" i="7" s="1"/>
  <c r="N206" i="7"/>
  <c r="N29" i="7"/>
  <c r="V29" i="7"/>
  <c r="W29" i="7" s="1"/>
  <c r="N45" i="7"/>
  <c r="V45" i="7"/>
  <c r="W45" i="7" s="1"/>
  <c r="C54" i="15"/>
  <c r="V167" i="7"/>
  <c r="W167" i="7" s="1"/>
  <c r="N167" i="7"/>
  <c r="V109" i="7"/>
  <c r="W109" i="7" s="1"/>
  <c r="N109" i="7"/>
  <c r="V412" i="7"/>
  <c r="W412" i="7" s="1"/>
  <c r="N412" i="7"/>
  <c r="N187" i="7"/>
  <c r="V187" i="7"/>
  <c r="W187" i="7" s="1"/>
  <c r="N49" i="7"/>
  <c r="V49" i="7"/>
  <c r="W49" i="7" s="1"/>
  <c r="V352" i="7"/>
  <c r="W352" i="7" s="1"/>
  <c r="N352" i="7"/>
  <c r="N341" i="7"/>
  <c r="V341" i="7"/>
  <c r="W341" i="7" s="1"/>
  <c r="N194" i="7"/>
  <c r="V194" i="7"/>
  <c r="W194" i="7" s="1"/>
  <c r="V256" i="7"/>
  <c r="W256" i="7" s="1"/>
  <c r="N256" i="7"/>
  <c r="O11" i="8"/>
  <c r="W11" i="8"/>
  <c r="X11" i="8" s="1"/>
  <c r="O39" i="8"/>
  <c r="W39" i="8"/>
  <c r="X39" i="8" s="1"/>
  <c r="N316" i="7"/>
  <c r="V316" i="7"/>
  <c r="W316" i="7" s="1"/>
  <c r="N83" i="7"/>
  <c r="V83" i="7"/>
  <c r="W83" i="7" s="1"/>
  <c r="N174" i="7"/>
  <c r="V174" i="7"/>
  <c r="W174" i="7" s="1"/>
  <c r="O31" i="8"/>
  <c r="W31" i="8"/>
  <c r="X31" i="8" s="1"/>
  <c r="N250" i="7"/>
  <c r="V250" i="7"/>
  <c r="W250" i="7" s="1"/>
  <c r="O69" i="8"/>
  <c r="W69" i="8"/>
  <c r="X69" i="8" s="1"/>
  <c r="V383" i="7"/>
  <c r="W383" i="7" s="1"/>
  <c r="N383" i="7"/>
  <c r="N72" i="7"/>
  <c r="V72" i="7"/>
  <c r="W72" i="7" s="1"/>
  <c r="O168" i="8"/>
  <c r="W168" i="8"/>
  <c r="X168" i="8" s="1"/>
  <c r="W22" i="8"/>
  <c r="X22" i="8" s="1"/>
  <c r="O22" i="8"/>
  <c r="V317" i="7"/>
  <c r="W317" i="7" s="1"/>
  <c r="N317" i="7"/>
  <c r="V277" i="7"/>
  <c r="W277" i="7" s="1"/>
  <c r="N277" i="7"/>
  <c r="V63" i="7"/>
  <c r="W63" i="7" s="1"/>
  <c r="N63" i="7"/>
  <c r="E37" i="15"/>
  <c r="V263" i="7"/>
  <c r="W263" i="7" s="1"/>
  <c r="N263" i="7"/>
  <c r="B434" i="14"/>
  <c r="N129" i="7"/>
  <c r="V129" i="7"/>
  <c r="W129" i="7" s="1"/>
  <c r="V274" i="7"/>
  <c r="W274" i="7" s="1"/>
  <c r="N274" i="7"/>
  <c r="O131" i="8"/>
  <c r="W131" i="8"/>
  <c r="X131" i="8" s="1"/>
  <c r="O56" i="8"/>
  <c r="W56" i="8"/>
  <c r="X56" i="8" s="1"/>
  <c r="V262" i="7"/>
  <c r="W262" i="7" s="1"/>
  <c r="N262" i="7"/>
  <c r="V398" i="7"/>
  <c r="W398" i="7" s="1"/>
  <c r="N398" i="7"/>
  <c r="G12" i="16"/>
  <c r="B442" i="13"/>
  <c r="G53" i="15"/>
  <c r="F53" i="15"/>
  <c r="F12" i="16"/>
  <c r="F38" i="15"/>
  <c r="B443" i="13"/>
  <c r="N127" i="7"/>
  <c r="V127" i="7"/>
  <c r="W127" i="7" s="1"/>
  <c r="V94" i="7"/>
  <c r="W94" i="7" s="1"/>
  <c r="N94" i="7"/>
  <c r="N177" i="7"/>
  <c r="V177" i="7"/>
  <c r="W177" i="7" s="1"/>
  <c r="H51" i="15"/>
  <c r="W89" i="8"/>
  <c r="X89" i="8" s="1"/>
  <c r="O89" i="8"/>
  <c r="N176" i="7"/>
  <c r="V176" i="7"/>
  <c r="W176" i="7" s="1"/>
  <c r="N17" i="7"/>
  <c r="V17" i="7"/>
  <c r="W17" i="7" s="1"/>
  <c r="V31" i="7"/>
  <c r="W31" i="7" s="1"/>
  <c r="N31" i="7"/>
  <c r="N210" i="7"/>
  <c r="V210" i="7"/>
  <c r="W210" i="7" s="1"/>
  <c r="V79" i="7"/>
  <c r="W79" i="7" s="1"/>
  <c r="N79" i="7"/>
  <c r="N286" i="7"/>
  <c r="V286" i="7"/>
  <c r="W286" i="7" s="1"/>
  <c r="N416" i="7"/>
  <c r="V416" i="7"/>
  <c r="W416" i="7" s="1"/>
  <c r="W148" i="8"/>
  <c r="X148" i="8" s="1"/>
  <c r="O148" i="8"/>
  <c r="H12" i="16"/>
  <c r="B444" i="13"/>
  <c r="E12" i="16"/>
  <c r="E53" i="15"/>
  <c r="H53" i="15"/>
  <c r="E38" i="15"/>
  <c r="B441" i="13"/>
  <c r="W75" i="8"/>
  <c r="X75" i="8" s="1"/>
  <c r="O75" i="8"/>
  <c r="N157" i="7"/>
  <c r="V157" i="7"/>
  <c r="W157" i="7" s="1"/>
  <c r="V97" i="7"/>
  <c r="W97" i="7" s="1"/>
  <c r="N97" i="7"/>
  <c r="O45" i="8"/>
  <c r="W45" i="8"/>
  <c r="X45" i="8" s="1"/>
  <c r="O88" i="8"/>
  <c r="W88" i="8"/>
  <c r="X88" i="8" s="1"/>
  <c r="F52" i="15"/>
  <c r="G52" i="15"/>
  <c r="O33" i="8"/>
  <c r="W33" i="8"/>
  <c r="X33" i="8" s="1"/>
  <c r="N76" i="7"/>
  <c r="V76" i="7"/>
  <c r="W76" i="7" s="1"/>
  <c r="V259" i="7"/>
  <c r="W259" i="7" s="1"/>
  <c r="N259" i="7"/>
  <c r="N198" i="7"/>
  <c r="V198" i="7"/>
  <c r="W198" i="7" s="1"/>
  <c r="N116" i="7"/>
  <c r="V116" i="7"/>
  <c r="W116" i="7" s="1"/>
  <c r="V391" i="7"/>
  <c r="W391" i="7" s="1"/>
  <c r="N391" i="7"/>
  <c r="V188" i="7"/>
  <c r="W188" i="7" s="1"/>
  <c r="N188" i="7"/>
  <c r="N68" i="7"/>
  <c r="V68" i="7"/>
  <c r="W68" i="7" s="1"/>
  <c r="O15" i="8"/>
  <c r="W15" i="8"/>
  <c r="X15" i="8" s="1"/>
  <c r="N218" i="7"/>
  <c r="V218" i="7"/>
  <c r="W218" i="7" s="1"/>
  <c r="N243" i="7"/>
  <c r="V243" i="7"/>
  <c r="W243" i="7" s="1"/>
  <c r="N162" i="7"/>
  <c r="V162" i="7"/>
  <c r="W162" i="7" s="1"/>
  <c r="N104" i="7"/>
  <c r="V104" i="7"/>
  <c r="W104" i="7" s="1"/>
  <c r="N168" i="7"/>
  <c r="V168" i="7"/>
  <c r="W168" i="7" s="1"/>
  <c r="V6" i="7"/>
  <c r="W6" i="7" s="1"/>
  <c r="N6" i="7"/>
  <c r="N254" i="7"/>
  <c r="V254" i="7"/>
  <c r="W254" i="7" s="1"/>
  <c r="O5" i="17"/>
  <c r="W5" i="17"/>
  <c r="X5" i="17" s="1"/>
  <c r="N51" i="7"/>
  <c r="V51" i="7"/>
  <c r="W51" i="7" s="1"/>
  <c r="O86" i="8"/>
  <c r="W86" i="8"/>
  <c r="X86" i="8" s="1"/>
  <c r="O113" i="8"/>
  <c r="W113" i="8"/>
  <c r="X113" i="8" s="1"/>
  <c r="W91" i="8"/>
  <c r="X91" i="8" s="1"/>
  <c r="O91" i="8"/>
  <c r="N224" i="7"/>
  <c r="V224" i="7"/>
  <c r="W224" i="7" s="1"/>
  <c r="V93" i="7"/>
  <c r="W93" i="7" s="1"/>
  <c r="N93" i="7"/>
  <c r="V136" i="7"/>
  <c r="W136" i="7" s="1"/>
  <c r="N136" i="7"/>
  <c r="N110" i="7"/>
  <c r="V110" i="7"/>
  <c r="W110" i="7" s="1"/>
  <c r="N183" i="7"/>
  <c r="V183" i="7"/>
  <c r="W183" i="7" s="1"/>
  <c r="V54" i="7"/>
  <c r="W54" i="7" s="1"/>
  <c r="N54" i="7"/>
  <c r="W109" i="8"/>
  <c r="X109" i="8" s="1"/>
  <c r="O109" i="8"/>
  <c r="N132" i="7"/>
  <c r="V132" i="7"/>
  <c r="W132" i="7" s="1"/>
  <c r="W34" i="8"/>
  <c r="X34" i="8" s="1"/>
  <c r="O34" i="8"/>
  <c r="O134" i="8"/>
  <c r="C64" i="15" s="1"/>
  <c r="W134" i="8"/>
  <c r="X134" i="8" s="1"/>
  <c r="O52" i="8"/>
  <c r="W52" i="8"/>
  <c r="X52" i="8" s="1"/>
  <c r="N351" i="7"/>
  <c r="V351" i="7"/>
  <c r="W351" i="7" s="1"/>
  <c r="N327" i="7"/>
  <c r="V327" i="7"/>
  <c r="W327" i="7" s="1"/>
  <c r="V348" i="7"/>
  <c r="W348" i="7" s="1"/>
  <c r="N348" i="7"/>
  <c r="V325" i="7"/>
  <c r="W325" i="7" s="1"/>
  <c r="N325" i="7"/>
  <c r="G6" i="16"/>
  <c r="V35" i="7"/>
  <c r="W35" i="7" s="1"/>
  <c r="N35" i="7"/>
  <c r="V98" i="7"/>
  <c r="W98" i="7" s="1"/>
  <c r="N98" i="7"/>
  <c r="V269" i="7"/>
  <c r="W269" i="7" s="1"/>
  <c r="N269" i="7"/>
  <c r="W76" i="8"/>
  <c r="X76" i="8" s="1"/>
  <c r="O76" i="8"/>
  <c r="V163" i="7"/>
  <c r="W163" i="7" s="1"/>
  <c r="N163" i="7"/>
  <c r="V145" i="7"/>
  <c r="W145" i="7" s="1"/>
  <c r="N145" i="7"/>
  <c r="V247" i="7"/>
  <c r="W247" i="7" s="1"/>
  <c r="N247" i="7"/>
  <c r="E52" i="15"/>
  <c r="N178" i="7"/>
  <c r="V178" i="7"/>
  <c r="W178" i="7" s="1"/>
  <c r="W18" i="8"/>
  <c r="X18" i="8" s="1"/>
  <c r="O18" i="8"/>
  <c r="F16" i="15"/>
  <c r="E17" i="15"/>
  <c r="W32" i="8"/>
  <c r="X32" i="8" s="1"/>
  <c r="O32" i="8"/>
  <c r="O159" i="8"/>
  <c r="W159" i="8"/>
  <c r="X159" i="8" s="1"/>
  <c r="N81" i="7"/>
  <c r="V81" i="7"/>
  <c r="W81" i="7" s="1"/>
  <c r="V231" i="7"/>
  <c r="W231" i="7" s="1"/>
  <c r="N231" i="7"/>
  <c r="N265" i="7"/>
  <c r="V265" i="7"/>
  <c r="W265" i="7" s="1"/>
  <c r="N43" i="7"/>
  <c r="V43" i="7"/>
  <c r="W43" i="7" s="1"/>
  <c r="H52" i="15"/>
  <c r="V413" i="7"/>
  <c r="W413" i="7" s="1"/>
  <c r="N413" i="7"/>
  <c r="N364" i="7"/>
  <c r="V364" i="7"/>
  <c r="W364" i="7" s="1"/>
  <c r="G47" i="15"/>
  <c r="N138" i="7"/>
  <c r="V138" i="7"/>
  <c r="W138" i="7" s="1"/>
  <c r="N149" i="7"/>
  <c r="V149" i="7"/>
  <c r="W149" i="7" s="1"/>
  <c r="V276" i="7"/>
  <c r="W276" i="7" s="1"/>
  <c r="N276" i="7"/>
  <c r="N82" i="7"/>
  <c r="V82" i="7"/>
  <c r="W82" i="7" s="1"/>
  <c r="W94" i="8"/>
  <c r="X94" i="8" s="1"/>
  <c r="O94" i="8"/>
  <c r="V358" i="7"/>
  <c r="W358" i="7" s="1"/>
  <c r="N358" i="7"/>
  <c r="F35" i="15"/>
  <c r="W154" i="8"/>
  <c r="X154" i="8" s="1"/>
  <c r="O154" i="8"/>
  <c r="V363" i="7"/>
  <c r="W363" i="7" s="1"/>
  <c r="N363" i="7"/>
  <c r="V186" i="7"/>
  <c r="W186" i="7" s="1"/>
  <c r="N186" i="7"/>
  <c r="V62" i="7"/>
  <c r="W62" i="7" s="1"/>
  <c r="N62" i="7"/>
  <c r="N195" i="7"/>
  <c r="V195" i="7"/>
  <c r="W195" i="7" s="1"/>
  <c r="N239" i="7"/>
  <c r="V239" i="7"/>
  <c r="W239" i="7" s="1"/>
  <c r="W57" i="8"/>
  <c r="X57" i="8" s="1"/>
  <c r="O57" i="8"/>
  <c r="W64" i="8"/>
  <c r="X64" i="8" s="1"/>
  <c r="O64" i="8"/>
  <c r="N78" i="7"/>
  <c r="V78" i="7"/>
  <c r="W78" i="7" s="1"/>
  <c r="N128" i="7"/>
  <c r="V128" i="7"/>
  <c r="W128" i="7" s="1"/>
  <c r="B9" i="15"/>
  <c r="W2" i="17"/>
  <c r="X2" i="17" s="1"/>
  <c r="O2" i="17"/>
  <c r="N388" i="7"/>
  <c r="V388" i="7"/>
  <c r="W388" i="7" s="1"/>
  <c r="N80" i="7"/>
  <c r="V80" i="7"/>
  <c r="W80" i="7" s="1"/>
  <c r="W77" i="8"/>
  <c r="X77" i="8" s="1"/>
  <c r="O77" i="8"/>
  <c r="V338" i="7"/>
  <c r="W338" i="7" s="1"/>
  <c r="N338" i="7"/>
  <c r="W81" i="8"/>
  <c r="X81" i="8" s="1"/>
  <c r="O81" i="8"/>
  <c r="V179" i="7"/>
  <c r="W179" i="7" s="1"/>
  <c r="N179" i="7"/>
  <c r="V46" i="7"/>
  <c r="W46" i="7" s="1"/>
  <c r="N46" i="7"/>
  <c r="V7" i="7"/>
  <c r="W7" i="7" s="1"/>
  <c r="N7" i="7"/>
  <c r="V90" i="7"/>
  <c r="W90" i="7" s="1"/>
  <c r="N90" i="7"/>
  <c r="V142" i="7"/>
  <c r="W142" i="7" s="1"/>
  <c r="N142" i="7"/>
  <c r="N126" i="7"/>
  <c r="V126" i="7"/>
  <c r="W126" i="7" s="1"/>
  <c r="V275" i="7"/>
  <c r="W275" i="7" s="1"/>
  <c r="N275" i="7"/>
  <c r="S24" i="14" l="1"/>
  <c r="X24" i="14" s="1"/>
  <c r="S60" i="14"/>
  <c r="X60" i="14" s="1"/>
  <c r="S56" i="14"/>
  <c r="X56" i="14" s="1"/>
  <c r="S10" i="14"/>
  <c r="X10" i="14" s="1"/>
  <c r="G35" i="16"/>
  <c r="D72" i="15"/>
  <c r="G87" i="15"/>
  <c r="E86" i="15"/>
  <c r="G90" i="15"/>
  <c r="G88" i="15"/>
  <c r="D88" i="15"/>
  <c r="F88" i="15"/>
  <c r="B64" i="15"/>
  <c r="B451" i="13"/>
  <c r="B435" i="14"/>
  <c r="C8" i="16"/>
  <c r="B63" i="15"/>
  <c r="E88" i="15"/>
  <c r="D76" i="15"/>
  <c r="C50" i="15"/>
  <c r="C78" i="15"/>
  <c r="D36" i="15"/>
  <c r="D63" i="15"/>
  <c r="G32" i="16"/>
  <c r="C37" i="15"/>
  <c r="D90" i="15"/>
  <c r="F29" i="16"/>
  <c r="F32" i="16"/>
  <c r="G86" i="15"/>
  <c r="G31" i="16"/>
  <c r="B60" i="15"/>
  <c r="G29" i="16"/>
  <c r="C60" i="15"/>
  <c r="E29" i="16"/>
  <c r="C62" i="15"/>
  <c r="F35" i="16"/>
  <c r="D62" i="15"/>
  <c r="C446" i="14"/>
  <c r="E64" i="15"/>
  <c r="C75" i="15"/>
  <c r="C63" i="15"/>
  <c r="D65" i="15"/>
  <c r="D32" i="16"/>
  <c r="C51" i="15"/>
  <c r="D84" i="15"/>
  <c r="E62" i="15"/>
  <c r="C23" i="15"/>
  <c r="D23" i="15" s="1"/>
  <c r="B71" i="15"/>
  <c r="C59" i="15"/>
  <c r="C18" i="15"/>
  <c r="C35" i="15"/>
  <c r="E59" i="15"/>
  <c r="C84" i="15"/>
  <c r="B78" i="15"/>
  <c r="D75" i="15"/>
  <c r="B35" i="16"/>
  <c r="E24" i="16"/>
  <c r="D78" i="15"/>
  <c r="E61" i="15"/>
  <c r="E35" i="16"/>
  <c r="E90" i="15"/>
  <c r="C24" i="16"/>
  <c r="C35" i="16"/>
  <c r="B87" i="15"/>
  <c r="D24" i="16"/>
  <c r="G85" i="15"/>
  <c r="G30" i="16"/>
  <c r="B61" i="15"/>
  <c r="E87" i="15"/>
  <c r="C445" i="14"/>
  <c r="D13" i="16"/>
  <c r="G89" i="15"/>
  <c r="C49" i="15"/>
  <c r="B90" i="15"/>
  <c r="E78" i="15"/>
  <c r="B83" i="15"/>
  <c r="C25" i="15"/>
  <c r="D25" i="15" s="1"/>
  <c r="D83" i="15"/>
  <c r="D28" i="16"/>
  <c r="E28" i="16"/>
  <c r="E83" i="15"/>
  <c r="C26" i="15"/>
  <c r="D26" i="15" s="1"/>
  <c r="B74" i="15"/>
  <c r="D50" i="15"/>
  <c r="C32" i="16"/>
  <c r="C86" i="15"/>
  <c r="D34" i="15"/>
  <c r="D9" i="16"/>
  <c r="E74" i="15"/>
  <c r="F28" i="16"/>
  <c r="C27" i="15"/>
  <c r="D27" i="15" s="1"/>
  <c r="F83" i="15"/>
  <c r="F86" i="15"/>
  <c r="D39" i="15"/>
  <c r="B28" i="16"/>
  <c r="C52" i="15"/>
  <c r="B7" i="15"/>
  <c r="B24" i="16"/>
  <c r="C17" i="16"/>
  <c r="B77" i="15"/>
  <c r="B440" i="13"/>
  <c r="E77" i="15"/>
  <c r="D12" i="16"/>
  <c r="C449" i="13"/>
  <c r="C89" i="15"/>
  <c r="B23" i="16"/>
  <c r="D38" i="15"/>
  <c r="C31" i="16"/>
  <c r="E23" i="16"/>
  <c r="D53" i="15"/>
  <c r="E75" i="15"/>
  <c r="C87" i="15"/>
  <c r="B75" i="15"/>
  <c r="D51" i="15"/>
  <c r="D37" i="15"/>
  <c r="D16" i="15"/>
  <c r="D8" i="16"/>
  <c r="D49" i="15"/>
  <c r="E73" i="15"/>
  <c r="C30" i="16"/>
  <c r="E19" i="16"/>
  <c r="C85" i="15"/>
  <c r="B73" i="15"/>
  <c r="B19" i="16"/>
  <c r="D54" i="15"/>
  <c r="C71" i="15"/>
  <c r="C83" i="15"/>
  <c r="D17" i="15"/>
  <c r="B84" i="15"/>
  <c r="C72" i="15"/>
  <c r="C18" i="16"/>
  <c r="B29" i="16"/>
  <c r="E89" i="15"/>
  <c r="E31" i="16"/>
  <c r="D47" i="15"/>
  <c r="C17" i="15"/>
  <c r="B17" i="16"/>
  <c r="C53" i="15"/>
  <c r="C38" i="15"/>
  <c r="E65" i="15"/>
  <c r="B439" i="13"/>
  <c r="C12" i="16"/>
  <c r="B65" i="15"/>
  <c r="B449" i="13"/>
  <c r="D29" i="16"/>
  <c r="E71" i="15"/>
  <c r="C36" i="15"/>
  <c r="F90" i="15"/>
  <c r="D6" i="16"/>
  <c r="E60" i="15"/>
  <c r="D64" i="15"/>
  <c r="C28" i="16"/>
  <c r="E84" i="15"/>
  <c r="D86" i="15"/>
  <c r="C7" i="16"/>
  <c r="C24" i="15"/>
  <c r="D24" i="15" s="1"/>
  <c r="D35" i="16"/>
  <c r="G83" i="15"/>
  <c r="C28" i="15"/>
  <c r="D28" i="15" s="1"/>
  <c r="G28" i="16"/>
  <c r="C48" i="15"/>
  <c r="D35" i="15"/>
  <c r="D60" i="15"/>
  <c r="B89" i="15"/>
  <c r="C77" i="15"/>
  <c r="B31" i="16"/>
  <c r="C23" i="16"/>
  <c r="C450" i="13"/>
  <c r="D59" i="15"/>
  <c r="E17" i="16"/>
  <c r="B88" i="15"/>
  <c r="C76" i="15"/>
  <c r="D87" i="15"/>
  <c r="C73" i="15"/>
  <c r="B30" i="16"/>
  <c r="B85" i="15"/>
  <c r="C19" i="16"/>
  <c r="D73" i="15"/>
  <c r="D19" i="16"/>
  <c r="B59" i="15"/>
  <c r="D71" i="15"/>
  <c r="D18" i="15"/>
  <c r="D17" i="16"/>
  <c r="D31" i="16"/>
  <c r="D89" i="15"/>
  <c r="C6" i="16"/>
  <c r="C65" i="15"/>
  <c r="B450" i="13"/>
  <c r="D85" i="15"/>
  <c r="D30" i="16"/>
  <c r="C29" i="16"/>
  <c r="C9" i="16"/>
  <c r="C47" i="15"/>
  <c r="D7" i="16"/>
  <c r="F84" i="15"/>
  <c r="B6" i="15"/>
  <c r="B72" i="15"/>
  <c r="B62" i="15"/>
  <c r="B32" i="16"/>
  <c r="E63" i="15"/>
  <c r="F85" i="15"/>
  <c r="F30" i="16"/>
  <c r="C16" i="15"/>
  <c r="E18" i="16"/>
  <c r="C34" i="15"/>
  <c r="D18" i="16"/>
  <c r="C74" i="15"/>
  <c r="E30" i="16"/>
  <c r="E85" i="15"/>
  <c r="D48" i="15"/>
  <c r="B86" i="15"/>
  <c r="G84" i="15"/>
  <c r="C88" i="15"/>
  <c r="E76" i="15"/>
  <c r="D52" i="15"/>
  <c r="B76" i="15"/>
  <c r="C451" i="13"/>
  <c r="D23" i="16"/>
  <c r="D77" i="15"/>
  <c r="D61" i="15"/>
  <c r="C61" i="15"/>
  <c r="B18" i="16"/>
  <c r="C90" i="15"/>
  <c r="F87" i="15"/>
  <c r="F89" i="15"/>
  <c r="F31" i="16"/>
  <c r="E72" i="15"/>
  <c r="C444" i="14"/>
  <c r="D74" i="15"/>
  <c r="H31" i="16" l="1"/>
  <c r="C42" i="16" s="1"/>
  <c r="H35" i="16"/>
  <c r="H29" i="16"/>
  <c r="C40" i="16" s="1"/>
  <c r="H28" i="16"/>
  <c r="H30" i="16"/>
  <c r="C41" i="16" s="1"/>
  <c r="H32" i="16"/>
  <c r="C43" i="16" s="1"/>
  <c r="C447" i="14"/>
  <c r="D446" i="14"/>
  <c r="B438" i="14"/>
  <c r="B439" i="14"/>
  <c r="D445" i="14"/>
  <c r="D444" i="14"/>
  <c r="C39"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Fill columns in YELLOW with measurements. Weigh 20 units of each component individually to compute mean and std.</t>
        </r>
      </text>
    </comment>
  </commentList>
</comments>
</file>

<file path=xl/sharedStrings.xml><?xml version="1.0" encoding="utf-8"?>
<sst xmlns="http://schemas.openxmlformats.org/spreadsheetml/2006/main" count="9000" uniqueCount="463">
  <si>
    <t>DOE — SMART PACKAGING LINE</t>
  </si>
  <si>
    <t>Weight-based kit verification · Capstone · TE Connectivity</t>
  </si>
  <si>
    <t>ÍNDICE DEL DOCUMENTO</t>
  </si>
  <si>
    <t>#</t>
  </si>
  <si>
    <t>Sección</t>
  </si>
  <si>
    <t>Hoja</t>
  </si>
  <si>
    <t>Propósito</t>
  </si>
  <si>
    <t>0</t>
  </si>
  <si>
    <t>Setup</t>
  </si>
  <si>
    <t>Instructions</t>
  </si>
  <si>
    <t>Cómo usar este documento</t>
  </si>
  <si>
    <t>Components</t>
  </si>
  <si>
    <t>Catálogo de componentes (n=30)</t>
  </si>
  <si>
    <t>Recipes</t>
  </si>
  <si>
    <t>Recetas R3, R4, R6</t>
  </si>
  <si>
    <t>INFO Muestras Componentes</t>
  </si>
  <si>
    <t>Análisis de potencia</t>
  </si>
  <si>
    <t>1</t>
  </si>
  <si>
    <t>Documentación</t>
  </si>
  <si>
    <t>Teoría, fórmulas, fuentes de los 10 métodos</t>
  </si>
  <si>
    <t>2</t>
  </si>
  <si>
    <t>Métodos base</t>
  </si>
  <si>
    <t>Runs 1.0 20262904</t>
  </si>
  <si>
    <t>k=3, déficit absoluto</t>
  </si>
  <si>
    <t>Runs 1.0 + 3.5 sigma</t>
  </si>
  <si>
    <t>k=3.5</t>
  </si>
  <si>
    <t>Runs 1.0 + 6 sigma</t>
  </si>
  <si>
    <t>k=6 (Six Sigma)</t>
  </si>
  <si>
    <t>Runs Z score</t>
  </si>
  <si>
    <t>Déficit normalizado por σ</t>
  </si>
  <si>
    <t>Runs Z score + 6 sigma</t>
  </si>
  <si>
    <t>Z-score con k=6</t>
  </si>
  <si>
    <t>Runs 1.1</t>
  </si>
  <si>
    <t>Variante intermedia</t>
  </si>
  <si>
    <t>3</t>
  </si>
  <si>
    <t>Métodos estadísticos</t>
  </si>
  <si>
    <t>Runs Mahalanobis</t>
  </si>
  <si>
    <t>Mahalanobis (1936)</t>
  </si>
  <si>
    <t>Runs GMM</t>
  </si>
  <si>
    <t>Gaussian Mixture Model</t>
  </si>
  <si>
    <t>5</t>
  </si>
  <si>
    <t>Resultados</t>
  </si>
  <si>
    <t>Results</t>
  </si>
  <si>
    <t>Métricas detalladas</t>
  </si>
  <si>
    <t>Comparativa Final</t>
  </si>
  <si>
    <t>★ Todos los métodos lado a lado</t>
  </si>
  <si>
    <t>6</t>
  </si>
  <si>
    <t>Datos adicionales</t>
  </si>
  <si>
    <t>Future Data 2 pieces missing</t>
  </si>
  <si>
    <t>Casos con 2 piezas faltantes</t>
  </si>
  <si>
    <t>Sheet1</t>
  </si>
  <si>
    <t>Análisis auxiliar</t>
  </si>
  <si>
    <t>DOE — SMART PACKAGING LINE INSPECTION</t>
  </si>
  <si>
    <t>COLOR CODE</t>
  </si>
  <si>
    <t xml:space="preserve">  Yellow cells = inputs you must fill in</t>
  </si>
  <si>
    <t xml:space="preserve">  Blue text = hardcoded input values</t>
  </si>
  <si>
    <t xml:space="preserve">  Green text = links / references to other sheets</t>
  </si>
  <si>
    <t xml:space="preserve">  Black text = formulas (do not edit)</t>
  </si>
  <si>
    <t>STEP-BY-STEP</t>
  </si>
  <si>
    <t>1. COMPONENTS sheet</t>
  </si>
  <si>
    <t xml:space="preserve">   Weigh 20 individual units of each component (S1, S2, W1, W2, N1, N2).</t>
  </si>
  <si>
    <t xml:space="preserve">   Enter measured_mean_g and measured_std_g in yellow cells.</t>
  </si>
  <si>
    <t xml:space="preserve">   This is critical — the model depends on these baselines.</t>
  </si>
  <si>
    <t>2. RECIPES sheet</t>
  </si>
  <si>
    <t xml:space="preserve">   Auto-calculated. Review expected_weight and tolerance bounds (3σ).</t>
  </si>
  <si>
    <t xml:space="preserve">   If bounds overlap between OK and NG cases, model will confuse them.</t>
  </si>
  <si>
    <t>3. RUNS sheet</t>
  </si>
  <si>
    <t xml:space="preserve">   55 runs pre-assigned. Execute in execution_order (not run_id).</t>
  </si>
  <si>
    <t xml:space="preserve">   For each kit: place on scale → wait stable → enter measured_weight_g.</t>
  </si>
  <si>
    <t xml:space="preserve">   Tare with empty bag before each session. Re-tare if drift appears.</t>
  </si>
  <si>
    <t xml:space="preserve">   Predicted OK/NG and missing-component identification calculate automatically.</t>
  </si>
  <si>
    <t>4. RESULTS sheet</t>
  </si>
  <si>
    <t xml:space="preserve">   Auto-populated. Reports the 4 DOE metrics:</t>
  </si>
  <si>
    <t xml:space="preserve">   • OK/NG accuracy</t>
  </si>
  <si>
    <t xml:space="preserve">   • Missing-component identification accuracy</t>
  </si>
  <si>
    <t xml:space="preserve">   • Effect of recipe complexity (compare R3 vs R4 vs R6)</t>
  </si>
  <si>
    <t xml:space="preserve">   • Effect of repeated components (R6 detail by missing component type)</t>
  </si>
  <si>
    <t>WEIGHING PROTOCOL</t>
  </si>
  <si>
    <t>• Scale must be ON for 15 min before first measurement (thermal stabilization).</t>
  </si>
  <si>
    <t>• Firm surface, no vibrations, no airflow.</t>
  </si>
  <si>
    <t>• Tare with an empty bag identical to experiment bags.</t>
  </si>
  <si>
    <t>• For each kit: wait until display is stable (no blinking digit).</t>
  </si>
  <si>
    <t>• Record value immediately. Remove kit. Verify return to 0.000.</t>
  </si>
  <si>
    <t>• If drift &gt; 0.01 g on zero, re-tare before continuing.</t>
  </si>
  <si>
    <t>RECIPES</t>
  </si>
  <si>
    <t>• R3: S2 + W2 + N2 (3 pieces, heterogeneous distinct)</t>
  </si>
  <si>
    <t>• R4: S1 + W1 + N1 + S2 (4 pieces, heterogeneous with one duplicate class)</t>
  </si>
  <si>
    <t>• R6: S1 + W1 + W1 + N2 + N2 + N1 (6 pieces, repeated components — hardest)</t>
  </si>
  <si>
    <t>EXPECTED FINDINGS</t>
  </si>
  <si>
    <t>• R3 should achieve high OK/NG accuracy (clear weight contrast).</t>
  </si>
  <si>
    <t>• R6 cases with repeated components will be harder — the deficit is smaller</t>
  </si>
  <si>
    <t xml:space="preserve">  relative to kit total, and similar-weight components cause ID ambiguity.</t>
  </si>
  <si>
    <t>• This is expected and validates the need for a Phase 2 complementary sensor.</t>
  </si>
  <si>
    <t>component_id</t>
  </si>
  <si>
    <t>description</t>
  </si>
  <si>
    <t>measured_mean_g</t>
  </si>
  <si>
    <t>measured_std_g</t>
  </si>
  <si>
    <t>n_samples</t>
  </si>
  <si>
    <t>notes</t>
  </si>
  <si>
    <t>S1</t>
  </si>
  <si>
    <t>Component type S1</t>
  </si>
  <si>
    <t>Weigh 30 individual units BEFORE DOE</t>
  </si>
  <si>
    <t>S2</t>
  </si>
  <si>
    <t>Component type S2</t>
  </si>
  <si>
    <t>W1</t>
  </si>
  <si>
    <t>Component type W1</t>
  </si>
  <si>
    <t>W2</t>
  </si>
  <si>
    <t>Component type W2</t>
  </si>
  <si>
    <t>N1</t>
  </si>
  <si>
    <t>Component type N1</t>
  </si>
  <si>
    <t>N2</t>
  </si>
  <si>
    <t>Component type N2</t>
  </si>
  <si>
    <t>PB</t>
  </si>
  <si>
    <t>Plastic Bag</t>
  </si>
  <si>
    <t>recipe_id</t>
  </si>
  <si>
    <t>components_list</t>
  </si>
  <si>
    <t>n_components</t>
  </si>
  <si>
    <t>n_S1</t>
  </si>
  <si>
    <t>n_S2</t>
  </si>
  <si>
    <t>n_W1</t>
  </si>
  <si>
    <t>n_W2</t>
  </si>
  <si>
    <t>n_N1</t>
  </si>
  <si>
    <t>n_N2</t>
  </si>
  <si>
    <t>expected_weight_g</t>
  </si>
  <si>
    <t>expected_variance</t>
  </si>
  <si>
    <t>expected_std_g</t>
  </si>
  <si>
    <t>lower_bound_3s</t>
  </si>
  <si>
    <t>upper_bound_3s</t>
  </si>
  <si>
    <t>R3</t>
  </si>
  <si>
    <t>PB,S2,W2,N2</t>
  </si>
  <si>
    <t>R4</t>
  </si>
  <si>
    <t>PB,S1,W1,N1,S2</t>
  </si>
  <si>
    <t>R6</t>
  </si>
  <si>
    <t>PB,S1,W1,W1,N2,N2,N1</t>
  </si>
  <si>
    <t>Determinación de tamaño de muestra por potencia estadística</t>
  </si>
  <si>
    <t>Referencias a confirmar</t>
  </si>
  <si>
    <t>Probabilidad de equivocarte diciendo que dos componentes son diferentes cuando en realidad no lo son (Nivel de significancia, α)</t>
  </si>
  <si>
    <t>Probabilidad de detectar una diferencia real cuando sí existe (Potencia estadística, 1−β)</t>
  </si>
  <si>
    <t>Cuántas desviaciones estándar te alejas del centro para capturar el 95% de los datos en una curva normal (Valor crítico de dos colas, z_α/2)</t>
  </si>
  <si>
    <t>Cuántas desviaciones estándar te alejas del centro para capturar el 80% de los datos en una curva normal (Valor crítico de potencia, z_β)</t>
  </si>
  <si>
    <t>Montgomery, D.C. &amp; Runger, G.C. (2014). Applied Statistics and Probability for Engineers (6th ed.). Wiley.
Capítulo 10 — Inference for Two Samples
Sección 10-2: Sample size determination for the two-sample t-test
Ahí encuentras exactamente la fórmula n = 2σ²(z_α/2 + z_β)² / δ² con su derivación completa y tablas de OC curves.</t>
  </si>
  <si>
    <t>Cohen, J. (1988). Statistical Power Analysis for the Behavioral Sciences (2nd ed.). Lawrence Erlbaum.
Capítulo 2 — The t-Test for Means
Sección 2.2: The effect size index d
Sección 2.4: Power tables and sample size determination
Es el libro de referencia estándar para power analysis — define formalmente α, β, potencia y el cálculo de n para comparación de medias.</t>
  </si>
  <si>
    <t>Si la celda es de este color verde, es modificable</t>
  </si>
  <si>
    <t>Par que se está comparando</t>
  </si>
  <si>
    <t>Qué tan separadas están las medias de los dos componentes (Diferencia mínima detectable, δ)</t>
  </si>
  <si>
    <t>Qué tanto varían juntos los dos componentes (Desviación estándar combinada, σ_pooled)</t>
  </si>
  <si>
    <t>Número mínimo de muestras (n)</t>
  </si>
  <si>
    <t>Notes</t>
  </si>
  <si>
    <t>S1/S2</t>
  </si>
  <si>
    <t>S1/W1</t>
  </si>
  <si>
    <t>S1/W2</t>
  </si>
  <si>
    <t>S1/N1</t>
  </si>
  <si>
    <t>S1/N2</t>
  </si>
  <si>
    <t>S2/W1</t>
  </si>
  <si>
    <t>S2/W2</t>
  </si>
  <si>
    <t>Parecido</t>
  </si>
  <si>
    <t>S2/N1</t>
  </si>
  <si>
    <t>S2/N2</t>
  </si>
  <si>
    <t>W1/W2</t>
  </si>
  <si>
    <t>W1/N1</t>
  </si>
  <si>
    <t>Más parecido</t>
  </si>
  <si>
    <t>W1/N2</t>
  </si>
  <si>
    <t>W2/N1</t>
  </si>
  <si>
    <t>W2/N2</t>
  </si>
  <si>
    <t>N1/N2</t>
  </si>
  <si>
    <t>Conclusión</t>
  </si>
  <si>
    <t>El análisis de determinación de tamaño de muestra por potencia estadística (α = 0.05, potencia = 0.80) aplicado a los 15 pares posibles entre los 6 componentes del sistema indica que el número mínimo de muestras requerido para detectar la diferencia mínima detectable entre cualquier par es n = 1 en todos los casos.
El par más difícil de distinguir es W1/N1, con una diferencia mínima detectable de apenas 0.16g y una desviación estándar combinada de 0.02g. A pesar de ser el par más parecido del catálogo, la fórmula sigue arrojando n = 1, lo que confirma que incluso en el caso más desfavorable la diferencia entre medias supera ampliamente el ruido de medición a nivel de componente individual.
Por lo tanto, el tamaño de calibración adoptado de n = 30 unidades por componente es estadísticamente conservador, está 30 veces por encima del mínimo requerido. Esto descarta que una calibración insuficiente sea la causa de los errores de identificación observados en la receta R6. La fuente de ambigüedad reside en otro nivel del sistema, no en los datos de calibración.</t>
  </si>
  <si>
    <t>DOCUMENTACIÓN DE MÉTODOS DE CLASIFICACIÓN</t>
  </si>
  <si>
    <t>Cada método clasifica kits en dos niveles: L1 (OK/NG) y L2 (componente faltante si NG).</t>
  </si>
  <si>
    <t>1. RUNS 1.0 — Z-score clásico con déficit absoluto</t>
  </si>
  <si>
    <t>Teoría</t>
  </si>
  <si>
    <t>Método clásico de Statistical Process Control (Shewhart, 1931). El kit es OK si su peso cae dentro de los límites de control μ ± k·σ. Si es NG, identifica la pieza faltante como aquella cuyo peso individual es más cercano al déficit observado.</t>
  </si>
  <si>
    <t>Fórmula L1</t>
  </si>
  <si>
    <t>OK si |w − μ_kit| ≤ k·σ_kit, donde k=3 (3-sigma de Shewhart)</t>
  </si>
  <si>
    <t>Fórmula L2</t>
  </si>
  <si>
    <t>componente_faltante = argmin over i of |déficit − μ_i|, donde déficit = μ_kit − w</t>
  </si>
  <si>
    <t>Fuente</t>
  </si>
  <si>
    <t>Shewhart, W.A. (1931). Economic Control of Quality of Manufactured Product. Van Nostrand. Montgomery, D.C. (2009). Introduction to Statistical Quality Control (6th ed.). Wiley. Capítulo 5.</t>
  </si>
  <si>
    <t>Desempeño</t>
  </si>
  <si>
    <t>L1: 99.05%, L2: 96.06% (mejor método actual en L2)</t>
  </si>
  <si>
    <t>→ Runs 1.0 20262904</t>
  </si>
  <si>
    <t>2. RUNS 1.0 + 3.5 SIGMA — Variante con umbral relajado</t>
  </si>
  <si>
    <t>Misma lógica que Runs 1.0 pero con k=3.5. Reduce falsos positivos a costa de potenciales falsos negativos. Útil cuando el costo de rechazar un kit bueno supera al de aceptar uno defectuoso.</t>
  </si>
  <si>
    <t>OK si |w − μ_kit| ≤ 3.5·σ_kit</t>
  </si>
  <si>
    <t>Igual que Runs 1.0</t>
  </si>
  <si>
    <t>Variante práctica del método de Shewhart. No tiene paper específico.</t>
  </si>
  <si>
    <t>L1: 99.29%, L2: 96.06%</t>
  </si>
  <si>
    <t>→ Runs 1.0 + 3.5 sigma</t>
  </si>
  <si>
    <t>3. RUNS 1.0 + 6 SIGMA — Variante Six Sigma estricta</t>
  </si>
  <si>
    <t>Misma lógica con k=6 (Six Sigma). Minimiza falsos positivos hasta 3.4 por millón asumiendo normalidad perfecta. Usado en industrias de alta criticidad.</t>
  </si>
  <si>
    <t>OK si |w − μ_kit| ≤ 6·σ_kit</t>
  </si>
  <si>
    <t>Harry, M.J., Schroeder, R. (2000). Six Sigma: The Breakthrough Management Strategy. Currency Doubleday. ISBN: 978-0385494373.</t>
  </si>
  <si>
    <t>L1: 99.52%, L2: 96.06%</t>
  </si>
  <si>
    <t>→ Runs 1.0 + 6 sigma</t>
  </si>
  <si>
    <t>4. RUNS Z-SCORE — Déficit normalizado por σ del componente</t>
  </si>
  <si>
    <t>Variante donde la identificación L2 usa la distancia normalizada por la desviación estándar de cada componente. Penaliza componentes con σ pequeño (zona de aceptación más estrecha), lo que sesga la decisión en pares como W1/N1.</t>
  </si>
  <si>
    <t>OK si |w − μ_kit| ≤ k·σ_kit (mismo que Runs 1.0)</t>
  </si>
  <si>
    <t>componente_faltante = argmin over i of |déficit − μ_i| / σ_i</t>
  </si>
  <si>
    <t>Aplicación directa de z-score multivariable. Fundamento: Cox, D.R., Snell, E.J. (1989). Analysis of Binary Data (2nd ed.). Chapman &amp; Hall.</t>
  </si>
  <si>
    <t>L1: 99.05%, L2: 93.64% (peor que Runs 1.0 por la normalización)</t>
  </si>
  <si>
    <t>→ Runs Z score</t>
  </si>
  <si>
    <t>5. RUNS MAHALANOBIS — Distancia generalizada con corrección de sesgo</t>
  </si>
  <si>
    <t>Mahalanobis (1936) generalizó el z-score a múltiples variables considerando covarianzas. Con 1 variable, el método se reduce al z-score pero con dos mejoras importantes: (1) umbral calibrado por distribución F de Hotelling en lugar de k=3 arbitrario, (2) corrección de sesgo D² = D₁² − 2P/n para muestras finitas (eq. 4.12 del paper).</t>
  </si>
  <si>
    <t>D² = (w − μ_kit)² / σ²_kit − 2P/n; OK si D² ≤ T²_crit (Hotelling)</t>
  </si>
  <si>
    <t>Igual que Runs 1.0 (déficit absoluto)</t>
  </si>
  <si>
    <t>Mahalanobis, P.C. (1936). On the Generalised Distance in Statistics. Proc. Natl. Inst. Sci. India, 2(1), 49-55. Ecuaciones verificadas: 2.1, 4.11, 4.12, 4.31.</t>
  </si>
  <si>
    <t>L1: 99.05%, L2: 96.06% (igual que Runs 1.0 con 1 variable; mejora estructural al añadir variables)</t>
  </si>
  <si>
    <t>→ Runs Mahalanobis</t>
  </si>
  <si>
    <t>6. RUNS GMM — Gaussian Mixture Model con flag AMBIGUOUS</t>
  </si>
  <si>
    <t>Cada hipótesis 'falta componente X' se modela como una distribución Gaussiana propia. Para un kit NG, evalúa la log-likelihood bajo cada hipótesis y normaliza con softmax. Genera probabilidades calibradas y detecta automáticamente kits ambiguos (margen &lt; 0.15) para inspección manual sin reglas ad-hoc.</t>
  </si>
  <si>
    <t>Igual que Runs 1.0 (k=3)</t>
  </si>
  <si>
    <t>log L_i = −0.5·((déficit − μ_i)/σ_i)²; P_i = softmax(log L_i); componente = argmax P_i; AMBIGUOUS si P_top1 − P_top2 &lt; 0.15</t>
  </si>
  <si>
    <t>McLachlan, G.J., Peel, D. (2000). Finite Mixture Models. Wiley. ISBN: 978-0471006268. Dempster, Laird, Rubin (1977). EM Algorithm. JRSS B, 39(1), 1-38.</t>
  </si>
  <si>
    <t>L1: 99.05%, L2: 93.64%; detecta 2 casos AMBIGUOUS automáticamente</t>
  </si>
  <si>
    <t>→ Runs GMM</t>
  </si>
  <si>
    <t>29-04-2026</t>
  </si>
  <si>
    <t>run_id</t>
  </si>
  <si>
    <t>execution_order</t>
  </si>
  <si>
    <t>recipe</t>
  </si>
  <si>
    <t>condition</t>
  </si>
  <si>
    <t>missing_component</t>
  </si>
  <si>
    <t>measured_weight_g</t>
  </si>
  <si>
    <t>timestamp</t>
  </si>
  <si>
    <t>expected_weight</t>
  </si>
  <si>
    <t>expected_std</t>
  </si>
  <si>
    <t>lower_bound</t>
  </si>
  <si>
    <t>upper_bound</t>
  </si>
  <si>
    <t>predicted_OK_NG</t>
  </si>
  <si>
    <t>L1_correct</t>
  </si>
  <si>
    <t>deficit</t>
  </si>
  <si>
    <t>match_S1</t>
  </si>
  <si>
    <t>match_S2</t>
  </si>
  <si>
    <t>match_W1</t>
  </si>
  <si>
    <t>match_W2</t>
  </si>
  <si>
    <t>match_N1</t>
  </si>
  <si>
    <t>match_N2</t>
  </si>
  <si>
    <t>predicted_missing</t>
  </si>
  <si>
    <t>L2_correct</t>
  </si>
  <si>
    <t>OK</t>
  </si>
  <si>
    <t>NONE</t>
  </si>
  <si>
    <t>NG</t>
  </si>
  <si>
    <t>kit_id</t>
  </si>
  <si>
    <t>K001</t>
  </si>
  <si>
    <t>K002</t>
  </si>
  <si>
    <t>K003</t>
  </si>
  <si>
    <t>K004</t>
  </si>
  <si>
    <t>K005</t>
  </si>
  <si>
    <t>K006</t>
  </si>
  <si>
    <t>K007</t>
  </si>
  <si>
    <t>K008</t>
  </si>
  <si>
    <t>K009</t>
  </si>
  <si>
    <t>K011</t>
  </si>
  <si>
    <t>K012</t>
  </si>
  <si>
    <t>K013</t>
  </si>
  <si>
    <t>K014</t>
  </si>
  <si>
    <t>K015</t>
  </si>
  <si>
    <t>K016</t>
  </si>
  <si>
    <t>K017</t>
  </si>
  <si>
    <t>K018</t>
  </si>
  <si>
    <t>K019</t>
  </si>
  <si>
    <t>K021</t>
  </si>
  <si>
    <t>K022</t>
  </si>
  <si>
    <t>K023</t>
  </si>
  <si>
    <t>K024</t>
  </si>
  <si>
    <t>K025</t>
  </si>
  <si>
    <t>K026</t>
  </si>
  <si>
    <t>K027</t>
  </si>
  <si>
    <t>K028</t>
  </si>
  <si>
    <t>K029</t>
  </si>
  <si>
    <t>K041</t>
  </si>
  <si>
    <t>K030</t>
  </si>
  <si>
    <t>K031</t>
  </si>
  <si>
    <t>K032</t>
  </si>
  <si>
    <t>K033</t>
  </si>
  <si>
    <t>K042</t>
  </si>
  <si>
    <t>K034</t>
  </si>
  <si>
    <t>K035</t>
  </si>
  <si>
    <t>K036</t>
  </si>
  <si>
    <t>K037</t>
  </si>
  <si>
    <t>K043</t>
  </si>
  <si>
    <t>K038</t>
  </si>
  <si>
    <t>K039</t>
  </si>
  <si>
    <t>K040</t>
  </si>
  <si>
    <t>K044</t>
  </si>
  <si>
    <t>K045</t>
  </si>
  <si>
    <t>K046</t>
  </si>
  <si>
    <t>K047</t>
  </si>
  <si>
    <t>K048</t>
  </si>
  <si>
    <t>K054</t>
  </si>
  <si>
    <t>K055</t>
  </si>
  <si>
    <t>K049</t>
  </si>
  <si>
    <t>K050</t>
  </si>
  <si>
    <t>K051</t>
  </si>
  <si>
    <t>K052</t>
  </si>
  <si>
    <t>K053</t>
  </si>
  <si>
    <t>16 errores</t>
  </si>
  <si>
    <t>MAHALANOBIS L1 + L2 — Smart Packaging Line</t>
  </si>
  <si>
    <t>Mahalanobis, P.C. (1936). 'On the Generalised Distance in Statistics'. Proc. Natl. Inst. Sci. India, 2(1), 49-55.</t>
  </si>
  <si>
    <t>PARÁMETROS DEL CLASIFICADOR</t>
  </si>
  <si>
    <t>Parámetro</t>
  </si>
  <si>
    <t>Valor</t>
  </si>
  <si>
    <t>Descripción</t>
  </si>
  <si>
    <t>n (calibración por componente)</t>
  </si>
  <si>
    <t>De Components sheet (n_samples = 30)</t>
  </si>
  <si>
    <t>P (variables)</t>
  </si>
  <si>
    <t>Una sola variable: peso total del kit</t>
  </si>
  <si>
    <t>α (significancia)</t>
  </si>
  <si>
    <t>Equivalente al 3-sigma del z-score original</t>
  </si>
  <si>
    <t>Umbral F crítico (Hotelling)</t>
  </si>
  <si>
    <t>Eq. 4.31 del paper: distribución exacta de D</t>
  </si>
  <si>
    <t>Umbral D² (con corrección)</t>
  </si>
  <si>
    <t>T² Hotelling -&gt; D² crítico (P=1, n=30)</t>
  </si>
  <si>
    <t>Umbral D (raíz cuadrada de B10)</t>
  </si>
  <si>
    <t>Comparable directamente con |z|</t>
  </si>
  <si>
    <t>Sesgo (2P/n)</t>
  </si>
  <si>
    <t>Eq. 4.11: E(D1²) = Δ² + 2P/n</t>
  </si>
  <si>
    <t>D1²_raw</t>
  </si>
  <si>
    <t>D²_corregido</t>
  </si>
  <si>
    <t>D_corregido</t>
  </si>
  <si>
    <t>RESUMEN MAHALANOBIS</t>
  </si>
  <si>
    <t>Total runs</t>
  </si>
  <si>
    <t>L1 Accuracy (global)</t>
  </si>
  <si>
    <t>L2 Accuracy (NG only)</t>
  </si>
  <si>
    <t>False Positives (OK-&gt;NG)</t>
  </si>
  <si>
    <t>False Negatives (NG-&gt;OK)</t>
  </si>
  <si>
    <t>True Positives (NG-&gt;NG)</t>
  </si>
  <si>
    <t>True Negatives (OK-&gt;OK)</t>
  </si>
  <si>
    <t>POR RECETA</t>
  </si>
  <si>
    <t>Recipe</t>
  </si>
  <si>
    <t>L1 Acc</t>
  </si>
  <si>
    <t>L2 Acc</t>
  </si>
  <si>
    <t>NOTAS</t>
  </si>
  <si>
    <t>GAUSSIAN MIXTURE MODEL (GMM) L1 + L2</t>
  </si>
  <si>
    <t>McLachlan &amp; Peel (2000). 'Finite Mixture Models'. Wiley. ISBN: 978-0471006268</t>
  </si>
  <si>
    <t>Umbral L1 (k sigma para OK/NG)</t>
  </si>
  <si>
    <t>Mismo umbral que Z-score para comparabilidad</t>
  </si>
  <si>
    <t>Margen AMBIGUOUS</t>
  </si>
  <si>
    <t>Si |P_1ra − P_2da| &lt; 0.15 → flag AMBIGUOUS</t>
  </si>
  <si>
    <t>L_S1</t>
  </si>
  <si>
    <t>L_S2</t>
  </si>
  <si>
    <t>L_W1</t>
  </si>
  <si>
    <t>L_W2</t>
  </si>
  <si>
    <t>L_N1</t>
  </si>
  <si>
    <t>L_N2</t>
  </si>
  <si>
    <t>P_top1</t>
  </si>
  <si>
    <t>P_top2</t>
  </si>
  <si>
    <t>margen</t>
  </si>
  <si>
    <t>ambiguous</t>
  </si>
  <si>
    <t>RESUMEN GMM</t>
  </si>
  <si>
    <t>False Positives</t>
  </si>
  <si>
    <t>False Negatives</t>
  </si>
  <si>
    <t>AMBIGUOUS flagged</t>
  </si>
  <si>
    <t>% AMBIGUOUS de NG</t>
  </si>
  <si>
    <t>% AMBIG (de NG)</t>
  </si>
  <si>
    <t>DOE RESULTS SUMMARY</t>
  </si>
  <si>
    <t>OVERALL METRICS</t>
  </si>
  <si>
    <t>Metric</t>
  </si>
  <si>
    <t>Value</t>
  </si>
  <si>
    <t>Formula / Description</t>
  </si>
  <si>
    <t>Total runs executed</t>
  </si>
  <si>
    <t>Non-empty measured_weight cells</t>
  </si>
  <si>
    <t>L1 OK/NG accuracy (global)</t>
  </si>
  <si>
    <t>Average of L1_correct</t>
  </si>
  <si>
    <t>L2 Missing-ID accuracy (NG only)</t>
  </si>
  <si>
    <t>Accuracy of faulty component identification</t>
  </si>
  <si>
    <t>False positives (OK called NG)</t>
  </si>
  <si>
    <t>Real OK classified as NG</t>
  </si>
  <si>
    <t>False negatives (NG called OK)</t>
  </si>
  <si>
    <t>Real NG classified as OK</t>
  </si>
  <si>
    <t>True positives (NG correctly called NG)</t>
  </si>
  <si>
    <t>True negatives (OK correctly called OK)</t>
  </si>
  <si>
    <t>PER-RECIPE METRICS</t>
  </si>
  <si>
    <t>Runs</t>
  </si>
  <si>
    <t>L1 Accuracy (OK/NG)</t>
  </si>
  <si>
    <t>L2 Accuracy (Missing ID)</t>
  </si>
  <si>
    <t>False Pos</t>
  </si>
  <si>
    <t>False Neg</t>
  </si>
  <si>
    <t>DETECTION BY MISSING COMPONENT TYPE</t>
  </si>
  <si>
    <t>Missing Component</t>
  </si>
  <si>
    <t>NG Runs Total</t>
  </si>
  <si>
    <t>Correctly Identified</t>
  </si>
  <si>
    <t>ID Accuracy</t>
  </si>
  <si>
    <t>COMPARATIVA DE TODOS LOS MÉTODOS</t>
  </si>
  <si>
    <t>Método</t>
  </si>
  <si>
    <t>Umbral</t>
  </si>
  <si>
    <t>L1 Accuracy</t>
  </si>
  <si>
    <t>L2 Accuracy</t>
  </si>
  <si>
    <t>Falsos Pos</t>
  </si>
  <si>
    <t>Falsos Neg</t>
  </si>
  <si>
    <t>Z-score (k=3) — actual</t>
  </si>
  <si>
    <t>k=3</t>
  </si>
  <si>
    <t>Runs 1.0 (k=3, déficit absoluto)</t>
  </si>
  <si>
    <t>Z-score k=3.5</t>
  </si>
  <si>
    <t>Z-score k=6 (six-sigma)</t>
  </si>
  <si>
    <t>k=6</t>
  </si>
  <si>
    <t>Mahalanobis (F-Hotelling)</t>
  </si>
  <si>
    <t>F crit</t>
  </si>
  <si>
    <t>GMM (softmax + AMBIGUOUS)</t>
  </si>
  <si>
    <t>k=3 + 0.15</t>
  </si>
  <si>
    <t>ANÁLISIS COMPARATIVO DETALLADO — HOJAS RUNS</t>
  </si>
  <si>
    <t>Métricas globales y por receta para cada método. Todas las fórmulas referencian las hojas Runs correspondientes.</t>
  </si>
  <si>
    <t>MÉTRICAS GLOBALES POR MÉTODO</t>
  </si>
  <si>
    <t>Total Runs</t>
  </si>
  <si>
    <t>FP</t>
  </si>
  <si>
    <t>FN</t>
  </si>
  <si>
    <t>TP</t>
  </si>
  <si>
    <t>TN</t>
  </si>
  <si>
    <t>Runs 1.0 (k=3 absoluto)</t>
  </si>
  <si>
    <t>Runs 1.0 + 3.5σ</t>
  </si>
  <si>
    <t>Runs 1.0 + 6σ</t>
  </si>
  <si>
    <t>Runs Z score (k=3, σ-norm)</t>
  </si>
  <si>
    <t>Runs Z score + 6σ</t>
  </si>
  <si>
    <t>L1 ACCURACY POR RECETA</t>
  </si>
  <si>
    <t>Global</t>
  </si>
  <si>
    <t>L2 ACCURACY POR RECETA (solo casos NG)</t>
  </si>
  <si>
    <t>IDENTIFICACIÓN POR COMPONENTE FALTANTE (% de aciertos por método)</t>
  </si>
  <si>
    <t>LECTURA EJECUTIVA</t>
  </si>
  <si>
    <t>• L1 Accuracy mide qué tan bien cada método separa kits OK de kits NG. Con tus 420 kits, todos los métodos superan 99%.</t>
  </si>
  <si>
    <t>• L2 Accuracy mide qué tan bien identifica la pieza faltante cuando el kit es NG. Aquí aparecen las diferencias entre métodos.</t>
  </si>
  <si>
    <t>• Falsos Negativos (FN) = kits NG clasificados como OK. CERO en todos los métodos: ningún defecto se escapa al cliente.</t>
  </si>
  <si>
    <t>• Falsos Positivos (FP) = kits OK clasificados como NG. Costo de reproceso, no de campo. k=6 minimiza FP; k=3 los maximiza.</t>
  </si>
  <si>
    <t>• La columna W1/N1 en R6 es donde se concentran los errores documentados (gap 0.16g, D_eff 3.04).</t>
  </si>
  <si>
    <t>• Mahalanobis (P=1) usa umbral F-Hotelling y corrección de sesgo. Con n=30 el efecto es marginal, escalará con más variables.</t>
  </si>
  <si>
    <t>• GMM produce probabilidades y flag AMBIGUOUS automático para zonas dudosas. Útil para HMI: pide inspección manual sin reglas ad-hoc.</t>
  </si>
  <si>
    <t>• Cero FN se mantiene en todos los métodos: confirma que el sistema es seguro hacia el cliente; lo que varía es eficiencia interna.</t>
  </si>
  <si>
    <t>Estadísticos: fórmulas analíticas. Todos los métodos usan fórmulas Excel directas.</t>
  </si>
  <si>
    <t>1. MÉTRICAS GLOBALES</t>
  </si>
  <si>
    <t>N</t>
  </si>
  <si>
    <t>Runs Z-score + 6σ</t>
  </si>
  <si>
    <t>2. L2 ACCURACY POR RECETA (solo NG) — MÉTRICA CLAVE</t>
  </si>
  <si>
    <t>3. L2 ACCURACY POR COMPONENTE FALTANTE</t>
  </si>
  <si>
    <t>4. RANKING FINAL — L2 GLOBAL</t>
  </si>
  <si>
    <t>L2 Global</t>
  </si>
  <si>
    <t>Tipo</t>
  </si>
  <si>
    <t>5. LECTURA EJECUTIVA</t>
  </si>
  <si>
    <t>L1 universal</t>
  </si>
  <si>
    <t>2W1</t>
  </si>
  <si>
    <t>2N2</t>
  </si>
  <si>
    <t xml:space="preserve"> NG</t>
  </si>
  <si>
    <t>Proporción mínima inaceptable — si el sistema cae aquí o abajo, falla (Proporción nula ,p0)</t>
  </si>
  <si>
    <t>Proporción objetivo que quieres demostrar que tu sistema alcanza (Proporción alternativa, p)</t>
  </si>
  <si>
    <t>Probabilidad de decir que el sistema es bueno cuando no lo es (Nivel de significancia, α)</t>
  </si>
  <si>
    <t>Probabilidad de detectar que el sistema falla cuando sí falla (Potencia estadística, 1−β)</t>
  </si>
  <si>
    <t>Cuántas desviaciones estándar te alejas para capturar el 99% — una cola (Valor crítico de significancia, z_α)</t>
  </si>
  <si>
    <t>Cuántas desviaciones estándar te alejas para capturar el 95% (Valor crítico de potencia, z_β)</t>
  </si>
  <si>
    <t>measured_weight_w/PB</t>
  </si>
  <si>
    <t>14 errores</t>
  </si>
  <si>
    <t>22 errores</t>
  </si>
  <si>
    <t>Runs Z-score + 3.5σ</t>
  </si>
  <si>
    <t>Runs Z-score + 3σ</t>
  </si>
  <si>
    <t>Runs Distance + 3σ</t>
  </si>
  <si>
    <t>Runs Distance + 3.5σ</t>
  </si>
  <si>
    <t>Runs Distance + 6σ</t>
  </si>
  <si>
    <t>16 Errores</t>
  </si>
  <si>
    <t>Sin FP en ninguno</t>
  </si>
  <si>
    <t>Cero falsos positivos en todos los 12 métodos. El sistema es seguro hacia el cliente independientemente del método elegido.</t>
  </si>
  <si>
    <t>Con P=1 (una sola variable), D = |w-µ|/σ es matemáticamente igual al z-score.
La diferencia frente al z-score actual está en DOS puntos del paper:
(1) Umbral calibrado con distribución F de Hotelling (eq. 4.31), NO con k=3 fijo.
(2) Corrección de sesgo de muestras finitas: D² = D1² – 2P/n (eq. 4.12).
Con n=30, el sesgo es 0.067 y el umbral D² es 12.55 (en vez del 9 implícito en z=3).
Cuando se agreguen más variables (temperatura, humedad), Σ⁻¹ capturará correlaciones que dos z-scores separados no pueden capturar.
L2 usa el déficit observado contra µ de cada componente (consistente con tu L2 actual), ya que con P=1 no aporta el factor distintivo de Mahalanobis a nivel de identificación.</t>
  </si>
  <si>
    <t>24 errores</t>
  </si>
  <si>
    <t>GMM trata cada hipótesis 'falta componente X' como una distribución Gaussiana.
Para un kit NG, evalúa P(deficit | falta X) bajo cada hipótesis y elige la más probable.
Las columnas K-P son LOG-likelihoods (más estables numéricamente que likelihoods directas).
La constante log(σ√2π) se cancela al normalizar vía softmax, por eso solo aparece el término -0.5*((d-µ)/σ)^2.
Q (P_top1) y R (P_top2) son las dos probabilidades más altas, normalizadas (suman ≤1).
S (margen) = Q – R. Si margen &lt; 0.15 → kit en zona ambigua → flag AMBIGUOUS.
Ventaja sobre L2 actual: no solo dice 'falta X', dice 'falta X con probabilidad 0.52, o N1 con 0.46'.
El flag AMBIGUOUS se activa automáticamente; tu HMI lo puede usar para pedir inspección manual.</t>
  </si>
  <si>
    <t>COMPARATIVA FINAL</t>
  </si>
  <si>
    <t>Total</t>
  </si>
  <si>
    <t>Estadístico</t>
  </si>
  <si>
    <t>Todos los métodos comparten L1 de Runs Distance + 3σ. 99.4% accuracy, 3 FN, CERO FP en los 8 métodos.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</si>
</sst>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yyyy\-mm\-dd\ hh:mm"/>
    <numFmt numFmtId="166" formatCode="0.000"/>
    <numFmt numFmtId="167" formatCode="0.0%"/>
  </numFmts>
  <fonts count="46">
    <font>
      <sz val="11"/>
      <color theme="1"/>
      <name val="Calibri"/>
      <family val="2"/>
      <charset val="1"/>
    </font>
    <font>
      <b/>
      <sz val="18"/>
      <color rgb="FF305496"/>
      <name val="Arial"/>
      <charset val="1"/>
    </font>
    <font>
      <i/>
      <sz val="10"/>
      <color rgb="FF595959"/>
      <name val="Arial"/>
      <charset val="1"/>
    </font>
    <font>
      <b/>
      <sz val="11"/>
      <color rgb="FF305496"/>
      <name val="Arial"/>
      <charset val="1"/>
    </font>
    <font>
      <b/>
      <sz val="10"/>
      <color rgb="FFFFFFFF"/>
      <name val="Arial"/>
      <charset val="1"/>
    </font>
    <font>
      <sz val="10"/>
      <color rgb="FF000000"/>
      <name val="Arial"/>
      <charset val="1"/>
    </font>
    <font>
      <b/>
      <sz val="16"/>
      <color rgb="FF1F4E78"/>
      <name val="Arial"/>
      <charset val="1"/>
    </font>
    <font>
      <i/>
      <sz val="11"/>
      <color rgb="FF595959"/>
      <name val="Arial"/>
      <charset val="1"/>
    </font>
    <font>
      <sz val="10"/>
      <name val="Arial"/>
      <charset val="1"/>
    </font>
    <font>
      <b/>
      <sz val="11"/>
      <color rgb="FF1F4E78"/>
      <name val="Arial"/>
      <charset val="1"/>
    </font>
    <font>
      <b/>
      <sz val="10"/>
      <name val="Arial"/>
      <charset val="1"/>
    </font>
    <font>
      <b/>
      <sz val="11"/>
      <color rgb="FFFFFFFF"/>
      <name val="Arial"/>
      <charset val="1"/>
    </font>
    <font>
      <sz val="10"/>
      <color rgb="FF0000FF"/>
      <name val="Arial"/>
      <charset val="1"/>
    </font>
    <font>
      <sz val="10"/>
      <name val="Arial"/>
      <family val="2"/>
    </font>
    <font>
      <sz val="10"/>
      <color rgb="FF008000"/>
      <name val="Arial"/>
      <charset val="1"/>
    </font>
    <font>
      <b/>
      <sz val="18"/>
      <color theme="1"/>
      <name val="Calibri"/>
      <family val="2"/>
      <charset val="1"/>
    </font>
    <font>
      <b/>
      <sz val="14"/>
      <color theme="1"/>
      <name val="Calibri"/>
      <family val="2"/>
      <charset val="1"/>
    </font>
    <font>
      <b/>
      <i/>
      <sz val="11"/>
      <color theme="1"/>
      <name val="Calibri"/>
      <family val="2"/>
      <charset val="1"/>
    </font>
    <font>
      <b/>
      <sz val="11"/>
      <color theme="1"/>
      <name val="Calibri"/>
      <family val="2"/>
      <charset val="1"/>
    </font>
    <font>
      <b/>
      <sz val="10"/>
      <color theme="1"/>
      <name val="Arial Unicode MS"/>
      <charset val="1"/>
    </font>
    <font>
      <sz val="11"/>
      <color rgb="FFFF0000"/>
      <name val="Calibri"/>
      <family val="2"/>
      <charset val="1"/>
    </font>
    <font>
      <b/>
      <sz val="11"/>
      <color rgb="FFFF0000"/>
      <name val="Calibri"/>
      <family val="2"/>
      <charset val="1"/>
    </font>
    <font>
      <b/>
      <sz val="16"/>
      <color theme="1"/>
      <name val="Calibri"/>
      <family val="2"/>
      <charset val="1"/>
    </font>
    <font>
      <b/>
      <sz val="16"/>
      <color rgb="FF305496"/>
      <name val="Arial"/>
      <charset val="1"/>
    </font>
    <font>
      <b/>
      <sz val="12"/>
      <color rgb="FFFFFFFF"/>
      <name val="Arial"/>
      <charset val="1"/>
    </font>
    <font>
      <b/>
      <sz val="10"/>
      <color rgb="FF000000"/>
      <name val="Arial"/>
      <charset val="1"/>
    </font>
    <font>
      <sz val="10"/>
      <name val="Consolas"/>
      <charset val="1"/>
    </font>
    <font>
      <i/>
      <sz val="9"/>
      <color rgb="FF000000"/>
      <name val="Arial"/>
      <charset val="1"/>
    </font>
    <font>
      <i/>
      <sz val="9"/>
      <color rgb="FF595959"/>
      <name val="Arial"/>
      <charset val="1"/>
    </font>
    <font>
      <b/>
      <sz val="12"/>
      <color rgb="FF305496"/>
      <name val="Arial"/>
      <charset val="1"/>
    </font>
    <font>
      <b/>
      <sz val="10"/>
      <color rgb="FFFFFFFF"/>
      <name val="Calibri"/>
      <charset val="1"/>
    </font>
    <font>
      <sz val="10"/>
      <color rgb="FF000000"/>
      <name val="Calibri"/>
      <charset val="1"/>
    </font>
    <font>
      <b/>
      <sz val="14"/>
      <color rgb="FF305496"/>
      <name val="Calibri"/>
      <charset val="1"/>
    </font>
    <font>
      <i/>
      <sz val="9"/>
      <color rgb="FF595959"/>
      <name val="Calibri"/>
      <charset val="1"/>
    </font>
    <font>
      <b/>
      <sz val="11"/>
      <color rgb="FF305496"/>
      <name val="Calibri"/>
      <charset val="1"/>
    </font>
    <font>
      <b/>
      <sz val="14"/>
      <color rgb="FF1F4E78"/>
      <name val="Arial"/>
      <charset val="1"/>
    </font>
    <font>
      <sz val="16"/>
      <color theme="1"/>
      <name val="Calibri"/>
      <family val="2"/>
      <charset val="1"/>
    </font>
    <font>
      <b/>
      <sz val="10"/>
      <color rgb="FF305496"/>
      <name val="Arial"/>
      <charset val="1"/>
    </font>
    <font>
      <sz val="11"/>
      <color theme="1"/>
      <name val="Calibri"/>
      <family val="2"/>
      <charset val="1"/>
    </font>
    <font>
      <b/>
      <sz val="12"/>
      <color theme="0"/>
      <name val="Calibri"/>
      <family val="2"/>
    </font>
    <font>
      <b/>
      <sz val="10"/>
      <color rgb="FF305496"/>
      <name val="Arial"/>
      <family val="2"/>
    </font>
    <font>
      <sz val="10"/>
      <color rgb="FF000000"/>
      <name val="Arial"/>
      <family val="2"/>
    </font>
    <font>
      <b/>
      <sz val="12"/>
      <color rgb="FF305496"/>
      <name val="Calibri"/>
      <family val="2"/>
    </font>
    <font>
      <b/>
      <sz val="10"/>
      <color rgb="FF000000"/>
      <name val="Arial"/>
      <family val="2"/>
    </font>
    <font>
      <sz val="8"/>
      <name val="Calibri"/>
      <family val="2"/>
      <charset val="1"/>
    </font>
    <font>
      <sz val="10"/>
      <color rgb="FF000000"/>
      <name val="Calibri"/>
      <family val="2"/>
    </font>
  </fonts>
  <fills count="24">
    <fill>
      <patternFill patternType="none"/>
    </fill>
    <fill>
      <patternFill patternType="gray125"/>
    </fill>
    <fill>
      <patternFill patternType="solid">
        <fgColor rgb="FF4472C4"/>
        <bgColor rgb="FF2E75B6"/>
      </patternFill>
    </fill>
    <fill>
      <patternFill patternType="solid">
        <fgColor rgb="FF1F4E78"/>
        <bgColor rgb="FF305496"/>
      </patternFill>
    </fill>
    <fill>
      <patternFill patternType="solid">
        <fgColor rgb="FFFFF2CC"/>
        <bgColor rgb="FFFCE4D6"/>
      </patternFill>
    </fill>
    <fill>
      <patternFill patternType="solid">
        <fgColor theme="4"/>
        <bgColor rgb="FF4472C4"/>
      </patternFill>
    </fill>
    <fill>
      <patternFill patternType="solid">
        <fgColor rgb="FFFFFF00"/>
        <bgColor rgb="FFFFFF00"/>
      </patternFill>
    </fill>
    <fill>
      <patternFill patternType="solid">
        <fgColor rgb="FFF2F2F2"/>
        <bgColor rgb="FFE2EFDA"/>
      </patternFill>
    </fill>
    <fill>
      <patternFill patternType="solid">
        <fgColor rgb="FFE2EFDA"/>
        <bgColor rgb="FFF2F2F2"/>
      </patternFill>
    </fill>
    <fill>
      <patternFill patternType="solid">
        <fgColor rgb="FF2E75B6"/>
        <bgColor rgb="FF4472C4"/>
      </patternFill>
    </fill>
    <fill>
      <patternFill patternType="solid">
        <fgColor rgb="FF375623"/>
        <bgColor rgb="FF595959"/>
      </patternFill>
    </fill>
    <fill>
      <patternFill patternType="solid">
        <fgColor rgb="FFFCE4D6"/>
        <bgColor rgb="FFFFF2CC"/>
      </patternFill>
    </fill>
    <fill>
      <patternFill patternType="solid">
        <fgColor rgb="FFFF0000"/>
        <bgColor indexed="64"/>
      </patternFill>
    </fill>
    <fill>
      <patternFill patternType="solid">
        <fgColor rgb="FF00B050"/>
        <bgColor indexed="64"/>
      </patternFill>
    </fill>
    <fill>
      <patternFill patternType="solid">
        <fgColor rgb="FFC00000"/>
        <bgColor indexed="64"/>
      </patternFill>
    </fill>
    <fill>
      <patternFill patternType="solid">
        <fgColor rgb="FFC00000"/>
        <bgColor rgb="FF2E75B6"/>
      </patternFill>
    </fill>
    <fill>
      <patternFill patternType="solid">
        <fgColor rgb="FF92D050"/>
        <bgColor indexed="64"/>
      </patternFill>
    </fill>
    <fill>
      <patternFill patternType="solid">
        <fgColor rgb="FFFFC000"/>
        <bgColor indexed="64"/>
      </patternFill>
    </fill>
    <fill>
      <patternFill patternType="solid">
        <fgColor theme="6" tint="0.59999389629810485"/>
        <bgColor rgb="FFF2F2F2"/>
      </patternFill>
    </fill>
    <fill>
      <patternFill patternType="solid">
        <fgColor theme="6" tint="0.59999389629810485"/>
        <bgColor indexed="64"/>
      </patternFill>
    </fill>
    <fill>
      <patternFill patternType="solid">
        <fgColor theme="9" tint="0.79998168889431442"/>
        <bgColor rgb="FFE2EFDA"/>
      </patternFill>
    </fill>
    <fill>
      <patternFill patternType="solid">
        <fgColor theme="0"/>
        <bgColor indexed="64"/>
      </patternFill>
    </fill>
    <fill>
      <patternFill patternType="solid">
        <fgColor theme="0"/>
        <bgColor theme="4" tint="0.79998168889431442"/>
      </patternFill>
    </fill>
    <fill>
      <patternFill patternType="solid">
        <fgColor rgb="FF00B050"/>
        <bgColor theme="4" tint="0.79998168889431442"/>
      </patternFill>
    </fill>
  </fills>
  <borders count="20">
    <border>
      <left/>
      <right/>
      <top/>
      <bottom/>
      <diagonal/>
    </border>
    <border>
      <left style="thin">
        <color rgb="FFBFBFBF"/>
      </left>
      <right style="thin">
        <color rgb="FFBFBFBF"/>
      </right>
      <top style="medium">
        <color rgb="FF305496"/>
      </top>
      <bottom style="medium">
        <color rgb="FF305496"/>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diagonal/>
    </border>
    <border>
      <left style="thin">
        <color rgb="FFBFBFBF"/>
      </left>
      <right style="thin">
        <color rgb="FFBFBFBF"/>
      </right>
      <top/>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medium">
        <color auto="1"/>
      </right>
      <top style="medium">
        <color auto="1"/>
      </top>
      <bottom style="medium">
        <color auto="1"/>
      </bottom>
      <diagonal/>
    </border>
    <border>
      <left/>
      <right style="thin">
        <color rgb="FFBFBFBF"/>
      </right>
      <top/>
      <bottom style="medium">
        <color rgb="FF305496"/>
      </bottom>
      <diagonal/>
    </border>
    <border>
      <left style="thin">
        <color rgb="FFBFBFBF"/>
      </left>
      <right style="thin">
        <color rgb="FFBFBFBF"/>
      </right>
      <top/>
      <bottom style="medium">
        <color rgb="FF305496"/>
      </bottom>
      <diagonal/>
    </border>
    <border>
      <left style="thin">
        <color rgb="FFBFBFBF"/>
      </left>
      <right/>
      <top/>
      <bottom style="medium">
        <color rgb="FF305496"/>
      </bottom>
      <diagonal/>
    </border>
    <border>
      <left/>
      <right/>
      <top style="thin">
        <color rgb="FFBFBFBF"/>
      </top>
      <bottom style="thin">
        <color rgb="FFBFBFBF"/>
      </bottom>
      <diagonal/>
    </border>
    <border>
      <left/>
      <right style="thin">
        <color rgb="FFBFBFBF"/>
      </right>
      <top style="medium">
        <color rgb="FF305496"/>
      </top>
      <bottom style="medium">
        <color rgb="FF305496"/>
      </bottom>
      <diagonal/>
    </border>
    <border>
      <left/>
      <right style="thin">
        <color auto="1"/>
      </right>
      <top style="medium">
        <color auto="1"/>
      </top>
      <bottom style="medium">
        <color auto="1"/>
      </bottom>
      <diagonal/>
    </border>
  </borders>
  <cellStyleXfs count="2">
    <xf numFmtId="0" fontId="0" fillId="0" borderId="0"/>
    <xf numFmtId="9" fontId="38" fillId="0" borderId="0"/>
  </cellStyleXfs>
  <cellXfs count="203">
    <xf numFmtId="0" fontId="0" fillId="0" borderId="0" xfId="0"/>
    <xf numFmtId="0" fontId="34" fillId="0" borderId="0" xfId="0" applyFont="1"/>
    <xf numFmtId="0" fontId="0" fillId="0" borderId="0" xfId="0" applyAlignment="1">
      <alignment horizontal="center" wrapText="1"/>
    </xf>
    <xf numFmtId="0" fontId="1" fillId="0" borderId="0" xfId="0" applyFont="1" applyAlignment="1">
      <alignment horizontal="left" vertical="center"/>
    </xf>
    <xf numFmtId="0" fontId="2" fillId="0" borderId="0" xfId="0" applyFont="1"/>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0" xfId="0" applyFont="1"/>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5" fillId="0" borderId="6" xfId="0" applyFont="1" applyBorder="1" applyAlignment="1">
      <alignment horizontal="left" vertical="center"/>
    </xf>
    <xf numFmtId="2" fontId="12" fillId="4" borderId="2" xfId="0" applyNumberFormat="1" applyFont="1" applyFill="1" applyBorder="1" applyAlignment="1">
      <alignment horizontal="center" vertical="center"/>
    </xf>
    <xf numFmtId="0" fontId="12" fillId="4" borderId="2" xfId="0" applyFont="1" applyFill="1" applyBorder="1" applyAlignment="1">
      <alignment horizontal="center"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2" fontId="12" fillId="4" borderId="9" xfId="0" applyNumberFormat="1" applyFont="1" applyFill="1" applyBorder="1" applyAlignment="1">
      <alignment horizontal="center" vertical="center"/>
    </xf>
    <xf numFmtId="0" fontId="5" fillId="0" borderId="6" xfId="0" applyFont="1" applyBorder="1" applyAlignment="1">
      <alignment horizontal="center" vertical="center"/>
    </xf>
    <xf numFmtId="2" fontId="14" fillId="0" borderId="2" xfId="0" applyNumberFormat="1" applyFont="1" applyBorder="1" applyAlignment="1">
      <alignment horizontal="center" vertical="center"/>
    </xf>
    <xf numFmtId="2" fontId="5" fillId="0" borderId="2" xfId="0" applyNumberFormat="1" applyFont="1" applyBorder="1" applyAlignment="1">
      <alignment horizontal="center" vertical="center"/>
    </xf>
    <xf numFmtId="2" fontId="5" fillId="0" borderId="7" xfId="0" applyNumberFormat="1"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left" vertical="center"/>
    </xf>
    <xf numFmtId="0" fontId="5" fillId="0" borderId="11" xfId="0" applyFont="1" applyBorder="1" applyAlignment="1">
      <alignment horizontal="center" vertical="center"/>
    </xf>
    <xf numFmtId="2" fontId="14" fillId="0" borderId="11" xfId="0" applyNumberFormat="1" applyFont="1" applyBorder="1" applyAlignment="1">
      <alignment horizontal="center" vertical="center"/>
    </xf>
    <xf numFmtId="2" fontId="5" fillId="0" borderId="11" xfId="0" applyNumberFormat="1" applyFont="1" applyBorder="1" applyAlignment="1">
      <alignment horizontal="center" vertical="center"/>
    </xf>
    <xf numFmtId="2" fontId="5" fillId="0" borderId="12" xfId="0" applyNumberFormat="1" applyFont="1" applyBorder="1" applyAlignment="1">
      <alignment horizontal="center" vertical="center"/>
    </xf>
    <xf numFmtId="0" fontId="0" fillId="0" borderId="0" xfId="0" applyAlignment="1">
      <alignment vertical="center" wrapText="1"/>
    </xf>
    <xf numFmtId="0" fontId="17" fillId="6" borderId="0" xfId="0" applyFont="1" applyFill="1" applyAlignment="1">
      <alignment wrapText="1"/>
    </xf>
    <xf numFmtId="0" fontId="0" fillId="0" borderId="13" xfId="0" applyBorder="1" applyAlignment="1">
      <alignment horizontal="center" vertical="center"/>
    </xf>
    <xf numFmtId="164" fontId="0" fillId="0" borderId="0" xfId="0" applyNumberFormat="1"/>
    <xf numFmtId="0" fontId="18" fillId="0" borderId="0" xfId="0" applyFont="1" applyAlignment="1">
      <alignment horizontal="center" vertical="center" wrapText="1"/>
    </xf>
    <xf numFmtId="0" fontId="23" fillId="0" borderId="0" xfId="0" applyFont="1" applyAlignment="1">
      <alignment horizontal="left" vertical="center"/>
    </xf>
    <xf numFmtId="0" fontId="24" fillId="2" borderId="0" xfId="0" applyFont="1" applyFill="1" applyAlignment="1">
      <alignment horizontal="left" vertical="center"/>
    </xf>
    <xf numFmtId="0" fontId="25" fillId="7" borderId="0" xfId="0" applyFont="1" applyFill="1"/>
    <xf numFmtId="0" fontId="5" fillId="0" borderId="0" xfId="0" applyFont="1" applyAlignment="1">
      <alignment horizontal="left" vertical="top" wrapText="1"/>
    </xf>
    <xf numFmtId="0" fontId="26" fillId="0" borderId="0" xfId="0" applyFont="1" applyAlignment="1">
      <alignment horizontal="left" vertical="center" wrapText="1"/>
    </xf>
    <xf numFmtId="0" fontId="27" fillId="0" borderId="0" xfId="0" applyFont="1" applyAlignment="1">
      <alignment horizontal="left" vertical="center" wrapText="1"/>
    </xf>
    <xf numFmtId="0" fontId="25" fillId="8" borderId="0" xfId="0" applyFont="1" applyFill="1"/>
    <xf numFmtId="0" fontId="25" fillId="0" borderId="0" xfId="0" applyFont="1" applyAlignment="1">
      <alignment horizontal="left" vertical="center" wrapText="1"/>
    </xf>
    <xf numFmtId="0" fontId="28" fillId="0" borderId="0" xfId="0" applyFont="1" applyAlignment="1">
      <alignment horizontal="right" vertical="center"/>
    </xf>
    <xf numFmtId="0" fontId="24" fillId="9" borderId="0" xfId="0" applyFont="1" applyFill="1" applyAlignment="1">
      <alignment horizontal="left" vertical="center"/>
    </xf>
    <xf numFmtId="0" fontId="24" fillId="10" borderId="0" xfId="0" applyFont="1" applyFill="1" applyAlignment="1">
      <alignment horizontal="left" vertical="center"/>
    </xf>
    <xf numFmtId="0" fontId="29" fillId="0" borderId="0" xfId="0" applyFont="1"/>
    <xf numFmtId="0" fontId="30" fillId="2" borderId="1" xfId="0" applyFont="1" applyFill="1" applyBorder="1" applyAlignment="1">
      <alignment horizontal="center" vertical="center" wrapText="1"/>
    </xf>
    <xf numFmtId="0" fontId="31" fillId="0" borderId="2" xfId="0" applyFont="1" applyBorder="1" applyAlignment="1">
      <alignment horizontal="center" vertical="center"/>
    </xf>
    <xf numFmtId="0" fontId="31" fillId="4" borderId="2" xfId="0" applyFont="1" applyFill="1" applyBorder="1" applyAlignment="1">
      <alignment horizontal="center" vertical="center"/>
    </xf>
    <xf numFmtId="0" fontId="31" fillId="8" borderId="2" xfId="0" applyFont="1" applyFill="1" applyBorder="1" applyAlignment="1">
      <alignment horizontal="center" vertical="center"/>
    </xf>
    <xf numFmtId="2" fontId="31" fillId="4" borderId="2" xfId="0" applyNumberFormat="1" applyFont="1" applyFill="1" applyBorder="1" applyAlignment="1">
      <alignment horizontal="center" vertical="center"/>
    </xf>
    <xf numFmtId="165" fontId="31" fillId="4" borderId="2" xfId="0" applyNumberFormat="1" applyFont="1" applyFill="1" applyBorder="1" applyAlignment="1">
      <alignment horizontal="center" vertical="center"/>
    </xf>
    <xf numFmtId="0" fontId="31" fillId="4" borderId="2" xfId="0" applyFont="1" applyFill="1" applyBorder="1" applyAlignment="1">
      <alignment horizontal="left" vertical="center"/>
    </xf>
    <xf numFmtId="166" fontId="31" fillId="0" borderId="2" xfId="0" applyNumberFormat="1" applyFont="1" applyBorder="1" applyAlignment="1">
      <alignment horizontal="center" vertical="center"/>
    </xf>
    <xf numFmtId="164" fontId="31" fillId="0" borderId="2" xfId="0" applyNumberFormat="1" applyFont="1" applyBorder="1" applyAlignment="1">
      <alignment horizontal="center" vertical="center"/>
    </xf>
    <xf numFmtId="0" fontId="31" fillId="0" borderId="2" xfId="0" applyFont="1" applyBorder="1" applyAlignment="1">
      <alignment horizontal="center" vertical="center" wrapText="1"/>
    </xf>
    <xf numFmtId="0" fontId="31" fillId="0" borderId="0" xfId="0" applyFont="1"/>
    <xf numFmtId="0" fontId="31" fillId="6" borderId="2" xfId="0" applyFont="1" applyFill="1" applyBorder="1" applyAlignment="1">
      <alignment horizontal="center" vertical="center" wrapText="1"/>
    </xf>
    <xf numFmtId="166" fontId="31" fillId="6" borderId="2" xfId="0" applyNumberFormat="1" applyFont="1" applyFill="1" applyBorder="1" applyAlignment="1">
      <alignment horizontal="center" vertical="center"/>
    </xf>
    <xf numFmtId="2" fontId="31" fillId="6" borderId="2" xfId="0" applyNumberFormat="1" applyFont="1" applyFill="1" applyBorder="1" applyAlignment="1">
      <alignment horizontal="center" vertical="center"/>
    </xf>
    <xf numFmtId="0" fontId="31" fillId="11" borderId="2" xfId="0" applyFont="1" applyFill="1" applyBorder="1" applyAlignment="1">
      <alignment horizontal="center" vertical="center"/>
    </xf>
    <xf numFmtId="0" fontId="31" fillId="6" borderId="2" xfId="0" applyFont="1" applyFill="1" applyBorder="1" applyAlignment="1">
      <alignment horizontal="center" vertical="center"/>
    </xf>
    <xf numFmtId="165" fontId="31" fillId="4" borderId="11" xfId="0" applyNumberFormat="1" applyFont="1" applyFill="1" applyBorder="1" applyAlignment="1">
      <alignment horizontal="center" vertical="center"/>
    </xf>
    <xf numFmtId="0" fontId="31" fillId="4" borderId="11" xfId="0" applyFont="1" applyFill="1" applyBorder="1" applyAlignment="1">
      <alignment horizontal="left" vertical="center"/>
    </xf>
    <xf numFmtId="0" fontId="12" fillId="0" borderId="2" xfId="0" applyFont="1" applyBorder="1" applyAlignment="1">
      <alignment horizontal="center" vertical="center"/>
    </xf>
    <xf numFmtId="2" fontId="12" fillId="0" borderId="2" xfId="0" applyNumberFormat="1" applyFont="1" applyBorder="1" applyAlignment="1">
      <alignment horizontal="center" vertical="center"/>
    </xf>
    <xf numFmtId="165" fontId="12" fillId="0" borderId="2" xfId="0" applyNumberFormat="1" applyFont="1" applyBorder="1" applyAlignment="1">
      <alignment horizontal="center" vertical="center"/>
    </xf>
    <xf numFmtId="0" fontId="12" fillId="0" borderId="2" xfId="0" applyFont="1" applyBorder="1" applyAlignment="1">
      <alignment horizontal="left" vertical="center"/>
    </xf>
    <xf numFmtId="166" fontId="14" fillId="0" borderId="2" xfId="0" applyNumberFormat="1" applyFont="1" applyBorder="1" applyAlignment="1">
      <alignment horizontal="center" vertical="center"/>
    </xf>
    <xf numFmtId="164" fontId="5" fillId="0" borderId="2" xfId="0" applyNumberFormat="1" applyFont="1" applyBorder="1" applyAlignment="1">
      <alignment horizontal="center" vertical="center"/>
    </xf>
    <xf numFmtId="164" fontId="14" fillId="0" borderId="2" xfId="0" applyNumberFormat="1" applyFont="1" applyBorder="1" applyAlignment="1">
      <alignment horizontal="center" vertical="center"/>
    </xf>
    <xf numFmtId="0" fontId="31" fillId="6" borderId="11" xfId="0" applyFont="1" applyFill="1" applyBorder="1" applyAlignment="1">
      <alignment horizontal="center" vertical="center"/>
    </xf>
    <xf numFmtId="0" fontId="12" fillId="6" borderId="2" xfId="0" applyFont="1" applyFill="1" applyBorder="1" applyAlignment="1">
      <alignment horizontal="center" vertical="center"/>
    </xf>
    <xf numFmtId="0" fontId="5" fillId="6" borderId="2" xfId="0" applyFont="1" applyFill="1" applyBorder="1" applyAlignment="1">
      <alignment horizontal="center" vertical="center"/>
    </xf>
    <xf numFmtId="2" fontId="12" fillId="6" borderId="2" xfId="0" applyNumberFormat="1" applyFont="1" applyFill="1" applyBorder="1" applyAlignment="1">
      <alignment horizontal="center" vertical="center"/>
    </xf>
    <xf numFmtId="165" fontId="12" fillId="4" borderId="2" xfId="0" applyNumberFormat="1" applyFont="1" applyFill="1" applyBorder="1" applyAlignment="1">
      <alignment horizontal="center" vertical="center"/>
    </xf>
    <xf numFmtId="0" fontId="12" fillId="4" borderId="2" xfId="0" applyFont="1" applyFill="1" applyBorder="1" applyAlignment="1">
      <alignment horizontal="left" vertical="center"/>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2" fontId="31" fillId="0" borderId="2" xfId="0" applyNumberFormat="1" applyFont="1" applyBorder="1" applyAlignment="1">
      <alignment horizontal="center" vertical="center"/>
    </xf>
    <xf numFmtId="165" fontId="31" fillId="0" borderId="2" xfId="0" applyNumberFormat="1" applyFont="1" applyBorder="1" applyAlignment="1">
      <alignment horizontal="center" vertical="center"/>
    </xf>
    <xf numFmtId="0" fontId="31" fillId="0" borderId="2" xfId="0" applyFont="1" applyBorder="1" applyAlignment="1">
      <alignment horizontal="left" vertical="center"/>
    </xf>
    <xf numFmtId="0" fontId="30" fillId="2" borderId="2" xfId="0" applyFont="1" applyFill="1" applyBorder="1" applyAlignment="1">
      <alignment horizontal="center" vertical="center" wrapText="1"/>
    </xf>
    <xf numFmtId="0" fontId="0" fillId="4" borderId="2" xfId="0" applyFill="1" applyBorder="1" applyAlignment="1">
      <alignment horizontal="center"/>
    </xf>
    <xf numFmtId="0" fontId="30" fillId="2" borderId="14" xfId="0" applyFont="1" applyFill="1" applyBorder="1" applyAlignment="1">
      <alignment horizontal="center" vertical="center" wrapText="1"/>
    </xf>
    <xf numFmtId="0" fontId="30" fillId="2" borderId="15" xfId="0" applyFont="1" applyFill="1" applyBorder="1" applyAlignment="1">
      <alignment horizontal="center" vertical="center" wrapText="1"/>
    </xf>
    <xf numFmtId="0" fontId="30" fillId="2" borderId="16" xfId="0" applyFont="1" applyFill="1" applyBorder="1" applyAlignment="1">
      <alignment horizontal="center" vertical="center" wrapText="1"/>
    </xf>
    <xf numFmtId="2" fontId="31" fillId="0" borderId="2" xfId="0" applyNumberFormat="1" applyFont="1" applyBorder="1"/>
    <xf numFmtId="2" fontId="31" fillId="0" borderId="11" xfId="0" applyNumberFormat="1" applyFont="1" applyBorder="1"/>
    <xf numFmtId="0" fontId="0" fillId="8" borderId="0" xfId="0" applyFill="1"/>
    <xf numFmtId="0" fontId="11" fillId="3" borderId="2" xfId="0" applyFont="1" applyFill="1" applyBorder="1" applyAlignment="1">
      <alignment horizontal="center" vertical="center"/>
    </xf>
    <xf numFmtId="0" fontId="14" fillId="0" borderId="2" xfId="0" applyFont="1" applyBorder="1" applyAlignment="1">
      <alignment horizontal="center" vertical="center"/>
    </xf>
    <xf numFmtId="167" fontId="14" fillId="0" borderId="2" xfId="0" applyNumberFormat="1" applyFont="1" applyBorder="1" applyAlignment="1">
      <alignment horizontal="center" vertical="center"/>
    </xf>
    <xf numFmtId="0" fontId="36" fillId="0" borderId="0" xfId="0" applyFont="1"/>
    <xf numFmtId="10" fontId="31" fillId="0" borderId="2" xfId="0" applyNumberFormat="1" applyFont="1" applyBorder="1" applyAlignment="1">
      <alignment horizontal="center" vertical="center" wrapText="1"/>
    </xf>
    <xf numFmtId="0" fontId="0" fillId="0" borderId="2" xfId="0" applyBorder="1" applyAlignment="1">
      <alignment horizontal="center" vertical="center"/>
    </xf>
    <xf numFmtId="10" fontId="0" fillId="8" borderId="2" xfId="0" applyNumberFormat="1" applyFill="1" applyBorder="1" applyAlignment="1">
      <alignment horizontal="center" vertical="center"/>
    </xf>
    <xf numFmtId="10" fontId="38" fillId="0" borderId="2" xfId="1" applyNumberFormat="1" applyBorder="1" applyAlignment="1">
      <alignment horizontal="center" vertical="center"/>
    </xf>
    <xf numFmtId="10" fontId="38" fillId="8" borderId="2" xfId="1" applyNumberFormat="1" applyFill="1" applyBorder="1" applyAlignment="1">
      <alignment horizontal="center" vertical="center"/>
    </xf>
    <xf numFmtId="0" fontId="37" fillId="0" borderId="2" xfId="0" applyFont="1" applyBorder="1" applyAlignment="1">
      <alignment horizontal="left" vertical="top"/>
    </xf>
    <xf numFmtId="0" fontId="0" fillId="0" borderId="17" xfId="0" applyBorder="1"/>
    <xf numFmtId="0" fontId="0" fillId="0" borderId="6" xfId="0" applyBorder="1"/>
    <xf numFmtId="0" fontId="5" fillId="11" borderId="2" xfId="0" applyFont="1" applyFill="1" applyBorder="1" applyAlignment="1">
      <alignment horizontal="center" vertical="center"/>
    </xf>
    <xf numFmtId="0" fontId="0" fillId="0" borderId="0" xfId="0" applyAlignment="1">
      <alignment wrapText="1"/>
    </xf>
    <xf numFmtId="0" fontId="18" fillId="0" borderId="0" xfId="0" applyFont="1"/>
    <xf numFmtId="2" fontId="0" fillId="0" borderId="0" xfId="0" applyNumberFormat="1"/>
    <xf numFmtId="2" fontId="30" fillId="2" borderId="1" xfId="0" applyNumberFormat="1" applyFont="1" applyFill="1" applyBorder="1" applyAlignment="1">
      <alignment horizontal="center" vertical="center" wrapText="1"/>
    </xf>
    <xf numFmtId="2" fontId="31" fillId="8" borderId="2" xfId="0" applyNumberFormat="1" applyFont="1" applyFill="1" applyBorder="1" applyAlignment="1">
      <alignment horizontal="center" vertical="center"/>
    </xf>
    <xf numFmtId="2" fontId="31" fillId="4" borderId="2" xfId="0" applyNumberFormat="1" applyFont="1" applyFill="1" applyBorder="1" applyAlignment="1">
      <alignment horizontal="left" vertical="center"/>
    </xf>
    <xf numFmtId="2" fontId="31" fillId="11" borderId="2" xfId="0" applyNumberFormat="1" applyFont="1" applyFill="1" applyBorder="1" applyAlignment="1">
      <alignment horizontal="center" vertical="center"/>
    </xf>
    <xf numFmtId="2" fontId="31" fillId="4" borderId="11" xfId="0" applyNumberFormat="1" applyFont="1" applyFill="1" applyBorder="1" applyAlignment="1">
      <alignment horizontal="center" vertical="center"/>
    </xf>
    <xf numFmtId="2" fontId="31" fillId="4" borderId="11" xfId="0" applyNumberFormat="1" applyFont="1" applyFill="1" applyBorder="1" applyAlignment="1">
      <alignment horizontal="left" vertical="center"/>
    </xf>
    <xf numFmtId="2" fontId="31" fillId="0" borderId="7" xfId="0" applyNumberFormat="1" applyFont="1" applyBorder="1"/>
    <xf numFmtId="1" fontId="31" fillId="0" borderId="2" xfId="0" applyNumberFormat="1" applyFont="1" applyBorder="1" applyAlignment="1">
      <alignment horizontal="center" vertical="center"/>
    </xf>
    <xf numFmtId="1" fontId="31" fillId="4" borderId="2" xfId="0" applyNumberFormat="1" applyFont="1" applyFill="1" applyBorder="1" applyAlignment="1">
      <alignment horizontal="center" vertical="center"/>
    </xf>
    <xf numFmtId="1" fontId="31" fillId="0" borderId="2" xfId="0" applyNumberFormat="1" applyFont="1" applyBorder="1" applyAlignment="1">
      <alignment horizontal="center" vertical="center" wrapText="1"/>
    </xf>
    <xf numFmtId="1" fontId="31" fillId="12" borderId="2" xfId="0" applyNumberFormat="1" applyFont="1" applyFill="1" applyBorder="1" applyAlignment="1">
      <alignment horizontal="center" vertical="center" wrapText="1"/>
    </xf>
    <xf numFmtId="2" fontId="31" fillId="0" borderId="0" xfId="0" applyNumberFormat="1" applyFont="1"/>
    <xf numFmtId="0" fontId="0" fillId="13" borderId="0" xfId="0" applyFill="1"/>
    <xf numFmtId="0" fontId="30" fillId="15" borderId="1" xfId="0" applyFont="1" applyFill="1" applyBorder="1" applyAlignment="1">
      <alignment horizontal="center" vertical="center" wrapText="1"/>
    </xf>
    <xf numFmtId="1" fontId="31" fillId="14" borderId="2" xfId="0" applyNumberFormat="1" applyFont="1" applyFill="1" applyBorder="1" applyAlignment="1">
      <alignment horizontal="center" vertical="center" wrapText="1"/>
    </xf>
    <xf numFmtId="0" fontId="39" fillId="14" borderId="0" xfId="0" applyFont="1" applyFill="1" applyAlignment="1">
      <alignment horizontal="center" vertical="center"/>
    </xf>
    <xf numFmtId="164" fontId="0" fillId="4" borderId="2" xfId="0" applyNumberFormat="1" applyFill="1" applyBorder="1" applyAlignment="1">
      <alignment horizontal="center"/>
    </xf>
    <xf numFmtId="2" fontId="39" fillId="0" borderId="0" xfId="0" applyNumberFormat="1" applyFont="1"/>
    <xf numFmtId="0" fontId="40" fillId="0" borderId="2" xfId="0" applyFont="1" applyBorder="1" applyAlignment="1">
      <alignment horizontal="left" vertical="top"/>
    </xf>
    <xf numFmtId="0" fontId="41" fillId="0" borderId="2" xfId="0" applyFont="1" applyBorder="1" applyAlignment="1">
      <alignment horizontal="left" vertical="top" wrapText="1"/>
    </xf>
    <xf numFmtId="10" fontId="38" fillId="0" borderId="0" xfId="1" applyNumberFormat="1"/>
    <xf numFmtId="0" fontId="42" fillId="0" borderId="0" xfId="0" applyFont="1"/>
    <xf numFmtId="10" fontId="38" fillId="14" borderId="0" xfId="1" applyNumberFormat="1" applyFill="1"/>
    <xf numFmtId="10" fontId="38" fillId="16" borderId="0" xfId="1" applyNumberFormat="1" applyFill="1"/>
    <xf numFmtId="10" fontId="38" fillId="17" borderId="0" xfId="1" applyNumberFormat="1" applyFill="1"/>
    <xf numFmtId="1" fontId="0" fillId="18" borderId="0" xfId="0" applyNumberFormat="1" applyFill="1"/>
    <xf numFmtId="10" fontId="38" fillId="19" borderId="0" xfId="1" applyNumberFormat="1" applyFill="1"/>
    <xf numFmtId="1" fontId="31" fillId="0" borderId="2" xfId="0" applyNumberFormat="1" applyFont="1" applyBorder="1"/>
    <xf numFmtId="1" fontId="31" fillId="0" borderId="11" xfId="0" applyNumberFormat="1" applyFont="1" applyBorder="1"/>
    <xf numFmtId="1" fontId="0" fillId="0" borderId="0" xfId="0" applyNumberFormat="1"/>
    <xf numFmtId="1" fontId="30" fillId="2" borderId="15" xfId="0" applyNumberFormat="1" applyFont="1" applyFill="1" applyBorder="1" applyAlignment="1">
      <alignment horizontal="center" vertical="center" wrapText="1"/>
    </xf>
    <xf numFmtId="1" fontId="31" fillId="0" borderId="7" xfId="0" applyNumberFormat="1" applyFont="1" applyBorder="1" applyAlignment="1">
      <alignment horizontal="center" vertical="center" wrapText="1"/>
    </xf>
    <xf numFmtId="1" fontId="31" fillId="14" borderId="7" xfId="0" applyNumberFormat="1" applyFont="1" applyFill="1" applyBorder="1" applyAlignment="1">
      <alignment horizontal="center" vertical="center" wrapText="1"/>
    </xf>
    <xf numFmtId="10" fontId="38" fillId="0" borderId="0" xfId="1" applyNumberFormat="1" applyAlignment="1">
      <alignment horizontal="center"/>
    </xf>
    <xf numFmtId="0" fontId="0" fillId="0" borderId="0" xfId="0" quotePrefix="1"/>
    <xf numFmtId="10" fontId="0" fillId="0" borderId="0" xfId="0" applyNumberFormat="1"/>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5" fillId="0" borderId="6" xfId="0" applyFont="1" applyBorder="1"/>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5" fillId="0" borderId="10" xfId="0" applyFont="1" applyBorder="1"/>
    <xf numFmtId="10" fontId="38" fillId="0" borderId="11" xfId="1" applyNumberFormat="1" applyBorder="1" applyAlignment="1">
      <alignment horizontal="center" vertical="center"/>
    </xf>
    <xf numFmtId="10" fontId="38" fillId="8" borderId="11" xfId="1" applyNumberFormat="1" applyFill="1" applyBorder="1" applyAlignment="1">
      <alignment horizontal="center" vertical="center"/>
    </xf>
    <xf numFmtId="0" fontId="0" fillId="0" borderId="7" xfId="0" applyBorder="1" applyAlignment="1">
      <alignment horizontal="center" vertical="center"/>
    </xf>
    <xf numFmtId="0" fontId="4" fillId="2" borderId="16" xfId="0" applyFont="1" applyFill="1" applyBorder="1" applyAlignment="1">
      <alignment horizontal="center" vertical="center" wrapText="1"/>
    </xf>
    <xf numFmtId="0" fontId="0" fillId="0" borderId="11" xfId="0" applyBorder="1" applyAlignment="1">
      <alignment horizontal="center" vertical="center"/>
    </xf>
    <xf numFmtId="10" fontId="0" fillId="8" borderId="11" xfId="0" applyNumberFormat="1" applyFill="1" applyBorder="1" applyAlignment="1">
      <alignment horizontal="center" vertical="center"/>
    </xf>
    <xf numFmtId="0" fontId="0" fillId="0" borderId="12" xfId="0" applyBorder="1" applyAlignment="1">
      <alignment horizontal="center" vertical="center"/>
    </xf>
    <xf numFmtId="0" fontId="5" fillId="21" borderId="2" xfId="0" applyFont="1" applyFill="1" applyBorder="1" applyAlignment="1">
      <alignment horizontal="center" vertical="center"/>
    </xf>
    <xf numFmtId="0" fontId="5" fillId="22" borderId="2" xfId="0" applyFont="1" applyFill="1" applyBorder="1" applyAlignment="1">
      <alignment horizontal="center" vertical="center"/>
    </xf>
    <xf numFmtId="0" fontId="43" fillId="22" borderId="2" xfId="0" applyFont="1" applyFill="1" applyBorder="1" applyAlignment="1">
      <alignment horizontal="center" vertical="center"/>
    </xf>
    <xf numFmtId="0" fontId="43" fillId="21" borderId="2" xfId="0" applyFont="1" applyFill="1" applyBorder="1" applyAlignment="1">
      <alignment horizontal="center" vertical="center"/>
    </xf>
    <xf numFmtId="0" fontId="43" fillId="23" borderId="2" xfId="0" applyFont="1" applyFill="1" applyBorder="1" applyAlignment="1">
      <alignment horizontal="center" vertical="center"/>
    </xf>
    <xf numFmtId="0" fontId="41" fillId="23" borderId="2" xfId="0" applyFont="1" applyFill="1" applyBorder="1" applyAlignment="1">
      <alignment horizontal="center" vertical="center"/>
    </xf>
    <xf numFmtId="0" fontId="23" fillId="0" borderId="0" xfId="0" applyFont="1"/>
    <xf numFmtId="0" fontId="2" fillId="0" borderId="0" xfId="0" applyFont="1"/>
    <xf numFmtId="0" fontId="29" fillId="0" borderId="0" xfId="0" applyFont="1"/>
    <xf numFmtId="0" fontId="0" fillId="0" borderId="0" xfId="0"/>
    <xf numFmtId="0" fontId="6" fillId="0" borderId="0" xfId="0" applyFont="1"/>
    <xf numFmtId="0" fontId="7" fillId="0" borderId="0" xfId="0" applyFont="1"/>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6" fillId="6" borderId="0" xfId="0" applyFont="1" applyFill="1" applyAlignment="1">
      <alignment horizontal="center" vertical="center"/>
    </xf>
    <xf numFmtId="0" fontId="0" fillId="0" borderId="0" xfId="0" applyAlignment="1">
      <alignment horizontal="left" vertical="top" wrapText="1"/>
    </xf>
    <xf numFmtId="0" fontId="32" fillId="0" borderId="0" xfId="0" applyFont="1"/>
    <xf numFmtId="0" fontId="33" fillId="0" borderId="0" xfId="0" applyFont="1"/>
    <xf numFmtId="0" fontId="34" fillId="0" borderId="0" xfId="0" applyFont="1"/>
    <xf numFmtId="0" fontId="35" fillId="0" borderId="0" xfId="0" applyFont="1"/>
    <xf numFmtId="0" fontId="11" fillId="3" borderId="0" xfId="0" applyFont="1" applyFill="1" applyAlignment="1">
      <alignment horizontal="center" vertical="center"/>
    </xf>
    <xf numFmtId="0" fontId="11" fillId="3" borderId="2" xfId="0" applyFont="1" applyFill="1" applyBorder="1" applyAlignment="1">
      <alignment horizontal="center" vertical="center"/>
    </xf>
    <xf numFmtId="0" fontId="28" fillId="0" borderId="0" xfId="0" applyFont="1" applyAlignment="1">
      <alignment horizontal="left" vertical="center"/>
    </xf>
    <xf numFmtId="0" fontId="33" fillId="0" borderId="0" xfId="0" applyFont="1" applyAlignment="1">
      <alignment horizontal="left" vertical="top" wrapText="1"/>
    </xf>
    <xf numFmtId="0" fontId="0" fillId="20" borderId="19" xfId="0" applyFill="1" applyBorder="1"/>
    <xf numFmtId="0" fontId="15" fillId="5" borderId="0" xfId="0" applyFont="1" applyFill="1" applyBorder="1" applyAlignment="1">
      <alignment horizontal="center"/>
    </xf>
    <xf numFmtId="0" fontId="0" fillId="0" borderId="0" xfId="0" applyBorder="1" applyAlignment="1">
      <alignment vertical="center" wrapText="1"/>
    </xf>
    <xf numFmtId="0" fontId="18" fillId="20" borderId="0" xfId="0" applyFont="1" applyFill="1" applyBorder="1" applyAlignment="1">
      <alignment vertical="center" wrapText="1"/>
    </xf>
    <xf numFmtId="164" fontId="19" fillId="0" borderId="0" xfId="0" applyNumberFormat="1" applyFont="1" applyBorder="1" applyAlignment="1">
      <alignment vertical="center" wrapText="1"/>
    </xf>
    <xf numFmtId="0" fontId="0" fillId="0" borderId="0" xfId="0" applyBorder="1"/>
    <xf numFmtId="0" fontId="30" fillId="2" borderId="0" xfId="0" applyFont="1" applyFill="1" applyBorder="1" applyAlignment="1">
      <alignment horizontal="center" vertical="center" wrapText="1"/>
    </xf>
    <xf numFmtId="164" fontId="0" fillId="0" borderId="0" xfId="0" applyNumberFormat="1" applyBorder="1"/>
    <xf numFmtId="0" fontId="20" fillId="0" borderId="0" xfId="0" applyFont="1" applyBorder="1"/>
    <xf numFmtId="164" fontId="20" fillId="0" borderId="0" xfId="0" applyNumberFormat="1" applyFont="1" applyBorder="1"/>
    <xf numFmtId="0" fontId="21" fillId="6" borderId="0" xfId="0" applyFont="1" applyFill="1" applyBorder="1"/>
    <xf numFmtId="164" fontId="21" fillId="6" borderId="0" xfId="0" applyNumberFormat="1" applyFont="1" applyFill="1" applyBorder="1"/>
    <xf numFmtId="0" fontId="18" fillId="6" borderId="0" xfId="0" applyFont="1" applyFill="1" applyBorder="1"/>
    <xf numFmtId="0" fontId="20" fillId="5" borderId="0" xfId="0" applyFont="1" applyFill="1" applyBorder="1"/>
    <xf numFmtId="164" fontId="20" fillId="5" borderId="0" xfId="0" applyNumberFormat="1" applyFont="1" applyFill="1" applyBorder="1"/>
    <xf numFmtId="0" fontId="0" fillId="5" borderId="0" xfId="0" applyFill="1" applyBorder="1"/>
    <xf numFmtId="0" fontId="22" fillId="0" borderId="0" xfId="0" applyFont="1" applyBorder="1" applyAlignment="1">
      <alignment horizontal="center"/>
    </xf>
    <xf numFmtId="0" fontId="0" fillId="0" borderId="0" xfId="0" applyBorder="1" applyAlignment="1">
      <alignment horizontal="center" wrapText="1"/>
    </xf>
    <xf numFmtId="0" fontId="0" fillId="5" borderId="0" xfId="0" applyFill="1" applyBorder="1" applyAlignment="1">
      <alignment horizontal="center" vertical="top" wrapText="1"/>
    </xf>
    <xf numFmtId="2" fontId="45" fillId="0" borderId="2" xfId="0" applyNumberFormat="1" applyFont="1" applyFill="1" applyBorder="1" applyAlignment="1">
      <alignment horizontal="center" vertical="center"/>
    </xf>
    <xf numFmtId="2" fontId="45" fillId="8" borderId="2" xfId="0" applyNumberFormat="1" applyFont="1" applyFill="1" applyBorder="1" applyAlignment="1">
      <alignment horizontal="center" vertical="center"/>
    </xf>
  </cellXfs>
  <cellStyles count="2">
    <cellStyle name="Normal" xfId="0" builtinId="0"/>
    <cellStyle name="Percent" xfId="1" builtinId="5"/>
  </cellStyles>
  <dxfs count="251">
    <dxf>
      <border outline="0">
        <bottom style="medium">
          <color rgb="FF305496"/>
        </bottom>
      </border>
    </dxf>
    <dxf>
      <font>
        <b/>
        <i val="0"/>
        <strike val="0"/>
        <condense val="0"/>
        <extend val="0"/>
        <outline val="0"/>
        <shadow val="0"/>
        <u val="none"/>
        <vertAlign val="baseline"/>
        <sz val="10"/>
        <color rgb="FFFFFFFF"/>
        <name val="Calibri"/>
        <charset val="1"/>
        <scheme val="none"/>
      </font>
      <fill>
        <patternFill patternType="solid">
          <fgColor rgb="FF2E75B6"/>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2" formatCode="0.00"/>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numFmt numFmtId="2" formatCode="0.00"/>
    </dxf>
    <dxf>
      <numFmt numFmtId="2" formatCode="0.00"/>
      <border outline="0">
        <left style="thin">
          <color rgb="FFBFBFBF"/>
        </left>
      </border>
    </dxf>
    <dxf>
      <numFmt numFmtId="1" formatCode="0"/>
    </dxf>
    <dxf>
      <numFmt numFmtId="2" formatCode="0.00"/>
      <border outline="0">
        <left style="thin">
          <color rgb="FFBFBFBF"/>
        </left>
        <right style="thin">
          <color rgb="FFBFBFBF"/>
        </righ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rgb="FF000000"/>
        <name val="Calibri"/>
        <charset val="1"/>
        <scheme val="none"/>
      </font>
      <numFmt numFmtId="2" formatCode="0.00"/>
      <border diagonalUp="0" diagonalDown="0">
        <left style="thin">
          <color rgb="FFBFBFBF"/>
        </left>
        <right style="thin">
          <color rgb="FFBFBFBF"/>
        </right>
        <top style="thin">
          <color rgb="FFBFBFBF"/>
        </top>
        <bottom style="thin">
          <color rgb="FFBFBFBF"/>
        </bottom>
        <vertical/>
        <horizontal/>
      </border>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font>
        <b/>
        <strike val="0"/>
        <outline val="0"/>
        <shadow val="0"/>
        <u val="none"/>
        <vertAlign val="baseline"/>
        <sz val="12"/>
        <color theme="0"/>
        <name val="Calibri"/>
        <family val="2"/>
        <charset val="1"/>
        <scheme val="none"/>
      </font>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rgb="FF000000"/>
        <name val="Calibri"/>
        <charset val="1"/>
        <scheme val="none"/>
      </font>
      <numFmt numFmtId="2" formatCode="0.00"/>
      <border diagonalUp="0" diagonalDown="0">
        <left style="thin">
          <color rgb="FFBFBFBF"/>
        </left>
        <right style="thin">
          <color rgb="FFBFBFBF"/>
        </right>
        <top style="thin">
          <color rgb="FFBFBFBF"/>
        </top>
        <bottom style="thin">
          <color rgb="FFBFBFBF"/>
        </bottom>
        <vertical/>
        <horizontal/>
      </border>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dxf>
    <dxf>
      <numFmt numFmtId="2" formatCode="0.00"/>
      <border outline="0">
        <right style="thin">
          <color rgb="FFBFBFBF"/>
        </right>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border outline="0">
        <left style="thin">
          <color rgb="FFBFBFBF"/>
        </left>
      </border>
    </dxf>
    <dxf>
      <numFmt numFmtId="1" formatCode="0"/>
      <border outline="0">
        <left style="thin">
          <color rgb="FFBFBFBF"/>
        </left>
      </border>
    </dxf>
    <dxf>
      <numFmt numFmtId="1" formatCode="0"/>
      <border outline="0">
        <right style="thin">
          <color rgb="FFBFBFBF"/>
        </right>
      </border>
    </dxf>
    <dxf>
      <numFmt numFmtId="2" formatCode="0.00"/>
    </dxf>
    <dxf>
      <numFmt numFmtId="2" formatCode="0.00"/>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numFmt numFmtId="2" formatCode="0.00"/>
      <border outline="0">
        <right style="thin">
          <color rgb="FFBFBFBF"/>
        </right>
      </border>
    </dxf>
    <dxf>
      <border outline="0">
        <right style="thin">
          <color rgb="FFBFBFBF"/>
        </right>
      </border>
    </dxf>
    <dxf>
      <border outline="0">
        <left style="thin">
          <color rgb="FFBFBFBF"/>
        </left>
      </border>
    </dxf>
    <dxf>
      <numFmt numFmtId="2" formatCode="0.00"/>
      <border outline="0">
        <left style="thin">
          <color rgb="FFBFBFBF"/>
        </left>
      </border>
    </dxf>
    <dxf>
      <numFmt numFmtId="2" formatCode="0.00"/>
      <border outline="0">
        <left style="thin">
          <color rgb="FFBFBFBF"/>
        </left>
        <right style="thin">
          <color rgb="FFBFBFBF"/>
        </right>
      </border>
    </dxf>
    <dxf>
      <numFmt numFmtId="2" formatCode="0.00"/>
      <border outline="0">
        <right style="thin">
          <color rgb="FFBFBFBF"/>
        </right>
      </border>
    </dxf>
    <dxf>
      <border outline="0">
        <right style="thin">
          <color rgb="FFBFBFBF"/>
        </right>
      </border>
    </dxf>
    <dxf>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fill>
        <patternFill patternType="solid">
          <fgColor rgb="FFF2F2F2"/>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fill>
        <patternFill patternType="solid">
          <fgColor rgb="FFF2F2F2"/>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medium">
          <color rgb="FF305496"/>
        </top>
        <bottom style="thin">
          <color rgb="FFBFBFBF"/>
        </bottom>
      </border>
    </dxf>
    <dxf>
      <alignment horizontal="center" vertical="center" textRotation="0" wrapText="0" indent="0" justifyLastLine="0" shrinkToFit="0" readingOrder="0"/>
    </dxf>
    <dxf>
      <border outline="0">
        <bottom style="medium">
          <color rgb="FF305496"/>
        </bottom>
      </border>
    </dxf>
    <dxf>
      <font>
        <b/>
        <i val="0"/>
        <strike val="0"/>
        <condense val="0"/>
        <extend val="0"/>
        <outline val="0"/>
        <shadow val="0"/>
        <u val="none"/>
        <vertAlign val="baseline"/>
        <sz val="10"/>
        <color rgb="FFFFFFFF"/>
        <name val="Arial"/>
        <charset val="1"/>
        <scheme val="none"/>
      </font>
      <fill>
        <patternFill patternType="solid">
          <fgColor rgb="FF2E75B6"/>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14" formatCode="0.0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fill>
        <patternFill patternType="solid">
          <fgColor rgb="FFF2F2F2"/>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fill>
        <patternFill patternType="solid">
          <fgColor rgb="FFF2F2F2"/>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border diagonalUp="0" diagonalDown="0">
        <left/>
        <right style="thin">
          <color rgb="FFBFBFBF"/>
        </right>
        <top style="thin">
          <color rgb="FFBFBFBF"/>
        </top>
        <bottom style="thin">
          <color rgb="FFBFBFBF"/>
        </bottom>
        <vertical/>
        <horizontal/>
      </border>
    </dxf>
    <dxf>
      <border outline="0">
        <left style="thin">
          <color rgb="FFBFBFBF"/>
        </left>
        <top style="medium">
          <color rgb="FF305496"/>
        </top>
        <bottom style="thin">
          <color rgb="FFBFBFBF"/>
        </bottom>
      </border>
    </dxf>
    <dxf>
      <border outline="0">
        <bottom style="medium">
          <color rgb="FF305496"/>
        </bottom>
      </border>
    </dxf>
    <dxf>
      <font>
        <b/>
        <i val="0"/>
        <strike val="0"/>
        <condense val="0"/>
        <extend val="0"/>
        <outline val="0"/>
        <shadow val="0"/>
        <u val="none"/>
        <vertAlign val="baseline"/>
        <sz val="10"/>
        <color rgb="FFFFFFFF"/>
        <name val="Arial"/>
        <charset val="1"/>
        <scheme val="none"/>
      </font>
      <fill>
        <patternFill patternType="solid">
          <fgColor rgb="FF2E75B6"/>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14" formatCode="0.00%"/>
    </dxf>
    <dxf>
      <numFmt numFmtId="14" formatCode="0.0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fill>
        <patternFill patternType="solid">
          <fgColor rgb="FFF2F2F2"/>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fill>
        <patternFill patternType="solid">
          <fgColor rgb="FFF2F2F2"/>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4" formatCode="0.0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border diagonalUp="0" diagonalDown="0">
        <left/>
        <right style="thin">
          <color rgb="FFBFBFBF"/>
        </right>
        <top style="thin">
          <color rgb="FFBFBFBF"/>
        </top>
        <bottom style="thin">
          <color rgb="FFBFBFBF"/>
        </bottom>
        <vertical/>
        <horizontal/>
      </border>
    </dxf>
    <dxf>
      <border outline="0">
        <left style="thin">
          <color rgb="FFBFBFBF"/>
        </left>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charset val="1"/>
        <scheme val="none"/>
      </font>
      <fill>
        <patternFill patternType="solid">
          <fgColor rgb="FF2E75B6"/>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4F81BD"/>
      <rgbColor rgb="FF9999FF"/>
      <rgbColor rgb="FF7030A0"/>
      <rgbColor rgb="FFFFF2CC"/>
      <rgbColor rgb="FFF2F2F2"/>
      <rgbColor rgb="FF660066"/>
      <rgbColor rgb="FFFF8080"/>
      <rgbColor rgb="FF2E75B6"/>
      <rgbColor rgb="FFD7E4BD"/>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595959"/>
      <rgbColor rgb="FF969696"/>
      <rgbColor rgb="FF1F4E78"/>
      <rgbColor rgb="FF00B050"/>
      <rgbColor rgb="FF003300"/>
      <rgbColor rgb="FF333300"/>
      <rgbColor rgb="FF993300"/>
      <rgbColor rgb="FF993366"/>
      <rgbColor rgb="FF30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25</xdr:col>
      <xdr:colOff>209873</xdr:colOff>
      <xdr:row>3</xdr:row>
      <xdr:rowOff>1</xdr:rowOff>
    </xdr:from>
    <xdr:to>
      <xdr:col>35</xdr:col>
      <xdr:colOff>152562</xdr:colOff>
      <xdr:row>15</xdr:row>
      <xdr:rowOff>16145</xdr:rowOff>
    </xdr:to>
    <xdr:pic>
      <xdr:nvPicPr>
        <xdr:cNvPr id="8" name="Picture 7">
          <a:extLst>
            <a:ext uri="{FF2B5EF4-FFF2-40B4-BE49-F238E27FC236}">
              <a16:creationId xmlns:a16="http://schemas.microsoft.com/office/drawing/2014/main" id="{401AC9AC-C634-8524-CCA3-A3ED8F699E8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3992"/>
        <a:stretch>
          <a:fillRect/>
        </a:stretch>
      </xdr:blipFill>
      <xdr:spPr bwMode="auto">
        <a:xfrm>
          <a:off x="22359534" y="774916"/>
          <a:ext cx="5754553" cy="2340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137224</xdr:colOff>
      <xdr:row>3</xdr:row>
      <xdr:rowOff>8072</xdr:rowOff>
    </xdr:from>
    <xdr:to>
      <xdr:col>45</xdr:col>
      <xdr:colOff>318199</xdr:colOff>
      <xdr:row>15</xdr:row>
      <xdr:rowOff>8072</xdr:rowOff>
    </xdr:to>
    <xdr:pic>
      <xdr:nvPicPr>
        <xdr:cNvPr id="9" name="Picture 8">
          <a:extLst>
            <a:ext uri="{FF2B5EF4-FFF2-40B4-BE49-F238E27FC236}">
              <a16:creationId xmlns:a16="http://schemas.microsoft.com/office/drawing/2014/main" id="{182DFDB9-DC0F-4255-B90C-9643FC427CBD}"/>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8041"/>
        <a:stretch>
          <a:fillRect/>
        </a:stretch>
      </xdr:blipFill>
      <xdr:spPr bwMode="auto">
        <a:xfrm>
          <a:off x="28679936" y="782987"/>
          <a:ext cx="5411653" cy="23247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217945</xdr:colOff>
      <xdr:row>16</xdr:row>
      <xdr:rowOff>72649</xdr:rowOff>
    </xdr:from>
    <xdr:to>
      <xdr:col>35</xdr:col>
      <xdr:colOff>160634</xdr:colOff>
      <xdr:row>27</xdr:row>
      <xdr:rowOff>82174</xdr:rowOff>
    </xdr:to>
    <xdr:pic>
      <xdr:nvPicPr>
        <xdr:cNvPr id="11" name="Picture 10">
          <a:extLst>
            <a:ext uri="{FF2B5EF4-FFF2-40B4-BE49-F238E27FC236}">
              <a16:creationId xmlns:a16="http://schemas.microsoft.com/office/drawing/2014/main" id="{0902B504-EEE4-F7C7-67D2-DDC7F5E3F4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367606" y="3366039"/>
          <a:ext cx="5754553" cy="2140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16</xdr:row>
      <xdr:rowOff>0</xdr:rowOff>
    </xdr:from>
    <xdr:to>
      <xdr:col>45</xdr:col>
      <xdr:colOff>180975</xdr:colOff>
      <xdr:row>27</xdr:row>
      <xdr:rowOff>9525</xdr:rowOff>
    </xdr:to>
    <xdr:pic>
      <xdr:nvPicPr>
        <xdr:cNvPr id="12" name="Picture 11">
          <a:extLst>
            <a:ext uri="{FF2B5EF4-FFF2-40B4-BE49-F238E27FC236}">
              <a16:creationId xmlns:a16="http://schemas.microsoft.com/office/drawing/2014/main" id="{1FBB9996-5021-B8F3-E713-7FA97C880DE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536900" y="3248025"/>
          <a:ext cx="5410200"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35</xdr:row>
      <xdr:rowOff>0</xdr:rowOff>
    </xdr:from>
    <xdr:to>
      <xdr:col>46</xdr:col>
      <xdr:colOff>132291</xdr:colOff>
      <xdr:row>45</xdr:row>
      <xdr:rowOff>9525</xdr:rowOff>
    </xdr:to>
    <xdr:pic>
      <xdr:nvPicPr>
        <xdr:cNvPr id="13" name="Picture 12">
          <a:extLst>
            <a:ext uri="{FF2B5EF4-FFF2-40B4-BE49-F238E27FC236}">
              <a16:creationId xmlns:a16="http://schemas.microsoft.com/office/drawing/2014/main" id="{231164C0-B8E1-F595-4C79-14835AFBC48A}"/>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 r="456"/>
        <a:stretch>
          <a:fillRect/>
        </a:stretch>
      </xdr:blipFill>
      <xdr:spPr bwMode="auto">
        <a:xfrm>
          <a:off x="23911719" y="6912240"/>
          <a:ext cx="10609791" cy="1927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xdr:colOff>
      <xdr:row>45</xdr:row>
      <xdr:rowOff>169333</xdr:rowOff>
    </xdr:from>
    <xdr:to>
      <xdr:col>46</xdr:col>
      <xdr:colOff>145520</xdr:colOff>
      <xdr:row>56</xdr:row>
      <xdr:rowOff>78084</xdr:rowOff>
    </xdr:to>
    <xdr:pic>
      <xdr:nvPicPr>
        <xdr:cNvPr id="14" name="Picture 13">
          <a:extLst>
            <a:ext uri="{FF2B5EF4-FFF2-40B4-BE49-F238E27FC236}">
              <a16:creationId xmlns:a16="http://schemas.microsoft.com/office/drawing/2014/main" id="{FDAB46BA-65FD-D265-58D0-15E3F61253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865416" y="8715375"/>
          <a:ext cx="10623021" cy="1946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0</xdr:colOff>
      <xdr:row>61</xdr:row>
      <xdr:rowOff>0</xdr:rowOff>
    </xdr:from>
    <xdr:to>
      <xdr:col>60</xdr:col>
      <xdr:colOff>266700</xdr:colOff>
      <xdr:row>71</xdr:row>
      <xdr:rowOff>9525</xdr:rowOff>
    </xdr:to>
    <xdr:pic>
      <xdr:nvPicPr>
        <xdr:cNvPr id="15" name="Picture 14">
          <a:extLst>
            <a:ext uri="{FF2B5EF4-FFF2-40B4-BE49-F238E27FC236}">
              <a16:creationId xmlns:a16="http://schemas.microsoft.com/office/drawing/2014/main" id="{C7E96692-026B-AF48-6AC3-9FE6AA9DF77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2604075" y="11820525"/>
          <a:ext cx="10144125" cy="191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675360</xdr:colOff>
      <xdr:row>4</xdr:row>
      <xdr:rowOff>48240</xdr:rowOff>
    </xdr:from>
    <xdr:to>
      <xdr:col>4</xdr:col>
      <xdr:colOff>804600</xdr:colOff>
      <xdr:row>34</xdr:row>
      <xdr:rowOff>186120</xdr:rowOff>
    </xdr:to>
    <xdr:pic>
      <xdr:nvPicPr>
        <xdr:cNvPr id="2" name="Picture 4">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xdr:blipFill>
      <xdr:spPr>
        <a:xfrm>
          <a:off x="675360" y="1572120"/>
          <a:ext cx="7398720" cy="5852880"/>
        </a:xfrm>
        <a:prstGeom prst="rect">
          <a:avLst/>
        </a:prstGeom>
        <a:ln w="0">
          <a:noFill/>
        </a:ln>
      </xdr:spPr>
    </xdr:pic>
    <xdr:clientData/>
  </xdr:twoCellAnchor>
  <xdr:twoCellAnchor editAs="oneCell">
    <xdr:from>
      <xdr:col>0</xdr:col>
      <xdr:colOff>691560</xdr:colOff>
      <xdr:row>34</xdr:row>
      <xdr:rowOff>77040</xdr:rowOff>
    </xdr:from>
    <xdr:to>
      <xdr:col>4</xdr:col>
      <xdr:colOff>816840</xdr:colOff>
      <xdr:row>49</xdr:row>
      <xdr:rowOff>109080</xdr:rowOff>
    </xdr:to>
    <xdr:pic>
      <xdr:nvPicPr>
        <xdr:cNvPr id="3" name="Picture 5">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a:stretch/>
      </xdr:blipFill>
      <xdr:spPr>
        <a:xfrm>
          <a:off x="691560" y="7315920"/>
          <a:ext cx="7394760" cy="288972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19" displayName="Table19" ref="A1:F8" totalsRowShown="0">
  <autoFilter ref="A1:F8" xr:uid="{00000000-0009-0000-0100-000007000000}"/>
  <tableColumns count="6">
    <tableColumn id="1" xr3:uid="{00000000-0010-0000-0000-000001000000}" name="component_id"/>
    <tableColumn id="2" xr3:uid="{00000000-0010-0000-0000-000002000000}" name="description" dataDxfId="218"/>
    <tableColumn id="3" xr3:uid="{00000000-0010-0000-0000-000003000000}" name="measured_mean_g" dataDxfId="217"/>
    <tableColumn id="4" xr3:uid="{00000000-0010-0000-0000-000004000000}" name="measured_std_g" dataDxfId="216"/>
    <tableColumn id="5" xr3:uid="{00000000-0010-0000-0000-000005000000}" name="n_samples" dataDxfId="215"/>
    <tableColumn id="6" xr3:uid="{00000000-0010-0000-0000-000006000000}" name="notes" dataDxfId="2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20" displayName="Table20" ref="A1:N4" totalsRowShown="0">
  <autoFilter ref="A1:N4" xr:uid="{00000000-0009-0000-0100-000008000000}"/>
  <tableColumns count="14">
    <tableColumn id="1" xr3:uid="{00000000-0010-0000-0100-000001000000}" name="recipe_id"/>
    <tableColumn id="2" xr3:uid="{00000000-0010-0000-0100-000002000000}" name="components_list"/>
    <tableColumn id="3" xr3:uid="{00000000-0010-0000-0100-000003000000}" name="n_components" dataDxfId="213"/>
    <tableColumn id="4" xr3:uid="{00000000-0010-0000-0100-000004000000}" name="n_S1" dataDxfId="212"/>
    <tableColumn id="5" xr3:uid="{00000000-0010-0000-0100-000005000000}" name="n_S2" dataDxfId="211"/>
    <tableColumn id="6" xr3:uid="{00000000-0010-0000-0100-000006000000}" name="n_W1" dataDxfId="210"/>
    <tableColumn id="7" xr3:uid="{00000000-0010-0000-0100-000007000000}" name="n_W2" dataDxfId="209"/>
    <tableColumn id="8" xr3:uid="{00000000-0010-0000-0100-000008000000}" name="n_N1" dataDxfId="208"/>
    <tableColumn id="9" xr3:uid="{00000000-0010-0000-0100-000009000000}" name="n_N2" dataDxfId="207"/>
    <tableColumn id="10" xr3:uid="{00000000-0010-0000-0100-00000A000000}" name="expected_weight_g" dataDxfId="206"/>
    <tableColumn id="11" xr3:uid="{00000000-0010-0000-0100-00000B000000}" name="expected_variance" dataDxfId="205"/>
    <tableColumn id="12" xr3:uid="{00000000-0010-0000-0100-00000C000000}" name="expected_std_g" dataDxfId="204"/>
    <tableColumn id="13" xr3:uid="{00000000-0010-0000-0100-00000D000000}" name="lower_bound_3s" dataDxfId="203"/>
    <tableColumn id="14" xr3:uid="{00000000-0010-0000-0100-00000E000000}" name="upper_bound_3s" dataDxfId="20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3" displayName="Table3" ref="A5:E20" totalsRowShown="0" headerRowDxfId="1" headerRowBorderDxfId="0">
  <autoFilter ref="A5:E20" xr:uid="{00000000-0009-0000-0100-000009000000}"/>
  <tableColumns count="5">
    <tableColumn id="1" xr3:uid="{00000000-0010-0000-0200-000001000000}" name="Par que se está comparando"/>
    <tableColumn id="2" xr3:uid="{00000000-0010-0000-0200-000002000000}" name="Qué tan separadas están las medias de los dos componentes (Diferencia mínima detectable, δ)"/>
    <tableColumn id="3" xr3:uid="{00000000-0010-0000-0200-000003000000}" name="Qué tanto varían juntos los dos componentes (Desviación estándar combinada, σ_pooled)"/>
    <tableColumn id="4" xr3:uid="{00000000-0010-0000-0200-000004000000}" name="Número mínimo de muestras (n)"/>
    <tableColumn id="5" xr3:uid="{00000000-0010-0000-0200-000005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2:X422" totalsRowShown="0" dataDxfId="26">
  <autoFilter ref="A2:X422" xr:uid="{00000000-0009-0000-0100-000001000000}"/>
  <tableColumns count="24">
    <tableColumn id="1" xr3:uid="{00000000-0010-0000-0300-000001000000}" name="run_id" dataDxfId="25"/>
    <tableColumn id="2" xr3:uid="{00000000-0010-0000-0300-000002000000}" name="execution_order" dataDxfId="24"/>
    <tableColumn id="3" xr3:uid="{00000000-0010-0000-0300-000003000000}" name="recipe" dataDxfId="23"/>
    <tableColumn id="4" xr3:uid="{00000000-0010-0000-0300-000004000000}" name="condition" dataDxfId="22"/>
    <tableColumn id="5" xr3:uid="{00000000-0010-0000-0300-000005000000}" name="missing_component" dataDxfId="21"/>
    <tableColumn id="6" xr3:uid="{00000000-0010-0000-0300-000006000000}" name="measured_weight_g" dataDxfId="20"/>
    <tableColumn id="7" xr3:uid="{00000000-0010-0000-0300-000007000000}" name="measured_weight_w/PB" dataDxfId="19">
      <calculatedColumnFormula>0.97+F3</calculatedColumnFormula>
    </tableColumn>
    <tableColumn id="8" xr3:uid="{00000000-0010-0000-0300-000008000000}" name="notes" dataDxfId="18"/>
    <tableColumn id="9" xr3:uid="{00000000-0010-0000-0300-000009000000}" name="expected_weight" dataDxfId="17"/>
    <tableColumn id="10" xr3:uid="{00000000-0010-0000-0300-00000A000000}" name="expected_std" dataDxfId="16"/>
    <tableColumn id="11" xr3:uid="{00000000-0010-0000-0300-00000B000000}" name="lower_bound" dataDxfId="15"/>
    <tableColumn id="12" xr3:uid="{00000000-0010-0000-0300-00000C000000}" name="upper_bound" dataDxfId="14"/>
    <tableColumn id="13" xr3:uid="{00000000-0010-0000-0300-00000D000000}" name="predicted_OK_NG" dataDxfId="13">
      <calculatedColumnFormula>IF(G3="","",IF(AND(G3&gt;=K3,G3&lt;=L3),"OK","NG"))</calculatedColumnFormula>
    </tableColumn>
    <tableColumn id="14" xr3:uid="{00000000-0010-0000-0300-00000E000000}" name="L1_correct" dataDxfId="12"/>
    <tableColumn id="15" xr3:uid="{00000000-0010-0000-0300-00000F000000}" name="deficit" dataDxfId="11">
      <calculatedColumnFormula>IF(G3="","",I3-G3)</calculatedColumnFormula>
    </tableColumn>
    <tableColumn id="16" xr3:uid="{00000000-0010-0000-0300-000010000000}" name="match_S1" dataDxfId="10">
      <calculatedColumnFormula>IF(G3="","",ABS(O3-Components!$C$2))</calculatedColumnFormula>
    </tableColumn>
    <tableColumn id="17" xr3:uid="{00000000-0010-0000-0300-000011000000}" name="match_S2" dataDxfId="9">
      <calculatedColumnFormula>IF(G3="","",ABS(O3-Components!$C$3))</calculatedColumnFormula>
    </tableColumn>
    <tableColumn id="18" xr3:uid="{00000000-0010-0000-0300-000012000000}" name="match_W1" dataDxfId="8">
      <calculatedColumnFormula>IF(G3="","",ABS(O3-Components!$C$4))</calculatedColumnFormula>
    </tableColumn>
    <tableColumn id="19" xr3:uid="{00000000-0010-0000-0300-000013000000}" name="match_W2" dataDxfId="7">
      <calculatedColumnFormula>IF(G3="","",ABS(O3-Components!$C$5))</calculatedColumnFormula>
    </tableColumn>
    <tableColumn id="20" xr3:uid="{00000000-0010-0000-0300-000014000000}" name="match_N1" dataDxfId="6">
      <calculatedColumnFormula>IF(G3="","",ABS(O3-Components!$C$6))</calculatedColumnFormula>
    </tableColumn>
    <tableColumn id="21" xr3:uid="{00000000-0010-0000-0300-000015000000}" name="match_N2" dataDxfId="5">
      <calculatedColumnFormula>IF(G3="","",ABS(O3-Components!$C$7))</calculatedColumnFormula>
    </tableColumn>
    <tableColumn id="22" xr3:uid="{00000000-0010-0000-0300-000016000000}" name="predicted_missing" dataDxfId="4"/>
    <tableColumn id="23" xr3:uid="{00000000-0010-0000-0300-000017000000}" name="L2_correct" dataDxfId="3">
      <calculatedColumnFormula>IF(G3="","",IF(V3=E3,1,0))</calculatedColumnFormula>
    </tableColumn>
    <tableColumn id="24" xr3:uid="{D3F706B6-F7A7-4978-9AE1-3B8C8EA15B26}" name="16 errores" dataDxfId="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13" displayName="Table13" ref="A2:X422" totalsRowShown="0">
  <autoFilter ref="A2:X422" xr:uid="{00000000-0009-0000-0100-000002000000}"/>
  <tableColumns count="24">
    <tableColumn id="1" xr3:uid="{00000000-0010-0000-0400-000001000000}" name="run_id"/>
    <tableColumn id="2" xr3:uid="{00000000-0010-0000-0400-000002000000}" name="execution_order"/>
    <tableColumn id="3" xr3:uid="{00000000-0010-0000-0400-000003000000}" name="recipe"/>
    <tableColumn id="4" xr3:uid="{00000000-0010-0000-0400-000004000000}" name="condition"/>
    <tableColumn id="5" xr3:uid="{00000000-0010-0000-0400-000005000000}" name="missing_component"/>
    <tableColumn id="6" xr3:uid="{00000000-0010-0000-0400-000006000000}" name="kit_id"/>
    <tableColumn id="7" xr3:uid="{00000000-0010-0000-0400-000007000000}" name="measured_weight_g"/>
    <tableColumn id="8" xr3:uid="{00000000-0010-0000-0400-000008000000}" name="timestamp"/>
    <tableColumn id="9" xr3:uid="{00000000-0010-0000-0400-000009000000}" name="notes"/>
    <tableColumn id="10" xr3:uid="{00000000-0010-0000-0400-00000A000000}" name="expected_weight"/>
    <tableColumn id="11" xr3:uid="{00000000-0010-0000-0400-00000B000000}" name="expected_std"/>
    <tableColumn id="12" xr3:uid="{00000000-0010-0000-0400-00000C000000}" name="lower_bound"/>
    <tableColumn id="13" xr3:uid="{00000000-0010-0000-0400-00000D000000}" name="upper_bound"/>
    <tableColumn id="14" xr3:uid="{00000000-0010-0000-0400-00000E000000}" name="predicted_OK_NG"/>
    <tableColumn id="15" xr3:uid="{00000000-0010-0000-0400-00000F000000}" name="L1_correct"/>
    <tableColumn id="16" xr3:uid="{00000000-0010-0000-0400-000010000000}" name="deficit"/>
    <tableColumn id="17" xr3:uid="{00000000-0010-0000-0400-000011000000}" name="match_S1"/>
    <tableColumn id="18" xr3:uid="{00000000-0010-0000-0400-000012000000}" name="match_S2"/>
    <tableColumn id="19" xr3:uid="{00000000-0010-0000-0400-000013000000}" name="match_W1"/>
    <tableColumn id="20" xr3:uid="{00000000-0010-0000-0400-000014000000}" name="match_W2"/>
    <tableColumn id="21" xr3:uid="{00000000-0010-0000-0400-000015000000}" name="match_N1"/>
    <tableColumn id="22" xr3:uid="{00000000-0010-0000-0400-000016000000}" name="match_N2"/>
    <tableColumn id="23" xr3:uid="{00000000-0010-0000-0400-000017000000}" name="predicted_missing"/>
    <tableColumn id="24" xr3:uid="{00000000-0010-0000-0400-000018000000}" name="L2_correct"/>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78" displayName="Table178" ref="A2:W422" totalsRowShown="0" dataDxfId="201">
  <autoFilter ref="A2:W422" xr:uid="{00000000-0009-0000-0100-000006000000}"/>
  <tableColumns count="23">
    <tableColumn id="1" xr3:uid="{00000000-0010-0000-0500-000001000000}" name="run_id" dataDxfId="200"/>
    <tableColumn id="2" xr3:uid="{00000000-0010-0000-0500-000002000000}" name="execution_order" dataDxfId="199"/>
    <tableColumn id="3" xr3:uid="{00000000-0010-0000-0500-000003000000}" name="recipe" dataDxfId="198"/>
    <tableColumn id="4" xr3:uid="{00000000-0010-0000-0500-000004000000}" name="condition" dataDxfId="197"/>
    <tableColumn id="5" xr3:uid="{00000000-0010-0000-0500-000005000000}" name="missing_component" dataDxfId="196"/>
    <tableColumn id="6" xr3:uid="{00000000-0010-0000-0500-000006000000}" name="measured_weight_g" dataDxfId="195"/>
    <tableColumn id="7" xr3:uid="{00000000-0010-0000-0500-000007000000}" name="measured_weight_w/PB" dataDxfId="194">
      <calculatedColumnFormula>0.97+F3</calculatedColumnFormula>
    </tableColumn>
    <tableColumn id="8" xr3:uid="{00000000-0010-0000-0500-000008000000}" name="notes" dataDxfId="193"/>
    <tableColumn id="9" xr3:uid="{00000000-0010-0000-0500-000009000000}" name="expected_weight" dataDxfId="192">
      <calculatedColumnFormula>VLOOKUP(C3,Recipes!$A$2:$N$4,10,FALSE())</calculatedColumnFormula>
    </tableColumn>
    <tableColumn id="10" xr3:uid="{00000000-0010-0000-0500-00000A000000}" name="expected_std" dataDxfId="191">
      <calculatedColumnFormula>VLOOKUP(C3,Recipes!$A$2:$N$4,12,FALSE())</calculatedColumnFormula>
    </tableColumn>
    <tableColumn id="11" xr3:uid="{00000000-0010-0000-0500-00000B000000}" name="lower_bound" dataDxfId="190">
      <calculatedColumnFormula>I3-3.5*J3</calculatedColumnFormula>
    </tableColumn>
    <tableColumn id="12" xr3:uid="{00000000-0010-0000-0500-00000C000000}" name="upper_bound" dataDxfId="189">
      <calculatedColumnFormula>I3+3.5*J3</calculatedColumnFormula>
    </tableColumn>
    <tableColumn id="13" xr3:uid="{00000000-0010-0000-0500-00000D000000}" name="predicted_OK_NG" dataDxfId="188">
      <calculatedColumnFormula>IF(G3="","",IF(AND(G3&gt;=K3,G3&lt;=L3),"OK","NG"))</calculatedColumnFormula>
    </tableColumn>
    <tableColumn id="14" xr3:uid="{00000000-0010-0000-0500-00000E000000}" name="L1_correct" dataDxfId="187">
      <calculatedColumnFormula>IF(M3="","",IF(M3=D3,1,0))</calculatedColumnFormula>
    </tableColumn>
    <tableColumn id="15" xr3:uid="{00000000-0010-0000-0500-00000F000000}" name="deficit" dataDxfId="186">
      <calculatedColumnFormula>IF(G3="","",I3-G3)</calculatedColumnFormula>
    </tableColumn>
    <tableColumn id="16" xr3:uid="{00000000-0010-0000-0500-000010000000}" name="match_S1" dataDxfId="185">
      <calculatedColumnFormula>IF(G3="","",ABS(O3-Components!$C$2))</calculatedColumnFormula>
    </tableColumn>
    <tableColumn id="17" xr3:uid="{00000000-0010-0000-0500-000011000000}" name="match_S2" dataDxfId="184">
      <calculatedColumnFormula>IF(G3="","",ABS(O3-Components!$C$3))</calculatedColumnFormula>
    </tableColumn>
    <tableColumn id="18" xr3:uid="{00000000-0010-0000-0500-000012000000}" name="match_W1" dataDxfId="183">
      <calculatedColumnFormula>IF(G3="","",ABS(O3-Components!$C$4))</calculatedColumnFormula>
    </tableColumn>
    <tableColumn id="19" xr3:uid="{00000000-0010-0000-0500-000013000000}" name="match_W2" dataDxfId="182">
      <calculatedColumnFormula>IF(G3="","",ABS(O3-Components!$C$5))</calculatedColumnFormula>
    </tableColumn>
    <tableColumn id="20" xr3:uid="{00000000-0010-0000-0500-000014000000}" name="match_N1" dataDxfId="181">
      <calculatedColumnFormula>IF(G3="","",ABS(O3-Components!$C$6))</calculatedColumnFormula>
    </tableColumn>
    <tableColumn id="21" xr3:uid="{00000000-0010-0000-0500-000015000000}" name="match_N2" dataDxfId="180">
      <calculatedColumnFormula>IF(G3="","",ABS(O3-Components!$C$7))</calculatedColumnFormula>
    </tableColumn>
    <tableColumn id="22" xr3:uid="{00000000-0010-0000-0500-000016000000}" name="predicted_missing" dataDxfId="179">
      <calculatedColumnFormula>IF(G3="","",IF(M3="OK","NONE",INDEX({"S1","S2","W1","W2","N1","N2"},MATCH(MIN(P3:U3),P3:U3,0))))</calculatedColumnFormula>
    </tableColumn>
    <tableColumn id="23" xr3:uid="{00000000-0010-0000-0500-000017000000}" name="L2_correct" dataDxfId="178">
      <calculatedColumnFormula>IF(G3="","",IF(V3=E3,1,0))</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17" displayName="Table17" ref="A2:X422" totalsRowShown="0" dataDxfId="177">
  <autoFilter ref="A2:X422" xr:uid="{00000000-0009-0000-0100-000005000000}"/>
  <tableColumns count="24">
    <tableColumn id="1" xr3:uid="{00000000-0010-0000-0600-000001000000}" name="run_id" dataDxfId="176"/>
    <tableColumn id="2" xr3:uid="{00000000-0010-0000-0600-000002000000}" name="execution_order" dataDxfId="175"/>
    <tableColumn id="3" xr3:uid="{00000000-0010-0000-0600-000003000000}" name="recipe" dataDxfId="174"/>
    <tableColumn id="4" xr3:uid="{00000000-0010-0000-0600-000004000000}" name="condition" dataDxfId="173"/>
    <tableColumn id="5" xr3:uid="{00000000-0010-0000-0600-000005000000}" name="missing_component" dataDxfId="172"/>
    <tableColumn id="6" xr3:uid="{00000000-0010-0000-0600-000006000000}" name="measured_weight_g" dataDxfId="171"/>
    <tableColumn id="7" xr3:uid="{00000000-0010-0000-0600-000007000000}" name="measured_weight_w/PB" dataDxfId="170">
      <calculatedColumnFormula>0.97+F3</calculatedColumnFormula>
    </tableColumn>
    <tableColumn id="8" xr3:uid="{00000000-0010-0000-0600-000008000000}" name="notes" dataDxfId="169"/>
    <tableColumn id="9" xr3:uid="{00000000-0010-0000-0600-000009000000}" name="expected_weight" dataDxfId="168"/>
    <tableColumn id="10" xr3:uid="{00000000-0010-0000-0600-00000A000000}" name="expected_std" dataDxfId="167"/>
    <tableColumn id="11" xr3:uid="{00000000-0010-0000-0600-00000B000000}" name="lower_bound" dataDxfId="166"/>
    <tableColumn id="12" xr3:uid="{00000000-0010-0000-0600-00000C000000}" name="upper_bound" dataDxfId="165">
      <calculatedColumnFormula>I3+6*J3</calculatedColumnFormula>
    </tableColumn>
    <tableColumn id="13" xr3:uid="{00000000-0010-0000-0600-00000D000000}" name="predicted_OK_NG" dataDxfId="164">
      <calculatedColumnFormula>IF(G3="","",IF(AND(G3&gt;=K3,G3&lt;=L3),"OK","NG"))</calculatedColumnFormula>
    </tableColumn>
    <tableColumn id="14" xr3:uid="{00000000-0010-0000-0600-00000E000000}" name="L1_correct" dataDxfId="163">
      <calculatedColumnFormula>IF(M3="","",IF(M3=D3,1,0))</calculatedColumnFormula>
    </tableColumn>
    <tableColumn id="15" xr3:uid="{00000000-0010-0000-0600-00000F000000}" name="deficit" dataDxfId="162">
      <calculatedColumnFormula>IF(G3="","",I3-G3)</calculatedColumnFormula>
    </tableColumn>
    <tableColumn id="16" xr3:uid="{00000000-0010-0000-0600-000010000000}" name="match_S1" dataDxfId="161">
      <calculatedColumnFormula>IF(G3="","",ABS(O3-Components!$C$2))</calculatedColumnFormula>
    </tableColumn>
    <tableColumn id="17" xr3:uid="{00000000-0010-0000-0600-000011000000}" name="match_S2" dataDxfId="160">
      <calculatedColumnFormula>IF(G3="","",ABS(O3-Components!$C$3))</calculatedColumnFormula>
    </tableColumn>
    <tableColumn id="18" xr3:uid="{00000000-0010-0000-0600-000012000000}" name="match_W1" dataDxfId="159">
      <calculatedColumnFormula>IF(G3="","",ABS(O3-Components!$C$4))</calculatedColumnFormula>
    </tableColumn>
    <tableColumn id="19" xr3:uid="{00000000-0010-0000-0600-000013000000}" name="match_W2" dataDxfId="158">
      <calculatedColumnFormula>IF(G3="","",ABS(O3-Components!$C$5))</calculatedColumnFormula>
    </tableColumn>
    <tableColumn id="20" xr3:uid="{00000000-0010-0000-0600-000014000000}" name="match_N1" dataDxfId="157">
      <calculatedColumnFormula>IF(G3="","",ABS(O3-Components!$C$6))</calculatedColumnFormula>
    </tableColumn>
    <tableColumn id="21" xr3:uid="{00000000-0010-0000-0600-000015000000}" name="match_N2" dataDxfId="156">
      <calculatedColumnFormula>IF(G3="","",ABS(O3-Components!$C$7))</calculatedColumnFormula>
    </tableColumn>
    <tableColumn id="22" xr3:uid="{00000000-0010-0000-0600-000016000000}" name="predicted_missing" dataDxfId="155">
      <calculatedColumnFormula>IF(G3="","",IF(M3="OK","NONE",INDEX({"S1","S2","W1","W2","N1","N2"},MATCH(MIN(P3:U3),P3:U3,0))))</calculatedColumnFormula>
    </tableColumn>
    <tableColumn id="23" xr3:uid="{00000000-0010-0000-0600-000017000000}" name="L2_correct" dataDxfId="154">
      <calculatedColumnFormula>IF(G3="","",IF(V3=E3,1,0))</calculatedColumnFormula>
    </tableColumn>
    <tableColumn id="24" xr3:uid="{BC4EF4C6-8B95-4B98-A949-012833495401}" name="14 errores" dataDxfId="15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able15" displayName="Table15" ref="A2:X422" totalsRowShown="0" dataDxfId="152">
  <autoFilter ref="A2:X422" xr:uid="{00000000-0009-0000-0100-000003000000}"/>
  <tableColumns count="24">
    <tableColumn id="1" xr3:uid="{00000000-0010-0000-0700-000001000000}" name="run_id" dataDxfId="151"/>
    <tableColumn id="2" xr3:uid="{00000000-0010-0000-0700-000002000000}" name="execution_order" dataDxfId="150"/>
    <tableColumn id="3" xr3:uid="{00000000-0010-0000-0700-000003000000}" name="recipe" dataDxfId="149"/>
    <tableColumn id="4" xr3:uid="{00000000-0010-0000-0700-000004000000}" name="condition" dataDxfId="148"/>
    <tableColumn id="5" xr3:uid="{00000000-0010-0000-0700-000005000000}" name="missing_component" dataDxfId="147"/>
    <tableColumn id="6" xr3:uid="{00000000-0010-0000-0700-000006000000}" name="measured_weight_g" dataDxfId="146"/>
    <tableColumn id="7" xr3:uid="{00000000-0010-0000-0700-000007000000}" name="measured_weight_w/PB" dataDxfId="145">
      <calculatedColumnFormula>0.97+F3</calculatedColumnFormula>
    </tableColumn>
    <tableColumn id="8" xr3:uid="{00000000-0010-0000-0700-000008000000}" name="notes" dataDxfId="144"/>
    <tableColumn id="9" xr3:uid="{00000000-0010-0000-0700-000009000000}" name="expected_weight" dataDxfId="143"/>
    <tableColumn id="10" xr3:uid="{00000000-0010-0000-0700-00000A000000}" name="expected_std" dataDxfId="142"/>
    <tableColumn id="11" xr3:uid="{00000000-0010-0000-0700-00000B000000}" name="lower_bound" dataDxfId="141"/>
    <tableColumn id="12" xr3:uid="{00000000-0010-0000-0700-00000C000000}" name="upper_bound" dataDxfId="140"/>
    <tableColumn id="13" xr3:uid="{00000000-0010-0000-0700-00000D000000}" name="predicted_OK_NG" dataDxfId="139">
      <calculatedColumnFormula>IF(G3="","",IF(AND(G3&gt;=K3,G3&lt;=L3),"OK","NG"))</calculatedColumnFormula>
    </tableColumn>
    <tableColumn id="14" xr3:uid="{00000000-0010-0000-0700-00000E000000}" name="L1_correct" dataDxfId="138">
      <calculatedColumnFormula>IF(M3="","",IF(M3=D3,1,0))</calculatedColumnFormula>
    </tableColumn>
    <tableColumn id="15" xr3:uid="{00000000-0010-0000-0700-00000F000000}" name="deficit" dataDxfId="137">
      <calculatedColumnFormula>IF(G3="","",I3-G3)</calculatedColumnFormula>
    </tableColumn>
    <tableColumn id="16" xr3:uid="{00000000-0010-0000-0700-000010000000}" name="match_S1" dataDxfId="136">
      <calculatedColumnFormula>IF(G3="","",ABS(O3-Components!$C$2)/Components!$D$2)</calculatedColumnFormula>
    </tableColumn>
    <tableColumn id="17" xr3:uid="{00000000-0010-0000-0700-000011000000}" name="match_S2" dataDxfId="135">
      <calculatedColumnFormula>IF(G3="","",ABS(O3-Components!$C$3)/Components!$D$3)</calculatedColumnFormula>
    </tableColumn>
    <tableColumn id="18" xr3:uid="{00000000-0010-0000-0700-000012000000}" name="match_W1" dataDxfId="134">
      <calculatedColumnFormula>IF(G3="","",ABS(O3-Components!$C$4)/Components!$D$4)</calculatedColumnFormula>
    </tableColumn>
    <tableColumn id="19" xr3:uid="{00000000-0010-0000-0700-000013000000}" name="match_W2" dataDxfId="133">
      <calculatedColumnFormula>IF(G3="","",ABS(O3-Components!$C$5)/Components!$D$5)</calculatedColumnFormula>
    </tableColumn>
    <tableColumn id="20" xr3:uid="{00000000-0010-0000-0700-000014000000}" name="match_N1" dataDxfId="132">
      <calculatedColumnFormula>IF(G3="","",ABS(O3-Components!$C$6)/Components!$D$6)</calculatedColumnFormula>
    </tableColumn>
    <tableColumn id="21" xr3:uid="{00000000-0010-0000-0700-000015000000}" name="match_N2" dataDxfId="131">
      <calculatedColumnFormula>IF(G3="","",ABS(O3-Components!$C$7)/Components!$D$7)</calculatedColumnFormula>
    </tableColumn>
    <tableColumn id="22" xr3:uid="{00000000-0010-0000-0700-000016000000}" name="predicted_missing" dataDxfId="130">
      <calculatedColumnFormula>IF(G3="","",IF(M3="OK","NONE",INDEX({"S1","S2","W1","W2","N1","N2"},MATCH(MIN(P3:U3),P3:U3,0))))</calculatedColumnFormula>
    </tableColumn>
    <tableColumn id="23" xr3:uid="{00000000-0010-0000-0700-000017000000}" name="L2_correct" dataDxfId="129">
      <calculatedColumnFormula>IF(G3="","",IF(V3=E3,1,0))</calculatedColumnFormula>
    </tableColumn>
    <tableColumn id="24" xr3:uid="{1EBF0C2C-767B-4499-ABCF-24F0F4BA45E4}" name="22 errores" dataDxfId="12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ABE432-E214-43E8-8B38-55F364FAFF79}" name="Table151314" displayName="Table151314" ref="A2:X422" totalsRowShown="0" dataDxfId="127">
  <autoFilter ref="A2:X422" xr:uid="{00000000-0009-0000-0100-000003000000}"/>
  <tableColumns count="24">
    <tableColumn id="1" xr3:uid="{F2B23989-7015-4475-A4D3-4981AAB9B18D}" name="run_id" dataDxfId="126"/>
    <tableColumn id="2" xr3:uid="{C06B5F1F-3AF0-40C7-9315-9D566E873388}" name="execution_order" dataDxfId="125"/>
    <tableColumn id="3" xr3:uid="{B4982B15-615F-4A67-85D4-689B1183AC55}" name="recipe" dataDxfId="124"/>
    <tableColumn id="4" xr3:uid="{3A92E343-C0DB-4FAF-BC41-BE38CE24C4D5}" name="condition" dataDxfId="123"/>
    <tableColumn id="5" xr3:uid="{B365F9B1-91F6-42ED-9F43-343DC262ADBD}" name="missing_component" dataDxfId="122"/>
    <tableColumn id="6" xr3:uid="{5EC41D11-1446-4062-AA7E-97D7F2021C97}" name="measured_weight_g" dataDxfId="121"/>
    <tableColumn id="7" xr3:uid="{1DE6CDF8-1F44-46CF-BA23-EAFAFF6294A5}" name="measured_weight_w/PB" dataDxfId="120">
      <calculatedColumnFormula>0.97+F3</calculatedColumnFormula>
    </tableColumn>
    <tableColumn id="8" xr3:uid="{B340AF62-65F3-4B53-BA33-6A68FE6E638A}" name="notes" dataDxfId="119"/>
    <tableColumn id="9" xr3:uid="{485EFD00-9948-4561-984B-AA6FEA355F07}" name="expected_weight" dataDxfId="118"/>
    <tableColumn id="10" xr3:uid="{ABFA5304-705E-41EB-8197-D8934EFD19E9}" name="expected_std" dataDxfId="117">
      <calculatedColumnFormula>VLOOKUP(C3,Recipes!$A$2:$N$4,12,FALSE())</calculatedColumnFormula>
    </tableColumn>
    <tableColumn id="11" xr3:uid="{2C70FCDE-093E-4C09-B8C3-40B9AD75E20A}" name="lower_bound" dataDxfId="116">
      <calculatedColumnFormula>I3-3.5*J3</calculatedColumnFormula>
    </tableColumn>
    <tableColumn id="12" xr3:uid="{54D32E05-40DF-4DE5-92CF-CDABEC3657CC}" name="upper_bound" dataDxfId="115">
      <calculatedColumnFormula>I3+3.5*J3</calculatedColumnFormula>
    </tableColumn>
    <tableColumn id="13" xr3:uid="{C4FB7607-6CE8-49F8-BC65-C0F6AAAB84E4}" name="predicted_OK_NG" dataDxfId="114">
      <calculatedColumnFormula>IF(G3="","",IF(AND(G3&gt;=K3,G3&lt;=L3),"OK","NG"))</calculatedColumnFormula>
    </tableColumn>
    <tableColumn id="14" xr3:uid="{0396A5A9-A26B-47E3-A9D7-9A954700D54F}" name="L1_correct" dataDxfId="113">
      <calculatedColumnFormula>IF(M3="","",IF(M3=D3,1,0))</calculatedColumnFormula>
    </tableColumn>
    <tableColumn id="15" xr3:uid="{2119ECE6-C249-4CBB-AEE3-598466017983}" name="deficit" dataDxfId="112">
      <calculatedColumnFormula>IF(G3="","",I3-G3)</calculatedColumnFormula>
    </tableColumn>
    <tableColumn id="16" xr3:uid="{D6F0B9B2-7A34-4F82-B339-924990D7EA42}" name="match_S1" dataDxfId="111">
      <calculatedColumnFormula>IF(G3="","",ABS(O3-Components!$C$2)/Components!$D$2)</calculatedColumnFormula>
    </tableColumn>
    <tableColumn id="17" xr3:uid="{9D989DA2-D5AD-45DE-8A03-8974648467A6}" name="match_S2" dataDxfId="110">
      <calculatedColumnFormula>IF(G3="","",ABS(O3-Components!$C$3)/Components!$D$3)</calculatedColumnFormula>
    </tableColumn>
    <tableColumn id="18" xr3:uid="{92E089EB-7C78-49CB-8A3A-9A43705CCC6D}" name="match_W1" dataDxfId="109">
      <calculatedColumnFormula>IF(G3="","",ABS(O3-Components!$C$4)/Components!$D$4)</calculatedColumnFormula>
    </tableColumn>
    <tableColumn id="19" xr3:uid="{85CE5F8C-F48A-4320-A112-32C6CEB661EB}" name="match_W2" dataDxfId="108">
      <calculatedColumnFormula>IF(G3="","",ABS(O3-Components!$C$5)/Components!$D$5)</calculatedColumnFormula>
    </tableColumn>
    <tableColumn id="20" xr3:uid="{39DA66EB-F63A-4357-8EDE-B5C59381C969}" name="match_N1" dataDxfId="107">
      <calculatedColumnFormula>IF(G3="","",ABS(O3-Components!$C$6)/Components!$D$6)</calculatedColumnFormula>
    </tableColumn>
    <tableColumn id="21" xr3:uid="{B0DBEF4F-7786-4EA0-953C-C193593E1DCE}" name="match_N2" dataDxfId="106">
      <calculatedColumnFormula>IF(G3="","",ABS(O3-Components!$C$7)/Components!$D$7)</calculatedColumnFormula>
    </tableColumn>
    <tableColumn id="22" xr3:uid="{9F3A7921-7429-4A6F-B66A-6CFF876D3403}" name="predicted_missing" dataDxfId="105">
      <calculatedColumnFormula>IF(G3="","",IF(M3="OK","NONE",INDEX({"S1","S2","W1","W2","N1","N2"},MATCH(MIN(P3:U3),P3:U3,0))))</calculatedColumnFormula>
    </tableColumn>
    <tableColumn id="23" xr3:uid="{2FAEE526-3699-49CB-87AE-BA3C691444E7}" name="L2_correct" dataDxfId="104">
      <calculatedColumnFormula>IF(G3="","",IF(V3=E3,1,0))</calculatedColumnFormula>
    </tableColumn>
    <tableColumn id="24" xr3:uid="{24A210F6-82CC-4BCA-A96E-C5500836922C}" name="22 errores" dataDxfId="10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DB77942-C182-4379-BF77-3499936E19D9}" name="Table1513" displayName="Table1513" ref="A2:X422" totalsRowShown="0" dataDxfId="102">
  <autoFilter ref="A2:X422" xr:uid="{00000000-0009-0000-0100-000003000000}"/>
  <tableColumns count="24">
    <tableColumn id="1" xr3:uid="{6DDDBD57-D0EF-44EA-A6ED-18F69DD251F0}" name="run_id" dataDxfId="101"/>
    <tableColumn id="2" xr3:uid="{89D0B648-482C-4345-A196-F2460417D2D5}" name="execution_order" dataDxfId="100"/>
    <tableColumn id="3" xr3:uid="{584C269E-A3D8-4FB6-804D-D78203E4B535}" name="recipe" dataDxfId="99"/>
    <tableColumn id="4" xr3:uid="{114B9208-8BD0-4D5F-B363-61919F25D9C1}" name="condition" dataDxfId="98"/>
    <tableColumn id="5" xr3:uid="{4CFE564A-768C-41BB-9BFA-977E5531DD96}" name="missing_component" dataDxfId="97"/>
    <tableColumn id="6" xr3:uid="{4E23FFEB-88FE-4DB5-BCA9-361B15B1151B}" name="measured_weight_g" dataDxfId="96"/>
    <tableColumn id="7" xr3:uid="{FB678CE2-5E61-42E4-A5D0-F01F62474C27}" name="measured_weight_w/PB" dataDxfId="95">
      <calculatedColumnFormula>0.97+F3</calculatedColumnFormula>
    </tableColumn>
    <tableColumn id="8" xr3:uid="{662C8F31-4EA4-496D-AB0A-10FF33F01C3F}" name="notes" dataDxfId="94"/>
    <tableColumn id="9" xr3:uid="{CD988BFC-B069-401E-9800-C95AB7C6D678}" name="expected_weight" dataDxfId="93"/>
    <tableColumn id="10" xr3:uid="{D9BF6A38-31AD-47DB-AA39-7A26D8EC5CB9}" name="expected_std" dataDxfId="92">
      <calculatedColumnFormula>VLOOKUP(C3,Recipes!$A$2:$N$4,12,FALSE())</calculatedColumnFormula>
    </tableColumn>
    <tableColumn id="11" xr3:uid="{35D4BD80-34A8-45E5-A6C6-A17FF4946B03}" name="lower_bound" dataDxfId="91">
      <calculatedColumnFormula>I3-6*J3</calculatedColumnFormula>
    </tableColumn>
    <tableColumn id="12" xr3:uid="{C9E4BD1F-F6C1-4C80-9767-01E48BBD2106}" name="upper_bound" dataDxfId="90">
      <calculatedColumnFormula>I3+6*J3</calculatedColumnFormula>
    </tableColumn>
    <tableColumn id="13" xr3:uid="{22846EA8-43A1-44AE-966F-27112758629B}" name="predicted_OK_NG" dataDxfId="89">
      <calculatedColumnFormula>IF(G3="","",IF(AND(G3&gt;=K3,G3&lt;=L3),"OK","NG"))</calculatedColumnFormula>
    </tableColumn>
    <tableColumn id="14" xr3:uid="{CB76CD5A-B078-43E9-B0B3-A18D3071229A}" name="L1_correct" dataDxfId="88">
      <calculatedColumnFormula>IF(M3="","",IF(M3=D3,1,0))</calculatedColumnFormula>
    </tableColumn>
    <tableColumn id="15" xr3:uid="{FC1F7DD4-77C4-45AF-BB38-8D063B8F5D0C}" name="deficit" dataDxfId="87">
      <calculatedColumnFormula>IF(G3="","",I3-G3)</calculatedColumnFormula>
    </tableColumn>
    <tableColumn id="16" xr3:uid="{0024B353-24B6-456B-AE84-7DA6E8D91E66}" name="match_S1" dataDxfId="86">
      <calculatedColumnFormula>IF(G3="","",ABS(O3-Components!$C$2)/Components!$D$2)</calculatedColumnFormula>
    </tableColumn>
    <tableColumn id="17" xr3:uid="{0C220CFA-6B82-4574-A3AE-567ABF012D14}" name="match_S2" dataDxfId="85">
      <calculatedColumnFormula>IF(G3="","",ABS(O3-Components!$C$3)/Components!$D$3)</calculatedColumnFormula>
    </tableColumn>
    <tableColumn id="18" xr3:uid="{2CE04C4A-FD20-4A90-A9F8-B931B3A72057}" name="match_W1" dataDxfId="84">
      <calculatedColumnFormula>IF(G3="","",ABS(O3-Components!$C$4)/Components!$D$4)</calculatedColumnFormula>
    </tableColumn>
    <tableColumn id="19" xr3:uid="{57718E69-FA59-4CBE-9293-9E80CD584854}" name="match_W2" dataDxfId="83">
      <calculatedColumnFormula>IF(G3="","",ABS(O3-Components!$C$5)/Components!$D$5)</calculatedColumnFormula>
    </tableColumn>
    <tableColumn id="20" xr3:uid="{A2A52AE0-2620-4E31-B612-B014766671B8}" name="match_N1" dataDxfId="82">
      <calculatedColumnFormula>IF(G3="","",ABS(O3-Components!$C$6)/Components!$D$6)</calculatedColumnFormula>
    </tableColumn>
    <tableColumn id="21" xr3:uid="{81761EBC-2330-4834-9387-4D35E335308A}" name="match_N2" dataDxfId="81">
      <calculatedColumnFormula>IF(G3="","",ABS(O3-Components!$C$7)/Components!$D$7)</calculatedColumnFormula>
    </tableColumn>
    <tableColumn id="22" xr3:uid="{3019C8CF-72B3-4BDE-AC20-5DE69DC47AF8}" name="predicted_missing" dataDxfId="80">
      <calculatedColumnFormula>IF(G3="","",IF(M3="OK","NONE",INDEX({"S1","S2","W1","W2","N1","N2"},MATCH(MIN(P3:U3),P3:U3,0))))</calculatedColumnFormula>
    </tableColumn>
    <tableColumn id="23" xr3:uid="{85C777AE-9BB1-4DBA-9273-E7F007F1930D}" name="L2_correct" dataDxfId="79">
      <calculatedColumnFormula>IF(G3="","",IF(V3=E3,1,0))</calculatedColumnFormula>
    </tableColumn>
    <tableColumn id="24" xr3:uid="{153696EF-131F-42BA-A068-9B04621E084B}" name="22 errores" dataDxfId="7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14:X434" totalsRowShown="0" dataDxfId="77">
  <autoFilter ref="A14:X434" xr:uid="{00000000-0009-0000-0100-00000A000000}"/>
  <tableColumns count="24">
    <tableColumn id="1" xr3:uid="{00000000-0010-0000-0900-000001000000}" name="run_id" dataDxfId="76"/>
    <tableColumn id="2" xr3:uid="{00000000-0010-0000-0900-000002000000}" name="execution_order" dataDxfId="75"/>
    <tableColumn id="3" xr3:uid="{00000000-0010-0000-0900-000003000000}" name="recipe" dataDxfId="74"/>
    <tableColumn id="4" xr3:uid="{00000000-0010-0000-0900-000004000000}" name="condition" dataDxfId="73"/>
    <tableColumn id="5" xr3:uid="{00000000-0010-0000-0900-000005000000}" name="missing_component" dataDxfId="72"/>
    <tableColumn id="6" xr3:uid="{00000000-0010-0000-0900-000006000000}" name="measured_weight_g" dataDxfId="71"/>
    <tableColumn id="24" xr3:uid="{BC8317E1-FA4D-41C6-93C1-7E4D704F0E86}" name="measured_weight_w/PB" dataDxfId="70">
      <calculatedColumnFormula>0.97+F15</calculatedColumnFormula>
    </tableColumn>
    <tableColumn id="7" xr3:uid="{00000000-0010-0000-0900-000007000000}" name="expected_weight" dataDxfId="69">
      <calculatedColumnFormula>VLOOKUP(C15,Recipes!$A$2:$N$4,10,FALSE())</calculatedColumnFormula>
    </tableColumn>
    <tableColumn id="8" xr3:uid="{00000000-0010-0000-0900-000008000000}" name="expected_std" dataDxfId="68">
      <calculatedColumnFormula>VLOOKUP(C15,Recipes!$A$2:$N$4,12,FALSE())</calculatedColumnFormula>
    </tableColumn>
    <tableColumn id="9" xr3:uid="{00000000-0010-0000-0900-000009000000}" name="D1²_raw" dataDxfId="67">
      <calculatedColumnFormula>IF(G15="","",((G15-H15)/I15)^2)</calculatedColumnFormula>
    </tableColumn>
    <tableColumn id="10" xr3:uid="{00000000-0010-0000-0900-00000A000000}" name="D²_corregido" dataDxfId="66">
      <calculatedColumnFormula>IF(G15="","",MAX(0, J15-$B$12))</calculatedColumnFormula>
    </tableColumn>
    <tableColumn id="11" xr3:uid="{00000000-0010-0000-0900-00000B000000}" name="D_corregido" dataDxfId="65">
      <calculatedColumnFormula>IF(G15="","",SQRT(K15))</calculatedColumnFormula>
    </tableColumn>
    <tableColumn id="12" xr3:uid="{00000000-0010-0000-0900-00000C000000}" name="predicted_OK_NG" dataDxfId="64">
      <calculatedColumnFormula>IF(G15="","",IF(K15&lt;=$B$10,"OK","NG"))</calculatedColumnFormula>
    </tableColumn>
    <tableColumn id="13" xr3:uid="{00000000-0010-0000-0900-00000D000000}" name="L1_correct" dataDxfId="63">
      <calculatedColumnFormula>IF(M15="","",IF(M15=D15,1,0))</calculatedColumnFormula>
    </tableColumn>
    <tableColumn id="14" xr3:uid="{00000000-0010-0000-0900-00000E000000}" name="deficit" dataDxfId="62">
      <calculatedColumnFormula>IF(G15="","",H15-G15)</calculatedColumnFormula>
    </tableColumn>
    <tableColumn id="15" xr3:uid="{00000000-0010-0000-0900-00000F000000}" name="match_S1" dataDxfId="61">
      <calculatedColumnFormula>IF(G15="","",ABS(O15-Components!$C$2))</calculatedColumnFormula>
    </tableColumn>
    <tableColumn id="16" xr3:uid="{00000000-0010-0000-0900-000010000000}" name="match_S2" dataDxfId="60">
      <calculatedColumnFormula>IF(G15="","",ABS(O15-Components!$C$3))</calculatedColumnFormula>
    </tableColumn>
    <tableColumn id="17" xr3:uid="{00000000-0010-0000-0900-000011000000}" name="match_W1" dataDxfId="59">
      <calculatedColumnFormula>IF(G15="","",ABS(O15-Components!$C$4))</calculatedColumnFormula>
    </tableColumn>
    <tableColumn id="18" xr3:uid="{00000000-0010-0000-0900-000012000000}" name="match_W2" dataDxfId="58">
      <calculatedColumnFormula>IF(G15="","",ABS(O15-Components!$C$5))</calculatedColumnFormula>
    </tableColumn>
    <tableColumn id="19" xr3:uid="{00000000-0010-0000-0900-000013000000}" name="match_N1" dataDxfId="57">
      <calculatedColumnFormula>IF(G15="","",ABS(O15-Components!$C$6))</calculatedColumnFormula>
    </tableColumn>
    <tableColumn id="20" xr3:uid="{00000000-0010-0000-0900-000014000000}" name="match_N2" dataDxfId="56">
      <calculatedColumnFormula>IF(G15="","",ABS(O15-Components!$C$7))</calculatedColumnFormula>
    </tableColumn>
    <tableColumn id="21" xr3:uid="{00000000-0010-0000-0900-000015000000}" name="predicted_missing" dataDxfId="55">
      <calculatedColumnFormula>IF(G15="","",IF(M15="OK","NONE",INDEX({"S1","S2","W1","W2","N1","N2"},MATCH(MIN(P15:U15),P15:U15,0))))</calculatedColumnFormula>
    </tableColumn>
    <tableColumn id="22" xr3:uid="{00000000-0010-0000-0900-000016000000}" name="L2_correct" dataDxfId="54">
      <calculatedColumnFormula>IF(G15="","",IF(V15=E15,1,0))</calculatedColumnFormula>
    </tableColumn>
    <tableColumn id="25" xr3:uid="{FE6FFEE9-9C59-4FC6-84BC-1F6FCF97DD6C}" name="16 Errores" dataDxfId="5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9:Y429" totalsRowShown="0" dataDxfId="52">
  <autoFilter ref="A9:Y429" xr:uid="{00000000-0009-0000-0100-00000B000000}"/>
  <tableColumns count="25">
    <tableColumn id="1" xr3:uid="{00000000-0010-0000-0A00-000001000000}" name="run_id" dataDxfId="51"/>
    <tableColumn id="2" xr3:uid="{00000000-0010-0000-0A00-000002000000}" name="execution_order" dataDxfId="50"/>
    <tableColumn id="3" xr3:uid="{00000000-0010-0000-0A00-000003000000}" name="recipe" dataDxfId="49"/>
    <tableColumn id="4" xr3:uid="{00000000-0010-0000-0A00-000004000000}" name="condition" dataDxfId="48"/>
    <tableColumn id="5" xr3:uid="{00000000-0010-0000-0A00-000005000000}" name="missing_component" dataDxfId="47"/>
    <tableColumn id="6" xr3:uid="{00000000-0010-0000-0A00-000006000000}" name="measured_weight_g" dataDxfId="46"/>
    <tableColumn id="24" xr3:uid="{314FDE30-3A94-409E-B5AA-4E66FBEE68EB}" name="measured_weight_w/PB" dataDxfId="45">
      <calculatedColumnFormula>0.97+F10</calculatedColumnFormula>
    </tableColumn>
    <tableColumn id="7" xr3:uid="{00000000-0010-0000-0A00-000007000000}" name="expected_weight" dataDxfId="44">
      <calculatedColumnFormula>VLOOKUP(C10,Recipes!$A$2:$N$4,10,FALSE())</calculatedColumnFormula>
    </tableColumn>
    <tableColumn id="8" xr3:uid="{00000000-0010-0000-0A00-000008000000}" name="expected_std" dataDxfId="43">
      <calculatedColumnFormula>VLOOKUP(C10,Recipes!$A$2:$N$4,12,FALSE())</calculatedColumnFormula>
    </tableColumn>
    <tableColumn id="9" xr3:uid="{00000000-0010-0000-0A00-000009000000}" name="deficit" dataDxfId="42">
      <calculatedColumnFormula>IF(G10="","",H10-G10)</calculatedColumnFormula>
    </tableColumn>
    <tableColumn id="10" xr3:uid="{00000000-0010-0000-0A00-00000A000000}" name="L_S1" dataDxfId="41">
      <calculatedColumnFormula>IF(G10="","",-0.5*((J10-Components!$C$2)/Components!$D$2)^2)</calculatedColumnFormula>
    </tableColumn>
    <tableColumn id="11" xr3:uid="{00000000-0010-0000-0A00-00000B000000}" name="L_S2" dataDxfId="40">
      <calculatedColumnFormula>IF(G10="","",-0.5*((J10-Components!$C$3)/Components!$D$3)^2)</calculatedColumnFormula>
    </tableColumn>
    <tableColumn id="12" xr3:uid="{00000000-0010-0000-0A00-00000C000000}" name="L_W1" dataDxfId="39">
      <calculatedColumnFormula>IF(G10="","",-0.5*((J10-Components!$C$4)/Components!$D$4)^2)</calculatedColumnFormula>
    </tableColumn>
    <tableColumn id="13" xr3:uid="{00000000-0010-0000-0A00-00000D000000}" name="L_W2" dataDxfId="38">
      <calculatedColumnFormula>IF(G10="","",-0.5*((J10-Components!$C$5)/Components!$D$5)^2)</calculatedColumnFormula>
    </tableColumn>
    <tableColumn id="14" xr3:uid="{00000000-0010-0000-0A00-00000E000000}" name="L_N1" dataDxfId="37">
      <calculatedColumnFormula>IF(G10="","",-0.5*((J10-Components!$C$6)/Components!$D$6)^2)</calculatedColumnFormula>
    </tableColumn>
    <tableColumn id="15" xr3:uid="{00000000-0010-0000-0A00-00000F000000}" name="L_N2" dataDxfId="36">
      <calculatedColumnFormula>IF(G10="","",-0.5*((J10-Components!$C$7)/Components!$D$7)^2)</calculatedColumnFormula>
    </tableColumn>
    <tableColumn id="16" xr3:uid="{00000000-0010-0000-0A00-000010000000}" name="P_top1" dataDxfId="35">
      <calculatedColumnFormula>IF(G10="","",EXP(LARGE(K10:P10,1)-MAX(K10:P10))/(EXP(K10-MAX(K10:P10))+EXP(L10-MAX(K10:P10))+EXP(M10-MAX(K10:P10))+EXP(N10-MAX(K10:P10))+EXP(O10-MAX(K10:P10))+EXP(P10-MAX(K10:P10))))</calculatedColumnFormula>
    </tableColumn>
    <tableColumn id="17" xr3:uid="{00000000-0010-0000-0A00-000011000000}" name="P_top2" dataDxfId="34">
      <calculatedColumnFormula>IF(G10="","",EXP(LARGE(K10:P10,2)-MAX(K10:P10))/(EXP(K10-MAX(K10:P10))+EXP(L10-MAX(K10:P10))+EXP(M10-MAX(K10:P10))+EXP(N10-MAX(K10:P10))+EXP(O10-MAX(K10:P10))+EXP(P10-MAX(K10:P10))))</calculatedColumnFormula>
    </tableColumn>
    <tableColumn id="18" xr3:uid="{00000000-0010-0000-0A00-000012000000}" name="margen" dataDxfId="33">
      <calculatedColumnFormula>IF(G10="","",Q10-R10)</calculatedColumnFormula>
    </tableColumn>
    <tableColumn id="19" xr3:uid="{00000000-0010-0000-0A00-000013000000}" name="predicted_OK_NG" dataDxfId="32">
      <calculatedColumnFormula>IF(G10="","",IF(AND(G10&gt;=H10-$B$6*I10,G10&lt;=H10+$B$6*I10),"OK","NG"))</calculatedColumnFormula>
    </tableColumn>
    <tableColumn id="20" xr3:uid="{00000000-0010-0000-0A00-000014000000}" name="L1_correct" dataDxfId="31">
      <calculatedColumnFormula>IF(T10="","",IF(T10=D10,1,0))</calculatedColumnFormula>
    </tableColumn>
    <tableColumn id="21" xr3:uid="{00000000-0010-0000-0A00-000015000000}" name="predicted_missing" dataDxfId="30">
      <calculatedColumnFormula>IF(G10="","",IF(T10="OK","NONE",INDEX({"S1","S2","W1","W2","N1","N2"},MATCH(MAX(K10:P10),K10:P10,0))))</calculatedColumnFormula>
    </tableColumn>
    <tableColumn id="22" xr3:uid="{00000000-0010-0000-0A00-000016000000}" name="L2_correct" dataDxfId="29">
      <calculatedColumnFormula>IF(G10="","",IF(V10=E10,1,0))</calculatedColumnFormula>
    </tableColumn>
    <tableColumn id="23" xr3:uid="{00000000-0010-0000-0A00-000017000000}" name="ambiguous" dataDxfId="28">
      <calculatedColumnFormula>IF(G10="","",IF(AND(T10="NG",S10&lt;$B$7),"AMBIGUOUS","CONFIDENT"))</calculatedColumnFormula>
    </tableColumn>
    <tableColumn id="25" xr3:uid="{7512B904-9F94-4982-8398-5D545E18463B}" name="24 errores" dataDxfId="27"/>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3AEC39A-D3B2-45ED-BCBC-D53FC014C09E}" name="Table14" displayName="Table14" ref="A27:H35" totalsRowShown="0" headerRowDxfId="250" dataDxfId="249" tableBorderDxfId="248" dataCellStyle="Percent">
  <autoFilter ref="A27:H35" xr:uid="{D3AEC39A-D3B2-45ED-BCBC-D53FC014C09E}"/>
  <sortState xmlns:xlrd2="http://schemas.microsoft.com/office/spreadsheetml/2017/richdata2" ref="A28:H35">
    <sortCondition descending="1" ref="H27:H35"/>
  </sortState>
  <tableColumns count="8">
    <tableColumn id="1" xr3:uid="{7AA486E8-43E6-4EB3-A875-E8C4450F9C1E}" name="Método" dataDxfId="247"/>
    <tableColumn id="2" xr3:uid="{ECEA5185-F878-4942-8BB3-5076036D0140}" name="S1" dataDxfId="246" dataCellStyle="Percent"/>
    <tableColumn id="3" xr3:uid="{3C7115E5-7E95-43F0-A499-CAEB40188E42}" name="S2" dataDxfId="245" dataCellStyle="Percent"/>
    <tableColumn id="4" xr3:uid="{26D89B48-79FA-4C46-8787-31ECF55861EA}" name="W1" dataDxfId="244" dataCellStyle="Percent"/>
    <tableColumn id="5" xr3:uid="{6586D33E-10FB-4687-9EDD-360B7DF19E6A}" name="W2" dataDxfId="243" dataCellStyle="Percent"/>
    <tableColumn id="6" xr3:uid="{8EB3A80E-962C-4A3D-962C-BD91A4E3DC13}" name="N1" dataDxfId="242" dataCellStyle="Percent"/>
    <tableColumn id="7" xr3:uid="{116909A3-0717-433A-BC2D-B18D1B2E54D3}" name="N2" dataDxfId="241" dataCellStyle="Percent"/>
    <tableColumn id="8" xr3:uid="{1139A003-1459-4609-A3C2-FF53FD151BAB}" name="Total" dataDxfId="240">
      <calculatedColumnFormula>AVERAGE(B28:G28)</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D5D7000-917A-41EE-949E-80F7A57F5981}" name="Table16" displayName="Table16" ref="A16:E24" totalsRowShown="0" headerRowDxfId="239" headerRowBorderDxfId="238" tableBorderDxfId="237">
  <autoFilter ref="A16:E24" xr:uid="{4D5D7000-917A-41EE-949E-80F7A57F5981}"/>
  <tableColumns count="5">
    <tableColumn id="1" xr3:uid="{0C9499C3-BD6A-4771-B840-78C0482BDED3}" name="Método" dataDxfId="236"/>
    <tableColumn id="2" xr3:uid="{D413F628-135C-4CB8-A3E5-74A5EB221E9A}" name="R3" dataDxfId="235" dataCellStyle="Percent"/>
    <tableColumn id="3" xr3:uid="{CB5933C3-9F66-4E63-B513-4E372DC615C6}" name="R4" dataDxfId="234" dataCellStyle="Percent"/>
    <tableColumn id="4" xr3:uid="{17C6C79A-5EA7-4FEB-9737-E5E9F1D5C020}" name="R6" dataDxfId="233" dataCellStyle="Percent"/>
    <tableColumn id="5" xr3:uid="{77E2CCD4-81E1-4AFA-A3F9-E79E080BF3C1}" name="Global" dataDxfId="232" dataCellStyle="Percen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D5295B-95B3-4766-A946-D81F88C9356F}" name="Table18" displayName="Table18" ref="A5:H13" totalsRowShown="0" headerRowDxfId="231" dataDxfId="229" headerRowBorderDxfId="230" tableBorderDxfId="228" totalsRowBorderDxfId="227">
  <autoFilter ref="A5:H13" xr:uid="{9ED5295B-95B3-4766-A946-D81F88C9356F}"/>
  <tableColumns count="8">
    <tableColumn id="1" xr3:uid="{DF2C960D-17AD-40A8-B3FC-C09A5B6FC44E}" name="Método" dataDxfId="226"/>
    <tableColumn id="2" xr3:uid="{C1570A71-A146-469D-A140-AEE08D8B41EB}" name="N" dataDxfId="225"/>
    <tableColumn id="3" xr3:uid="{FEEE8A49-9684-4005-8FA5-5B3B4802DA73}" name="L1 Accuracy" dataDxfId="224"/>
    <tableColumn id="4" xr3:uid="{CC01005C-1AED-4B20-B175-1AEA6B782BC2}" name="L2 Accuracy" dataDxfId="223"/>
    <tableColumn id="5" xr3:uid="{0A7893B6-8411-4A65-9BE1-D893CEC9A214}" name="FN" dataDxfId="222"/>
    <tableColumn id="6" xr3:uid="{9CF3AD0F-BADB-43F8-AD40-D4697C2366F6}" name="FP" dataDxfId="221"/>
    <tableColumn id="7" xr3:uid="{046FF49F-ADBB-4F1F-BA52-98CA2A40B736}" name="TN" dataDxfId="220"/>
    <tableColumn id="8" xr3:uid="{07177957-2DF2-4138-842A-CE1B8CBAEBC2}" name="TP" dataDxfId="2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26"/>
  <sheetViews>
    <sheetView zoomScaleNormal="100" workbookViewId="0"/>
  </sheetViews>
  <sheetFormatPr defaultColWidth="8.7109375" defaultRowHeight="15"/>
  <cols>
    <col min="1" max="1" width="5" customWidth="1"/>
    <col min="2" max="2" width="26" customWidth="1"/>
    <col min="3" max="3" width="32" customWidth="1"/>
    <col min="4" max="4" width="50" customWidth="1"/>
  </cols>
  <sheetData>
    <row r="1" spans="1:4" ht="23.25" customHeight="1">
      <c r="A1" s="3" t="s">
        <v>0</v>
      </c>
    </row>
    <row r="2" spans="1:4">
      <c r="A2" s="4" t="s">
        <v>1</v>
      </c>
    </row>
    <row r="4" spans="1:4">
      <c r="A4" s="5" t="s">
        <v>2</v>
      </c>
    </row>
    <row r="5" spans="1:4" ht="25.5" customHeight="1">
      <c r="A5" s="6" t="s">
        <v>3</v>
      </c>
      <c r="B5" s="6" t="s">
        <v>4</v>
      </c>
      <c r="C5" s="6" t="s">
        <v>5</v>
      </c>
      <c r="D5" s="6" t="s">
        <v>6</v>
      </c>
    </row>
    <row r="6" spans="1:4">
      <c r="A6" s="7" t="s">
        <v>7</v>
      </c>
      <c r="B6" s="8" t="s">
        <v>8</v>
      </c>
      <c r="C6" s="8" t="s">
        <v>9</v>
      </c>
      <c r="D6" s="9" t="s">
        <v>10</v>
      </c>
    </row>
    <row r="7" spans="1:4">
      <c r="A7" s="7"/>
      <c r="B7" s="8"/>
      <c r="C7" s="8" t="s">
        <v>11</v>
      </c>
      <c r="D7" s="9" t="s">
        <v>12</v>
      </c>
    </row>
    <row r="8" spans="1:4">
      <c r="A8" s="7"/>
      <c r="B8" s="8"/>
      <c r="C8" s="8" t="s">
        <v>13</v>
      </c>
      <c r="D8" s="9" t="s">
        <v>14</v>
      </c>
    </row>
    <row r="9" spans="1:4">
      <c r="A9" s="7"/>
      <c r="B9" s="8"/>
      <c r="C9" s="8" t="s">
        <v>15</v>
      </c>
      <c r="D9" s="9" t="s">
        <v>16</v>
      </c>
    </row>
    <row r="10" spans="1:4">
      <c r="A10" s="7" t="s">
        <v>17</v>
      </c>
      <c r="B10" s="8" t="s">
        <v>18</v>
      </c>
      <c r="C10" s="8" t="s">
        <v>18</v>
      </c>
      <c r="D10" s="9" t="s">
        <v>19</v>
      </c>
    </row>
    <row r="11" spans="1:4">
      <c r="A11" s="7" t="s">
        <v>20</v>
      </c>
      <c r="B11" s="8" t="s">
        <v>21</v>
      </c>
      <c r="C11" s="8" t="s">
        <v>22</v>
      </c>
      <c r="D11" s="9" t="s">
        <v>23</v>
      </c>
    </row>
    <row r="12" spans="1:4">
      <c r="A12" s="7"/>
      <c r="B12" s="8"/>
      <c r="C12" s="8" t="s">
        <v>24</v>
      </c>
      <c r="D12" s="9" t="s">
        <v>25</v>
      </c>
    </row>
    <row r="13" spans="1:4">
      <c r="A13" s="7"/>
      <c r="B13" s="8"/>
      <c r="C13" s="8" t="s">
        <v>26</v>
      </c>
      <c r="D13" s="9" t="s">
        <v>27</v>
      </c>
    </row>
    <row r="14" spans="1:4">
      <c r="A14" s="7"/>
      <c r="B14" s="8"/>
      <c r="C14" s="8" t="s">
        <v>28</v>
      </c>
      <c r="D14" s="9" t="s">
        <v>29</v>
      </c>
    </row>
    <row r="15" spans="1:4">
      <c r="A15" s="7"/>
      <c r="B15" s="8"/>
      <c r="C15" s="8" t="s">
        <v>30</v>
      </c>
      <c r="D15" s="9" t="s">
        <v>31</v>
      </c>
    </row>
    <row r="16" spans="1:4">
      <c r="A16" s="7"/>
      <c r="B16" s="8"/>
      <c r="C16" s="8" t="s">
        <v>32</v>
      </c>
      <c r="D16" s="9" t="s">
        <v>33</v>
      </c>
    </row>
    <row r="17" spans="1:4">
      <c r="A17" s="7" t="s">
        <v>34</v>
      </c>
      <c r="B17" s="8" t="s">
        <v>35</v>
      </c>
      <c r="C17" s="8" t="s">
        <v>36</v>
      </c>
      <c r="D17" s="9" t="s">
        <v>37</v>
      </c>
    </row>
    <row r="18" spans="1:4" ht="25.5" customHeight="1">
      <c r="A18" s="7"/>
      <c r="B18" s="8"/>
      <c r="C18" s="8" t="s">
        <v>38</v>
      </c>
      <c r="D18" s="9" t="s">
        <v>39</v>
      </c>
    </row>
    <row r="19" spans="1:4">
      <c r="A19" s="7" t="s">
        <v>40</v>
      </c>
      <c r="B19" s="8" t="s">
        <v>41</v>
      </c>
      <c r="C19" s="8" t="s">
        <v>42</v>
      </c>
      <c r="D19" s="9" t="s">
        <v>43</v>
      </c>
    </row>
    <row r="20" spans="1:4">
      <c r="A20" s="7"/>
      <c r="B20" s="8"/>
      <c r="C20" s="8" t="s">
        <v>44</v>
      </c>
      <c r="D20" s="9" t="s">
        <v>45</v>
      </c>
    </row>
    <row r="21" spans="1:4">
      <c r="A21" s="7" t="s">
        <v>46</v>
      </c>
      <c r="B21" s="8" t="s">
        <v>47</v>
      </c>
      <c r="C21" s="8" t="s">
        <v>48</v>
      </c>
      <c r="D21" s="9" t="s">
        <v>49</v>
      </c>
    </row>
    <row r="22" spans="1:4">
      <c r="A22" s="7"/>
      <c r="B22" s="8"/>
      <c r="C22" s="8" t="s">
        <v>50</v>
      </c>
      <c r="D22" s="9" t="s">
        <v>51</v>
      </c>
    </row>
    <row r="23" spans="1:4">
      <c r="A23" s="10"/>
      <c r="B23" s="4"/>
    </row>
    <row r="24" spans="1:4">
      <c r="A24" s="10"/>
      <c r="B24" s="4"/>
    </row>
    <row r="25" spans="1:4">
      <c r="A25" s="10"/>
      <c r="B25" s="4"/>
    </row>
    <row r="26" spans="1:4">
      <c r="A26" s="10"/>
      <c r="B26"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F50"/>
  <sheetViews>
    <sheetView zoomScaleNormal="100" workbookViewId="0">
      <selection activeCell="M16" sqref="M16"/>
    </sheetView>
  </sheetViews>
  <sheetFormatPr defaultColWidth="8.7109375" defaultRowHeight="15"/>
  <cols>
    <col min="1" max="1" width="85" customWidth="1"/>
  </cols>
  <sheetData>
    <row r="1" spans="1:6" ht="20.25" customHeight="1">
      <c r="A1" s="167" t="s">
        <v>52</v>
      </c>
      <c r="B1" s="167"/>
      <c r="C1" s="167"/>
      <c r="D1" s="167"/>
      <c r="E1" s="167"/>
      <c r="F1" s="167"/>
    </row>
    <row r="2" spans="1:6">
      <c r="A2" s="168" t="s">
        <v>1</v>
      </c>
      <c r="B2" s="168"/>
      <c r="C2" s="168"/>
      <c r="D2" s="168"/>
      <c r="E2" s="168"/>
      <c r="F2" s="168"/>
    </row>
    <row r="3" spans="1:6">
      <c r="A3" s="169"/>
      <c r="B3" s="169"/>
      <c r="C3" s="169"/>
      <c r="D3" s="169"/>
      <c r="E3" s="169"/>
      <c r="F3" s="169"/>
    </row>
    <row r="4" spans="1:6">
      <c r="A4" s="170" t="s">
        <v>53</v>
      </c>
      <c r="B4" s="170"/>
      <c r="C4" s="170"/>
      <c r="D4" s="170"/>
      <c r="E4" s="170"/>
      <c r="F4" s="170"/>
    </row>
    <row r="5" spans="1:6">
      <c r="A5" s="169" t="s">
        <v>54</v>
      </c>
      <c r="B5" s="169"/>
      <c r="C5" s="169"/>
      <c r="D5" s="169"/>
      <c r="E5" s="169"/>
      <c r="F5" s="169"/>
    </row>
    <row r="6" spans="1:6">
      <c r="A6" s="169" t="s">
        <v>55</v>
      </c>
      <c r="B6" s="169"/>
      <c r="C6" s="169"/>
      <c r="D6" s="169"/>
      <c r="E6" s="169"/>
      <c r="F6" s="169"/>
    </row>
    <row r="7" spans="1:6">
      <c r="A7" s="169" t="s">
        <v>56</v>
      </c>
      <c r="B7" s="169"/>
      <c r="C7" s="169"/>
      <c r="D7" s="169"/>
      <c r="E7" s="169"/>
      <c r="F7" s="169"/>
    </row>
    <row r="8" spans="1:6">
      <c r="A8" s="169" t="s">
        <v>57</v>
      </c>
      <c r="B8" s="169"/>
      <c r="C8" s="169"/>
      <c r="D8" s="169"/>
      <c r="E8" s="169"/>
      <c r="F8" s="169"/>
    </row>
    <row r="9" spans="1:6">
      <c r="A9" s="169"/>
      <c r="B9" s="169"/>
      <c r="C9" s="169"/>
      <c r="D9" s="169"/>
      <c r="E9" s="169"/>
      <c r="F9" s="169"/>
    </row>
    <row r="10" spans="1:6">
      <c r="A10" s="170" t="s">
        <v>58</v>
      </c>
      <c r="B10" s="170"/>
      <c r="C10" s="170"/>
      <c r="D10" s="170"/>
      <c r="E10" s="170"/>
      <c r="F10" s="170"/>
    </row>
    <row r="11" spans="1:6">
      <c r="A11" s="171" t="s">
        <v>59</v>
      </c>
      <c r="B11" s="171"/>
      <c r="C11" s="171"/>
      <c r="D11" s="171"/>
      <c r="E11" s="171"/>
      <c r="F11" s="171"/>
    </row>
    <row r="12" spans="1:6">
      <c r="A12" s="169" t="s">
        <v>60</v>
      </c>
      <c r="B12" s="169"/>
      <c r="C12" s="169"/>
      <c r="D12" s="169"/>
      <c r="E12" s="169"/>
      <c r="F12" s="169"/>
    </row>
    <row r="13" spans="1:6">
      <c r="A13" s="169" t="s">
        <v>61</v>
      </c>
      <c r="B13" s="169"/>
      <c r="C13" s="169"/>
      <c r="D13" s="169"/>
      <c r="E13" s="169"/>
      <c r="F13" s="169"/>
    </row>
    <row r="14" spans="1:6">
      <c r="A14" s="169" t="s">
        <v>62</v>
      </c>
      <c r="B14" s="169"/>
      <c r="C14" s="169"/>
      <c r="D14" s="169"/>
      <c r="E14" s="169"/>
      <c r="F14" s="169"/>
    </row>
    <row r="15" spans="1:6">
      <c r="A15" s="169"/>
      <c r="B15" s="169"/>
      <c r="C15" s="169"/>
      <c r="D15" s="169"/>
      <c r="E15" s="169"/>
      <c r="F15" s="169"/>
    </row>
    <row r="16" spans="1:6">
      <c r="A16" s="171" t="s">
        <v>63</v>
      </c>
      <c r="B16" s="171"/>
      <c r="C16" s="171"/>
      <c r="D16" s="171"/>
      <c r="E16" s="171"/>
      <c r="F16" s="171"/>
    </row>
    <row r="17" spans="1:6">
      <c r="A17" s="169" t="s">
        <v>64</v>
      </c>
      <c r="B17" s="169"/>
      <c r="C17" s="169"/>
      <c r="D17" s="169"/>
      <c r="E17" s="169"/>
      <c r="F17" s="169"/>
    </row>
    <row r="18" spans="1:6">
      <c r="A18" s="169" t="s">
        <v>65</v>
      </c>
      <c r="B18" s="169"/>
      <c r="C18" s="169"/>
      <c r="D18" s="169"/>
      <c r="E18" s="169"/>
      <c r="F18" s="169"/>
    </row>
    <row r="19" spans="1:6">
      <c r="A19" s="169"/>
      <c r="B19" s="169"/>
      <c r="C19" s="169"/>
      <c r="D19" s="169"/>
      <c r="E19" s="169"/>
      <c r="F19" s="169"/>
    </row>
    <row r="20" spans="1:6">
      <c r="A20" s="171" t="s">
        <v>66</v>
      </c>
      <c r="B20" s="171"/>
      <c r="C20" s="171"/>
      <c r="D20" s="171"/>
      <c r="E20" s="171"/>
      <c r="F20" s="171"/>
    </row>
    <row r="21" spans="1:6">
      <c r="A21" s="169" t="s">
        <v>67</v>
      </c>
      <c r="B21" s="169"/>
      <c r="C21" s="169"/>
      <c r="D21" s="169"/>
      <c r="E21" s="169"/>
      <c r="F21" s="169"/>
    </row>
    <row r="22" spans="1:6">
      <c r="A22" s="169" t="s">
        <v>68</v>
      </c>
      <c r="B22" s="169"/>
      <c r="C22" s="169"/>
      <c r="D22" s="169"/>
      <c r="E22" s="169"/>
      <c r="F22" s="169"/>
    </row>
    <row r="23" spans="1:6">
      <c r="A23" s="169" t="s">
        <v>69</v>
      </c>
      <c r="B23" s="169"/>
      <c r="C23" s="169"/>
      <c r="D23" s="169"/>
      <c r="E23" s="169"/>
      <c r="F23" s="169"/>
    </row>
    <row r="24" spans="1:6">
      <c r="A24" s="169" t="s">
        <v>70</v>
      </c>
      <c r="B24" s="169"/>
      <c r="C24" s="169"/>
      <c r="D24" s="169"/>
      <c r="E24" s="169"/>
      <c r="F24" s="169"/>
    </row>
    <row r="25" spans="1:6">
      <c r="A25" s="169"/>
      <c r="B25" s="169"/>
      <c r="C25" s="169"/>
      <c r="D25" s="169"/>
      <c r="E25" s="169"/>
      <c r="F25" s="169"/>
    </row>
    <row r="26" spans="1:6">
      <c r="A26" s="171" t="s">
        <v>71</v>
      </c>
      <c r="B26" s="171"/>
      <c r="C26" s="171"/>
      <c r="D26" s="171"/>
      <c r="E26" s="171"/>
      <c r="F26" s="171"/>
    </row>
    <row r="27" spans="1:6">
      <c r="A27" s="169" t="s">
        <v>72</v>
      </c>
      <c r="B27" s="169"/>
      <c r="C27" s="169"/>
      <c r="D27" s="169"/>
      <c r="E27" s="169"/>
      <c r="F27" s="169"/>
    </row>
    <row r="28" spans="1:6">
      <c r="A28" s="169" t="s">
        <v>73</v>
      </c>
      <c r="B28" s="169"/>
      <c r="C28" s="169"/>
      <c r="D28" s="169"/>
      <c r="E28" s="169"/>
      <c r="F28" s="169"/>
    </row>
    <row r="29" spans="1:6">
      <c r="A29" s="169" t="s">
        <v>74</v>
      </c>
      <c r="B29" s="169"/>
      <c r="C29" s="169"/>
      <c r="D29" s="169"/>
      <c r="E29" s="169"/>
      <c r="F29" s="169"/>
    </row>
    <row r="30" spans="1:6">
      <c r="A30" s="169" t="s">
        <v>75</v>
      </c>
      <c r="B30" s="169"/>
      <c r="C30" s="169"/>
      <c r="D30" s="169"/>
      <c r="E30" s="169"/>
      <c r="F30" s="169"/>
    </row>
    <row r="31" spans="1:6">
      <c r="A31" s="169" t="s">
        <v>76</v>
      </c>
      <c r="B31" s="169"/>
      <c r="C31" s="169"/>
      <c r="D31" s="169"/>
      <c r="E31" s="169"/>
      <c r="F31" s="169"/>
    </row>
    <row r="32" spans="1:6">
      <c r="A32" s="169"/>
      <c r="B32" s="169"/>
      <c r="C32" s="169"/>
      <c r="D32" s="169"/>
      <c r="E32" s="169"/>
      <c r="F32" s="169"/>
    </row>
    <row r="33" spans="1:6">
      <c r="A33" s="170" t="s">
        <v>77</v>
      </c>
      <c r="B33" s="170"/>
      <c r="C33" s="170"/>
      <c r="D33" s="170"/>
      <c r="E33" s="170"/>
      <c r="F33" s="170"/>
    </row>
    <row r="34" spans="1:6">
      <c r="A34" s="169" t="s">
        <v>78</v>
      </c>
      <c r="B34" s="169"/>
      <c r="C34" s="169"/>
      <c r="D34" s="169"/>
      <c r="E34" s="169"/>
      <c r="F34" s="169"/>
    </row>
    <row r="35" spans="1:6">
      <c r="A35" s="169" t="s">
        <v>79</v>
      </c>
      <c r="B35" s="169"/>
      <c r="C35" s="169"/>
      <c r="D35" s="169"/>
      <c r="E35" s="169"/>
      <c r="F35" s="169"/>
    </row>
    <row r="36" spans="1:6">
      <c r="A36" s="169" t="s">
        <v>80</v>
      </c>
      <c r="B36" s="169"/>
      <c r="C36" s="169"/>
      <c r="D36" s="169"/>
      <c r="E36" s="169"/>
      <c r="F36" s="169"/>
    </row>
    <row r="37" spans="1:6">
      <c r="A37" s="169" t="s">
        <v>81</v>
      </c>
      <c r="B37" s="169"/>
      <c r="C37" s="169"/>
      <c r="D37" s="169"/>
      <c r="E37" s="169"/>
      <c r="F37" s="169"/>
    </row>
    <row r="38" spans="1:6">
      <c r="A38" s="169" t="s">
        <v>82</v>
      </c>
      <c r="B38" s="169"/>
      <c r="C38" s="169"/>
      <c r="D38" s="169"/>
      <c r="E38" s="169"/>
      <c r="F38" s="169"/>
    </row>
    <row r="39" spans="1:6">
      <c r="A39" s="169" t="s">
        <v>83</v>
      </c>
      <c r="B39" s="169"/>
      <c r="C39" s="169"/>
      <c r="D39" s="169"/>
      <c r="E39" s="169"/>
      <c r="F39" s="169"/>
    </row>
    <row r="40" spans="1:6">
      <c r="A40" s="169"/>
      <c r="B40" s="169"/>
      <c r="C40" s="169"/>
      <c r="D40" s="169"/>
      <c r="E40" s="169"/>
      <c r="F40" s="169"/>
    </row>
    <row r="41" spans="1:6">
      <c r="A41" s="170" t="s">
        <v>84</v>
      </c>
      <c r="B41" s="170"/>
      <c r="C41" s="170"/>
      <c r="D41" s="170"/>
      <c r="E41" s="170"/>
      <c r="F41" s="170"/>
    </row>
    <row r="42" spans="1:6">
      <c r="A42" s="169" t="s">
        <v>85</v>
      </c>
      <c r="B42" s="169"/>
      <c r="C42" s="169"/>
      <c r="D42" s="169"/>
      <c r="E42" s="169"/>
      <c r="F42" s="169"/>
    </row>
    <row r="43" spans="1:6">
      <c r="A43" s="169" t="s">
        <v>86</v>
      </c>
      <c r="B43" s="169"/>
      <c r="C43" s="169"/>
      <c r="D43" s="169"/>
      <c r="E43" s="169"/>
      <c r="F43" s="169"/>
    </row>
    <row r="44" spans="1:6">
      <c r="A44" s="169" t="s">
        <v>87</v>
      </c>
      <c r="B44" s="169"/>
      <c r="C44" s="169"/>
      <c r="D44" s="169"/>
      <c r="E44" s="169"/>
      <c r="F44" s="169"/>
    </row>
    <row r="45" spans="1:6">
      <c r="A45" s="169"/>
      <c r="B45" s="169"/>
      <c r="C45" s="169"/>
      <c r="D45" s="169"/>
      <c r="E45" s="169"/>
      <c r="F45" s="169"/>
    </row>
    <row r="46" spans="1:6">
      <c r="A46" s="170" t="s">
        <v>88</v>
      </c>
      <c r="B46" s="170"/>
      <c r="C46" s="170"/>
      <c r="D46" s="170"/>
      <c r="E46" s="170"/>
      <c r="F46" s="170"/>
    </row>
    <row r="47" spans="1:6">
      <c r="A47" s="169" t="s">
        <v>89</v>
      </c>
      <c r="B47" s="169"/>
      <c r="C47" s="169"/>
      <c r="D47" s="169"/>
      <c r="E47" s="169"/>
      <c r="F47" s="169"/>
    </row>
    <row r="48" spans="1:6">
      <c r="A48" s="169" t="s">
        <v>90</v>
      </c>
      <c r="B48" s="169"/>
      <c r="C48" s="169"/>
      <c r="D48" s="169"/>
      <c r="E48" s="169"/>
      <c r="F48" s="169"/>
    </row>
    <row r="49" spans="1:6">
      <c r="A49" s="169" t="s">
        <v>91</v>
      </c>
      <c r="B49" s="169"/>
      <c r="C49" s="169"/>
      <c r="D49" s="169"/>
      <c r="E49" s="169"/>
      <c r="F49" s="169"/>
    </row>
    <row r="50" spans="1:6">
      <c r="A50" s="169" t="s">
        <v>92</v>
      </c>
      <c r="B50" s="169"/>
      <c r="C50" s="169"/>
      <c r="D50" s="169"/>
      <c r="E50" s="169"/>
      <c r="F50" s="169"/>
    </row>
  </sheetData>
  <mergeCells count="50">
    <mergeCell ref="A46:F46"/>
    <mergeCell ref="A47:F47"/>
    <mergeCell ref="A48:F48"/>
    <mergeCell ref="A49:F49"/>
    <mergeCell ref="A50:F50"/>
    <mergeCell ref="A41:F41"/>
    <mergeCell ref="A42:F42"/>
    <mergeCell ref="A43:F43"/>
    <mergeCell ref="A44:F44"/>
    <mergeCell ref="A45:F45"/>
    <mergeCell ref="A36:F36"/>
    <mergeCell ref="A37:F37"/>
    <mergeCell ref="A38:F38"/>
    <mergeCell ref="A39:F39"/>
    <mergeCell ref="A40:F40"/>
    <mergeCell ref="A31:F31"/>
    <mergeCell ref="A32:F32"/>
    <mergeCell ref="A33:F33"/>
    <mergeCell ref="A34:F34"/>
    <mergeCell ref="A35:F35"/>
    <mergeCell ref="A26:F26"/>
    <mergeCell ref="A27:F27"/>
    <mergeCell ref="A28:F28"/>
    <mergeCell ref="A29:F29"/>
    <mergeCell ref="A30:F30"/>
    <mergeCell ref="A21:F21"/>
    <mergeCell ref="A22:F22"/>
    <mergeCell ref="A23:F23"/>
    <mergeCell ref="A24:F24"/>
    <mergeCell ref="A25:F25"/>
    <mergeCell ref="A16:F16"/>
    <mergeCell ref="A17:F17"/>
    <mergeCell ref="A18:F18"/>
    <mergeCell ref="A19:F19"/>
    <mergeCell ref="A20:F20"/>
    <mergeCell ref="A11:F11"/>
    <mergeCell ref="A12:F12"/>
    <mergeCell ref="A13:F13"/>
    <mergeCell ref="A14:F14"/>
    <mergeCell ref="A15:F15"/>
    <mergeCell ref="A6:F6"/>
    <mergeCell ref="A7:F7"/>
    <mergeCell ref="A8:F8"/>
    <mergeCell ref="A9:F9"/>
    <mergeCell ref="A10:F10"/>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F8"/>
  <sheetViews>
    <sheetView zoomScale="145" zoomScaleNormal="145" workbookViewId="0">
      <pane ySplit="1" topLeftCell="A8" activePane="bottomLeft" state="frozen"/>
      <selection pane="bottomLeft" activeCell="E21" activeCellId="1" sqref="E16 E21"/>
    </sheetView>
  </sheetViews>
  <sheetFormatPr defaultColWidth="8.7109375" defaultRowHeight="15"/>
  <cols>
    <col min="1" max="1" width="16.42578125" customWidth="1"/>
    <col min="2" max="2" width="30" customWidth="1"/>
    <col min="3" max="3" width="21.28515625" customWidth="1"/>
    <col min="4" max="4" width="23.28515625" customWidth="1"/>
    <col min="5" max="5" width="13" customWidth="1"/>
    <col min="6" max="6" width="45" customWidth="1"/>
  </cols>
  <sheetData>
    <row r="1" spans="1:6">
      <c r="A1" s="11" t="s">
        <v>93</v>
      </c>
      <c r="B1" s="12" t="s">
        <v>94</v>
      </c>
      <c r="C1" s="12" t="s">
        <v>95</v>
      </c>
      <c r="D1" s="12" t="s">
        <v>96</v>
      </c>
      <c r="E1" s="12" t="s">
        <v>97</v>
      </c>
      <c r="F1" s="13" t="s">
        <v>98</v>
      </c>
    </row>
    <row r="2" spans="1:6">
      <c r="A2" s="14" t="s">
        <v>99</v>
      </c>
      <c r="B2" s="8" t="s">
        <v>100</v>
      </c>
      <c r="C2" s="15">
        <v>2.7533333333333299</v>
      </c>
      <c r="D2" s="15">
        <v>6.6089455225125304E-3</v>
      </c>
      <c r="E2" s="15">
        <v>30</v>
      </c>
      <c r="F2" s="17" t="s">
        <v>101</v>
      </c>
    </row>
    <row r="3" spans="1:6">
      <c r="A3" s="14" t="s">
        <v>102</v>
      </c>
      <c r="B3" s="8" t="s">
        <v>103</v>
      </c>
      <c r="C3" s="15">
        <v>4.0359999999999996</v>
      </c>
      <c r="D3" s="15">
        <v>1.3796551293211E-2</v>
      </c>
      <c r="E3" s="15">
        <v>30</v>
      </c>
      <c r="F3" s="17" t="s">
        <v>101</v>
      </c>
    </row>
    <row r="4" spans="1:6">
      <c r="A4" s="14" t="s">
        <v>104</v>
      </c>
      <c r="B4" s="8" t="s">
        <v>105</v>
      </c>
      <c r="C4" s="15">
        <v>0.99333333333333296</v>
      </c>
      <c r="D4" s="15">
        <v>1.39786372315249E-2</v>
      </c>
      <c r="E4" s="15">
        <v>30</v>
      </c>
      <c r="F4" s="17" t="s">
        <v>101</v>
      </c>
    </row>
    <row r="5" spans="1:6">
      <c r="A5" s="14" t="s">
        <v>106</v>
      </c>
      <c r="B5" s="8" t="s">
        <v>107</v>
      </c>
      <c r="C5" s="15">
        <v>4.5626666666666704</v>
      </c>
      <c r="D5" s="15">
        <v>2.5179813114988601E-2</v>
      </c>
      <c r="E5" s="15">
        <v>30</v>
      </c>
      <c r="F5" s="17" t="s">
        <v>101</v>
      </c>
    </row>
    <row r="6" spans="1:6">
      <c r="A6" s="14" t="s">
        <v>108</v>
      </c>
      <c r="B6" s="8" t="s">
        <v>109</v>
      </c>
      <c r="C6" s="15">
        <v>1.15566666666667</v>
      </c>
      <c r="D6" s="15">
        <v>2.7628487713469398E-2</v>
      </c>
      <c r="E6" s="15">
        <v>30</v>
      </c>
      <c r="F6" s="17" t="s">
        <v>101</v>
      </c>
    </row>
    <row r="7" spans="1:6">
      <c r="A7" s="14" t="s">
        <v>110</v>
      </c>
      <c r="B7" s="8" t="s">
        <v>111</v>
      </c>
      <c r="C7" s="15">
        <v>1.3743333333333301</v>
      </c>
      <c r="D7" s="15">
        <v>2.51455532962532E-2</v>
      </c>
      <c r="E7" s="15">
        <v>30</v>
      </c>
      <c r="F7" s="17" t="s">
        <v>101</v>
      </c>
    </row>
    <row r="8" spans="1:6">
      <c r="A8" s="18" t="s">
        <v>112</v>
      </c>
      <c r="B8" s="19" t="s">
        <v>113</v>
      </c>
      <c r="C8" s="15">
        <v>0.96699999999999997</v>
      </c>
      <c r="D8" s="20">
        <v>3.6345563690772499E-2</v>
      </c>
      <c r="E8" s="15">
        <v>30</v>
      </c>
      <c r="F8" s="17" t="s">
        <v>101</v>
      </c>
    </row>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N4"/>
  <sheetViews>
    <sheetView zoomScale="118" zoomScaleNormal="118" workbookViewId="0">
      <pane ySplit="1" topLeftCell="A2" activePane="bottomLeft" state="frozen"/>
      <selection pane="bottomLeft" activeCell="J4" sqref="J4"/>
    </sheetView>
  </sheetViews>
  <sheetFormatPr defaultColWidth="8.7109375" defaultRowHeight="15"/>
  <cols>
    <col min="1" max="1" width="11.28515625" customWidth="1"/>
    <col min="2" max="2" width="19" customWidth="1"/>
    <col min="3" max="3" width="16.7109375" customWidth="1"/>
    <col min="4" max="5" width="8" customWidth="1"/>
    <col min="6" max="7" width="8.140625" customWidth="1"/>
    <col min="8" max="9" width="8" customWidth="1"/>
    <col min="10" max="11" width="21" customWidth="1"/>
    <col min="12" max="12" width="18.85546875" customWidth="1"/>
    <col min="13" max="13" width="21.42578125" customWidth="1"/>
    <col min="14" max="14" width="19.85546875" customWidth="1"/>
  </cols>
  <sheetData>
    <row r="1" spans="1:14">
      <c r="A1" s="11" t="s">
        <v>114</v>
      </c>
      <c r="B1" s="12" t="s">
        <v>115</v>
      </c>
      <c r="C1" s="12" t="s">
        <v>116</v>
      </c>
      <c r="D1" s="12" t="s">
        <v>117</v>
      </c>
      <c r="E1" s="12" t="s">
        <v>118</v>
      </c>
      <c r="F1" s="12" t="s">
        <v>119</v>
      </c>
      <c r="G1" s="12" t="s">
        <v>120</v>
      </c>
      <c r="H1" s="12" t="s">
        <v>121</v>
      </c>
      <c r="I1" s="12" t="s">
        <v>122</v>
      </c>
      <c r="J1" s="12" t="s">
        <v>123</v>
      </c>
      <c r="K1" s="12" t="s">
        <v>124</v>
      </c>
      <c r="L1" s="12" t="s">
        <v>125</v>
      </c>
      <c r="M1" s="12" t="s">
        <v>126</v>
      </c>
      <c r="N1" s="13" t="s">
        <v>127</v>
      </c>
    </row>
    <row r="2" spans="1:14">
      <c r="A2" s="21" t="s">
        <v>128</v>
      </c>
      <c r="B2" s="8" t="s">
        <v>129</v>
      </c>
      <c r="C2" s="7">
        <v>3</v>
      </c>
      <c r="D2" s="23">
        <v>0</v>
      </c>
      <c r="E2" s="23">
        <v>1</v>
      </c>
      <c r="F2" s="23">
        <v>0</v>
      </c>
      <c r="G2" s="23">
        <v>1</v>
      </c>
      <c r="H2" s="23">
        <v>0</v>
      </c>
      <c r="I2" s="23">
        <v>1</v>
      </c>
      <c r="J2" s="22">
        <f>D2*Components!$C$2+E2*Components!$C$3+F2*Components!$C$4+G2*Components!$C$5+H2*Components!$C$6+I2*Components!$C$7+Components!$C$8</f>
        <v>10.940000000000001</v>
      </c>
      <c r="K2" s="23">
        <f>D2*Components!$D$2^2+E2*Components!$D$3^2+F2*Components!$D$4^2+G2*Components!$D$5^2+H2*Components!$D$6^2+I2*Components!$D$7^2+Components!$D$8^2</f>
        <v>2.7776666666666644E-3</v>
      </c>
      <c r="L2" s="23">
        <f>SQRT(K2)</f>
        <v>5.2703573566378441E-2</v>
      </c>
      <c r="M2" s="23">
        <f>J2-3*L2</f>
        <v>10.781889279300866</v>
      </c>
      <c r="N2" s="24">
        <f>J2+3*L2</f>
        <v>11.098110720699136</v>
      </c>
    </row>
    <row r="3" spans="1:14">
      <c r="A3" s="21" t="s">
        <v>130</v>
      </c>
      <c r="B3" s="8" t="s">
        <v>131</v>
      </c>
      <c r="C3" s="7">
        <v>4</v>
      </c>
      <c r="D3" s="23">
        <v>1</v>
      </c>
      <c r="E3" s="23">
        <v>1</v>
      </c>
      <c r="F3" s="23">
        <v>1</v>
      </c>
      <c r="G3" s="23">
        <v>0</v>
      </c>
      <c r="H3" s="23">
        <v>1</v>
      </c>
      <c r="I3" s="23">
        <v>0</v>
      </c>
      <c r="J3" s="22">
        <f>D3*Components!$C$2+E3*Components!$C$3+F3*Components!$C$4+G3*Components!$C$5+H3*Components!$C$6+I3*Components!$C$7+Components!$C$8</f>
        <v>9.9053333333333331</v>
      </c>
      <c r="K3" s="23">
        <f>D3*Components!$D$2^2+E3*Components!$D$3^2+F3*Components!$D$4^2+G3*Components!$D$5^2+H3*Components!$D$6^2+I3*Components!$D$7^2+Components!$D$8^2</f>
        <v>2.5137586206896443E-3</v>
      </c>
      <c r="L3" s="23">
        <f>SQRT(K3)</f>
        <v>5.0137397426368718E-2</v>
      </c>
      <c r="M3" s="23">
        <f>J3-3*L3</f>
        <v>9.7549211410542274</v>
      </c>
      <c r="N3" s="24">
        <f>J3+3*L3</f>
        <v>10.055745525612439</v>
      </c>
    </row>
    <row r="4" spans="1:14">
      <c r="A4" s="25" t="s">
        <v>132</v>
      </c>
      <c r="B4" s="26" t="s">
        <v>133</v>
      </c>
      <c r="C4" s="27">
        <v>6</v>
      </c>
      <c r="D4" s="29">
        <v>1</v>
      </c>
      <c r="E4" s="29">
        <v>0</v>
      </c>
      <c r="F4" s="29">
        <v>2</v>
      </c>
      <c r="G4" s="29">
        <v>0</v>
      </c>
      <c r="H4" s="29">
        <v>1</v>
      </c>
      <c r="I4" s="29">
        <v>2</v>
      </c>
      <c r="J4" s="28">
        <f>D4*Components!$C$2+E4*Components!$C$3+F4*Components!$C$4+G4*Components!$C$5+H4*Components!$C$6+I4*Components!$C$7+Components!$C$8</f>
        <v>9.6113333333333255</v>
      </c>
      <c r="K4" s="29">
        <f>D4*Components!$D$2^2+E4*Components!$D$3^2+F4*Components!$D$4^2+G4*Components!$D$5^2+H4*Components!$D$6^2+I4*Components!$D$7^2+Components!$D$8^2</f>
        <v>3.7834137931034365E-3</v>
      </c>
      <c r="L4" s="29">
        <f>SQRT(K4)</f>
        <v>6.1509461004819709E-2</v>
      </c>
      <c r="M4" s="29">
        <f>J4-3*L4</f>
        <v>9.426804950318866</v>
      </c>
      <c r="N4" s="30">
        <f>J4+3*L4</f>
        <v>9.795861716347785</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S27"/>
  <sheetViews>
    <sheetView topLeftCell="A3" zoomScale="91" zoomScaleNormal="81" workbookViewId="0">
      <selection activeCell="D20" sqref="D20"/>
    </sheetView>
  </sheetViews>
  <sheetFormatPr defaultColWidth="8.7109375" defaultRowHeight="15"/>
  <cols>
    <col min="1" max="1" width="23.140625" customWidth="1"/>
    <col min="2" max="2" width="32.42578125" customWidth="1"/>
    <col min="3" max="3" width="40.7109375" customWidth="1"/>
    <col min="4" max="4" width="32" customWidth="1"/>
    <col min="5" max="5" width="12.7109375" customWidth="1"/>
    <col min="6" max="6" width="43.7109375" customWidth="1"/>
    <col min="7" max="7" width="49.42578125" customWidth="1"/>
    <col min="8" max="8" width="27.28515625" customWidth="1"/>
    <col min="9" max="9" width="23.28515625" customWidth="1"/>
    <col min="10" max="10" width="5" customWidth="1"/>
    <col min="11" max="11" width="27.28515625" customWidth="1"/>
    <col min="12" max="12" width="27.7109375" customWidth="1"/>
  </cols>
  <sheetData>
    <row r="1" spans="1:19" ht="23.25" customHeight="1">
      <c r="A1" s="183" t="s">
        <v>134</v>
      </c>
      <c r="B1" s="183"/>
      <c r="C1" s="183"/>
      <c r="D1" s="183"/>
      <c r="E1" s="183"/>
      <c r="F1" s="172" t="s">
        <v>135</v>
      </c>
      <c r="G1" s="172"/>
    </row>
    <row r="2" spans="1:19" ht="150" customHeight="1">
      <c r="A2" s="184" t="s">
        <v>136</v>
      </c>
      <c r="B2" s="184" t="s">
        <v>137</v>
      </c>
      <c r="C2" s="184" t="s">
        <v>138</v>
      </c>
      <c r="D2" s="184" t="s">
        <v>139</v>
      </c>
      <c r="E2" s="184"/>
      <c r="F2" s="32" t="s">
        <v>140</v>
      </c>
      <c r="G2" s="32" t="s">
        <v>141</v>
      </c>
    </row>
    <row r="3" spans="1:19" ht="15.75" customHeight="1" thickBot="1">
      <c r="A3" s="185">
        <v>0.05</v>
      </c>
      <c r="B3" s="185">
        <v>0.8</v>
      </c>
      <c r="C3" s="186">
        <f>_xlfn.NORM.S.INV(1 - A3/2)</f>
        <v>1.9599639845400536</v>
      </c>
      <c r="D3" s="186">
        <f>_xlfn.NORM.S.INV(B3)</f>
        <v>0.84162123357291474</v>
      </c>
      <c r="E3" s="187"/>
    </row>
    <row r="4" spans="1:19" ht="15.75" customHeight="1" thickBot="1">
      <c r="A4" s="188"/>
      <c r="B4" s="188"/>
      <c r="C4" s="188"/>
      <c r="D4" s="188"/>
      <c r="E4" s="188"/>
      <c r="F4" s="182"/>
      <c r="G4" s="33" t="s">
        <v>142</v>
      </c>
    </row>
    <row r="5" spans="1:19" ht="45" customHeight="1">
      <c r="A5" s="188" t="s">
        <v>143</v>
      </c>
      <c r="B5" s="188" t="s">
        <v>144</v>
      </c>
      <c r="C5" s="188" t="s">
        <v>145</v>
      </c>
      <c r="D5" s="188" t="s">
        <v>146</v>
      </c>
      <c r="E5" s="188" t="s">
        <v>147</v>
      </c>
    </row>
    <row r="6" spans="1:19">
      <c r="A6" s="187" t="s">
        <v>148</v>
      </c>
      <c r="B6" s="189">
        <f>ABS(Components!C2-Components!C3)</f>
        <v>1.2826666666666697</v>
      </c>
      <c r="C6" s="187">
        <f>SQRT(((Components!D2^2)+(Components!D3^2))/2)</f>
        <v>1.0817185135370026E-2</v>
      </c>
      <c r="D6" s="187">
        <f t="shared" ref="D6:D20" si="0">ROUNDUP(2 * (C6^2) * ($C$3 + $D$3)^2 / (B6^2), 0)</f>
        <v>1</v>
      </c>
      <c r="E6" s="187"/>
      <c r="Q6" s="35"/>
      <c r="R6" s="35"/>
      <c r="S6" s="35"/>
    </row>
    <row r="7" spans="1:19">
      <c r="A7" s="187" t="s">
        <v>149</v>
      </c>
      <c r="B7" s="189">
        <f>ABS(Components!C2-Components!C4)</f>
        <v>1.7599999999999969</v>
      </c>
      <c r="C7" s="187">
        <f>SQRT(((Components!D2^2)+(Components!D4^2))/2)</f>
        <v>1.0933445471810625E-2</v>
      </c>
      <c r="D7" s="187">
        <f t="shared" si="0"/>
        <v>1</v>
      </c>
      <c r="E7" s="187"/>
      <c r="Q7" s="31"/>
    </row>
    <row r="8" spans="1:19">
      <c r="A8" s="187" t="s">
        <v>150</v>
      </c>
      <c r="B8" s="189">
        <f>ABS(Components!C2-Components!C5)</f>
        <v>1.8093333333333406</v>
      </c>
      <c r="C8" s="187">
        <f>SQRT(((Components!D2^2)+(Components!D5^2))/2)</f>
        <v>1.8407894358471455E-2</v>
      </c>
      <c r="D8" s="187">
        <f t="shared" si="0"/>
        <v>1</v>
      </c>
      <c r="E8" s="187"/>
      <c r="Q8" s="31"/>
    </row>
    <row r="9" spans="1:19">
      <c r="A9" s="187" t="s">
        <v>151</v>
      </c>
      <c r="B9" s="189">
        <f>ABS(Components!C2-Components!C6)</f>
        <v>1.5976666666666599</v>
      </c>
      <c r="C9" s="187">
        <f>SQRT(((Components!D2^2)+(Components!D6^2))/2)</f>
        <v>2.0087452479755467E-2</v>
      </c>
      <c r="D9" s="187">
        <f t="shared" si="0"/>
        <v>1</v>
      </c>
      <c r="E9" s="187"/>
      <c r="Q9" s="31"/>
    </row>
    <row r="10" spans="1:19">
      <c r="A10" s="187" t="s">
        <v>152</v>
      </c>
      <c r="B10" s="189">
        <f>ABS(Components!C2-Components!C7)</f>
        <v>1.3789999999999998</v>
      </c>
      <c r="C10" s="187">
        <f>SQRT(((Components!D2^2)+(Components!D7^2))/2)</f>
        <v>1.8384463705725121E-2</v>
      </c>
      <c r="D10" s="187">
        <f t="shared" si="0"/>
        <v>1</v>
      </c>
      <c r="E10" s="187"/>
    </row>
    <row r="11" spans="1:19">
      <c r="A11" s="187" t="s">
        <v>153</v>
      </c>
      <c r="B11" s="189">
        <f>ABS(Components!C3-Components!C4)</f>
        <v>3.0426666666666664</v>
      </c>
      <c r="C11" s="187">
        <f>SQRT(((Components!D3^2)+(Components!D4^2))/2)</f>
        <v>1.3887892684579187E-2</v>
      </c>
      <c r="D11" s="187">
        <f t="shared" si="0"/>
        <v>1</v>
      </c>
      <c r="E11" s="187"/>
    </row>
    <row r="12" spans="1:19">
      <c r="A12" s="190" t="s">
        <v>154</v>
      </c>
      <c r="B12" s="191">
        <f>ABS(Components!C3-Components!C5)</f>
        <v>0.52666666666667084</v>
      </c>
      <c r="C12" s="190">
        <f>SQRT(((Components!D3^2)+(Components!D5^2))/2)</f>
        <v>2.0302312874300232E-2</v>
      </c>
      <c r="D12" s="187">
        <f t="shared" si="0"/>
        <v>1</v>
      </c>
      <c r="E12" s="190" t="s">
        <v>155</v>
      </c>
    </row>
    <row r="13" spans="1:19">
      <c r="A13" s="187" t="s">
        <v>156</v>
      </c>
      <c r="B13" s="189">
        <f>ABS(Components!C3-Components!C6)</f>
        <v>2.8803333333333296</v>
      </c>
      <c r="C13" s="187">
        <f>SQRT(((Components!D3^2)+(Components!D6^2))/2)</f>
        <v>2.1836645357283382E-2</v>
      </c>
      <c r="D13" s="187">
        <f t="shared" si="0"/>
        <v>1</v>
      </c>
      <c r="E13" s="187"/>
    </row>
    <row r="14" spans="1:19">
      <c r="A14" s="187" t="s">
        <v>157</v>
      </c>
      <c r="B14" s="189">
        <f>ABS(Components!C3-Components!C7)</f>
        <v>2.6616666666666697</v>
      </c>
      <c r="C14" s="187">
        <f>SQRT(((Components!D3^2)+(Components!D7^2))/2)</f>
        <v>2.0281070954968235E-2</v>
      </c>
      <c r="D14" s="187">
        <f t="shared" si="0"/>
        <v>1</v>
      </c>
      <c r="E14" s="187"/>
    </row>
    <row r="15" spans="1:19">
      <c r="A15" s="187" t="s">
        <v>158</v>
      </c>
      <c r="B15" s="189">
        <f>ABS(Components!C4-Components!C5)</f>
        <v>3.5693333333333372</v>
      </c>
      <c r="C15" s="187">
        <f>SQRT(((Components!D4^2)+(Components!D5^2))/2)</f>
        <v>2.0364494682612751E-2</v>
      </c>
      <c r="D15" s="187">
        <f t="shared" si="0"/>
        <v>1</v>
      </c>
      <c r="E15" s="187"/>
    </row>
    <row r="16" spans="1:19">
      <c r="A16" s="192" t="s">
        <v>159</v>
      </c>
      <c r="B16" s="193">
        <f>ABS(Components!C4-Components!C6)</f>
        <v>0.16233333333333699</v>
      </c>
      <c r="C16" s="192">
        <f>SQRT(((Components!D4^2)+(Components!D6^2))/2)</f>
        <v>2.189446998883398E-2</v>
      </c>
      <c r="D16" s="194">
        <f t="shared" si="0"/>
        <v>1</v>
      </c>
      <c r="E16" s="192" t="s">
        <v>160</v>
      </c>
    </row>
    <row r="17" spans="1:5">
      <c r="A17" s="190" t="s">
        <v>161</v>
      </c>
      <c r="B17" s="191">
        <f>ABS(Components!C4-Components!C7)</f>
        <v>0.38099999999999712</v>
      </c>
      <c r="C17" s="190">
        <f>SQRT(((Components!D4^2)+(Components!D7^2))/2)</f>
        <v>2.0343317691877159E-2</v>
      </c>
      <c r="D17" s="187">
        <f t="shared" si="0"/>
        <v>1</v>
      </c>
      <c r="E17" s="190" t="s">
        <v>155</v>
      </c>
    </row>
    <row r="18" spans="1:5">
      <c r="A18" s="187" t="s">
        <v>162</v>
      </c>
      <c r="B18" s="189">
        <f>ABS(Components!C5-Components!C6)</f>
        <v>3.4070000000000005</v>
      </c>
      <c r="C18" s="187">
        <f>SQRT(((Components!D5^2)+(Components!D6^2))/2)</f>
        <v>2.6432520896039043E-2</v>
      </c>
      <c r="D18" s="187">
        <f t="shared" si="0"/>
        <v>1</v>
      </c>
      <c r="E18" s="187"/>
    </row>
    <row r="19" spans="1:5">
      <c r="A19" s="187" t="s">
        <v>163</v>
      </c>
      <c r="B19" s="189">
        <f>ABS(Components!C5-Components!C7)</f>
        <v>3.1883333333333406</v>
      </c>
      <c r="C19" s="187">
        <f>SQRT(((Components!D5^2)+(Components!D7^2))/2)</f>
        <v>2.5162689036353627E-2</v>
      </c>
      <c r="D19" s="187">
        <f t="shared" si="0"/>
        <v>1</v>
      </c>
      <c r="E19" s="187"/>
    </row>
    <row r="20" spans="1:5">
      <c r="A20" s="190" t="s">
        <v>164</v>
      </c>
      <c r="B20" s="191">
        <f>ABS(Components!C6-Components!C7)</f>
        <v>0.21866666666666013</v>
      </c>
      <c r="C20" s="190">
        <f>SQRT(((Components!D6^2)+(Components!D7^2))/2)</f>
        <v>2.6416208886856189E-2</v>
      </c>
      <c r="D20" s="187">
        <f t="shared" si="0"/>
        <v>1</v>
      </c>
      <c r="E20" s="190" t="s">
        <v>155</v>
      </c>
    </row>
    <row r="21" spans="1:5">
      <c r="A21" s="195"/>
      <c r="B21" s="196"/>
      <c r="C21" s="197"/>
      <c r="D21" s="197"/>
      <c r="E21" s="197"/>
    </row>
    <row r="22" spans="1:5" ht="21" customHeight="1">
      <c r="A22" s="198" t="s">
        <v>165</v>
      </c>
      <c r="B22" s="198"/>
      <c r="C22" s="198"/>
      <c r="D22" s="198"/>
      <c r="E22" s="198"/>
    </row>
    <row r="23" spans="1:5" ht="133.5" customHeight="1">
      <c r="A23" s="199" t="s">
        <v>166</v>
      </c>
      <c r="B23" s="199"/>
      <c r="C23" s="199"/>
      <c r="D23" s="199"/>
      <c r="E23" s="199"/>
    </row>
    <row r="24" spans="1:5">
      <c r="A24" s="200"/>
      <c r="B24" s="200"/>
      <c r="C24" s="200"/>
      <c r="D24" s="200"/>
      <c r="E24" s="200"/>
    </row>
    <row r="25" spans="1:5">
      <c r="A25" s="2"/>
      <c r="B25" s="2"/>
      <c r="C25" s="2"/>
      <c r="D25" s="2"/>
    </row>
    <row r="26" spans="1:5">
      <c r="A26" s="2"/>
      <c r="B26" s="2"/>
      <c r="C26" s="2"/>
      <c r="D26" s="2"/>
    </row>
    <row r="27" spans="1:5">
      <c r="A27" s="2"/>
      <c r="B27" s="2"/>
      <c r="C27" s="2"/>
      <c r="D27" s="2"/>
    </row>
  </sheetData>
  <mergeCells count="5">
    <mergeCell ref="A1:E1"/>
    <mergeCell ref="F1:G1"/>
    <mergeCell ref="A22:E22"/>
    <mergeCell ref="A23:E23"/>
    <mergeCell ref="A24:E24"/>
  </mergeCell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F44"/>
  <sheetViews>
    <sheetView zoomScaleNormal="100" workbookViewId="0">
      <pane ySplit="3" topLeftCell="A7" activePane="bottomLeft" state="frozen"/>
      <selection pane="bottomLeft" activeCell="B37" sqref="B37"/>
    </sheetView>
  </sheetViews>
  <sheetFormatPr defaultColWidth="8.7109375" defaultRowHeight="15"/>
  <cols>
    <col min="1" max="1" width="86.28515625" bestFit="1" customWidth="1"/>
    <col min="2" max="2" width="76.85546875" bestFit="1" customWidth="1"/>
    <col min="3" max="6" width="18" customWidth="1"/>
  </cols>
  <sheetData>
    <row r="1" spans="1:6" ht="20.25" customHeight="1">
      <c r="A1" s="36" t="s">
        <v>167</v>
      </c>
    </row>
    <row r="2" spans="1:6">
      <c r="A2" s="4" t="s">
        <v>168</v>
      </c>
    </row>
    <row r="4" spans="1:6" ht="21.75" customHeight="1">
      <c r="A4" s="37" t="s">
        <v>169</v>
      </c>
    </row>
    <row r="5" spans="1:6" ht="60" customHeight="1">
      <c r="A5" s="38" t="s">
        <v>170</v>
      </c>
      <c r="B5" s="39" t="s">
        <v>171</v>
      </c>
    </row>
    <row r="6" spans="1:6" ht="21.75" customHeight="1">
      <c r="A6" s="38" t="s">
        <v>172</v>
      </c>
      <c r="B6" s="40" t="s">
        <v>173</v>
      </c>
    </row>
    <row r="7" spans="1:6" ht="36" customHeight="1">
      <c r="A7" s="38" t="s">
        <v>174</v>
      </c>
      <c r="B7" s="40" t="s">
        <v>175</v>
      </c>
    </row>
    <row r="8" spans="1:6" ht="36" customHeight="1">
      <c r="A8" s="38" t="s">
        <v>176</v>
      </c>
      <c r="B8" s="41" t="s">
        <v>177</v>
      </c>
    </row>
    <row r="9" spans="1:6">
      <c r="A9" s="42" t="s">
        <v>178</v>
      </c>
      <c r="B9" s="43" t="s">
        <v>179</v>
      </c>
      <c r="F9" s="44" t="s">
        <v>180</v>
      </c>
    </row>
    <row r="11" spans="1:6" ht="21.75" customHeight="1">
      <c r="A11" s="37" t="s">
        <v>181</v>
      </c>
    </row>
    <row r="12" spans="1:6" ht="60" customHeight="1">
      <c r="A12" s="38" t="s">
        <v>170</v>
      </c>
      <c r="B12" s="39" t="s">
        <v>182</v>
      </c>
    </row>
    <row r="13" spans="1:6" ht="21.75" customHeight="1">
      <c r="A13" s="38" t="s">
        <v>172</v>
      </c>
      <c r="B13" s="40" t="s">
        <v>183</v>
      </c>
    </row>
    <row r="14" spans="1:6" ht="36" customHeight="1">
      <c r="A14" s="38" t="s">
        <v>174</v>
      </c>
      <c r="B14" s="40" t="s">
        <v>184</v>
      </c>
    </row>
    <row r="15" spans="1:6" ht="36" customHeight="1">
      <c r="A15" s="38" t="s">
        <v>176</v>
      </c>
      <c r="B15" s="41" t="s">
        <v>185</v>
      </c>
    </row>
    <row r="16" spans="1:6">
      <c r="A16" s="42" t="s">
        <v>178</v>
      </c>
      <c r="B16" s="43" t="s">
        <v>186</v>
      </c>
      <c r="F16" s="44" t="s">
        <v>187</v>
      </c>
    </row>
    <row r="18" spans="1:6" ht="21.75" customHeight="1">
      <c r="A18" s="37" t="s">
        <v>188</v>
      </c>
    </row>
    <row r="19" spans="1:6" ht="60" customHeight="1">
      <c r="A19" s="38" t="s">
        <v>170</v>
      </c>
      <c r="B19" s="39" t="s">
        <v>189</v>
      </c>
    </row>
    <row r="20" spans="1:6" ht="21.75" customHeight="1">
      <c r="A20" s="38" t="s">
        <v>172</v>
      </c>
      <c r="B20" s="40" t="s">
        <v>190</v>
      </c>
    </row>
    <row r="21" spans="1:6" ht="36" customHeight="1">
      <c r="A21" s="38" t="s">
        <v>174</v>
      </c>
      <c r="B21" s="40" t="s">
        <v>184</v>
      </c>
    </row>
    <row r="22" spans="1:6" ht="36" customHeight="1">
      <c r="A22" s="38" t="s">
        <v>176</v>
      </c>
      <c r="B22" s="41" t="s">
        <v>191</v>
      </c>
    </row>
    <row r="23" spans="1:6">
      <c r="A23" s="42" t="s">
        <v>178</v>
      </c>
      <c r="B23" s="43" t="s">
        <v>192</v>
      </c>
      <c r="F23" s="44" t="s">
        <v>193</v>
      </c>
    </row>
    <row r="25" spans="1:6" ht="21.75" customHeight="1">
      <c r="A25" s="45" t="s">
        <v>194</v>
      </c>
    </row>
    <row r="26" spans="1:6" ht="60" customHeight="1">
      <c r="A26" s="38" t="s">
        <v>170</v>
      </c>
      <c r="B26" s="39" t="s">
        <v>195</v>
      </c>
    </row>
    <row r="27" spans="1:6" ht="21.75" customHeight="1">
      <c r="A27" s="38" t="s">
        <v>172</v>
      </c>
      <c r="B27" s="40" t="s">
        <v>196</v>
      </c>
    </row>
    <row r="28" spans="1:6" ht="36" customHeight="1">
      <c r="A28" s="38" t="s">
        <v>174</v>
      </c>
      <c r="B28" s="40" t="s">
        <v>197</v>
      </c>
    </row>
    <row r="29" spans="1:6" ht="36" customHeight="1">
      <c r="A29" s="38" t="s">
        <v>176</v>
      </c>
      <c r="B29" s="41" t="s">
        <v>198</v>
      </c>
    </row>
    <row r="30" spans="1:6">
      <c r="A30" s="42" t="s">
        <v>178</v>
      </c>
      <c r="B30" s="43" t="s">
        <v>199</v>
      </c>
      <c r="F30" s="44" t="s">
        <v>200</v>
      </c>
    </row>
    <row r="32" spans="1:6" ht="21.75" customHeight="1">
      <c r="A32" s="46" t="s">
        <v>201</v>
      </c>
    </row>
    <row r="33" spans="1:6" ht="60" customHeight="1">
      <c r="A33" s="38" t="s">
        <v>170</v>
      </c>
      <c r="B33" s="39" t="s">
        <v>202</v>
      </c>
    </row>
    <row r="34" spans="1:6" ht="21.75" customHeight="1">
      <c r="A34" s="38" t="s">
        <v>172</v>
      </c>
      <c r="B34" s="40" t="s">
        <v>203</v>
      </c>
    </row>
    <row r="35" spans="1:6" ht="36" customHeight="1">
      <c r="A35" s="38" t="s">
        <v>174</v>
      </c>
      <c r="B35" s="40" t="s">
        <v>204</v>
      </c>
    </row>
    <row r="36" spans="1:6" ht="36" customHeight="1">
      <c r="A36" s="38" t="s">
        <v>176</v>
      </c>
      <c r="B36" s="41" t="s">
        <v>205</v>
      </c>
    </row>
    <row r="37" spans="1:6" ht="25.5">
      <c r="A37" s="42" t="s">
        <v>178</v>
      </c>
      <c r="B37" s="43" t="s">
        <v>206</v>
      </c>
      <c r="F37" s="44" t="s">
        <v>207</v>
      </c>
    </row>
    <row r="39" spans="1:6" ht="21.75" customHeight="1">
      <c r="A39" s="46" t="s">
        <v>208</v>
      </c>
    </row>
    <row r="40" spans="1:6" ht="60" customHeight="1">
      <c r="A40" s="38" t="s">
        <v>170</v>
      </c>
      <c r="B40" s="39" t="s">
        <v>209</v>
      </c>
    </row>
    <row r="41" spans="1:6" ht="21.75" customHeight="1">
      <c r="A41" s="38" t="s">
        <v>172</v>
      </c>
      <c r="B41" s="40" t="s">
        <v>210</v>
      </c>
    </row>
    <row r="42" spans="1:6" ht="36" customHeight="1">
      <c r="A42" s="38" t="s">
        <v>174</v>
      </c>
      <c r="B42" s="40" t="s">
        <v>211</v>
      </c>
    </row>
    <row r="43" spans="1:6" ht="36" customHeight="1">
      <c r="A43" s="38" t="s">
        <v>176</v>
      </c>
      <c r="B43" s="41" t="s">
        <v>212</v>
      </c>
    </row>
    <row r="44" spans="1:6">
      <c r="A44" s="42" t="s">
        <v>178</v>
      </c>
      <c r="B44" s="43" t="s">
        <v>213</v>
      </c>
      <c r="F44" s="44" t="s">
        <v>214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X424"/>
  <sheetViews>
    <sheetView tabSelected="1" topLeftCell="AB1" zoomScale="144" zoomScaleNormal="118" workbookViewId="0">
      <pane ySplit="2" topLeftCell="A35" activePane="bottomLeft" state="frozen"/>
      <selection pane="bottomLeft" activeCell="AW46" sqref="AW46"/>
    </sheetView>
  </sheetViews>
  <sheetFormatPr defaultColWidth="8.7109375" defaultRowHeight="15"/>
  <cols>
    <col min="1" max="1" width="12.140625" customWidth="1"/>
    <col min="2" max="2" width="17" customWidth="1"/>
    <col min="3" max="3" width="8" customWidth="1"/>
    <col min="4" max="4" width="11" customWidth="1"/>
    <col min="5" max="5" width="19" customWidth="1"/>
    <col min="6" max="6" width="19" style="107" customWidth="1"/>
    <col min="7" max="7" width="21.28515625" customWidth="1"/>
    <col min="8" max="8" width="8" customWidth="1"/>
    <col min="9" max="9" width="17" customWidth="1"/>
    <col min="10" max="10" width="14" customWidth="1"/>
    <col min="11" max="12" width="13" customWidth="1"/>
    <col min="13" max="13" width="17" customWidth="1"/>
    <col min="14" max="14" width="12" customWidth="1"/>
    <col min="15" max="15" width="19" customWidth="1"/>
    <col min="16" max="21" width="10" customWidth="1"/>
    <col min="22" max="22" width="19" customWidth="1"/>
    <col min="23" max="24" width="12" customWidth="1"/>
  </cols>
  <sheetData>
    <row r="1" spans="1:24" ht="15.75" customHeight="1">
      <c r="A1" t="s">
        <v>215</v>
      </c>
    </row>
    <row r="2" spans="1:24" ht="30" customHeight="1">
      <c r="A2" s="48" t="s">
        <v>216</v>
      </c>
      <c r="B2" s="48" t="s">
        <v>217</v>
      </c>
      <c r="C2" s="48" t="s">
        <v>218</v>
      </c>
      <c r="D2" s="48" t="s">
        <v>219</v>
      </c>
      <c r="E2" s="48" t="s">
        <v>220</v>
      </c>
      <c r="F2" s="108" t="s">
        <v>221</v>
      </c>
      <c r="G2" s="48" t="s">
        <v>445</v>
      </c>
      <c r="H2" s="48" t="s">
        <v>98</v>
      </c>
      <c r="I2" s="48" t="s">
        <v>223</v>
      </c>
      <c r="J2" s="48" t="s">
        <v>224</v>
      </c>
      <c r="K2" s="48" t="s">
        <v>225</v>
      </c>
      <c r="L2" s="48" t="s">
        <v>226</v>
      </c>
      <c r="M2" s="48" t="s">
        <v>227</v>
      </c>
      <c r="N2" s="48" t="s">
        <v>228</v>
      </c>
      <c r="O2" s="48" t="s">
        <v>229</v>
      </c>
      <c r="P2" s="48" t="s">
        <v>230</v>
      </c>
      <c r="Q2" s="48" t="s">
        <v>231</v>
      </c>
      <c r="R2" s="48" t="s">
        <v>232</v>
      </c>
      <c r="S2" s="48" t="s">
        <v>233</v>
      </c>
      <c r="T2" s="48" t="s">
        <v>234</v>
      </c>
      <c r="U2" s="48" t="s">
        <v>235</v>
      </c>
      <c r="V2" s="48" t="s">
        <v>236</v>
      </c>
      <c r="W2" s="48" t="s">
        <v>237</v>
      </c>
      <c r="X2" s="121" t="s">
        <v>295</v>
      </c>
    </row>
    <row r="3" spans="1:24">
      <c r="A3" s="115">
        <v>1</v>
      </c>
      <c r="B3" s="116">
        <v>1</v>
      </c>
      <c r="C3" s="81" t="s">
        <v>128</v>
      </c>
      <c r="D3" s="109" t="s">
        <v>238</v>
      </c>
      <c r="E3" s="81" t="s">
        <v>239</v>
      </c>
      <c r="F3" s="52">
        <v>9.91</v>
      </c>
      <c r="G3" s="52">
        <f t="shared" ref="G3:G66" si="0">0.97+F3</f>
        <v>10.88</v>
      </c>
      <c r="H3" s="110"/>
      <c r="I3" s="81">
        <f>VLOOKUP(C3,Recipes!$A$2:$N$4,10,FALSE())</f>
        <v>10.940000000000001</v>
      </c>
      <c r="J3" s="81">
        <f>VLOOKUP(C3,Recipes!$A$2:$N$4,12,FALSE())</f>
        <v>5.2703573566378441E-2</v>
      </c>
      <c r="K3" s="81">
        <f t="shared" ref="K3:K66" si="1">I3-3*J3</f>
        <v>10.781889279300866</v>
      </c>
      <c r="L3" s="81">
        <f t="shared" ref="L3:L66" si="2">I3+3*J3</f>
        <v>11.098110720699136</v>
      </c>
      <c r="M3" s="81" t="str">
        <f>IF(G3="","",IF(AND(G3&gt;=K3,G3&lt;=L3),"OK","NG"))</f>
        <v>OK</v>
      </c>
      <c r="N3" s="117">
        <f t="shared" ref="N3:N66" si="3">IF(M3="","",IF(M3=D3,1,0))</f>
        <v>1</v>
      </c>
      <c r="O3" s="81">
        <f>IF(G3="","",I3-G3)</f>
        <v>6.0000000000000497E-2</v>
      </c>
      <c r="P3" s="81">
        <f>IF(G3="","",ABS(O3-Components!$C$2))</f>
        <v>2.6933333333333294</v>
      </c>
      <c r="Q3" s="81">
        <f>IF(G3="","",ABS(O3-Components!$C$3))</f>
        <v>3.9759999999999991</v>
      </c>
      <c r="R3" s="81">
        <f>IF(G3="","",ABS(O3-Components!$C$4))</f>
        <v>0.93333333333333246</v>
      </c>
      <c r="S3" s="81">
        <f>IF(G3="","",ABS(O3-Components!$C$5))</f>
        <v>4.5026666666666699</v>
      </c>
      <c r="T3" s="81">
        <f>IF(G3="","",ABS(O3-Components!$C$6))</f>
        <v>1.0956666666666695</v>
      </c>
      <c r="U3" s="81">
        <f>IF(G3="","",ABS(O3-Components!$C$7))</f>
        <v>1.3143333333333296</v>
      </c>
      <c r="V3" s="81" t="str">
        <f>IF(F3="","",IF(M3="OK","NONE",INDEX({"S1","S2","W1","W2","N1","N2"},MATCH(MIN(P3:U3),P3:U3,0))))</f>
        <v>NONE</v>
      </c>
      <c r="W3" s="117">
        <f>IF(G3="","",IF(V3=E3,1,0))</f>
        <v>1</v>
      </c>
      <c r="X3" s="119"/>
    </row>
    <row r="4" spans="1:24">
      <c r="A4" s="115">
        <v>2</v>
      </c>
      <c r="B4" s="116">
        <v>1</v>
      </c>
      <c r="C4" s="81" t="s">
        <v>128</v>
      </c>
      <c r="D4" s="109" t="s">
        <v>238</v>
      </c>
      <c r="E4" s="81" t="s">
        <v>239</v>
      </c>
      <c r="F4" s="52">
        <v>10</v>
      </c>
      <c r="G4" s="52">
        <f t="shared" si="0"/>
        <v>10.97</v>
      </c>
      <c r="H4" s="110"/>
      <c r="I4" s="81">
        <f>VLOOKUP(C4,Recipes!$A$2:$N$4,10,FALSE())</f>
        <v>10.940000000000001</v>
      </c>
      <c r="J4" s="81">
        <f>VLOOKUP(C4,Recipes!$A$2:$N$4,12,FALSE())</f>
        <v>5.2703573566378441E-2</v>
      </c>
      <c r="K4" s="81">
        <f t="shared" si="1"/>
        <v>10.781889279300866</v>
      </c>
      <c r="L4" s="81">
        <f t="shared" si="2"/>
        <v>11.098110720699136</v>
      </c>
      <c r="M4" s="81" t="str">
        <f t="shared" ref="M4:M67" si="4">IF(G4="","",IF(AND(G4&gt;=K4,G4&lt;=L4),"OK","NG"))</f>
        <v>OK</v>
      </c>
      <c r="N4" s="117">
        <f t="shared" si="3"/>
        <v>1</v>
      </c>
      <c r="O4" s="81">
        <f t="shared" ref="O4:O67" si="5">IF(G4="","",I4-G4)</f>
        <v>-2.9999999999999361E-2</v>
      </c>
      <c r="P4" s="81">
        <f>IF(G4="","",ABS(O4-Components!$C$2))</f>
        <v>2.7833333333333292</v>
      </c>
      <c r="Q4" s="81">
        <f>IF(G4="","",ABS(O4-Components!$C$3))</f>
        <v>4.0659999999999989</v>
      </c>
      <c r="R4" s="81">
        <f>IF(G4="","",ABS(O4-Components!$C$4))</f>
        <v>1.0233333333333323</v>
      </c>
      <c r="S4" s="81">
        <f>IF(G4="","",ABS(O4-Components!$C$5))</f>
        <v>4.5926666666666698</v>
      </c>
      <c r="T4" s="81">
        <f>IF(G4="","",ABS(O4-Components!$C$6))</f>
        <v>1.1856666666666693</v>
      </c>
      <c r="U4" s="81">
        <f>IF(G4="","",ABS(O4-Components!$C$7))</f>
        <v>1.4043333333333294</v>
      </c>
      <c r="V4" s="81" t="str">
        <f>IF(F4="","",IF(M4="OK","NONE",INDEX({"S1","S2","W1","W2","N1","N2"},MATCH(MIN(P4:U4),P4:U4,0))))</f>
        <v>NONE</v>
      </c>
      <c r="W4" s="117">
        <f t="shared" ref="W4:W67" si="6">IF(G4="","",IF(V4=E4,1,0))</f>
        <v>1</v>
      </c>
      <c r="X4" s="119"/>
    </row>
    <row r="5" spans="1:24">
      <c r="A5" s="115">
        <v>3</v>
      </c>
      <c r="B5" s="116">
        <v>1</v>
      </c>
      <c r="C5" s="81" t="s">
        <v>128</v>
      </c>
      <c r="D5" s="109" t="s">
        <v>238</v>
      </c>
      <c r="E5" s="81" t="s">
        <v>239</v>
      </c>
      <c r="F5" s="52">
        <v>10</v>
      </c>
      <c r="G5" s="52">
        <f t="shared" si="0"/>
        <v>10.97</v>
      </c>
      <c r="H5" s="110"/>
      <c r="I5" s="81">
        <f>VLOOKUP(C5,Recipes!$A$2:$N$4,10,FALSE())</f>
        <v>10.940000000000001</v>
      </c>
      <c r="J5" s="81">
        <f>VLOOKUP(C5,Recipes!$A$2:$N$4,12,FALSE())</f>
        <v>5.2703573566378441E-2</v>
      </c>
      <c r="K5" s="81">
        <f t="shared" si="1"/>
        <v>10.781889279300866</v>
      </c>
      <c r="L5" s="81">
        <f t="shared" si="2"/>
        <v>11.098110720699136</v>
      </c>
      <c r="M5" s="81" t="str">
        <f t="shared" si="4"/>
        <v>OK</v>
      </c>
      <c r="N5" s="117">
        <f t="shared" si="3"/>
        <v>1</v>
      </c>
      <c r="O5" s="81">
        <f t="shared" si="5"/>
        <v>-2.9999999999999361E-2</v>
      </c>
      <c r="P5" s="81">
        <f>IF(G5="","",ABS(O5-Components!$C$2))</f>
        <v>2.7833333333333292</v>
      </c>
      <c r="Q5" s="81">
        <f>IF(G5="","",ABS(O5-Components!$C$3))</f>
        <v>4.0659999999999989</v>
      </c>
      <c r="R5" s="81">
        <f>IF(G5="","",ABS(O5-Components!$C$4))</f>
        <v>1.0233333333333323</v>
      </c>
      <c r="S5" s="81">
        <f>IF(G5="","",ABS(O5-Components!$C$5))</f>
        <v>4.5926666666666698</v>
      </c>
      <c r="T5" s="81">
        <f>IF(G5="","",ABS(O5-Components!$C$6))</f>
        <v>1.1856666666666693</v>
      </c>
      <c r="U5" s="81">
        <f>IF(G5="","",ABS(O5-Components!$C$7))</f>
        <v>1.4043333333333294</v>
      </c>
      <c r="V5" s="81" t="str">
        <f>IF(F5="","",IF(M5="OK","NONE",INDEX({"S1","S2","W1","W2","N1","N2"},MATCH(MIN(P5:U5),P5:U5,0))))</f>
        <v>NONE</v>
      </c>
      <c r="W5" s="117">
        <f t="shared" si="6"/>
        <v>1</v>
      </c>
      <c r="X5" s="119"/>
    </row>
    <row r="6" spans="1:24">
      <c r="A6" s="115">
        <v>4</v>
      </c>
      <c r="B6" s="116">
        <v>1</v>
      </c>
      <c r="C6" s="81" t="s">
        <v>128</v>
      </c>
      <c r="D6" s="109" t="s">
        <v>238</v>
      </c>
      <c r="E6" s="81" t="s">
        <v>239</v>
      </c>
      <c r="F6" s="52">
        <v>9.91</v>
      </c>
      <c r="G6" s="52">
        <f t="shared" si="0"/>
        <v>10.88</v>
      </c>
      <c r="H6" s="110"/>
      <c r="I6" s="81">
        <f>VLOOKUP(C6,Recipes!$A$2:$N$4,10,FALSE())</f>
        <v>10.940000000000001</v>
      </c>
      <c r="J6" s="81">
        <f>VLOOKUP(C6,Recipes!$A$2:$N$4,12,FALSE())</f>
        <v>5.2703573566378441E-2</v>
      </c>
      <c r="K6" s="81">
        <f t="shared" si="1"/>
        <v>10.781889279300866</v>
      </c>
      <c r="L6" s="81">
        <f t="shared" si="2"/>
        <v>11.098110720699136</v>
      </c>
      <c r="M6" s="81" t="str">
        <f t="shared" si="4"/>
        <v>OK</v>
      </c>
      <c r="N6" s="117">
        <f t="shared" si="3"/>
        <v>1</v>
      </c>
      <c r="O6" s="81">
        <f t="shared" si="5"/>
        <v>6.0000000000000497E-2</v>
      </c>
      <c r="P6" s="81">
        <f>IF(G6="","",ABS(O6-Components!$C$2))</f>
        <v>2.6933333333333294</v>
      </c>
      <c r="Q6" s="81">
        <f>IF(G6="","",ABS(O6-Components!$C$3))</f>
        <v>3.9759999999999991</v>
      </c>
      <c r="R6" s="81">
        <f>IF(G6="","",ABS(O6-Components!$C$4))</f>
        <v>0.93333333333333246</v>
      </c>
      <c r="S6" s="81">
        <f>IF(G6="","",ABS(O6-Components!$C$5))</f>
        <v>4.5026666666666699</v>
      </c>
      <c r="T6" s="81">
        <f>IF(G6="","",ABS(O6-Components!$C$6))</f>
        <v>1.0956666666666695</v>
      </c>
      <c r="U6" s="81">
        <f>IF(G6="","",ABS(O6-Components!$C$7))</f>
        <v>1.3143333333333296</v>
      </c>
      <c r="V6" s="81" t="str">
        <f>IF(F6="","",IF(M6="OK","NONE",INDEX({"S1","S2","W1","W2","N1","N2"},MATCH(MIN(P6:U6),P6:U6,0))))</f>
        <v>NONE</v>
      </c>
      <c r="W6" s="117">
        <f t="shared" si="6"/>
        <v>1</v>
      </c>
      <c r="X6" s="119"/>
    </row>
    <row r="7" spans="1:24">
      <c r="A7" s="115">
        <v>5</v>
      </c>
      <c r="B7" s="116">
        <v>1</v>
      </c>
      <c r="C7" s="81" t="s">
        <v>128</v>
      </c>
      <c r="D7" s="109" t="s">
        <v>238</v>
      </c>
      <c r="E7" s="81" t="s">
        <v>239</v>
      </c>
      <c r="F7" s="52">
        <v>10.039999999999999</v>
      </c>
      <c r="G7" s="52">
        <f t="shared" si="0"/>
        <v>11.01</v>
      </c>
      <c r="H7" s="110"/>
      <c r="I7" s="81">
        <f>VLOOKUP(C7,Recipes!$A$2:$N$4,10,FALSE())</f>
        <v>10.940000000000001</v>
      </c>
      <c r="J7" s="81">
        <f>VLOOKUP(C7,Recipes!$A$2:$N$4,12,FALSE())</f>
        <v>5.2703573566378441E-2</v>
      </c>
      <c r="K7" s="81">
        <f t="shared" si="1"/>
        <v>10.781889279300866</v>
      </c>
      <c r="L7" s="81">
        <f t="shared" si="2"/>
        <v>11.098110720699136</v>
      </c>
      <c r="M7" s="81" t="str">
        <f t="shared" si="4"/>
        <v>OK</v>
      </c>
      <c r="N7" s="117">
        <f t="shared" si="3"/>
        <v>1</v>
      </c>
      <c r="O7" s="81">
        <f t="shared" si="5"/>
        <v>-6.9999999999998508E-2</v>
      </c>
      <c r="P7" s="81">
        <f>IF(G7="","",ABS(O7-Components!$C$2))</f>
        <v>2.8233333333333284</v>
      </c>
      <c r="Q7" s="81">
        <f>IF(G7="","",ABS(O7-Components!$C$3))</f>
        <v>4.1059999999999981</v>
      </c>
      <c r="R7" s="81">
        <f>IF(G7="","",ABS(O7-Components!$C$4))</f>
        <v>1.0633333333333315</v>
      </c>
      <c r="S7" s="81">
        <f>IF(G7="","",ABS(O7-Components!$C$5))</f>
        <v>4.6326666666666689</v>
      </c>
      <c r="T7" s="81">
        <f>IF(G7="","",ABS(O7-Components!$C$6))</f>
        <v>1.2256666666666685</v>
      </c>
      <c r="U7" s="81">
        <f>IF(G7="","",ABS(O7-Components!$C$7))</f>
        <v>1.4443333333333286</v>
      </c>
      <c r="V7" s="81" t="str">
        <f>IF(F7="","",IF(M7="OK","NONE",INDEX({"S1","S2","W1","W2","N1","N2"},MATCH(MIN(P7:U7),P7:U7,0))))</f>
        <v>NONE</v>
      </c>
      <c r="W7" s="117">
        <f t="shared" si="6"/>
        <v>1</v>
      </c>
      <c r="X7" s="119"/>
    </row>
    <row r="8" spans="1:24">
      <c r="A8" s="115">
        <v>6</v>
      </c>
      <c r="B8" s="116">
        <v>1</v>
      </c>
      <c r="C8" s="81" t="s">
        <v>128</v>
      </c>
      <c r="D8" s="109" t="s">
        <v>238</v>
      </c>
      <c r="E8" s="81" t="s">
        <v>239</v>
      </c>
      <c r="F8" s="52">
        <v>9.84</v>
      </c>
      <c r="G8" s="52">
        <f t="shared" si="0"/>
        <v>10.81</v>
      </c>
      <c r="H8" s="110"/>
      <c r="I8" s="81">
        <f>VLOOKUP(C8,Recipes!$A$2:$N$4,10,FALSE())</f>
        <v>10.940000000000001</v>
      </c>
      <c r="J8" s="81">
        <f>VLOOKUP(C8,Recipes!$A$2:$N$4,12,FALSE())</f>
        <v>5.2703573566378441E-2</v>
      </c>
      <c r="K8" s="81">
        <f t="shared" si="1"/>
        <v>10.781889279300866</v>
      </c>
      <c r="L8" s="81">
        <f t="shared" si="2"/>
        <v>11.098110720699136</v>
      </c>
      <c r="M8" s="81" t="str">
        <f t="shared" si="4"/>
        <v>OK</v>
      </c>
      <c r="N8" s="117">
        <f t="shared" si="3"/>
        <v>1</v>
      </c>
      <c r="O8" s="81">
        <f t="shared" si="5"/>
        <v>0.13000000000000078</v>
      </c>
      <c r="P8" s="81">
        <f>IF(G8="","",ABS(O8-Components!$C$2))</f>
        <v>2.6233333333333291</v>
      </c>
      <c r="Q8" s="81">
        <f>IF(G8="","",ABS(O8-Components!$C$3))</f>
        <v>3.9059999999999988</v>
      </c>
      <c r="R8" s="81">
        <f>IF(G8="","",ABS(O8-Components!$C$4))</f>
        <v>0.86333333333333218</v>
      </c>
      <c r="S8" s="81">
        <f>IF(G8="","",ABS(O8-Components!$C$5))</f>
        <v>4.4326666666666696</v>
      </c>
      <c r="T8" s="81">
        <f>IF(G8="","",ABS(O8-Components!$C$6))</f>
        <v>1.0256666666666692</v>
      </c>
      <c r="U8" s="81">
        <f>IF(G8="","",ABS(O8-Components!$C$7))</f>
        <v>1.2443333333333293</v>
      </c>
      <c r="V8" s="81" t="str">
        <f>IF(F8="","",IF(M8="OK","NONE",INDEX({"S1","S2","W1","W2","N1","N2"},MATCH(MIN(P8:U8),P8:U8,0))))</f>
        <v>NONE</v>
      </c>
      <c r="W8" s="117">
        <f t="shared" si="6"/>
        <v>1</v>
      </c>
      <c r="X8" s="119"/>
    </row>
    <row r="9" spans="1:24">
      <c r="A9" s="115">
        <v>7</v>
      </c>
      <c r="B9" s="116">
        <v>1</v>
      </c>
      <c r="C9" s="81" t="s">
        <v>128</v>
      </c>
      <c r="D9" s="109" t="s">
        <v>238</v>
      </c>
      <c r="E9" s="81" t="s">
        <v>239</v>
      </c>
      <c r="F9" s="52">
        <v>9.9</v>
      </c>
      <c r="G9" s="52">
        <f t="shared" si="0"/>
        <v>10.870000000000001</v>
      </c>
      <c r="H9" s="110"/>
      <c r="I9" s="81">
        <f>VLOOKUP(C9,Recipes!$A$2:$N$4,10,FALSE())</f>
        <v>10.940000000000001</v>
      </c>
      <c r="J9" s="81">
        <f>VLOOKUP(C9,Recipes!$A$2:$N$4,12,FALSE())</f>
        <v>5.2703573566378441E-2</v>
      </c>
      <c r="K9" s="81">
        <f t="shared" si="1"/>
        <v>10.781889279300866</v>
      </c>
      <c r="L9" s="81">
        <f t="shared" si="2"/>
        <v>11.098110720699136</v>
      </c>
      <c r="M9" s="81" t="str">
        <f t="shared" si="4"/>
        <v>OK</v>
      </c>
      <c r="N9" s="117">
        <f t="shared" si="3"/>
        <v>1</v>
      </c>
      <c r="O9" s="81">
        <f t="shared" si="5"/>
        <v>7.0000000000000284E-2</v>
      </c>
      <c r="P9" s="81">
        <f>IF(G9="","",ABS(O9-Components!$C$2))</f>
        <v>2.6833333333333296</v>
      </c>
      <c r="Q9" s="81">
        <f>IF(G9="","",ABS(O9-Components!$C$3))</f>
        <v>3.9659999999999993</v>
      </c>
      <c r="R9" s="81">
        <f>IF(G9="","",ABS(O9-Components!$C$4))</f>
        <v>0.92333333333333267</v>
      </c>
      <c r="S9" s="81">
        <f>IF(G9="","",ABS(O9-Components!$C$5))</f>
        <v>4.4926666666666701</v>
      </c>
      <c r="T9" s="81">
        <f>IF(G9="","",ABS(O9-Components!$C$6))</f>
        <v>1.0856666666666697</v>
      </c>
      <c r="U9" s="81">
        <f>IF(G9="","",ABS(O9-Components!$C$7))</f>
        <v>1.3043333333333298</v>
      </c>
      <c r="V9" s="81" t="str">
        <f>IF(F9="","",IF(M9="OK","NONE",INDEX({"S1","S2","W1","W2","N1","N2"},MATCH(MIN(P9:U9),P9:U9,0))))</f>
        <v>NONE</v>
      </c>
      <c r="W9" s="117">
        <f t="shared" si="6"/>
        <v>1</v>
      </c>
      <c r="X9" s="119"/>
    </row>
    <row r="10" spans="1:24">
      <c r="A10" s="115">
        <v>8</v>
      </c>
      <c r="B10" s="116">
        <v>1</v>
      </c>
      <c r="C10" s="81" t="s">
        <v>128</v>
      </c>
      <c r="D10" s="109" t="s">
        <v>238</v>
      </c>
      <c r="E10" s="81" t="s">
        <v>239</v>
      </c>
      <c r="F10" s="52">
        <v>9.92</v>
      </c>
      <c r="G10" s="52">
        <f t="shared" si="0"/>
        <v>10.89</v>
      </c>
      <c r="H10" s="110"/>
      <c r="I10" s="81">
        <f>VLOOKUP(C10,Recipes!$A$2:$N$4,10,FALSE())</f>
        <v>10.940000000000001</v>
      </c>
      <c r="J10" s="81">
        <f>VLOOKUP(C10,Recipes!$A$2:$N$4,12,FALSE())</f>
        <v>5.2703573566378441E-2</v>
      </c>
      <c r="K10" s="81">
        <f t="shared" si="1"/>
        <v>10.781889279300866</v>
      </c>
      <c r="L10" s="81">
        <f t="shared" si="2"/>
        <v>11.098110720699136</v>
      </c>
      <c r="M10" s="81" t="str">
        <f t="shared" si="4"/>
        <v>OK</v>
      </c>
      <c r="N10" s="117">
        <f t="shared" si="3"/>
        <v>1</v>
      </c>
      <c r="O10" s="81">
        <f t="shared" si="5"/>
        <v>5.0000000000000711E-2</v>
      </c>
      <c r="P10" s="81">
        <f>IF(G10="","",ABS(O10-Components!$C$2))</f>
        <v>2.7033333333333291</v>
      </c>
      <c r="Q10" s="81">
        <f>IF(G10="","",ABS(O10-Components!$C$3))</f>
        <v>3.9859999999999989</v>
      </c>
      <c r="R10" s="81">
        <f>IF(G10="","",ABS(O10-Components!$C$4))</f>
        <v>0.94333333333333225</v>
      </c>
      <c r="S10" s="81">
        <f>IF(G10="","",ABS(O10-Components!$C$5))</f>
        <v>4.5126666666666697</v>
      </c>
      <c r="T10" s="81">
        <f>IF(G10="","",ABS(O10-Components!$C$6))</f>
        <v>1.1056666666666692</v>
      </c>
      <c r="U10" s="81">
        <f>IF(G10="","",ABS(O10-Components!$C$7))</f>
        <v>1.3243333333333294</v>
      </c>
      <c r="V10" s="81" t="str">
        <f>IF(F10="","",IF(M10="OK","NONE",INDEX({"S1","S2","W1","W2","N1","N2"},MATCH(MIN(P10:U10),P10:U10,0))))</f>
        <v>NONE</v>
      </c>
      <c r="W10" s="117">
        <f t="shared" si="6"/>
        <v>1</v>
      </c>
      <c r="X10" s="119"/>
    </row>
    <row r="11" spans="1:24">
      <c r="A11" s="115">
        <v>9</v>
      </c>
      <c r="B11" s="116">
        <v>1</v>
      </c>
      <c r="C11" s="81" t="s">
        <v>128</v>
      </c>
      <c r="D11" s="109" t="s">
        <v>238</v>
      </c>
      <c r="E11" s="81" t="s">
        <v>239</v>
      </c>
      <c r="F11" s="52">
        <v>9.9499999999999993</v>
      </c>
      <c r="G11" s="52">
        <f t="shared" si="0"/>
        <v>10.92</v>
      </c>
      <c r="H11" s="110"/>
      <c r="I11" s="81">
        <f>VLOOKUP(C11,Recipes!$A$2:$N$4,10,FALSE())</f>
        <v>10.940000000000001</v>
      </c>
      <c r="J11" s="81">
        <f>VLOOKUP(C11,Recipes!$A$2:$N$4,12,FALSE())</f>
        <v>5.2703573566378441E-2</v>
      </c>
      <c r="K11" s="81">
        <f t="shared" si="1"/>
        <v>10.781889279300866</v>
      </c>
      <c r="L11" s="81">
        <f t="shared" si="2"/>
        <v>11.098110720699136</v>
      </c>
      <c r="M11" s="81" t="str">
        <f t="shared" si="4"/>
        <v>OK</v>
      </c>
      <c r="N11" s="117">
        <f t="shared" si="3"/>
        <v>1</v>
      </c>
      <c r="O11" s="81">
        <f t="shared" si="5"/>
        <v>2.000000000000135E-2</v>
      </c>
      <c r="P11" s="81">
        <f>IF(G11="","",ABS(O11-Components!$C$2))</f>
        <v>2.7333333333333285</v>
      </c>
      <c r="Q11" s="81">
        <f>IF(G11="","",ABS(O11-Components!$C$3))</f>
        <v>4.0159999999999982</v>
      </c>
      <c r="R11" s="81">
        <f>IF(G11="","",ABS(O11-Components!$C$4))</f>
        <v>0.97333333333333161</v>
      </c>
      <c r="S11" s="81">
        <f>IF(G11="","",ABS(O11-Components!$C$5))</f>
        <v>4.5426666666666691</v>
      </c>
      <c r="T11" s="81">
        <f>IF(G11="","",ABS(O11-Components!$C$6))</f>
        <v>1.1356666666666686</v>
      </c>
      <c r="U11" s="81">
        <f>IF(G11="","",ABS(O11-Components!$C$7))</f>
        <v>1.3543333333333287</v>
      </c>
      <c r="V11" s="81" t="str">
        <f>IF(F11="","",IF(M11="OK","NONE",INDEX({"S1","S2","W1","W2","N1","N2"},MATCH(MIN(P11:U11),P11:U11,0))))</f>
        <v>NONE</v>
      </c>
      <c r="W11" s="117">
        <f t="shared" si="6"/>
        <v>1</v>
      </c>
      <c r="X11" s="119"/>
    </row>
    <row r="12" spans="1:24">
      <c r="A12" s="115">
        <v>10</v>
      </c>
      <c r="B12" s="116">
        <v>1</v>
      </c>
      <c r="C12" s="81" t="s">
        <v>128</v>
      </c>
      <c r="D12" s="109" t="s">
        <v>238</v>
      </c>
      <c r="E12" s="81" t="s">
        <v>239</v>
      </c>
      <c r="F12" s="52">
        <v>9.8699999999999992</v>
      </c>
      <c r="G12" s="52">
        <f t="shared" si="0"/>
        <v>10.84</v>
      </c>
      <c r="H12" s="110"/>
      <c r="I12" s="81">
        <f>VLOOKUP(C12,Recipes!$A$2:$N$4,10,FALSE())</f>
        <v>10.940000000000001</v>
      </c>
      <c r="J12" s="81">
        <f>VLOOKUP(C12,Recipes!$A$2:$N$4,12,FALSE())</f>
        <v>5.2703573566378441E-2</v>
      </c>
      <c r="K12" s="81">
        <f t="shared" si="1"/>
        <v>10.781889279300866</v>
      </c>
      <c r="L12" s="81">
        <f t="shared" si="2"/>
        <v>11.098110720699136</v>
      </c>
      <c r="M12" s="81" t="str">
        <f t="shared" si="4"/>
        <v>OK</v>
      </c>
      <c r="N12" s="117">
        <f t="shared" si="3"/>
        <v>1</v>
      </c>
      <c r="O12" s="81">
        <f t="shared" si="5"/>
        <v>0.10000000000000142</v>
      </c>
      <c r="P12" s="81">
        <f>IF(G12="","",ABS(O12-Components!$C$2))</f>
        <v>2.6533333333333284</v>
      </c>
      <c r="Q12" s="81">
        <f>IF(G12="","",ABS(O12-Components!$C$3))</f>
        <v>3.9359999999999982</v>
      </c>
      <c r="R12" s="81">
        <f>IF(G12="","",ABS(O12-Components!$C$4))</f>
        <v>0.89333333333333154</v>
      </c>
      <c r="S12" s="81">
        <f>IF(G12="","",ABS(O12-Components!$C$5))</f>
        <v>4.462666666666669</v>
      </c>
      <c r="T12" s="81">
        <f>IF(G12="","",ABS(O12-Components!$C$6))</f>
        <v>1.0556666666666685</v>
      </c>
      <c r="U12" s="81">
        <f>IF(G12="","",ABS(O12-Components!$C$7))</f>
        <v>1.2743333333333287</v>
      </c>
      <c r="V12" s="81" t="str">
        <f>IF(F12="","",IF(M12="OK","NONE",INDEX({"S1","S2","W1","W2","N1","N2"},MATCH(MIN(P12:U12),P12:U12,0))))</f>
        <v>NONE</v>
      </c>
      <c r="W12" s="117">
        <f t="shared" si="6"/>
        <v>1</v>
      </c>
      <c r="X12" s="119"/>
    </row>
    <row r="13" spans="1:24">
      <c r="A13" s="115">
        <v>11</v>
      </c>
      <c r="B13" s="116">
        <v>1</v>
      </c>
      <c r="C13" s="81" t="s">
        <v>128</v>
      </c>
      <c r="D13" s="109" t="s">
        <v>238</v>
      </c>
      <c r="E13" s="81" t="s">
        <v>239</v>
      </c>
      <c r="F13" s="52">
        <v>9.8800000000000008</v>
      </c>
      <c r="G13" s="52">
        <f t="shared" si="0"/>
        <v>10.850000000000001</v>
      </c>
      <c r="H13" s="110"/>
      <c r="I13" s="81">
        <f>VLOOKUP(C13,Recipes!$A$2:$N$4,10,FALSE())</f>
        <v>10.940000000000001</v>
      </c>
      <c r="J13" s="81">
        <f>VLOOKUP(C13,Recipes!$A$2:$N$4,12,FALSE())</f>
        <v>5.2703573566378441E-2</v>
      </c>
      <c r="K13" s="81">
        <f t="shared" si="1"/>
        <v>10.781889279300866</v>
      </c>
      <c r="L13" s="81">
        <f t="shared" si="2"/>
        <v>11.098110720699136</v>
      </c>
      <c r="M13" s="81" t="str">
        <f t="shared" si="4"/>
        <v>OK</v>
      </c>
      <c r="N13" s="117">
        <f t="shared" si="3"/>
        <v>1</v>
      </c>
      <c r="O13" s="81">
        <f t="shared" si="5"/>
        <v>8.9999999999999858E-2</v>
      </c>
      <c r="P13" s="81">
        <f>IF(G13="","",ABS(O13-Components!$C$2))</f>
        <v>2.66333333333333</v>
      </c>
      <c r="Q13" s="81">
        <f>IF(G13="","",ABS(O13-Components!$C$3))</f>
        <v>3.9459999999999997</v>
      </c>
      <c r="R13" s="81">
        <f>IF(G13="","",ABS(O13-Components!$C$4))</f>
        <v>0.9033333333333331</v>
      </c>
      <c r="S13" s="81">
        <f>IF(G13="","",ABS(O13-Components!$C$5))</f>
        <v>4.4726666666666706</v>
      </c>
      <c r="T13" s="81">
        <f>IF(G13="","",ABS(O13-Components!$C$6))</f>
        <v>1.0656666666666701</v>
      </c>
      <c r="U13" s="81">
        <f>IF(G13="","",ABS(O13-Components!$C$7))</f>
        <v>1.2843333333333302</v>
      </c>
      <c r="V13" s="81" t="str">
        <f>IF(F13="","",IF(M13="OK","NONE",INDEX({"S1","S2","W1","W2","N1","N2"},MATCH(MIN(P13:U13),P13:U13,0))))</f>
        <v>NONE</v>
      </c>
      <c r="W13" s="117">
        <f t="shared" si="6"/>
        <v>1</v>
      </c>
      <c r="X13" s="119"/>
    </row>
    <row r="14" spans="1:24">
      <c r="A14" s="115">
        <v>12</v>
      </c>
      <c r="B14" s="116">
        <v>1</v>
      </c>
      <c r="C14" s="81" t="s">
        <v>128</v>
      </c>
      <c r="D14" s="202" t="s">
        <v>238</v>
      </c>
      <c r="E14" s="81" t="s">
        <v>239</v>
      </c>
      <c r="F14" s="52">
        <v>9.91</v>
      </c>
      <c r="G14" s="52">
        <f t="shared" si="0"/>
        <v>10.88</v>
      </c>
      <c r="H14" s="110"/>
      <c r="I14" s="81">
        <f>VLOOKUP(C14,Recipes!$A$2:$N$4,10,FALSE())</f>
        <v>10.940000000000001</v>
      </c>
      <c r="J14" s="81">
        <f>VLOOKUP(C14,Recipes!$A$2:$N$4,12,FALSE())</f>
        <v>5.2703573566378441E-2</v>
      </c>
      <c r="K14" s="81">
        <f t="shared" si="1"/>
        <v>10.781889279300866</v>
      </c>
      <c r="L14" s="81">
        <f t="shared" si="2"/>
        <v>11.098110720699136</v>
      </c>
      <c r="M14" s="81" t="str">
        <f t="shared" si="4"/>
        <v>OK</v>
      </c>
      <c r="N14" s="117">
        <f t="shared" si="3"/>
        <v>1</v>
      </c>
      <c r="O14" s="81">
        <f t="shared" si="5"/>
        <v>6.0000000000000497E-2</v>
      </c>
      <c r="P14" s="81">
        <f>IF(G14="","",ABS(O14-Components!$C$2))</f>
        <v>2.6933333333333294</v>
      </c>
      <c r="Q14" s="81">
        <f>IF(G14="","",ABS(O14-Components!$C$3))</f>
        <v>3.9759999999999991</v>
      </c>
      <c r="R14" s="81">
        <f>IF(G14="","",ABS(O14-Components!$C$4))</f>
        <v>0.93333333333333246</v>
      </c>
      <c r="S14" s="81">
        <f>IF(G14="","",ABS(O14-Components!$C$5))</f>
        <v>4.5026666666666699</v>
      </c>
      <c r="T14" s="81">
        <f>IF(G14="","",ABS(O14-Components!$C$6))</f>
        <v>1.0956666666666695</v>
      </c>
      <c r="U14" s="81">
        <f>IF(G14="","",ABS(O14-Components!$C$7))</f>
        <v>1.3143333333333296</v>
      </c>
      <c r="V14" s="81" t="str">
        <f>IF(F14="","",IF(M14="OK","NONE",INDEX({"S1","S2","W1","W2","N1","N2"},MATCH(MIN(P14:U14),P14:U14,0))))</f>
        <v>NONE</v>
      </c>
      <c r="W14" s="117">
        <f t="shared" si="6"/>
        <v>1</v>
      </c>
      <c r="X14" s="119"/>
    </row>
    <row r="15" spans="1:24">
      <c r="A15" s="115">
        <v>13</v>
      </c>
      <c r="B15" s="116">
        <v>1</v>
      </c>
      <c r="C15" s="81" t="s">
        <v>128</v>
      </c>
      <c r="D15" s="109" t="s">
        <v>238</v>
      </c>
      <c r="E15" s="81" t="s">
        <v>239</v>
      </c>
      <c r="F15" s="52">
        <v>9.9</v>
      </c>
      <c r="G15" s="52">
        <f t="shared" si="0"/>
        <v>10.870000000000001</v>
      </c>
      <c r="H15" s="110"/>
      <c r="I15" s="81">
        <f>VLOOKUP(C15,Recipes!$A$2:$N$4,10,FALSE())</f>
        <v>10.940000000000001</v>
      </c>
      <c r="J15" s="81">
        <f>VLOOKUP(C15,Recipes!$A$2:$N$4,12,FALSE())</f>
        <v>5.2703573566378441E-2</v>
      </c>
      <c r="K15" s="81">
        <f t="shared" si="1"/>
        <v>10.781889279300866</v>
      </c>
      <c r="L15" s="81">
        <f t="shared" si="2"/>
        <v>11.098110720699136</v>
      </c>
      <c r="M15" s="81" t="str">
        <f t="shared" si="4"/>
        <v>OK</v>
      </c>
      <c r="N15" s="117">
        <f t="shared" si="3"/>
        <v>1</v>
      </c>
      <c r="O15" s="81">
        <f t="shared" si="5"/>
        <v>7.0000000000000284E-2</v>
      </c>
      <c r="P15" s="81">
        <f>IF(G15="","",ABS(O15-Components!$C$2))</f>
        <v>2.6833333333333296</v>
      </c>
      <c r="Q15" s="81">
        <f>IF(G15="","",ABS(O15-Components!$C$3))</f>
        <v>3.9659999999999993</v>
      </c>
      <c r="R15" s="81">
        <f>IF(G15="","",ABS(O15-Components!$C$4))</f>
        <v>0.92333333333333267</v>
      </c>
      <c r="S15" s="81">
        <f>IF(G15="","",ABS(O15-Components!$C$5))</f>
        <v>4.4926666666666701</v>
      </c>
      <c r="T15" s="81">
        <f>IF(G15="","",ABS(O15-Components!$C$6))</f>
        <v>1.0856666666666697</v>
      </c>
      <c r="U15" s="81">
        <f>IF(G15="","",ABS(O15-Components!$C$7))</f>
        <v>1.3043333333333298</v>
      </c>
      <c r="V15" s="81" t="str">
        <f>IF(F15="","",IF(M15="OK","NONE",INDEX({"S1","S2","W1","W2","N1","N2"},MATCH(MIN(P15:U15),P15:U15,0))))</f>
        <v>NONE</v>
      </c>
      <c r="W15" s="117">
        <f t="shared" si="6"/>
        <v>1</v>
      </c>
      <c r="X15" s="119"/>
    </row>
    <row r="16" spans="1:24">
      <c r="A16" s="115">
        <v>14</v>
      </c>
      <c r="B16" s="116">
        <v>1</v>
      </c>
      <c r="C16" s="81" t="s">
        <v>128</v>
      </c>
      <c r="D16" s="109" t="s">
        <v>238</v>
      </c>
      <c r="E16" s="81" t="s">
        <v>239</v>
      </c>
      <c r="F16" s="52">
        <v>9.92</v>
      </c>
      <c r="G16" s="52">
        <f t="shared" si="0"/>
        <v>10.89</v>
      </c>
      <c r="H16" s="110"/>
      <c r="I16" s="81">
        <f>VLOOKUP(C16,Recipes!$A$2:$N$4,10,FALSE())</f>
        <v>10.940000000000001</v>
      </c>
      <c r="J16" s="81">
        <f>VLOOKUP(C16,Recipes!$A$2:$N$4,12,FALSE())</f>
        <v>5.2703573566378441E-2</v>
      </c>
      <c r="K16" s="81">
        <f t="shared" si="1"/>
        <v>10.781889279300866</v>
      </c>
      <c r="L16" s="81">
        <f t="shared" si="2"/>
        <v>11.098110720699136</v>
      </c>
      <c r="M16" s="81" t="str">
        <f t="shared" si="4"/>
        <v>OK</v>
      </c>
      <c r="N16" s="117">
        <f t="shared" si="3"/>
        <v>1</v>
      </c>
      <c r="O16" s="81">
        <f t="shared" si="5"/>
        <v>5.0000000000000711E-2</v>
      </c>
      <c r="P16" s="81">
        <f>IF(G16="","",ABS(O16-Components!$C$2))</f>
        <v>2.7033333333333291</v>
      </c>
      <c r="Q16" s="81">
        <f>IF(G16="","",ABS(O16-Components!$C$3))</f>
        <v>3.9859999999999989</v>
      </c>
      <c r="R16" s="81">
        <f>IF(G16="","",ABS(O16-Components!$C$4))</f>
        <v>0.94333333333333225</v>
      </c>
      <c r="S16" s="81">
        <f>IF(G16="","",ABS(O16-Components!$C$5))</f>
        <v>4.5126666666666697</v>
      </c>
      <c r="T16" s="81">
        <f>IF(G16="","",ABS(O16-Components!$C$6))</f>
        <v>1.1056666666666692</v>
      </c>
      <c r="U16" s="81">
        <f>IF(G16="","",ABS(O16-Components!$C$7))</f>
        <v>1.3243333333333294</v>
      </c>
      <c r="V16" s="81" t="str">
        <f>IF(F16="","",IF(M16="OK","NONE",INDEX({"S1","S2","W1","W2","N1","N2"},MATCH(MIN(P16:U16),P16:U16,0))))</f>
        <v>NONE</v>
      </c>
      <c r="W16" s="117">
        <f t="shared" si="6"/>
        <v>1</v>
      </c>
      <c r="X16" s="119"/>
    </row>
    <row r="17" spans="1:24">
      <c r="A17" s="115">
        <v>15</v>
      </c>
      <c r="B17" s="116">
        <v>1</v>
      </c>
      <c r="C17" s="81" t="s">
        <v>128</v>
      </c>
      <c r="D17" s="109" t="s">
        <v>238</v>
      </c>
      <c r="E17" s="81" t="s">
        <v>239</v>
      </c>
      <c r="F17" s="52">
        <v>9.94</v>
      </c>
      <c r="G17" s="52">
        <f t="shared" si="0"/>
        <v>10.91</v>
      </c>
      <c r="H17" s="110"/>
      <c r="I17" s="81">
        <f>VLOOKUP(C17,Recipes!$A$2:$N$4,10,FALSE())</f>
        <v>10.940000000000001</v>
      </c>
      <c r="J17" s="81">
        <f>VLOOKUP(C17,Recipes!$A$2:$N$4,12,FALSE())</f>
        <v>5.2703573566378441E-2</v>
      </c>
      <c r="K17" s="81">
        <f t="shared" si="1"/>
        <v>10.781889279300866</v>
      </c>
      <c r="L17" s="81">
        <f t="shared" si="2"/>
        <v>11.098110720699136</v>
      </c>
      <c r="M17" s="81" t="str">
        <f t="shared" si="4"/>
        <v>OK</v>
      </c>
      <c r="N17" s="117">
        <f t="shared" si="3"/>
        <v>1</v>
      </c>
      <c r="O17" s="81">
        <f t="shared" si="5"/>
        <v>3.0000000000001137E-2</v>
      </c>
      <c r="P17" s="81">
        <f>IF(G17="","",ABS(O17-Components!$C$2))</f>
        <v>2.7233333333333287</v>
      </c>
      <c r="Q17" s="81">
        <f>IF(G17="","",ABS(O17-Components!$C$3))</f>
        <v>4.0059999999999985</v>
      </c>
      <c r="R17" s="81">
        <f>IF(G17="","",ABS(O17-Components!$C$4))</f>
        <v>0.96333333333333182</v>
      </c>
      <c r="S17" s="81">
        <f>IF(G17="","",ABS(O17-Components!$C$5))</f>
        <v>4.5326666666666693</v>
      </c>
      <c r="T17" s="81">
        <f>IF(G17="","",ABS(O17-Components!$C$6))</f>
        <v>1.1256666666666688</v>
      </c>
      <c r="U17" s="81">
        <f>IF(G17="","",ABS(O17-Components!$C$7))</f>
        <v>1.3443333333333289</v>
      </c>
      <c r="V17" s="81" t="str">
        <f>IF(F17="","",IF(M17="OK","NONE",INDEX({"S1","S2","W1","W2","N1","N2"},MATCH(MIN(P17:U17),P17:U17,0))))</f>
        <v>NONE</v>
      </c>
      <c r="W17" s="117">
        <f t="shared" si="6"/>
        <v>1</v>
      </c>
      <c r="X17" s="119"/>
    </row>
    <row r="18" spans="1:24">
      <c r="A18" s="115">
        <v>16</v>
      </c>
      <c r="B18" s="116">
        <v>1</v>
      </c>
      <c r="C18" s="81" t="s">
        <v>128</v>
      </c>
      <c r="D18" s="109" t="s">
        <v>238</v>
      </c>
      <c r="E18" s="81" t="s">
        <v>239</v>
      </c>
      <c r="F18" s="52">
        <v>9.92</v>
      </c>
      <c r="G18" s="52">
        <f t="shared" si="0"/>
        <v>10.89</v>
      </c>
      <c r="H18" s="110"/>
      <c r="I18" s="81">
        <f>VLOOKUP(C18,Recipes!$A$2:$N$4,10,FALSE())</f>
        <v>10.940000000000001</v>
      </c>
      <c r="J18" s="81">
        <f>VLOOKUP(C18,Recipes!$A$2:$N$4,12,FALSE())</f>
        <v>5.2703573566378441E-2</v>
      </c>
      <c r="K18" s="81">
        <f t="shared" si="1"/>
        <v>10.781889279300866</v>
      </c>
      <c r="L18" s="81">
        <f t="shared" si="2"/>
        <v>11.098110720699136</v>
      </c>
      <c r="M18" s="81" t="str">
        <f t="shared" si="4"/>
        <v>OK</v>
      </c>
      <c r="N18" s="117">
        <f t="shared" si="3"/>
        <v>1</v>
      </c>
      <c r="O18" s="81">
        <f t="shared" si="5"/>
        <v>5.0000000000000711E-2</v>
      </c>
      <c r="P18" s="81">
        <f>IF(G18="","",ABS(O18-Components!$C$2))</f>
        <v>2.7033333333333291</v>
      </c>
      <c r="Q18" s="81">
        <f>IF(G18="","",ABS(O18-Components!$C$3))</f>
        <v>3.9859999999999989</v>
      </c>
      <c r="R18" s="81">
        <f>IF(G18="","",ABS(O18-Components!$C$4))</f>
        <v>0.94333333333333225</v>
      </c>
      <c r="S18" s="81">
        <f>IF(G18="","",ABS(O18-Components!$C$5))</f>
        <v>4.5126666666666697</v>
      </c>
      <c r="T18" s="81">
        <f>IF(G18="","",ABS(O18-Components!$C$6))</f>
        <v>1.1056666666666692</v>
      </c>
      <c r="U18" s="81">
        <f>IF(G18="","",ABS(O18-Components!$C$7))</f>
        <v>1.3243333333333294</v>
      </c>
      <c r="V18" s="81" t="str">
        <f>IF(F18="","",IF(M18="OK","NONE",INDEX({"S1","S2","W1","W2","N1","N2"},MATCH(MIN(P18:U18),P18:U18,0))))</f>
        <v>NONE</v>
      </c>
      <c r="W18" s="117">
        <f t="shared" si="6"/>
        <v>1</v>
      </c>
      <c r="X18" s="119"/>
    </row>
    <row r="19" spans="1:24">
      <c r="A19" s="115">
        <v>17</v>
      </c>
      <c r="B19" s="116">
        <v>1</v>
      </c>
      <c r="C19" s="81" t="s">
        <v>128</v>
      </c>
      <c r="D19" s="109" t="s">
        <v>238</v>
      </c>
      <c r="E19" s="81" t="s">
        <v>239</v>
      </c>
      <c r="F19" s="52">
        <v>9.89</v>
      </c>
      <c r="G19" s="52">
        <f t="shared" si="0"/>
        <v>10.860000000000001</v>
      </c>
      <c r="H19" s="110"/>
      <c r="I19" s="81">
        <f>VLOOKUP(C19,Recipes!$A$2:$N$4,10,FALSE())</f>
        <v>10.940000000000001</v>
      </c>
      <c r="J19" s="81">
        <f>VLOOKUP(C19,Recipes!$A$2:$N$4,12,FALSE())</f>
        <v>5.2703573566378441E-2</v>
      </c>
      <c r="K19" s="81">
        <f t="shared" si="1"/>
        <v>10.781889279300866</v>
      </c>
      <c r="L19" s="81">
        <f t="shared" si="2"/>
        <v>11.098110720699136</v>
      </c>
      <c r="M19" s="81" t="str">
        <f t="shared" si="4"/>
        <v>OK</v>
      </c>
      <c r="N19" s="117">
        <f t="shared" si="3"/>
        <v>1</v>
      </c>
      <c r="O19" s="81">
        <f t="shared" si="5"/>
        <v>8.0000000000000071E-2</v>
      </c>
      <c r="P19" s="81">
        <f>IF(G19="","",ABS(O19-Components!$C$2))</f>
        <v>2.6733333333333298</v>
      </c>
      <c r="Q19" s="81">
        <f>IF(G19="","",ABS(O19-Components!$C$3))</f>
        <v>3.9559999999999995</v>
      </c>
      <c r="R19" s="81">
        <f>IF(G19="","",ABS(O19-Components!$C$4))</f>
        <v>0.91333333333333289</v>
      </c>
      <c r="S19" s="81">
        <f>IF(G19="","",ABS(O19-Components!$C$5))</f>
        <v>4.4826666666666704</v>
      </c>
      <c r="T19" s="81">
        <f>IF(G19="","",ABS(O19-Components!$C$6))</f>
        <v>1.0756666666666699</v>
      </c>
      <c r="U19" s="81">
        <f>IF(G19="","",ABS(O19-Components!$C$7))</f>
        <v>1.29433333333333</v>
      </c>
      <c r="V19" s="81" t="str">
        <f>IF(F19="","",IF(M19="OK","NONE",INDEX({"S1","S2","W1","W2","N1","N2"},MATCH(MIN(P19:U19),P19:U19,0))))</f>
        <v>NONE</v>
      </c>
      <c r="W19" s="117">
        <f t="shared" si="6"/>
        <v>1</v>
      </c>
      <c r="X19" s="119"/>
    </row>
    <row r="20" spans="1:24">
      <c r="A20" s="115">
        <v>18</v>
      </c>
      <c r="B20" s="116">
        <v>1</v>
      </c>
      <c r="C20" s="81" t="s">
        <v>128</v>
      </c>
      <c r="D20" s="109" t="s">
        <v>238</v>
      </c>
      <c r="E20" s="81" t="s">
        <v>239</v>
      </c>
      <c r="F20" s="52">
        <v>9.92</v>
      </c>
      <c r="G20" s="52">
        <f t="shared" si="0"/>
        <v>10.89</v>
      </c>
      <c r="H20" s="110"/>
      <c r="I20" s="81">
        <f>VLOOKUP(C20,Recipes!$A$2:$N$4,10,FALSE())</f>
        <v>10.940000000000001</v>
      </c>
      <c r="J20" s="81">
        <f>VLOOKUP(C20,Recipes!$A$2:$N$4,12,FALSE())</f>
        <v>5.2703573566378441E-2</v>
      </c>
      <c r="K20" s="81">
        <f t="shared" si="1"/>
        <v>10.781889279300866</v>
      </c>
      <c r="L20" s="81">
        <f t="shared" si="2"/>
        <v>11.098110720699136</v>
      </c>
      <c r="M20" s="81" t="str">
        <f t="shared" si="4"/>
        <v>OK</v>
      </c>
      <c r="N20" s="117">
        <f t="shared" si="3"/>
        <v>1</v>
      </c>
      <c r="O20" s="81">
        <f t="shared" si="5"/>
        <v>5.0000000000000711E-2</v>
      </c>
      <c r="P20" s="81">
        <f>IF(G20="","",ABS(O20-Components!$C$2))</f>
        <v>2.7033333333333291</v>
      </c>
      <c r="Q20" s="81">
        <f>IF(G20="","",ABS(O20-Components!$C$3))</f>
        <v>3.9859999999999989</v>
      </c>
      <c r="R20" s="81">
        <f>IF(G20="","",ABS(O20-Components!$C$4))</f>
        <v>0.94333333333333225</v>
      </c>
      <c r="S20" s="81">
        <f>IF(G20="","",ABS(O20-Components!$C$5))</f>
        <v>4.5126666666666697</v>
      </c>
      <c r="T20" s="81">
        <f>IF(G20="","",ABS(O20-Components!$C$6))</f>
        <v>1.1056666666666692</v>
      </c>
      <c r="U20" s="81">
        <f>IF(G20="","",ABS(O20-Components!$C$7))</f>
        <v>1.3243333333333294</v>
      </c>
      <c r="V20" s="81" t="str">
        <f>IF(F20="","",IF(M20="OK","NONE",INDEX({"S1","S2","W1","W2","N1","N2"},MATCH(MIN(P20:U20),P20:U20,0))))</f>
        <v>NONE</v>
      </c>
      <c r="W20" s="117">
        <f t="shared" si="6"/>
        <v>1</v>
      </c>
      <c r="X20" s="119"/>
    </row>
    <row r="21" spans="1:24">
      <c r="A21" s="115">
        <v>19</v>
      </c>
      <c r="B21" s="116">
        <v>1</v>
      </c>
      <c r="C21" s="81" t="s">
        <v>128</v>
      </c>
      <c r="D21" s="109" t="s">
        <v>238</v>
      </c>
      <c r="E21" s="81" t="s">
        <v>239</v>
      </c>
      <c r="F21" s="52">
        <v>9.9499999999999993</v>
      </c>
      <c r="G21" s="52">
        <f t="shared" si="0"/>
        <v>10.92</v>
      </c>
      <c r="H21" s="110"/>
      <c r="I21" s="81">
        <f>VLOOKUP(C21,Recipes!$A$2:$N$4,10,FALSE())</f>
        <v>10.940000000000001</v>
      </c>
      <c r="J21" s="81">
        <f>VLOOKUP(C21,Recipes!$A$2:$N$4,12,FALSE())</f>
        <v>5.2703573566378441E-2</v>
      </c>
      <c r="K21" s="81">
        <f t="shared" si="1"/>
        <v>10.781889279300866</v>
      </c>
      <c r="L21" s="81">
        <f t="shared" si="2"/>
        <v>11.098110720699136</v>
      </c>
      <c r="M21" s="81" t="str">
        <f t="shared" si="4"/>
        <v>OK</v>
      </c>
      <c r="N21" s="117">
        <f t="shared" si="3"/>
        <v>1</v>
      </c>
      <c r="O21" s="81">
        <f t="shared" si="5"/>
        <v>2.000000000000135E-2</v>
      </c>
      <c r="P21" s="81">
        <f>IF(G21="","",ABS(O21-Components!$C$2))</f>
        <v>2.7333333333333285</v>
      </c>
      <c r="Q21" s="81">
        <f>IF(G21="","",ABS(O21-Components!$C$3))</f>
        <v>4.0159999999999982</v>
      </c>
      <c r="R21" s="81">
        <f>IF(G21="","",ABS(O21-Components!$C$4))</f>
        <v>0.97333333333333161</v>
      </c>
      <c r="S21" s="81">
        <f>IF(G21="","",ABS(O21-Components!$C$5))</f>
        <v>4.5426666666666691</v>
      </c>
      <c r="T21" s="81">
        <f>IF(G21="","",ABS(O21-Components!$C$6))</f>
        <v>1.1356666666666686</v>
      </c>
      <c r="U21" s="81">
        <f>IF(G21="","",ABS(O21-Components!$C$7))</f>
        <v>1.3543333333333287</v>
      </c>
      <c r="V21" s="81" t="str">
        <f>IF(F21="","",IF(M21="OK","NONE",INDEX({"S1","S2","W1","W2","N1","N2"},MATCH(MIN(P21:U21),P21:U21,0))))</f>
        <v>NONE</v>
      </c>
      <c r="W21" s="117">
        <f t="shared" si="6"/>
        <v>1</v>
      </c>
      <c r="X21" s="119"/>
    </row>
    <row r="22" spans="1:24">
      <c r="A22" s="115">
        <v>20</v>
      </c>
      <c r="B22" s="116">
        <v>1</v>
      </c>
      <c r="C22" s="81" t="s">
        <v>128</v>
      </c>
      <c r="D22" s="109" t="s">
        <v>238</v>
      </c>
      <c r="E22" s="81" t="s">
        <v>239</v>
      </c>
      <c r="F22" s="52">
        <v>9.98</v>
      </c>
      <c r="G22" s="52">
        <f t="shared" si="0"/>
        <v>10.950000000000001</v>
      </c>
      <c r="H22" s="110"/>
      <c r="I22" s="81">
        <f>VLOOKUP(C22,Recipes!$A$2:$N$4,10,FALSE())</f>
        <v>10.940000000000001</v>
      </c>
      <c r="J22" s="81">
        <f>VLOOKUP(C22,Recipes!$A$2:$N$4,12,FALSE())</f>
        <v>5.2703573566378441E-2</v>
      </c>
      <c r="K22" s="81">
        <f t="shared" si="1"/>
        <v>10.781889279300866</v>
      </c>
      <c r="L22" s="81">
        <f t="shared" si="2"/>
        <v>11.098110720699136</v>
      </c>
      <c r="M22" s="81" t="str">
        <f t="shared" si="4"/>
        <v>OK</v>
      </c>
      <c r="N22" s="117">
        <f t="shared" si="3"/>
        <v>1</v>
      </c>
      <c r="O22" s="81">
        <f t="shared" si="5"/>
        <v>-9.9999999999997868E-3</v>
      </c>
      <c r="P22" s="81">
        <f>IF(G22="","",ABS(O22-Components!$C$2))</f>
        <v>2.7633333333333296</v>
      </c>
      <c r="Q22" s="81">
        <f>IF(G22="","",ABS(O22-Components!$C$3))</f>
        <v>4.0459999999999994</v>
      </c>
      <c r="R22" s="81">
        <f>IF(G22="","",ABS(O22-Components!$C$4))</f>
        <v>1.0033333333333327</v>
      </c>
      <c r="S22" s="81">
        <f>IF(G22="","",ABS(O22-Components!$C$5))</f>
        <v>4.5726666666666702</v>
      </c>
      <c r="T22" s="81">
        <f>IF(G22="","",ABS(O22-Components!$C$6))</f>
        <v>1.1656666666666697</v>
      </c>
      <c r="U22" s="81">
        <f>IF(G22="","",ABS(O22-Components!$C$7))</f>
        <v>1.3843333333333299</v>
      </c>
      <c r="V22" s="81" t="str">
        <f>IF(F22="","",IF(M22="OK","NONE",INDEX({"S1","S2","W1","W2","N1","N2"},MATCH(MIN(P22:U22),P22:U22,0))))</f>
        <v>NONE</v>
      </c>
      <c r="W22" s="117">
        <f t="shared" si="6"/>
        <v>1</v>
      </c>
      <c r="X22" s="119"/>
    </row>
    <row r="23" spans="1:24">
      <c r="A23" s="115">
        <v>21</v>
      </c>
      <c r="B23" s="116">
        <v>1</v>
      </c>
      <c r="C23" s="81" t="s">
        <v>128</v>
      </c>
      <c r="D23" s="109" t="s">
        <v>238</v>
      </c>
      <c r="E23" s="81" t="s">
        <v>239</v>
      </c>
      <c r="F23" s="52">
        <v>9.99</v>
      </c>
      <c r="G23" s="52">
        <f t="shared" si="0"/>
        <v>10.96</v>
      </c>
      <c r="H23" s="110"/>
      <c r="I23" s="81">
        <f>VLOOKUP(C23,Recipes!$A$2:$N$4,10,FALSE())</f>
        <v>10.940000000000001</v>
      </c>
      <c r="J23" s="81">
        <f>VLOOKUP(C23,Recipes!$A$2:$N$4,12,FALSE())</f>
        <v>5.2703573566378441E-2</v>
      </c>
      <c r="K23" s="81">
        <f t="shared" si="1"/>
        <v>10.781889279300866</v>
      </c>
      <c r="L23" s="81">
        <f t="shared" si="2"/>
        <v>11.098110720699136</v>
      </c>
      <c r="M23" s="81" t="str">
        <f t="shared" si="4"/>
        <v>OK</v>
      </c>
      <c r="N23" s="117">
        <f t="shared" si="3"/>
        <v>1</v>
      </c>
      <c r="O23" s="81">
        <f t="shared" si="5"/>
        <v>-1.9999999999999574E-2</v>
      </c>
      <c r="P23" s="81">
        <f>IF(G23="","",ABS(O23-Components!$C$2))</f>
        <v>2.7733333333333294</v>
      </c>
      <c r="Q23" s="81">
        <f>IF(G23="","",ABS(O23-Components!$C$3))</f>
        <v>4.0559999999999992</v>
      </c>
      <c r="R23" s="81">
        <f>IF(G23="","",ABS(O23-Components!$C$4))</f>
        <v>1.0133333333333325</v>
      </c>
      <c r="S23" s="81">
        <f>IF(G23="","",ABS(O23-Components!$C$5))</f>
        <v>4.58266666666667</v>
      </c>
      <c r="T23" s="81">
        <f>IF(G23="","",ABS(O23-Components!$C$6))</f>
        <v>1.1756666666666695</v>
      </c>
      <c r="U23" s="81">
        <f>IF(G23="","",ABS(O23-Components!$C$7))</f>
        <v>1.3943333333333296</v>
      </c>
      <c r="V23" s="81" t="str">
        <f>IF(F23="","",IF(M23="OK","NONE",INDEX({"S1","S2","W1","W2","N1","N2"},MATCH(MIN(P23:U23),P23:U23,0))))</f>
        <v>NONE</v>
      </c>
      <c r="W23" s="117">
        <f t="shared" si="6"/>
        <v>1</v>
      </c>
      <c r="X23" s="119"/>
    </row>
    <row r="24" spans="1:24">
      <c r="A24" s="115">
        <v>22</v>
      </c>
      <c r="B24" s="116">
        <v>1</v>
      </c>
      <c r="C24" s="81" t="s">
        <v>128</v>
      </c>
      <c r="D24" s="109" t="s">
        <v>238</v>
      </c>
      <c r="E24" s="81" t="s">
        <v>239</v>
      </c>
      <c r="F24" s="52">
        <v>9.9</v>
      </c>
      <c r="G24" s="52">
        <f t="shared" si="0"/>
        <v>10.870000000000001</v>
      </c>
      <c r="H24" s="110"/>
      <c r="I24" s="81">
        <f>VLOOKUP(C24,Recipes!$A$2:$N$4,10,FALSE())</f>
        <v>10.940000000000001</v>
      </c>
      <c r="J24" s="81">
        <f>VLOOKUP(C24,Recipes!$A$2:$N$4,12,FALSE())</f>
        <v>5.2703573566378441E-2</v>
      </c>
      <c r="K24" s="81">
        <f t="shared" si="1"/>
        <v>10.781889279300866</v>
      </c>
      <c r="L24" s="81">
        <f t="shared" si="2"/>
        <v>11.098110720699136</v>
      </c>
      <c r="M24" s="81" t="str">
        <f t="shared" si="4"/>
        <v>OK</v>
      </c>
      <c r="N24" s="117">
        <f t="shared" si="3"/>
        <v>1</v>
      </c>
      <c r="O24" s="81">
        <f t="shared" si="5"/>
        <v>7.0000000000000284E-2</v>
      </c>
      <c r="P24" s="81">
        <f>IF(G24="","",ABS(O24-Components!$C$2))</f>
        <v>2.6833333333333296</v>
      </c>
      <c r="Q24" s="81">
        <f>IF(G24="","",ABS(O24-Components!$C$3))</f>
        <v>3.9659999999999993</v>
      </c>
      <c r="R24" s="81">
        <f>IF(G24="","",ABS(O24-Components!$C$4))</f>
        <v>0.92333333333333267</v>
      </c>
      <c r="S24" s="81">
        <f>IF(G24="","",ABS(O24-Components!$C$5))</f>
        <v>4.4926666666666701</v>
      </c>
      <c r="T24" s="81">
        <f>IF(G24="","",ABS(O24-Components!$C$6))</f>
        <v>1.0856666666666697</v>
      </c>
      <c r="U24" s="81">
        <f>IF(G24="","",ABS(O24-Components!$C$7))</f>
        <v>1.3043333333333298</v>
      </c>
      <c r="V24" s="81" t="str">
        <f>IF(F24="","",IF(M24="OK","NONE",INDEX({"S1","S2","W1","W2","N1","N2"},MATCH(MIN(P24:U24),P24:U24,0))))</f>
        <v>NONE</v>
      </c>
      <c r="W24" s="117">
        <f t="shared" si="6"/>
        <v>1</v>
      </c>
      <c r="X24" s="119"/>
    </row>
    <row r="25" spans="1:24">
      <c r="A25" s="115">
        <v>23</v>
      </c>
      <c r="B25" s="116">
        <v>1</v>
      </c>
      <c r="C25" s="81" t="s">
        <v>128</v>
      </c>
      <c r="D25" s="109" t="s">
        <v>238</v>
      </c>
      <c r="E25" s="81" t="s">
        <v>239</v>
      </c>
      <c r="F25" s="52">
        <v>9.9700000000000006</v>
      </c>
      <c r="G25" s="52">
        <f t="shared" si="0"/>
        <v>10.940000000000001</v>
      </c>
      <c r="H25" s="110"/>
      <c r="I25" s="81">
        <f>VLOOKUP(C25,Recipes!$A$2:$N$4,10,FALSE())</f>
        <v>10.940000000000001</v>
      </c>
      <c r="J25" s="81">
        <f>VLOOKUP(C25,Recipes!$A$2:$N$4,12,FALSE())</f>
        <v>5.2703573566378441E-2</v>
      </c>
      <c r="K25" s="81">
        <f t="shared" si="1"/>
        <v>10.781889279300866</v>
      </c>
      <c r="L25" s="81">
        <f t="shared" si="2"/>
        <v>11.098110720699136</v>
      </c>
      <c r="M25" s="81" t="str">
        <f t="shared" si="4"/>
        <v>OK</v>
      </c>
      <c r="N25" s="117">
        <f t="shared" si="3"/>
        <v>1</v>
      </c>
      <c r="O25" s="81">
        <f t="shared" si="5"/>
        <v>0</v>
      </c>
      <c r="P25" s="81">
        <f>IF(G25="","",ABS(O25-Components!$C$2))</f>
        <v>2.7533333333333299</v>
      </c>
      <c r="Q25" s="81">
        <f>IF(G25="","",ABS(O25-Components!$C$3))</f>
        <v>4.0359999999999996</v>
      </c>
      <c r="R25" s="81">
        <f>IF(G25="","",ABS(O25-Components!$C$4))</f>
        <v>0.99333333333333296</v>
      </c>
      <c r="S25" s="81">
        <f>IF(G25="","",ABS(O25-Components!$C$5))</f>
        <v>4.5626666666666704</v>
      </c>
      <c r="T25" s="81">
        <f>IF(G25="","",ABS(O25-Components!$C$6))</f>
        <v>1.15566666666667</v>
      </c>
      <c r="U25" s="81">
        <f>IF(G25="","",ABS(O25-Components!$C$7))</f>
        <v>1.3743333333333301</v>
      </c>
      <c r="V25" s="81" t="str">
        <f>IF(F25="","",IF(M25="OK","NONE",INDEX({"S1","S2","W1","W2","N1","N2"},MATCH(MIN(P25:U25),P25:U25,0))))</f>
        <v>NONE</v>
      </c>
      <c r="W25" s="117">
        <f t="shared" si="6"/>
        <v>1</v>
      </c>
      <c r="X25" s="119"/>
    </row>
    <row r="26" spans="1:24">
      <c r="A26" s="115">
        <v>24</v>
      </c>
      <c r="B26" s="116">
        <v>1</v>
      </c>
      <c r="C26" s="81" t="s">
        <v>128</v>
      </c>
      <c r="D26" s="109" t="s">
        <v>238</v>
      </c>
      <c r="E26" s="81" t="s">
        <v>239</v>
      </c>
      <c r="F26" s="52">
        <v>10.02</v>
      </c>
      <c r="G26" s="52">
        <f t="shared" si="0"/>
        <v>10.99</v>
      </c>
      <c r="H26" s="110"/>
      <c r="I26" s="81">
        <f>VLOOKUP(C26,Recipes!$A$2:$N$4,10,FALSE())</f>
        <v>10.940000000000001</v>
      </c>
      <c r="J26" s="81">
        <f>VLOOKUP(C26,Recipes!$A$2:$N$4,12,FALSE())</f>
        <v>5.2703573566378441E-2</v>
      </c>
      <c r="K26" s="81">
        <f t="shared" si="1"/>
        <v>10.781889279300866</v>
      </c>
      <c r="L26" s="81">
        <f t="shared" si="2"/>
        <v>11.098110720699136</v>
      </c>
      <c r="M26" s="81" t="str">
        <f t="shared" si="4"/>
        <v>OK</v>
      </c>
      <c r="N26" s="117">
        <f t="shared" si="3"/>
        <v>1</v>
      </c>
      <c r="O26" s="81">
        <f t="shared" si="5"/>
        <v>-4.9999999999998934E-2</v>
      </c>
      <c r="P26" s="81">
        <f>IF(G26="","",ABS(O26-Components!$C$2))</f>
        <v>2.8033333333333288</v>
      </c>
      <c r="Q26" s="81">
        <f>IF(G26="","",ABS(O26-Components!$C$3))</f>
        <v>4.0859999999999985</v>
      </c>
      <c r="R26" s="81">
        <f>IF(G26="","",ABS(O26-Components!$C$4))</f>
        <v>1.0433333333333319</v>
      </c>
      <c r="S26" s="81">
        <f>IF(G26="","",ABS(O26-Components!$C$5))</f>
        <v>4.6126666666666694</v>
      </c>
      <c r="T26" s="81">
        <f>IF(G26="","",ABS(O26-Components!$C$6))</f>
        <v>1.2056666666666689</v>
      </c>
      <c r="U26" s="81">
        <f>IF(G26="","",ABS(O26-Components!$C$7))</f>
        <v>1.424333333333329</v>
      </c>
      <c r="V26" s="81" t="str">
        <f>IF(F26="","",IF(M26="OK","NONE",INDEX({"S1","S2","W1","W2","N1","N2"},MATCH(MIN(P26:U26),P26:U26,0))))</f>
        <v>NONE</v>
      </c>
      <c r="W26" s="117">
        <f t="shared" si="6"/>
        <v>1</v>
      </c>
      <c r="X26" s="119"/>
    </row>
    <row r="27" spans="1:24">
      <c r="A27" s="115">
        <v>25</v>
      </c>
      <c r="B27" s="116">
        <v>1</v>
      </c>
      <c r="C27" s="81" t="s">
        <v>128</v>
      </c>
      <c r="D27" s="109" t="s">
        <v>238</v>
      </c>
      <c r="E27" s="81" t="s">
        <v>239</v>
      </c>
      <c r="F27" s="52">
        <v>10</v>
      </c>
      <c r="G27" s="52">
        <f t="shared" si="0"/>
        <v>10.97</v>
      </c>
      <c r="H27" s="110"/>
      <c r="I27" s="81">
        <f>VLOOKUP(C27,Recipes!$A$2:$N$4,10,FALSE())</f>
        <v>10.940000000000001</v>
      </c>
      <c r="J27" s="81">
        <f>VLOOKUP(C27,Recipes!$A$2:$N$4,12,FALSE())</f>
        <v>5.2703573566378441E-2</v>
      </c>
      <c r="K27" s="81">
        <f t="shared" si="1"/>
        <v>10.781889279300866</v>
      </c>
      <c r="L27" s="81">
        <f t="shared" si="2"/>
        <v>11.098110720699136</v>
      </c>
      <c r="M27" s="81" t="str">
        <f t="shared" si="4"/>
        <v>OK</v>
      </c>
      <c r="N27" s="117">
        <f t="shared" si="3"/>
        <v>1</v>
      </c>
      <c r="O27" s="81">
        <f t="shared" si="5"/>
        <v>-2.9999999999999361E-2</v>
      </c>
      <c r="P27" s="81">
        <f>IF(G27="","",ABS(O27-Components!$C$2))</f>
        <v>2.7833333333333292</v>
      </c>
      <c r="Q27" s="81">
        <f>IF(G27="","",ABS(O27-Components!$C$3))</f>
        <v>4.0659999999999989</v>
      </c>
      <c r="R27" s="81">
        <f>IF(G27="","",ABS(O27-Components!$C$4))</f>
        <v>1.0233333333333323</v>
      </c>
      <c r="S27" s="81">
        <f>IF(G27="","",ABS(O27-Components!$C$5))</f>
        <v>4.5926666666666698</v>
      </c>
      <c r="T27" s="81">
        <f>IF(G27="","",ABS(O27-Components!$C$6))</f>
        <v>1.1856666666666693</v>
      </c>
      <c r="U27" s="81">
        <f>IF(G27="","",ABS(O27-Components!$C$7))</f>
        <v>1.4043333333333294</v>
      </c>
      <c r="V27" s="81" t="str">
        <f>IF(F27="","",IF(M27="OK","NONE",INDEX({"S1","S2","W1","W2","N1","N2"},MATCH(MIN(P27:U27),P27:U27,0))))</f>
        <v>NONE</v>
      </c>
      <c r="W27" s="117">
        <f t="shared" si="6"/>
        <v>1</v>
      </c>
      <c r="X27" s="119"/>
    </row>
    <row r="28" spans="1:24">
      <c r="A28" s="115">
        <v>26</v>
      </c>
      <c r="B28" s="116">
        <v>1</v>
      </c>
      <c r="C28" s="81" t="s">
        <v>128</v>
      </c>
      <c r="D28" s="109" t="s">
        <v>238</v>
      </c>
      <c r="E28" s="81" t="s">
        <v>239</v>
      </c>
      <c r="F28" s="52">
        <v>9.93</v>
      </c>
      <c r="G28" s="52">
        <f t="shared" si="0"/>
        <v>10.9</v>
      </c>
      <c r="H28" s="110"/>
      <c r="I28" s="81">
        <f>VLOOKUP(C28,Recipes!$A$2:$N$4,10,FALSE())</f>
        <v>10.940000000000001</v>
      </c>
      <c r="J28" s="81">
        <f>VLOOKUP(C28,Recipes!$A$2:$N$4,12,FALSE())</f>
        <v>5.2703573566378441E-2</v>
      </c>
      <c r="K28" s="81">
        <f t="shared" si="1"/>
        <v>10.781889279300866</v>
      </c>
      <c r="L28" s="81">
        <f t="shared" si="2"/>
        <v>11.098110720699136</v>
      </c>
      <c r="M28" s="81" t="str">
        <f t="shared" si="4"/>
        <v>OK</v>
      </c>
      <c r="N28" s="117">
        <f t="shared" si="3"/>
        <v>1</v>
      </c>
      <c r="O28" s="81">
        <f t="shared" si="5"/>
        <v>4.0000000000000924E-2</v>
      </c>
      <c r="P28" s="81">
        <f>IF(G28="","",ABS(O28-Components!$C$2))</f>
        <v>2.7133333333333289</v>
      </c>
      <c r="Q28" s="81">
        <f>IF(G28="","",ABS(O28-Components!$C$3))</f>
        <v>3.9959999999999987</v>
      </c>
      <c r="R28" s="81">
        <f>IF(G28="","",ABS(O28-Components!$C$4))</f>
        <v>0.95333333333333203</v>
      </c>
      <c r="S28" s="81">
        <f>IF(G28="","",ABS(O28-Components!$C$5))</f>
        <v>4.5226666666666695</v>
      </c>
      <c r="T28" s="81">
        <f>IF(G28="","",ABS(O28-Components!$C$6))</f>
        <v>1.115666666666669</v>
      </c>
      <c r="U28" s="81">
        <f>IF(G28="","",ABS(O28-Components!$C$7))</f>
        <v>1.3343333333333292</v>
      </c>
      <c r="V28" s="81" t="str">
        <f>IF(F28="","",IF(M28="OK","NONE",INDEX({"S1","S2","W1","W2","N1","N2"},MATCH(MIN(P28:U28),P28:U28,0))))</f>
        <v>NONE</v>
      </c>
      <c r="W28" s="117">
        <f t="shared" si="6"/>
        <v>1</v>
      </c>
      <c r="X28" s="119"/>
    </row>
    <row r="29" spans="1:24">
      <c r="A29" s="115">
        <v>27</v>
      </c>
      <c r="B29" s="116">
        <v>1</v>
      </c>
      <c r="C29" s="81" t="s">
        <v>128</v>
      </c>
      <c r="D29" s="109" t="s">
        <v>238</v>
      </c>
      <c r="E29" s="81" t="s">
        <v>239</v>
      </c>
      <c r="F29" s="52">
        <v>9.9700000000000006</v>
      </c>
      <c r="G29" s="52">
        <f t="shared" si="0"/>
        <v>10.940000000000001</v>
      </c>
      <c r="H29" s="110"/>
      <c r="I29" s="81">
        <f>VLOOKUP(C29,Recipes!$A$2:$N$4,10,FALSE())</f>
        <v>10.940000000000001</v>
      </c>
      <c r="J29" s="81">
        <f>VLOOKUP(C29,Recipes!$A$2:$N$4,12,FALSE())</f>
        <v>5.2703573566378441E-2</v>
      </c>
      <c r="K29" s="81">
        <f t="shared" si="1"/>
        <v>10.781889279300866</v>
      </c>
      <c r="L29" s="81">
        <f t="shared" si="2"/>
        <v>11.098110720699136</v>
      </c>
      <c r="M29" s="81" t="str">
        <f t="shared" si="4"/>
        <v>OK</v>
      </c>
      <c r="N29" s="117">
        <f t="shared" si="3"/>
        <v>1</v>
      </c>
      <c r="O29" s="81">
        <f t="shared" si="5"/>
        <v>0</v>
      </c>
      <c r="P29" s="81">
        <f>IF(G29="","",ABS(O29-Components!$C$2))</f>
        <v>2.7533333333333299</v>
      </c>
      <c r="Q29" s="81">
        <f>IF(G29="","",ABS(O29-Components!$C$3))</f>
        <v>4.0359999999999996</v>
      </c>
      <c r="R29" s="81">
        <f>IF(G29="","",ABS(O29-Components!$C$4))</f>
        <v>0.99333333333333296</v>
      </c>
      <c r="S29" s="81">
        <f>IF(G29="","",ABS(O29-Components!$C$5))</f>
        <v>4.5626666666666704</v>
      </c>
      <c r="T29" s="81">
        <f>IF(G29="","",ABS(O29-Components!$C$6))</f>
        <v>1.15566666666667</v>
      </c>
      <c r="U29" s="81">
        <f>IF(G29="","",ABS(O29-Components!$C$7))</f>
        <v>1.3743333333333301</v>
      </c>
      <c r="V29" s="81" t="str">
        <f>IF(F29="","",IF(M29="OK","NONE",INDEX({"S1","S2","W1","W2","N1","N2"},MATCH(MIN(P29:U29),P29:U29,0))))</f>
        <v>NONE</v>
      </c>
      <c r="W29" s="117">
        <f t="shared" si="6"/>
        <v>1</v>
      </c>
      <c r="X29" s="119"/>
    </row>
    <row r="30" spans="1:24">
      <c r="A30" s="115">
        <v>28</v>
      </c>
      <c r="B30" s="116">
        <v>1</v>
      </c>
      <c r="C30" s="81" t="s">
        <v>128</v>
      </c>
      <c r="D30" s="109" t="s">
        <v>238</v>
      </c>
      <c r="E30" s="81" t="s">
        <v>239</v>
      </c>
      <c r="F30" s="52">
        <v>9.94</v>
      </c>
      <c r="G30" s="52">
        <f t="shared" si="0"/>
        <v>10.91</v>
      </c>
      <c r="H30" s="110"/>
      <c r="I30" s="81">
        <f>VLOOKUP(C30,Recipes!$A$2:$N$4,10,FALSE())</f>
        <v>10.940000000000001</v>
      </c>
      <c r="J30" s="81">
        <f>VLOOKUP(C30,Recipes!$A$2:$N$4,12,FALSE())</f>
        <v>5.2703573566378441E-2</v>
      </c>
      <c r="K30" s="81">
        <f t="shared" si="1"/>
        <v>10.781889279300866</v>
      </c>
      <c r="L30" s="81">
        <f t="shared" si="2"/>
        <v>11.098110720699136</v>
      </c>
      <c r="M30" s="81" t="str">
        <f t="shared" si="4"/>
        <v>OK</v>
      </c>
      <c r="N30" s="117">
        <f t="shared" si="3"/>
        <v>1</v>
      </c>
      <c r="O30" s="81">
        <f t="shared" si="5"/>
        <v>3.0000000000001137E-2</v>
      </c>
      <c r="P30" s="81">
        <f>IF(G30="","",ABS(O30-Components!$C$2))</f>
        <v>2.7233333333333287</v>
      </c>
      <c r="Q30" s="81">
        <f>IF(G30="","",ABS(O30-Components!$C$3))</f>
        <v>4.0059999999999985</v>
      </c>
      <c r="R30" s="81">
        <f>IF(G30="","",ABS(O30-Components!$C$4))</f>
        <v>0.96333333333333182</v>
      </c>
      <c r="S30" s="81">
        <f>IF(G30="","",ABS(O30-Components!$C$5))</f>
        <v>4.5326666666666693</v>
      </c>
      <c r="T30" s="81">
        <f>IF(G30="","",ABS(O30-Components!$C$6))</f>
        <v>1.1256666666666688</v>
      </c>
      <c r="U30" s="81">
        <f>IF(G30="","",ABS(O30-Components!$C$7))</f>
        <v>1.3443333333333289</v>
      </c>
      <c r="V30" s="81" t="str">
        <f>IF(F30="","",IF(M30="OK","NONE",INDEX({"S1","S2","W1","W2","N1","N2"},MATCH(MIN(P30:U30),P30:U30,0))))</f>
        <v>NONE</v>
      </c>
      <c r="W30" s="117">
        <f t="shared" si="6"/>
        <v>1</v>
      </c>
      <c r="X30" s="119"/>
    </row>
    <row r="31" spans="1:24">
      <c r="A31" s="115">
        <v>29</v>
      </c>
      <c r="B31" s="116">
        <v>1</v>
      </c>
      <c r="C31" s="81" t="s">
        <v>128</v>
      </c>
      <c r="D31" s="109" t="s">
        <v>238</v>
      </c>
      <c r="E31" s="81" t="s">
        <v>239</v>
      </c>
      <c r="F31" s="52">
        <v>9.99</v>
      </c>
      <c r="G31" s="52">
        <f t="shared" si="0"/>
        <v>10.96</v>
      </c>
      <c r="H31" s="110"/>
      <c r="I31" s="81">
        <f>VLOOKUP(C31,Recipes!$A$2:$N$4,10,FALSE())</f>
        <v>10.940000000000001</v>
      </c>
      <c r="J31" s="81">
        <f>VLOOKUP(C31,Recipes!$A$2:$N$4,12,FALSE())</f>
        <v>5.2703573566378441E-2</v>
      </c>
      <c r="K31" s="81">
        <f t="shared" si="1"/>
        <v>10.781889279300866</v>
      </c>
      <c r="L31" s="81">
        <f t="shared" si="2"/>
        <v>11.098110720699136</v>
      </c>
      <c r="M31" s="81" t="str">
        <f t="shared" si="4"/>
        <v>OK</v>
      </c>
      <c r="N31" s="117">
        <f t="shared" si="3"/>
        <v>1</v>
      </c>
      <c r="O31" s="81">
        <f t="shared" si="5"/>
        <v>-1.9999999999999574E-2</v>
      </c>
      <c r="P31" s="81">
        <f>IF(G31="","",ABS(O31-Components!$C$2))</f>
        <v>2.7733333333333294</v>
      </c>
      <c r="Q31" s="81">
        <f>IF(G31="","",ABS(O31-Components!$C$3))</f>
        <v>4.0559999999999992</v>
      </c>
      <c r="R31" s="81">
        <f>IF(G31="","",ABS(O31-Components!$C$4))</f>
        <v>1.0133333333333325</v>
      </c>
      <c r="S31" s="81">
        <f>IF(G31="","",ABS(O31-Components!$C$5))</f>
        <v>4.58266666666667</v>
      </c>
      <c r="T31" s="81">
        <f>IF(G31="","",ABS(O31-Components!$C$6))</f>
        <v>1.1756666666666695</v>
      </c>
      <c r="U31" s="81">
        <f>IF(G31="","",ABS(O31-Components!$C$7))</f>
        <v>1.3943333333333296</v>
      </c>
      <c r="V31" s="81" t="str">
        <f>IF(F31="","",IF(M31="OK","NONE",INDEX({"S1","S2","W1","W2","N1","N2"},MATCH(MIN(P31:U31),P31:U31,0))))</f>
        <v>NONE</v>
      </c>
      <c r="W31" s="117">
        <f t="shared" si="6"/>
        <v>1</v>
      </c>
      <c r="X31" s="119"/>
    </row>
    <row r="32" spans="1:24">
      <c r="A32" s="115">
        <v>30</v>
      </c>
      <c r="B32" s="116">
        <v>1</v>
      </c>
      <c r="C32" s="81" t="s">
        <v>128</v>
      </c>
      <c r="D32" s="109" t="s">
        <v>238</v>
      </c>
      <c r="E32" s="81" t="s">
        <v>239</v>
      </c>
      <c r="F32" s="52">
        <v>9.48</v>
      </c>
      <c r="G32" s="52">
        <f t="shared" si="0"/>
        <v>10.450000000000001</v>
      </c>
      <c r="H32" s="110"/>
      <c r="I32" s="81">
        <f>VLOOKUP(C32,Recipes!$A$2:$N$4,10,FALSE())</f>
        <v>10.940000000000001</v>
      </c>
      <c r="J32" s="81">
        <f>VLOOKUP(C32,Recipes!$A$2:$N$4,12,FALSE())</f>
        <v>5.2703573566378441E-2</v>
      </c>
      <c r="K32" s="81">
        <f t="shared" si="1"/>
        <v>10.781889279300866</v>
      </c>
      <c r="L32" s="81">
        <f t="shared" si="2"/>
        <v>11.098110720699136</v>
      </c>
      <c r="M32" s="81" t="str">
        <f t="shared" si="4"/>
        <v>NG</v>
      </c>
      <c r="N32" s="118">
        <f t="shared" si="3"/>
        <v>0</v>
      </c>
      <c r="O32" s="81">
        <f t="shared" si="5"/>
        <v>0.49000000000000021</v>
      </c>
      <c r="P32" s="81">
        <f>IF(G32="","",ABS(O32-Components!$C$2))</f>
        <v>2.2633333333333296</v>
      </c>
      <c r="Q32" s="81">
        <f>IF(G32="","",ABS(O32-Components!$C$3))</f>
        <v>3.5459999999999994</v>
      </c>
      <c r="R32" s="81">
        <f>IF(G32="","",ABS(O32-Components!$C$4))</f>
        <v>0.50333333333333274</v>
      </c>
      <c r="S32" s="81">
        <f>IF(G32="","",ABS(O32-Components!$C$5))</f>
        <v>4.0726666666666702</v>
      </c>
      <c r="T32" s="81">
        <f>IF(G32="","",ABS(O32-Components!$C$6))</f>
        <v>0.66566666666666974</v>
      </c>
      <c r="U32" s="81">
        <f>IF(G32="","",ABS(O32-Components!$C$7))</f>
        <v>0.88433333333332986</v>
      </c>
      <c r="V32" s="81" t="str">
        <f>IF(F32="","",IF(M32="OK","NONE",INDEX({"S1","S2","W1","W2","N1","N2"},MATCH(MIN(P32:U32),P32:U32,0))))</f>
        <v>W1</v>
      </c>
      <c r="W32" s="118">
        <f t="shared" si="6"/>
        <v>0</v>
      </c>
      <c r="X32" s="119"/>
    </row>
    <row r="33" spans="1:24">
      <c r="A33" s="115">
        <v>31</v>
      </c>
      <c r="B33" s="116">
        <v>2</v>
      </c>
      <c r="C33" s="81" t="s">
        <v>128</v>
      </c>
      <c r="D33" s="111" t="s">
        <v>240</v>
      </c>
      <c r="E33" s="81" t="s">
        <v>102</v>
      </c>
      <c r="F33" s="52">
        <v>5.91</v>
      </c>
      <c r="G33" s="52">
        <f t="shared" si="0"/>
        <v>6.88</v>
      </c>
      <c r="H33" s="110"/>
      <c r="I33" s="81">
        <f>VLOOKUP(C33,Recipes!$A$2:$N$4,10,FALSE())</f>
        <v>10.940000000000001</v>
      </c>
      <c r="J33" s="81">
        <f>VLOOKUP(C33,Recipes!$A$2:$N$4,12,FALSE())</f>
        <v>5.2703573566378441E-2</v>
      </c>
      <c r="K33" s="81">
        <f t="shared" si="1"/>
        <v>10.781889279300866</v>
      </c>
      <c r="L33" s="81">
        <f t="shared" si="2"/>
        <v>11.098110720699136</v>
      </c>
      <c r="M33" s="81" t="str">
        <f t="shared" si="4"/>
        <v>NG</v>
      </c>
      <c r="N33" s="117">
        <f t="shared" si="3"/>
        <v>1</v>
      </c>
      <c r="O33" s="81">
        <f t="shared" si="5"/>
        <v>4.0600000000000014</v>
      </c>
      <c r="P33" s="81">
        <f>IF(G33="","",ABS(O33-Components!$C$2))</f>
        <v>1.3066666666666715</v>
      </c>
      <c r="Q33" s="81">
        <f>IF(G33="","",ABS(O33-Components!$C$3))</f>
        <v>2.4000000000001798E-2</v>
      </c>
      <c r="R33" s="81">
        <f>IF(G33="","",ABS(O33-Components!$C$4))</f>
        <v>3.0666666666666682</v>
      </c>
      <c r="S33" s="81">
        <f>IF(G33="","",ABS(O33-Components!$C$5))</f>
        <v>0.50266666666666904</v>
      </c>
      <c r="T33" s="81">
        <f>IF(G33="","",ABS(O33-Components!$C$6))</f>
        <v>2.9043333333333314</v>
      </c>
      <c r="U33" s="81">
        <f>IF(G33="","",ABS(O33-Components!$C$7))</f>
        <v>2.6856666666666715</v>
      </c>
      <c r="V33" s="81" t="str">
        <f>IF(F33="","",IF(M33="OK","NONE",INDEX({"S1","S2","W1","W2","N1","N2"},MATCH(MIN(P33:U33),P33:U33,0))))</f>
        <v>S2</v>
      </c>
      <c r="W33" s="117">
        <f t="shared" si="6"/>
        <v>1</v>
      </c>
      <c r="X33" s="119"/>
    </row>
    <row r="34" spans="1:24">
      <c r="A34" s="115">
        <v>32</v>
      </c>
      <c r="B34" s="116">
        <v>2</v>
      </c>
      <c r="C34" s="81" t="s">
        <v>128</v>
      </c>
      <c r="D34" s="111" t="s">
        <v>240</v>
      </c>
      <c r="E34" s="81" t="s">
        <v>102</v>
      </c>
      <c r="F34" s="52">
        <v>5.93</v>
      </c>
      <c r="G34" s="52">
        <f t="shared" si="0"/>
        <v>6.8999999999999995</v>
      </c>
      <c r="H34" s="110"/>
      <c r="I34" s="81">
        <f>VLOOKUP(C34,Recipes!$A$2:$N$4,10,FALSE())</f>
        <v>10.940000000000001</v>
      </c>
      <c r="J34" s="81">
        <f>VLOOKUP(C34,Recipes!$A$2:$N$4,12,FALSE())</f>
        <v>5.2703573566378441E-2</v>
      </c>
      <c r="K34" s="81">
        <f t="shared" si="1"/>
        <v>10.781889279300866</v>
      </c>
      <c r="L34" s="81">
        <f t="shared" si="2"/>
        <v>11.098110720699136</v>
      </c>
      <c r="M34" s="81" t="str">
        <f t="shared" si="4"/>
        <v>NG</v>
      </c>
      <c r="N34" s="117">
        <f t="shared" si="3"/>
        <v>1</v>
      </c>
      <c r="O34" s="81">
        <f t="shared" si="5"/>
        <v>4.0400000000000018</v>
      </c>
      <c r="P34" s="81">
        <f>IF(G34="","",ABS(O34-Components!$C$2))</f>
        <v>1.286666666666672</v>
      </c>
      <c r="Q34" s="81">
        <f>IF(G34="","",ABS(O34-Components!$C$3))</f>
        <v>4.000000000002224E-3</v>
      </c>
      <c r="R34" s="81">
        <f>IF(G34="","",ABS(O34-Components!$C$4))</f>
        <v>3.0466666666666686</v>
      </c>
      <c r="S34" s="81">
        <f>IF(G34="","",ABS(O34-Components!$C$5))</f>
        <v>0.52266666666666861</v>
      </c>
      <c r="T34" s="81">
        <f>IF(G34="","",ABS(O34-Components!$C$6))</f>
        <v>2.8843333333333319</v>
      </c>
      <c r="U34" s="81">
        <f>IF(G34="","",ABS(O34-Components!$C$7))</f>
        <v>2.665666666666672</v>
      </c>
      <c r="V34" s="81" t="str">
        <f>IF(F34="","",IF(M34="OK","NONE",INDEX({"S1","S2","W1","W2","N1","N2"},MATCH(MIN(P34:U34),P34:U34,0))))</f>
        <v>S2</v>
      </c>
      <c r="W34" s="117">
        <f t="shared" si="6"/>
        <v>1</v>
      </c>
      <c r="X34" s="119"/>
    </row>
    <row r="35" spans="1:24">
      <c r="A35" s="115">
        <v>33</v>
      </c>
      <c r="B35" s="116">
        <v>2</v>
      </c>
      <c r="C35" s="81" t="s">
        <v>128</v>
      </c>
      <c r="D35" s="111" t="s">
        <v>240</v>
      </c>
      <c r="E35" s="81" t="s">
        <v>102</v>
      </c>
      <c r="F35" s="52">
        <v>5.86</v>
      </c>
      <c r="G35" s="52">
        <f t="shared" si="0"/>
        <v>6.83</v>
      </c>
      <c r="H35" s="110"/>
      <c r="I35" s="81">
        <f>VLOOKUP(C35,Recipes!$A$2:$N$4,10,FALSE())</f>
        <v>10.940000000000001</v>
      </c>
      <c r="J35" s="81">
        <f>VLOOKUP(C35,Recipes!$A$2:$N$4,12,FALSE())</f>
        <v>5.2703573566378441E-2</v>
      </c>
      <c r="K35" s="81">
        <f t="shared" si="1"/>
        <v>10.781889279300866</v>
      </c>
      <c r="L35" s="81">
        <f t="shared" si="2"/>
        <v>11.098110720699136</v>
      </c>
      <c r="M35" s="81" t="str">
        <f t="shared" si="4"/>
        <v>NG</v>
      </c>
      <c r="N35" s="117">
        <f t="shared" si="3"/>
        <v>1</v>
      </c>
      <c r="O35" s="81">
        <f t="shared" si="5"/>
        <v>4.1100000000000012</v>
      </c>
      <c r="P35" s="81">
        <f>IF(G35="","",ABS(O35-Components!$C$2))</f>
        <v>1.3566666666666714</v>
      </c>
      <c r="Q35" s="81">
        <f>IF(G35="","",ABS(O35-Components!$C$3))</f>
        <v>7.400000000000162E-2</v>
      </c>
      <c r="R35" s="81">
        <f>IF(G35="","",ABS(O35-Components!$C$4))</f>
        <v>3.116666666666668</v>
      </c>
      <c r="S35" s="81">
        <f>IF(G35="","",ABS(O35-Components!$C$5))</f>
        <v>0.45266666666666922</v>
      </c>
      <c r="T35" s="81">
        <f>IF(G35="","",ABS(O35-Components!$C$6))</f>
        <v>2.9543333333333313</v>
      </c>
      <c r="U35" s="81">
        <f>IF(G35="","",ABS(O35-Components!$C$7))</f>
        <v>2.7356666666666714</v>
      </c>
      <c r="V35" s="81" t="str">
        <f>IF(F35="","",IF(M35="OK","NONE",INDEX({"S1","S2","W1","W2","N1","N2"},MATCH(MIN(P35:U35),P35:U35,0))))</f>
        <v>S2</v>
      </c>
      <c r="W35" s="117">
        <f t="shared" si="6"/>
        <v>1</v>
      </c>
      <c r="X35" s="119"/>
    </row>
    <row r="36" spans="1:24">
      <c r="A36" s="115">
        <v>34</v>
      </c>
      <c r="B36" s="116">
        <v>2</v>
      </c>
      <c r="C36" s="81" t="s">
        <v>128</v>
      </c>
      <c r="D36" s="111" t="s">
        <v>240</v>
      </c>
      <c r="E36" s="81" t="s">
        <v>102</v>
      </c>
      <c r="F36" s="52">
        <v>5.94</v>
      </c>
      <c r="G36" s="52">
        <f t="shared" si="0"/>
        <v>6.91</v>
      </c>
      <c r="H36" s="110"/>
      <c r="I36" s="81">
        <f>VLOOKUP(C36,Recipes!$A$2:$N$4,10,FALSE())</f>
        <v>10.940000000000001</v>
      </c>
      <c r="J36" s="81">
        <f>VLOOKUP(C36,Recipes!$A$2:$N$4,12,FALSE())</f>
        <v>5.2703573566378441E-2</v>
      </c>
      <c r="K36" s="81">
        <f t="shared" si="1"/>
        <v>10.781889279300866</v>
      </c>
      <c r="L36" s="81">
        <f t="shared" si="2"/>
        <v>11.098110720699136</v>
      </c>
      <c r="M36" s="81" t="str">
        <f t="shared" si="4"/>
        <v>NG</v>
      </c>
      <c r="N36" s="117">
        <f t="shared" si="3"/>
        <v>1</v>
      </c>
      <c r="O36" s="81">
        <f t="shared" si="5"/>
        <v>4.0300000000000011</v>
      </c>
      <c r="P36" s="81">
        <f>IF(G36="","",ABS(O36-Components!$C$2))</f>
        <v>1.2766666666666713</v>
      </c>
      <c r="Q36" s="81">
        <f>IF(G36="","",ABS(O36-Components!$C$3))</f>
        <v>5.999999999998451E-3</v>
      </c>
      <c r="R36" s="81">
        <f>IF(G36="","",ABS(O36-Components!$C$4))</f>
        <v>3.036666666666668</v>
      </c>
      <c r="S36" s="81">
        <f>IF(G36="","",ABS(O36-Components!$C$5))</f>
        <v>0.53266666666666929</v>
      </c>
      <c r="T36" s="81">
        <f>IF(G36="","",ABS(O36-Components!$C$6))</f>
        <v>2.8743333333333312</v>
      </c>
      <c r="U36" s="81">
        <f>IF(G36="","",ABS(O36-Components!$C$7))</f>
        <v>2.6556666666666713</v>
      </c>
      <c r="V36" s="81" t="str">
        <f>IF(F36="","",IF(M36="OK","NONE",INDEX({"S1","S2","W1","W2","N1","N2"},MATCH(MIN(P36:U36),P36:U36,0))))</f>
        <v>S2</v>
      </c>
      <c r="W36" s="117">
        <f t="shared" si="6"/>
        <v>1</v>
      </c>
      <c r="X36" s="119"/>
    </row>
    <row r="37" spans="1:24">
      <c r="A37" s="115">
        <v>35</v>
      </c>
      <c r="B37" s="116">
        <v>2</v>
      </c>
      <c r="C37" s="81" t="s">
        <v>128</v>
      </c>
      <c r="D37" s="111" t="s">
        <v>240</v>
      </c>
      <c r="E37" s="81" t="s">
        <v>102</v>
      </c>
      <c r="F37" s="52">
        <v>5.9</v>
      </c>
      <c r="G37" s="52">
        <f t="shared" si="0"/>
        <v>6.87</v>
      </c>
      <c r="H37" s="110"/>
      <c r="I37" s="81">
        <f>VLOOKUP(C37,Recipes!$A$2:$N$4,10,FALSE())</f>
        <v>10.940000000000001</v>
      </c>
      <c r="J37" s="81">
        <f>VLOOKUP(C37,Recipes!$A$2:$N$4,12,FALSE())</f>
        <v>5.2703573566378441E-2</v>
      </c>
      <c r="K37" s="81">
        <f t="shared" si="1"/>
        <v>10.781889279300866</v>
      </c>
      <c r="L37" s="81">
        <f t="shared" si="2"/>
        <v>11.098110720699136</v>
      </c>
      <c r="M37" s="81" t="str">
        <f t="shared" si="4"/>
        <v>NG</v>
      </c>
      <c r="N37" s="117">
        <f t="shared" si="3"/>
        <v>1</v>
      </c>
      <c r="O37" s="81">
        <f t="shared" si="5"/>
        <v>4.0700000000000012</v>
      </c>
      <c r="P37" s="81">
        <f>IF(G37="","",ABS(O37-Components!$C$2))</f>
        <v>1.3166666666666713</v>
      </c>
      <c r="Q37" s="81">
        <f>IF(G37="","",ABS(O37-Components!$C$3))</f>
        <v>3.4000000000001585E-2</v>
      </c>
      <c r="R37" s="81">
        <f>IF(G37="","",ABS(O37-Components!$C$4))</f>
        <v>3.076666666666668</v>
      </c>
      <c r="S37" s="81">
        <f>IF(G37="","",ABS(O37-Components!$C$5))</f>
        <v>0.49266666666666925</v>
      </c>
      <c r="T37" s="81">
        <f>IF(G37="","",ABS(O37-Components!$C$6))</f>
        <v>2.9143333333333312</v>
      </c>
      <c r="U37" s="81">
        <f>IF(G37="","",ABS(O37-Components!$C$7))</f>
        <v>2.6956666666666713</v>
      </c>
      <c r="V37" s="81" t="str">
        <f>IF(F37="","",IF(M37="OK","NONE",INDEX({"S1","S2","W1","W2","N1","N2"},MATCH(MIN(P37:U37),P37:U37,0))))</f>
        <v>S2</v>
      </c>
      <c r="W37" s="117">
        <f t="shared" si="6"/>
        <v>1</v>
      </c>
      <c r="X37" s="119"/>
    </row>
    <row r="38" spans="1:24">
      <c r="A38" s="115">
        <v>36</v>
      </c>
      <c r="B38" s="116">
        <v>2</v>
      </c>
      <c r="C38" s="81" t="s">
        <v>128</v>
      </c>
      <c r="D38" s="111" t="s">
        <v>240</v>
      </c>
      <c r="E38" s="81" t="s">
        <v>102</v>
      </c>
      <c r="F38" s="52">
        <v>5.82</v>
      </c>
      <c r="G38" s="52">
        <f t="shared" si="0"/>
        <v>6.79</v>
      </c>
      <c r="H38" s="110"/>
      <c r="I38" s="81">
        <f>VLOOKUP(C38,Recipes!$A$2:$N$4,10,FALSE())</f>
        <v>10.940000000000001</v>
      </c>
      <c r="J38" s="81">
        <f>VLOOKUP(C38,Recipes!$A$2:$N$4,12,FALSE())</f>
        <v>5.2703573566378441E-2</v>
      </c>
      <c r="K38" s="81">
        <f t="shared" si="1"/>
        <v>10.781889279300866</v>
      </c>
      <c r="L38" s="81">
        <f t="shared" si="2"/>
        <v>11.098110720699136</v>
      </c>
      <c r="M38" s="81" t="str">
        <f t="shared" si="4"/>
        <v>NG</v>
      </c>
      <c r="N38" s="117">
        <f t="shared" si="3"/>
        <v>1</v>
      </c>
      <c r="O38" s="81">
        <f t="shared" si="5"/>
        <v>4.1500000000000012</v>
      </c>
      <c r="P38" s="81">
        <f>IF(G38="","",ABS(O38-Components!$C$2))</f>
        <v>1.3966666666666714</v>
      </c>
      <c r="Q38" s="81">
        <f>IF(G38="","",ABS(O38-Components!$C$3))</f>
        <v>0.11400000000000166</v>
      </c>
      <c r="R38" s="81">
        <f>IF(G38="","",ABS(O38-Components!$C$4))</f>
        <v>3.1566666666666681</v>
      </c>
      <c r="S38" s="81">
        <f>IF(G38="","",ABS(O38-Components!$C$5))</f>
        <v>0.41266666666666918</v>
      </c>
      <c r="T38" s="81">
        <f>IF(G38="","",ABS(O38-Components!$C$6))</f>
        <v>2.9943333333333313</v>
      </c>
      <c r="U38" s="81">
        <f>IF(G38="","",ABS(O38-Components!$C$7))</f>
        <v>2.7756666666666714</v>
      </c>
      <c r="V38" s="81" t="str">
        <f>IF(F38="","",IF(M38="OK","NONE",INDEX({"S1","S2","W1","W2","N1","N2"},MATCH(MIN(P38:U38),P38:U38,0))))</f>
        <v>S2</v>
      </c>
      <c r="W38" s="117">
        <f t="shared" si="6"/>
        <v>1</v>
      </c>
      <c r="X38" s="119"/>
    </row>
    <row r="39" spans="1:24">
      <c r="A39" s="115">
        <v>37</v>
      </c>
      <c r="B39" s="116">
        <v>2</v>
      </c>
      <c r="C39" s="81" t="s">
        <v>128</v>
      </c>
      <c r="D39" s="111" t="s">
        <v>240</v>
      </c>
      <c r="E39" s="81" t="s">
        <v>102</v>
      </c>
      <c r="F39" s="52">
        <v>5.87</v>
      </c>
      <c r="G39" s="52">
        <f t="shared" si="0"/>
        <v>6.84</v>
      </c>
      <c r="H39" s="110"/>
      <c r="I39" s="81">
        <f>VLOOKUP(C39,Recipes!$A$2:$N$4,10,FALSE())</f>
        <v>10.940000000000001</v>
      </c>
      <c r="J39" s="81">
        <f>VLOOKUP(C39,Recipes!$A$2:$N$4,12,FALSE())</f>
        <v>5.2703573566378441E-2</v>
      </c>
      <c r="K39" s="81">
        <f t="shared" si="1"/>
        <v>10.781889279300866</v>
      </c>
      <c r="L39" s="81">
        <f t="shared" si="2"/>
        <v>11.098110720699136</v>
      </c>
      <c r="M39" s="81" t="str">
        <f t="shared" si="4"/>
        <v>NG</v>
      </c>
      <c r="N39" s="117">
        <f t="shared" si="3"/>
        <v>1</v>
      </c>
      <c r="O39" s="81">
        <f t="shared" si="5"/>
        <v>4.1000000000000014</v>
      </c>
      <c r="P39" s="81">
        <f>IF(G39="","",ABS(O39-Components!$C$2))</f>
        <v>1.3466666666666716</v>
      </c>
      <c r="Q39" s="81">
        <f>IF(G39="","",ABS(O39-Components!$C$3))</f>
        <v>6.4000000000001833E-2</v>
      </c>
      <c r="R39" s="81">
        <f>IF(G39="","",ABS(O39-Components!$C$4))</f>
        <v>3.1066666666666682</v>
      </c>
      <c r="S39" s="81">
        <f>IF(G39="","",ABS(O39-Components!$C$5))</f>
        <v>0.462666666666669</v>
      </c>
      <c r="T39" s="81">
        <f>IF(G39="","",ABS(O39-Components!$C$6))</f>
        <v>2.9443333333333315</v>
      </c>
      <c r="U39" s="81">
        <f>IF(G39="","",ABS(O39-Components!$C$7))</f>
        <v>2.7256666666666716</v>
      </c>
      <c r="V39" s="81" t="str">
        <f>IF(F39="","",IF(M39="OK","NONE",INDEX({"S1","S2","W1","W2","N1","N2"},MATCH(MIN(P39:U39),P39:U39,0))))</f>
        <v>S2</v>
      </c>
      <c r="W39" s="117">
        <f t="shared" si="6"/>
        <v>1</v>
      </c>
      <c r="X39" s="119"/>
    </row>
    <row r="40" spans="1:24">
      <c r="A40" s="115">
        <v>38</v>
      </c>
      <c r="B40" s="116">
        <v>2</v>
      </c>
      <c r="C40" s="81" t="s">
        <v>128</v>
      </c>
      <c r="D40" s="111" t="s">
        <v>240</v>
      </c>
      <c r="E40" s="81" t="s">
        <v>102</v>
      </c>
      <c r="F40" s="52">
        <v>5.89</v>
      </c>
      <c r="G40" s="52">
        <f t="shared" si="0"/>
        <v>6.8599999999999994</v>
      </c>
      <c r="H40" s="110"/>
      <c r="I40" s="81">
        <f>VLOOKUP(C40,Recipes!$A$2:$N$4,10,FALSE())</f>
        <v>10.940000000000001</v>
      </c>
      <c r="J40" s="81">
        <f>VLOOKUP(C40,Recipes!$A$2:$N$4,12,FALSE())</f>
        <v>5.2703573566378441E-2</v>
      </c>
      <c r="K40" s="81">
        <f t="shared" si="1"/>
        <v>10.781889279300866</v>
      </c>
      <c r="L40" s="81">
        <f t="shared" si="2"/>
        <v>11.098110720699136</v>
      </c>
      <c r="M40" s="81" t="str">
        <f t="shared" si="4"/>
        <v>NG</v>
      </c>
      <c r="N40" s="117">
        <f t="shared" si="3"/>
        <v>1</v>
      </c>
      <c r="O40" s="81">
        <f t="shared" si="5"/>
        <v>4.0800000000000018</v>
      </c>
      <c r="P40" s="81">
        <f>IF(G40="","",ABS(O40-Components!$C$2))</f>
        <v>1.326666666666672</v>
      </c>
      <c r="Q40" s="81">
        <f>IF(G40="","",ABS(O40-Components!$C$3))</f>
        <v>4.400000000000226E-2</v>
      </c>
      <c r="R40" s="81">
        <f>IF(G40="","",ABS(O40-Components!$C$4))</f>
        <v>3.0866666666666687</v>
      </c>
      <c r="S40" s="81">
        <f>IF(G40="","",ABS(O40-Components!$C$5))</f>
        <v>0.48266666666666858</v>
      </c>
      <c r="T40" s="81">
        <f>IF(G40="","",ABS(O40-Components!$C$6))</f>
        <v>2.9243333333333319</v>
      </c>
      <c r="U40" s="81">
        <f>IF(G40="","",ABS(O40-Components!$C$7))</f>
        <v>2.705666666666672</v>
      </c>
      <c r="V40" s="81" t="str">
        <f>IF(F40="","",IF(M40="OK","NONE",INDEX({"S1","S2","W1","W2","N1","N2"},MATCH(MIN(P40:U40),P40:U40,0))))</f>
        <v>S2</v>
      </c>
      <c r="W40" s="117">
        <f t="shared" si="6"/>
        <v>1</v>
      </c>
      <c r="X40" s="119"/>
    </row>
    <row r="41" spans="1:24">
      <c r="A41" s="115">
        <v>39</v>
      </c>
      <c r="B41" s="116">
        <v>2</v>
      </c>
      <c r="C41" s="81" t="s">
        <v>128</v>
      </c>
      <c r="D41" s="111" t="s">
        <v>240</v>
      </c>
      <c r="E41" s="81" t="s">
        <v>102</v>
      </c>
      <c r="F41" s="52">
        <v>5.91</v>
      </c>
      <c r="G41" s="52">
        <f>0.97+F41</f>
        <v>6.88</v>
      </c>
      <c r="H41" s="110"/>
      <c r="I41" s="81">
        <f>VLOOKUP(C41,Recipes!$A$2:$N$4,10,FALSE())</f>
        <v>10.940000000000001</v>
      </c>
      <c r="J41" s="81">
        <f>VLOOKUP(C41,Recipes!$A$2:$N$4,12,FALSE())</f>
        <v>5.2703573566378441E-2</v>
      </c>
      <c r="K41" s="81">
        <f t="shared" si="1"/>
        <v>10.781889279300866</v>
      </c>
      <c r="L41" s="81">
        <f t="shared" si="2"/>
        <v>11.098110720699136</v>
      </c>
      <c r="M41" s="81" t="str">
        <f t="shared" si="4"/>
        <v>NG</v>
      </c>
      <c r="N41" s="117">
        <f t="shared" si="3"/>
        <v>1</v>
      </c>
      <c r="O41" s="81">
        <f t="shared" si="5"/>
        <v>4.0600000000000014</v>
      </c>
      <c r="P41" s="81">
        <f>IF(G41="","",ABS(O41-Components!$C$2))</f>
        <v>1.3066666666666715</v>
      </c>
      <c r="Q41" s="81">
        <f>IF(G41="","",ABS(O41-Components!$C$3))</f>
        <v>2.4000000000001798E-2</v>
      </c>
      <c r="R41" s="81">
        <f>IF(G41="","",ABS(O41-Components!$C$4))</f>
        <v>3.0666666666666682</v>
      </c>
      <c r="S41" s="81">
        <f>IF(G41="","",ABS(O41-Components!$C$5))</f>
        <v>0.50266666666666904</v>
      </c>
      <c r="T41" s="81">
        <f>IF(G41="","",ABS(O41-Components!$C$6))</f>
        <v>2.9043333333333314</v>
      </c>
      <c r="U41" s="81">
        <f>IF(G41="","",ABS(O41-Components!$C$7))</f>
        <v>2.6856666666666715</v>
      </c>
      <c r="V41" s="81" t="str">
        <f>IF(F41="","",IF(M41="OK","NONE",INDEX({"S1","S2","W1","W2","N1","N2"},MATCH(MIN(P41:U41),P41:U41,0))))</f>
        <v>S2</v>
      </c>
      <c r="W41" s="117">
        <f t="shared" si="6"/>
        <v>1</v>
      </c>
      <c r="X41" s="119"/>
    </row>
    <row r="42" spans="1:24">
      <c r="A42" s="115">
        <v>40</v>
      </c>
      <c r="B42" s="116">
        <v>2</v>
      </c>
      <c r="C42" s="81" t="s">
        <v>128</v>
      </c>
      <c r="D42" s="111" t="s">
        <v>240</v>
      </c>
      <c r="E42" s="81" t="s">
        <v>102</v>
      </c>
      <c r="F42" s="52">
        <v>5.94</v>
      </c>
      <c r="G42" s="52">
        <f t="shared" si="0"/>
        <v>6.91</v>
      </c>
      <c r="H42" s="110"/>
      <c r="I42" s="81">
        <f>VLOOKUP(C42,Recipes!$A$2:$N$4,10,FALSE())</f>
        <v>10.940000000000001</v>
      </c>
      <c r="J42" s="81">
        <f>VLOOKUP(C42,Recipes!$A$2:$N$4,12,FALSE())</f>
        <v>5.2703573566378441E-2</v>
      </c>
      <c r="K42" s="81">
        <f t="shared" si="1"/>
        <v>10.781889279300866</v>
      </c>
      <c r="L42" s="81">
        <f t="shared" si="2"/>
        <v>11.098110720699136</v>
      </c>
      <c r="M42" s="81" t="str">
        <f t="shared" si="4"/>
        <v>NG</v>
      </c>
      <c r="N42" s="117">
        <f t="shared" si="3"/>
        <v>1</v>
      </c>
      <c r="O42" s="81">
        <f t="shared" si="5"/>
        <v>4.0300000000000011</v>
      </c>
      <c r="P42" s="81">
        <f>IF(G42="","",ABS(O42-Components!$C$2))</f>
        <v>1.2766666666666713</v>
      </c>
      <c r="Q42" s="81">
        <f>IF(G42="","",ABS(O42-Components!$C$3))</f>
        <v>5.999999999998451E-3</v>
      </c>
      <c r="R42" s="81">
        <f>IF(G42="","",ABS(O42-Components!$C$4))</f>
        <v>3.036666666666668</v>
      </c>
      <c r="S42" s="81">
        <f>IF(G42="","",ABS(O42-Components!$C$5))</f>
        <v>0.53266666666666929</v>
      </c>
      <c r="T42" s="81">
        <f>IF(G42="","",ABS(O42-Components!$C$6))</f>
        <v>2.8743333333333312</v>
      </c>
      <c r="U42" s="81">
        <f>IF(G42="","",ABS(O42-Components!$C$7))</f>
        <v>2.6556666666666713</v>
      </c>
      <c r="V42" s="81" t="str">
        <f>IF(F42="","",IF(M42="OK","NONE",INDEX({"S1","S2","W1","W2","N1","N2"},MATCH(MIN(P42:U42),P42:U42,0))))</f>
        <v>S2</v>
      </c>
      <c r="W42" s="117">
        <f t="shared" si="6"/>
        <v>1</v>
      </c>
      <c r="X42" s="119"/>
    </row>
    <row r="43" spans="1:24">
      <c r="A43" s="115">
        <v>41</v>
      </c>
      <c r="B43" s="116">
        <v>2</v>
      </c>
      <c r="C43" s="81" t="s">
        <v>128</v>
      </c>
      <c r="D43" s="111" t="s">
        <v>240</v>
      </c>
      <c r="E43" s="81" t="s">
        <v>102</v>
      </c>
      <c r="F43" s="52">
        <v>5.91</v>
      </c>
      <c r="G43" s="52">
        <f t="shared" si="0"/>
        <v>6.88</v>
      </c>
      <c r="H43" s="110"/>
      <c r="I43" s="81">
        <f>VLOOKUP(C43,Recipes!$A$2:$N$4,10,FALSE())</f>
        <v>10.940000000000001</v>
      </c>
      <c r="J43" s="81">
        <f>VLOOKUP(C43,Recipes!$A$2:$N$4,12,FALSE())</f>
        <v>5.2703573566378441E-2</v>
      </c>
      <c r="K43" s="81">
        <f t="shared" si="1"/>
        <v>10.781889279300866</v>
      </c>
      <c r="L43" s="81">
        <f t="shared" si="2"/>
        <v>11.098110720699136</v>
      </c>
      <c r="M43" s="81" t="str">
        <f t="shared" si="4"/>
        <v>NG</v>
      </c>
      <c r="N43" s="117">
        <f t="shared" si="3"/>
        <v>1</v>
      </c>
      <c r="O43" s="81">
        <f t="shared" si="5"/>
        <v>4.0600000000000014</v>
      </c>
      <c r="P43" s="81">
        <f>IF(G43="","",ABS(O43-Components!$C$2))</f>
        <v>1.3066666666666715</v>
      </c>
      <c r="Q43" s="81">
        <f>IF(G43="","",ABS(O43-Components!$C$3))</f>
        <v>2.4000000000001798E-2</v>
      </c>
      <c r="R43" s="81">
        <f>IF(G43="","",ABS(O43-Components!$C$4))</f>
        <v>3.0666666666666682</v>
      </c>
      <c r="S43" s="81">
        <f>IF(G43="","",ABS(O43-Components!$C$5))</f>
        <v>0.50266666666666904</v>
      </c>
      <c r="T43" s="81">
        <f>IF(G43="","",ABS(O43-Components!$C$6))</f>
        <v>2.9043333333333314</v>
      </c>
      <c r="U43" s="81">
        <f>IF(G43="","",ABS(O43-Components!$C$7))</f>
        <v>2.6856666666666715</v>
      </c>
      <c r="V43" s="81" t="str">
        <f>IF(F43="","",IF(M43="OK","NONE",INDEX({"S1","S2","W1","W2","N1","N2"},MATCH(MIN(P43:U43),P43:U43,0))))</f>
        <v>S2</v>
      </c>
      <c r="W43" s="117">
        <f t="shared" si="6"/>
        <v>1</v>
      </c>
      <c r="X43" s="119"/>
    </row>
    <row r="44" spans="1:24">
      <c r="A44" s="115">
        <v>42</v>
      </c>
      <c r="B44" s="116">
        <v>2</v>
      </c>
      <c r="C44" s="81" t="s">
        <v>128</v>
      </c>
      <c r="D44" s="111" t="s">
        <v>240</v>
      </c>
      <c r="E44" s="81" t="s">
        <v>102</v>
      </c>
      <c r="F44" s="52">
        <v>5.96</v>
      </c>
      <c r="G44" s="52">
        <f t="shared" si="0"/>
        <v>6.93</v>
      </c>
      <c r="H44" s="110"/>
      <c r="I44" s="81">
        <f>VLOOKUP(C44,Recipes!$A$2:$N$4,10,FALSE())</f>
        <v>10.940000000000001</v>
      </c>
      <c r="J44" s="81">
        <f>VLOOKUP(C44,Recipes!$A$2:$N$4,12,FALSE())</f>
        <v>5.2703573566378441E-2</v>
      </c>
      <c r="K44" s="81">
        <f t="shared" si="1"/>
        <v>10.781889279300866</v>
      </c>
      <c r="L44" s="81">
        <f t="shared" si="2"/>
        <v>11.098110720699136</v>
      </c>
      <c r="M44" s="81" t="str">
        <f t="shared" si="4"/>
        <v>NG</v>
      </c>
      <c r="N44" s="117">
        <f t="shared" si="3"/>
        <v>1</v>
      </c>
      <c r="O44" s="81">
        <f t="shared" si="5"/>
        <v>4.0100000000000016</v>
      </c>
      <c r="P44" s="81">
        <f>IF(G44="","",ABS(O44-Components!$C$2))</f>
        <v>1.2566666666666717</v>
      </c>
      <c r="Q44" s="81">
        <f>IF(G44="","",ABS(O44-Components!$C$3))</f>
        <v>2.5999999999998025E-2</v>
      </c>
      <c r="R44" s="81">
        <f>IF(G44="","",ABS(O44-Components!$C$4))</f>
        <v>3.0166666666666684</v>
      </c>
      <c r="S44" s="81">
        <f>IF(G44="","",ABS(O44-Components!$C$5))</f>
        <v>0.55266666666666886</v>
      </c>
      <c r="T44" s="81">
        <f>IF(G44="","",ABS(O44-Components!$C$6))</f>
        <v>2.8543333333333316</v>
      </c>
      <c r="U44" s="81">
        <f>IF(G44="","",ABS(O44-Components!$C$7))</f>
        <v>2.6356666666666717</v>
      </c>
      <c r="V44" s="81" t="str">
        <f>IF(F44="","",IF(M44="OK","NONE",INDEX({"S1","S2","W1","W2","N1","N2"},MATCH(MIN(P44:U44),P44:U44,0))))</f>
        <v>S2</v>
      </c>
      <c r="W44" s="117">
        <f t="shared" si="6"/>
        <v>1</v>
      </c>
      <c r="X44" s="119"/>
    </row>
    <row r="45" spans="1:24">
      <c r="A45" s="115">
        <v>43</v>
      </c>
      <c r="B45" s="116">
        <v>2</v>
      </c>
      <c r="C45" s="81" t="s">
        <v>128</v>
      </c>
      <c r="D45" s="111" t="s">
        <v>240</v>
      </c>
      <c r="E45" s="81" t="s">
        <v>102</v>
      </c>
      <c r="F45" s="52">
        <v>5.98</v>
      </c>
      <c r="G45" s="52">
        <f t="shared" si="0"/>
        <v>6.95</v>
      </c>
      <c r="H45" s="110"/>
      <c r="I45" s="81">
        <f>VLOOKUP(C45,Recipes!$A$2:$N$4,10,FALSE())</f>
        <v>10.940000000000001</v>
      </c>
      <c r="J45" s="81">
        <f>VLOOKUP(C45,Recipes!$A$2:$N$4,12,FALSE())</f>
        <v>5.2703573566378441E-2</v>
      </c>
      <c r="K45" s="81">
        <f t="shared" si="1"/>
        <v>10.781889279300866</v>
      </c>
      <c r="L45" s="81">
        <f t="shared" si="2"/>
        <v>11.098110720699136</v>
      </c>
      <c r="M45" s="81" t="str">
        <f t="shared" si="4"/>
        <v>NG</v>
      </c>
      <c r="N45" s="117">
        <f t="shared" si="3"/>
        <v>1</v>
      </c>
      <c r="O45" s="81">
        <f t="shared" si="5"/>
        <v>3.9900000000000011</v>
      </c>
      <c r="P45" s="81">
        <f>IF(G45="","",ABS(O45-Components!$C$2))</f>
        <v>1.2366666666666712</v>
      </c>
      <c r="Q45" s="81">
        <f>IF(G45="","",ABS(O45-Components!$C$3))</f>
        <v>4.5999999999998487E-2</v>
      </c>
      <c r="R45" s="81">
        <f>IF(G45="","",ABS(O45-Components!$C$4))</f>
        <v>2.9966666666666679</v>
      </c>
      <c r="S45" s="81">
        <f>IF(G45="","",ABS(O45-Components!$C$5))</f>
        <v>0.57266666666666932</v>
      </c>
      <c r="T45" s="81">
        <f>IF(G45="","",ABS(O45-Components!$C$6))</f>
        <v>2.8343333333333312</v>
      </c>
      <c r="U45" s="81">
        <f>IF(G45="","",ABS(O45-Components!$C$7))</f>
        <v>2.6156666666666712</v>
      </c>
      <c r="V45" s="81" t="str">
        <f>IF(F45="","",IF(M45="OK","NONE",INDEX({"S1","S2","W1","W2","N1","N2"},MATCH(MIN(P45:U45),P45:U45,0))))</f>
        <v>S2</v>
      </c>
      <c r="W45" s="117">
        <f t="shared" si="6"/>
        <v>1</v>
      </c>
      <c r="X45" s="119"/>
    </row>
    <row r="46" spans="1:24">
      <c r="A46" s="115">
        <v>44</v>
      </c>
      <c r="B46" s="116">
        <v>2</v>
      </c>
      <c r="C46" s="81" t="s">
        <v>128</v>
      </c>
      <c r="D46" s="111" t="s">
        <v>240</v>
      </c>
      <c r="E46" s="81" t="s">
        <v>102</v>
      </c>
      <c r="F46" s="52">
        <v>5.94</v>
      </c>
      <c r="G46" s="52">
        <f t="shared" si="0"/>
        <v>6.91</v>
      </c>
      <c r="H46" s="110"/>
      <c r="I46" s="81">
        <f>VLOOKUP(C46,Recipes!$A$2:$N$4,10,FALSE())</f>
        <v>10.940000000000001</v>
      </c>
      <c r="J46" s="81">
        <f>VLOOKUP(C46,Recipes!$A$2:$N$4,12,FALSE())</f>
        <v>5.2703573566378441E-2</v>
      </c>
      <c r="K46" s="81">
        <f t="shared" si="1"/>
        <v>10.781889279300866</v>
      </c>
      <c r="L46" s="81">
        <f t="shared" si="2"/>
        <v>11.098110720699136</v>
      </c>
      <c r="M46" s="81" t="str">
        <f t="shared" si="4"/>
        <v>NG</v>
      </c>
      <c r="N46" s="117">
        <f t="shared" si="3"/>
        <v>1</v>
      </c>
      <c r="O46" s="81">
        <f t="shared" si="5"/>
        <v>4.0300000000000011</v>
      </c>
      <c r="P46" s="81">
        <f>IF(G46="","",ABS(O46-Components!$C$2))</f>
        <v>1.2766666666666713</v>
      </c>
      <c r="Q46" s="81">
        <f>IF(G46="","",ABS(O46-Components!$C$3))</f>
        <v>5.999999999998451E-3</v>
      </c>
      <c r="R46" s="81">
        <f>IF(G46="","",ABS(O46-Components!$C$4))</f>
        <v>3.036666666666668</v>
      </c>
      <c r="S46" s="81">
        <f>IF(G46="","",ABS(O46-Components!$C$5))</f>
        <v>0.53266666666666929</v>
      </c>
      <c r="T46" s="81">
        <f>IF(G46="","",ABS(O46-Components!$C$6))</f>
        <v>2.8743333333333312</v>
      </c>
      <c r="U46" s="81">
        <f>IF(G46="","",ABS(O46-Components!$C$7))</f>
        <v>2.6556666666666713</v>
      </c>
      <c r="V46" s="81" t="str">
        <f>IF(F46="","",IF(M46="OK","NONE",INDEX({"S1","S2","W1","W2","N1","N2"},MATCH(MIN(P46:U46),P46:U46,0))))</f>
        <v>S2</v>
      </c>
      <c r="W46" s="117">
        <f t="shared" si="6"/>
        <v>1</v>
      </c>
      <c r="X46" s="119"/>
    </row>
    <row r="47" spans="1:24">
      <c r="A47" s="115">
        <v>45</v>
      </c>
      <c r="B47" s="116">
        <v>2</v>
      </c>
      <c r="C47" s="81" t="s">
        <v>128</v>
      </c>
      <c r="D47" s="111" t="s">
        <v>240</v>
      </c>
      <c r="E47" s="81" t="s">
        <v>102</v>
      </c>
      <c r="F47" s="52">
        <v>5.87</v>
      </c>
      <c r="G47" s="52">
        <f t="shared" si="0"/>
        <v>6.84</v>
      </c>
      <c r="H47" s="110"/>
      <c r="I47" s="81">
        <f>VLOOKUP(C47,Recipes!$A$2:$N$4,10,FALSE())</f>
        <v>10.940000000000001</v>
      </c>
      <c r="J47" s="81">
        <f>VLOOKUP(C47,Recipes!$A$2:$N$4,12,FALSE())</f>
        <v>5.2703573566378441E-2</v>
      </c>
      <c r="K47" s="81">
        <f t="shared" si="1"/>
        <v>10.781889279300866</v>
      </c>
      <c r="L47" s="81">
        <f t="shared" si="2"/>
        <v>11.098110720699136</v>
      </c>
      <c r="M47" s="81" t="str">
        <f t="shared" si="4"/>
        <v>NG</v>
      </c>
      <c r="N47" s="117">
        <f t="shared" si="3"/>
        <v>1</v>
      </c>
      <c r="O47" s="81">
        <f t="shared" si="5"/>
        <v>4.1000000000000014</v>
      </c>
      <c r="P47" s="81">
        <f>IF(G47="","",ABS(O47-Components!$C$2))</f>
        <v>1.3466666666666716</v>
      </c>
      <c r="Q47" s="81">
        <f>IF(G47="","",ABS(O47-Components!$C$3))</f>
        <v>6.4000000000001833E-2</v>
      </c>
      <c r="R47" s="81">
        <f>IF(G47="","",ABS(O47-Components!$C$4))</f>
        <v>3.1066666666666682</v>
      </c>
      <c r="S47" s="81">
        <f>IF(G47="","",ABS(O47-Components!$C$5))</f>
        <v>0.462666666666669</v>
      </c>
      <c r="T47" s="81">
        <f>IF(G47="","",ABS(O47-Components!$C$6))</f>
        <v>2.9443333333333315</v>
      </c>
      <c r="U47" s="81">
        <f>IF(G47="","",ABS(O47-Components!$C$7))</f>
        <v>2.7256666666666716</v>
      </c>
      <c r="V47" s="81" t="str">
        <f>IF(F47="","",IF(M47="OK","NONE",INDEX({"S1","S2","W1","W2","N1","N2"},MATCH(MIN(P47:U47),P47:U47,0))))</f>
        <v>S2</v>
      </c>
      <c r="W47" s="117">
        <f t="shared" si="6"/>
        <v>1</v>
      </c>
      <c r="X47" s="119"/>
    </row>
    <row r="48" spans="1:24">
      <c r="A48" s="115">
        <v>46</v>
      </c>
      <c r="B48" s="116">
        <v>2</v>
      </c>
      <c r="C48" s="81" t="s">
        <v>128</v>
      </c>
      <c r="D48" s="111" t="s">
        <v>240</v>
      </c>
      <c r="E48" s="81" t="s">
        <v>102</v>
      </c>
      <c r="F48" s="52">
        <v>5.95</v>
      </c>
      <c r="G48" s="52">
        <f t="shared" si="0"/>
        <v>6.92</v>
      </c>
      <c r="H48" s="110"/>
      <c r="I48" s="81">
        <f>VLOOKUP(C48,Recipes!$A$2:$N$4,10,FALSE())</f>
        <v>10.940000000000001</v>
      </c>
      <c r="J48" s="81">
        <f>VLOOKUP(C48,Recipes!$A$2:$N$4,12,FALSE())</f>
        <v>5.2703573566378441E-2</v>
      </c>
      <c r="K48" s="81">
        <f t="shared" si="1"/>
        <v>10.781889279300866</v>
      </c>
      <c r="L48" s="81">
        <f t="shared" si="2"/>
        <v>11.098110720699136</v>
      </c>
      <c r="M48" s="81" t="str">
        <f t="shared" si="4"/>
        <v>NG</v>
      </c>
      <c r="N48" s="117">
        <f t="shared" si="3"/>
        <v>1</v>
      </c>
      <c r="O48" s="81">
        <f t="shared" si="5"/>
        <v>4.0200000000000014</v>
      </c>
      <c r="P48" s="81">
        <f>IF(G48="","",ABS(O48-Components!$C$2))</f>
        <v>1.2666666666666715</v>
      </c>
      <c r="Q48" s="81">
        <f>IF(G48="","",ABS(O48-Components!$C$3))</f>
        <v>1.5999999999998238E-2</v>
      </c>
      <c r="R48" s="81">
        <f>IF(G48="","",ABS(O48-Components!$C$4))</f>
        <v>3.0266666666666682</v>
      </c>
      <c r="S48" s="81">
        <f>IF(G48="","",ABS(O48-Components!$C$5))</f>
        <v>0.54266666666666907</v>
      </c>
      <c r="T48" s="81">
        <f>IF(G48="","",ABS(O48-Components!$C$6))</f>
        <v>2.8643333333333314</v>
      </c>
      <c r="U48" s="81">
        <f>IF(G48="","",ABS(O48-Components!$C$7))</f>
        <v>2.6456666666666715</v>
      </c>
      <c r="V48" s="81" t="str">
        <f>IF(F48="","",IF(M48="OK","NONE",INDEX({"S1","S2","W1","W2","N1","N2"},MATCH(MIN(P48:U48),P48:U48,0))))</f>
        <v>S2</v>
      </c>
      <c r="W48" s="117">
        <f t="shared" si="6"/>
        <v>1</v>
      </c>
      <c r="X48" s="119"/>
    </row>
    <row r="49" spans="1:24">
      <c r="A49" s="115">
        <v>47</v>
      </c>
      <c r="B49" s="116">
        <v>2</v>
      </c>
      <c r="C49" s="81" t="s">
        <v>128</v>
      </c>
      <c r="D49" s="111" t="s">
        <v>240</v>
      </c>
      <c r="E49" s="81" t="s">
        <v>102</v>
      </c>
      <c r="F49" s="52">
        <v>5.89</v>
      </c>
      <c r="G49" s="52">
        <f t="shared" si="0"/>
        <v>6.8599999999999994</v>
      </c>
      <c r="H49" s="110"/>
      <c r="I49" s="81">
        <f>VLOOKUP(C49,Recipes!$A$2:$N$4,10,FALSE())</f>
        <v>10.940000000000001</v>
      </c>
      <c r="J49" s="81">
        <f>VLOOKUP(C49,Recipes!$A$2:$N$4,12,FALSE())</f>
        <v>5.2703573566378441E-2</v>
      </c>
      <c r="K49" s="81">
        <f t="shared" si="1"/>
        <v>10.781889279300866</v>
      </c>
      <c r="L49" s="81">
        <f t="shared" si="2"/>
        <v>11.098110720699136</v>
      </c>
      <c r="M49" s="81" t="str">
        <f t="shared" si="4"/>
        <v>NG</v>
      </c>
      <c r="N49" s="117">
        <f t="shared" si="3"/>
        <v>1</v>
      </c>
      <c r="O49" s="81">
        <f t="shared" si="5"/>
        <v>4.0800000000000018</v>
      </c>
      <c r="P49" s="81">
        <f>IF(G49="","",ABS(O49-Components!$C$2))</f>
        <v>1.326666666666672</v>
      </c>
      <c r="Q49" s="81">
        <f>IF(G49="","",ABS(O49-Components!$C$3))</f>
        <v>4.400000000000226E-2</v>
      </c>
      <c r="R49" s="81">
        <f>IF(G49="","",ABS(O49-Components!$C$4))</f>
        <v>3.0866666666666687</v>
      </c>
      <c r="S49" s="81">
        <f>IF(G49="","",ABS(O49-Components!$C$5))</f>
        <v>0.48266666666666858</v>
      </c>
      <c r="T49" s="81">
        <f>IF(G49="","",ABS(O49-Components!$C$6))</f>
        <v>2.9243333333333319</v>
      </c>
      <c r="U49" s="81">
        <f>IF(G49="","",ABS(O49-Components!$C$7))</f>
        <v>2.705666666666672</v>
      </c>
      <c r="V49" s="81" t="str">
        <f>IF(F49="","",IF(M49="OK","NONE",INDEX({"S1","S2","W1","W2","N1","N2"},MATCH(MIN(P49:U49),P49:U49,0))))</f>
        <v>S2</v>
      </c>
      <c r="W49" s="117">
        <f t="shared" si="6"/>
        <v>1</v>
      </c>
      <c r="X49" s="119"/>
    </row>
    <row r="50" spans="1:24">
      <c r="A50" s="115">
        <v>48</v>
      </c>
      <c r="B50" s="116">
        <v>2</v>
      </c>
      <c r="C50" s="81" t="s">
        <v>128</v>
      </c>
      <c r="D50" s="111" t="s">
        <v>240</v>
      </c>
      <c r="E50" s="81" t="s">
        <v>102</v>
      </c>
      <c r="F50" s="52">
        <v>5.88</v>
      </c>
      <c r="G50" s="52">
        <f t="shared" si="0"/>
        <v>6.85</v>
      </c>
      <c r="H50" s="110"/>
      <c r="I50" s="81">
        <f>VLOOKUP(C50,Recipes!$A$2:$N$4,10,FALSE())</f>
        <v>10.940000000000001</v>
      </c>
      <c r="J50" s="81">
        <f>VLOOKUP(C50,Recipes!$A$2:$N$4,12,FALSE())</f>
        <v>5.2703573566378441E-2</v>
      </c>
      <c r="K50" s="81">
        <f t="shared" si="1"/>
        <v>10.781889279300866</v>
      </c>
      <c r="L50" s="81">
        <f t="shared" si="2"/>
        <v>11.098110720699136</v>
      </c>
      <c r="M50" s="81" t="str">
        <f t="shared" si="4"/>
        <v>NG</v>
      </c>
      <c r="N50" s="117">
        <f t="shared" si="3"/>
        <v>1</v>
      </c>
      <c r="O50" s="81">
        <f t="shared" si="5"/>
        <v>4.0900000000000016</v>
      </c>
      <c r="P50" s="81">
        <f>IF(G50="","",ABS(O50-Components!$C$2))</f>
        <v>1.3366666666666718</v>
      </c>
      <c r="Q50" s="81">
        <f>IF(G50="","",ABS(O50-Components!$C$3))</f>
        <v>5.4000000000002046E-2</v>
      </c>
      <c r="R50" s="81">
        <f>IF(G50="","",ABS(O50-Components!$C$4))</f>
        <v>3.0966666666666685</v>
      </c>
      <c r="S50" s="81">
        <f>IF(G50="","",ABS(O50-Components!$C$5))</f>
        <v>0.47266666666666879</v>
      </c>
      <c r="T50" s="81">
        <f>IF(G50="","",ABS(O50-Components!$C$6))</f>
        <v>2.9343333333333317</v>
      </c>
      <c r="U50" s="81">
        <f>IF(G50="","",ABS(O50-Components!$C$7))</f>
        <v>2.7156666666666718</v>
      </c>
      <c r="V50" s="81" t="str">
        <f>IF(F50="","",IF(M50="OK","NONE",INDEX({"S1","S2","W1","W2","N1","N2"},MATCH(MIN(P50:U50),P50:U50,0))))</f>
        <v>S2</v>
      </c>
      <c r="W50" s="117">
        <f t="shared" si="6"/>
        <v>1</v>
      </c>
      <c r="X50" s="119"/>
    </row>
    <row r="51" spans="1:24">
      <c r="A51" s="115">
        <v>49</v>
      </c>
      <c r="B51" s="116">
        <v>2</v>
      </c>
      <c r="C51" s="81" t="s">
        <v>128</v>
      </c>
      <c r="D51" s="111" t="s">
        <v>240</v>
      </c>
      <c r="E51" s="81" t="s">
        <v>102</v>
      </c>
      <c r="F51" s="52">
        <v>5.94</v>
      </c>
      <c r="G51" s="52">
        <f t="shared" si="0"/>
        <v>6.91</v>
      </c>
      <c r="H51" s="110"/>
      <c r="I51" s="81">
        <f>VLOOKUP(C51,Recipes!$A$2:$N$4,10,FALSE())</f>
        <v>10.940000000000001</v>
      </c>
      <c r="J51" s="81">
        <f>VLOOKUP(C51,Recipes!$A$2:$N$4,12,FALSE())</f>
        <v>5.2703573566378441E-2</v>
      </c>
      <c r="K51" s="81">
        <f t="shared" si="1"/>
        <v>10.781889279300866</v>
      </c>
      <c r="L51" s="81">
        <f t="shared" si="2"/>
        <v>11.098110720699136</v>
      </c>
      <c r="M51" s="81" t="str">
        <f t="shared" si="4"/>
        <v>NG</v>
      </c>
      <c r="N51" s="117">
        <f t="shared" si="3"/>
        <v>1</v>
      </c>
      <c r="O51" s="81">
        <f t="shared" si="5"/>
        <v>4.0300000000000011</v>
      </c>
      <c r="P51" s="81">
        <f>IF(G51="","",ABS(O51-Components!$C$2))</f>
        <v>1.2766666666666713</v>
      </c>
      <c r="Q51" s="81">
        <f>IF(G51="","",ABS(O51-Components!$C$3))</f>
        <v>5.999999999998451E-3</v>
      </c>
      <c r="R51" s="81">
        <f>IF(G51="","",ABS(O51-Components!$C$4))</f>
        <v>3.036666666666668</v>
      </c>
      <c r="S51" s="81">
        <f>IF(G51="","",ABS(O51-Components!$C$5))</f>
        <v>0.53266666666666929</v>
      </c>
      <c r="T51" s="81">
        <f>IF(G51="","",ABS(O51-Components!$C$6))</f>
        <v>2.8743333333333312</v>
      </c>
      <c r="U51" s="81">
        <f>IF(G51="","",ABS(O51-Components!$C$7))</f>
        <v>2.6556666666666713</v>
      </c>
      <c r="V51" s="81" t="str">
        <f>IF(F51="","",IF(M51="OK","NONE",INDEX({"S1","S2","W1","W2","N1","N2"},MATCH(MIN(P51:U51),P51:U51,0))))</f>
        <v>S2</v>
      </c>
      <c r="W51" s="117">
        <f t="shared" si="6"/>
        <v>1</v>
      </c>
      <c r="X51" s="119"/>
    </row>
    <row r="52" spans="1:24">
      <c r="A52" s="115">
        <v>50</v>
      </c>
      <c r="B52" s="116">
        <v>2</v>
      </c>
      <c r="C52" s="81" t="s">
        <v>128</v>
      </c>
      <c r="D52" s="111" t="s">
        <v>240</v>
      </c>
      <c r="E52" s="81" t="s">
        <v>102</v>
      </c>
      <c r="F52" s="52">
        <v>5.93</v>
      </c>
      <c r="G52" s="52">
        <f t="shared" si="0"/>
        <v>6.8999999999999995</v>
      </c>
      <c r="H52" s="110"/>
      <c r="I52" s="81">
        <f>VLOOKUP(C52,Recipes!$A$2:$N$4,10,FALSE())</f>
        <v>10.940000000000001</v>
      </c>
      <c r="J52" s="81">
        <f>VLOOKUP(C52,Recipes!$A$2:$N$4,12,FALSE())</f>
        <v>5.2703573566378441E-2</v>
      </c>
      <c r="K52" s="81">
        <f t="shared" si="1"/>
        <v>10.781889279300866</v>
      </c>
      <c r="L52" s="81">
        <f t="shared" si="2"/>
        <v>11.098110720699136</v>
      </c>
      <c r="M52" s="81" t="str">
        <f t="shared" si="4"/>
        <v>NG</v>
      </c>
      <c r="N52" s="117">
        <f t="shared" si="3"/>
        <v>1</v>
      </c>
      <c r="O52" s="81">
        <f t="shared" si="5"/>
        <v>4.0400000000000018</v>
      </c>
      <c r="P52" s="81">
        <f>IF(G52="","",ABS(O52-Components!$C$2))</f>
        <v>1.286666666666672</v>
      </c>
      <c r="Q52" s="81">
        <f>IF(G52="","",ABS(O52-Components!$C$3))</f>
        <v>4.000000000002224E-3</v>
      </c>
      <c r="R52" s="81">
        <f>IF(G52="","",ABS(O52-Components!$C$4))</f>
        <v>3.0466666666666686</v>
      </c>
      <c r="S52" s="81">
        <f>IF(G52="","",ABS(O52-Components!$C$5))</f>
        <v>0.52266666666666861</v>
      </c>
      <c r="T52" s="81">
        <f>IF(G52="","",ABS(O52-Components!$C$6))</f>
        <v>2.8843333333333319</v>
      </c>
      <c r="U52" s="81">
        <f>IF(G52="","",ABS(O52-Components!$C$7))</f>
        <v>2.665666666666672</v>
      </c>
      <c r="V52" s="81" t="str">
        <f>IF(F52="","",IF(M52="OK","NONE",INDEX({"S1","S2","W1","W2","N1","N2"},MATCH(MIN(P52:U52),P52:U52,0))))</f>
        <v>S2</v>
      </c>
      <c r="W52" s="117">
        <f t="shared" si="6"/>
        <v>1</v>
      </c>
      <c r="X52" s="119"/>
    </row>
    <row r="53" spans="1:24">
      <c r="A53" s="115">
        <v>51</v>
      </c>
      <c r="B53" s="116">
        <v>2</v>
      </c>
      <c r="C53" s="81" t="s">
        <v>128</v>
      </c>
      <c r="D53" s="111" t="s">
        <v>240</v>
      </c>
      <c r="E53" s="81" t="s">
        <v>102</v>
      </c>
      <c r="F53" s="52">
        <v>5.99</v>
      </c>
      <c r="G53" s="52">
        <f t="shared" si="0"/>
        <v>6.96</v>
      </c>
      <c r="H53" s="110"/>
      <c r="I53" s="81">
        <f>VLOOKUP(C53,Recipes!$A$2:$N$4,10,FALSE())</f>
        <v>10.940000000000001</v>
      </c>
      <c r="J53" s="81">
        <f>VLOOKUP(C53,Recipes!$A$2:$N$4,12,FALSE())</f>
        <v>5.2703573566378441E-2</v>
      </c>
      <c r="K53" s="81">
        <f t="shared" si="1"/>
        <v>10.781889279300866</v>
      </c>
      <c r="L53" s="81">
        <f t="shared" si="2"/>
        <v>11.098110720699136</v>
      </c>
      <c r="M53" s="81" t="str">
        <f t="shared" si="4"/>
        <v>NG</v>
      </c>
      <c r="N53" s="117">
        <f t="shared" si="3"/>
        <v>1</v>
      </c>
      <c r="O53" s="81">
        <f t="shared" si="5"/>
        <v>3.9800000000000013</v>
      </c>
      <c r="P53" s="81">
        <f>IF(G53="","",ABS(O53-Components!$C$2))</f>
        <v>1.2266666666666715</v>
      </c>
      <c r="Q53" s="81">
        <f>IF(G53="","",ABS(O53-Components!$C$3))</f>
        <v>5.5999999999998273E-2</v>
      </c>
      <c r="R53" s="81">
        <f>IF(G53="","",ABS(O53-Components!$C$4))</f>
        <v>2.9866666666666681</v>
      </c>
      <c r="S53" s="81">
        <f>IF(G53="","",ABS(O53-Components!$C$5))</f>
        <v>0.58266666666666911</v>
      </c>
      <c r="T53" s="81">
        <f>IF(G53="","",ABS(O53-Components!$C$6))</f>
        <v>2.8243333333333314</v>
      </c>
      <c r="U53" s="81">
        <f>IF(G53="","",ABS(O53-Components!$C$7))</f>
        <v>2.6056666666666715</v>
      </c>
      <c r="V53" s="81" t="str">
        <f>IF(F53="","",IF(M53="OK","NONE",INDEX({"S1","S2","W1","W2","N1","N2"},MATCH(MIN(P53:U53),P53:U53,0))))</f>
        <v>S2</v>
      </c>
      <c r="W53" s="117">
        <f t="shared" si="6"/>
        <v>1</v>
      </c>
      <c r="X53" s="119"/>
    </row>
    <row r="54" spans="1:24">
      <c r="A54" s="115">
        <v>52</v>
      </c>
      <c r="B54" s="116">
        <v>2</v>
      </c>
      <c r="C54" s="81" t="s">
        <v>128</v>
      </c>
      <c r="D54" s="111" t="s">
        <v>240</v>
      </c>
      <c r="E54" s="81" t="s">
        <v>102</v>
      </c>
      <c r="F54" s="52">
        <v>5.92</v>
      </c>
      <c r="G54" s="52">
        <f t="shared" si="0"/>
        <v>6.89</v>
      </c>
      <c r="H54" s="110"/>
      <c r="I54" s="81">
        <f>VLOOKUP(C54,Recipes!$A$2:$N$4,10,FALSE())</f>
        <v>10.940000000000001</v>
      </c>
      <c r="J54" s="81">
        <f>VLOOKUP(C54,Recipes!$A$2:$N$4,12,FALSE())</f>
        <v>5.2703573566378441E-2</v>
      </c>
      <c r="K54" s="81">
        <f t="shared" si="1"/>
        <v>10.781889279300866</v>
      </c>
      <c r="L54" s="81">
        <f t="shared" si="2"/>
        <v>11.098110720699136</v>
      </c>
      <c r="M54" s="81" t="str">
        <f t="shared" si="4"/>
        <v>NG</v>
      </c>
      <c r="N54" s="117">
        <f t="shared" si="3"/>
        <v>1</v>
      </c>
      <c r="O54" s="81">
        <f t="shared" si="5"/>
        <v>4.0500000000000016</v>
      </c>
      <c r="P54" s="81">
        <f>IF(G54="","",ABS(O54-Components!$C$2))</f>
        <v>1.2966666666666717</v>
      </c>
      <c r="Q54" s="81">
        <f>IF(G54="","",ABS(O54-Components!$C$3))</f>
        <v>1.4000000000002011E-2</v>
      </c>
      <c r="R54" s="81">
        <f>IF(G54="","",ABS(O54-Components!$C$4))</f>
        <v>3.0566666666666684</v>
      </c>
      <c r="S54" s="81">
        <f>IF(G54="","",ABS(O54-Components!$C$5))</f>
        <v>0.51266666666666882</v>
      </c>
      <c r="T54" s="81">
        <f>IF(G54="","",ABS(O54-Components!$C$6))</f>
        <v>2.8943333333333316</v>
      </c>
      <c r="U54" s="81">
        <f>IF(G54="","",ABS(O54-Components!$C$7))</f>
        <v>2.6756666666666717</v>
      </c>
      <c r="V54" s="81" t="str">
        <f>IF(F54="","",IF(M54="OK","NONE",INDEX({"S1","S2","W1","W2","N1","N2"},MATCH(MIN(P54:U54),P54:U54,0))))</f>
        <v>S2</v>
      </c>
      <c r="W54" s="117">
        <f t="shared" si="6"/>
        <v>1</v>
      </c>
      <c r="X54" s="119"/>
    </row>
    <row r="55" spans="1:24">
      <c r="A55" s="115">
        <v>53</v>
      </c>
      <c r="B55" s="116">
        <v>2</v>
      </c>
      <c r="C55" s="81" t="s">
        <v>128</v>
      </c>
      <c r="D55" s="111" t="s">
        <v>240</v>
      </c>
      <c r="E55" s="81" t="s">
        <v>102</v>
      </c>
      <c r="F55" s="52">
        <v>5.78</v>
      </c>
      <c r="G55" s="52">
        <f t="shared" si="0"/>
        <v>6.75</v>
      </c>
      <c r="H55" s="110"/>
      <c r="I55" s="81">
        <f>VLOOKUP(C55,Recipes!$A$2:$N$4,10,FALSE())</f>
        <v>10.940000000000001</v>
      </c>
      <c r="J55" s="81">
        <f>VLOOKUP(C55,Recipes!$A$2:$N$4,12,FALSE())</f>
        <v>5.2703573566378441E-2</v>
      </c>
      <c r="K55" s="81">
        <f t="shared" si="1"/>
        <v>10.781889279300866</v>
      </c>
      <c r="L55" s="81">
        <f t="shared" si="2"/>
        <v>11.098110720699136</v>
      </c>
      <c r="M55" s="81" t="str">
        <f t="shared" si="4"/>
        <v>NG</v>
      </c>
      <c r="N55" s="117">
        <f t="shared" si="3"/>
        <v>1</v>
      </c>
      <c r="O55" s="81">
        <f t="shared" si="5"/>
        <v>4.1900000000000013</v>
      </c>
      <c r="P55" s="81">
        <f>IF(G55="","",ABS(O55-Components!$C$2))</f>
        <v>1.4366666666666714</v>
      </c>
      <c r="Q55" s="81">
        <f>IF(G55="","",ABS(O55-Components!$C$3))</f>
        <v>0.15400000000000169</v>
      </c>
      <c r="R55" s="81">
        <f>IF(G55="","",ABS(O55-Components!$C$4))</f>
        <v>3.1966666666666681</v>
      </c>
      <c r="S55" s="81">
        <f>IF(G55="","",ABS(O55-Components!$C$5))</f>
        <v>0.37266666666666914</v>
      </c>
      <c r="T55" s="81">
        <f>IF(G55="","",ABS(O55-Components!$C$6))</f>
        <v>3.0343333333333313</v>
      </c>
      <c r="U55" s="81">
        <f>IF(G55="","",ABS(O55-Components!$C$7))</f>
        <v>2.8156666666666714</v>
      </c>
      <c r="V55" s="81" t="str">
        <f>IF(F55="","",IF(M55="OK","NONE",INDEX({"S1","S2","W1","W2","N1","N2"},MATCH(MIN(P55:U55),P55:U55,0))))</f>
        <v>S2</v>
      </c>
      <c r="W55" s="117">
        <f t="shared" si="6"/>
        <v>1</v>
      </c>
      <c r="X55" s="119"/>
    </row>
    <row r="56" spans="1:24">
      <c r="A56" s="115">
        <v>54</v>
      </c>
      <c r="B56" s="116">
        <v>2</v>
      </c>
      <c r="C56" s="81" t="s">
        <v>128</v>
      </c>
      <c r="D56" s="111" t="s">
        <v>240</v>
      </c>
      <c r="E56" s="81" t="s">
        <v>102</v>
      </c>
      <c r="F56" s="52">
        <v>5.95</v>
      </c>
      <c r="G56" s="52">
        <f t="shared" si="0"/>
        <v>6.92</v>
      </c>
      <c r="H56" s="110"/>
      <c r="I56" s="81">
        <f>VLOOKUP(C56,Recipes!$A$2:$N$4,10,FALSE())</f>
        <v>10.940000000000001</v>
      </c>
      <c r="J56" s="81">
        <f>VLOOKUP(C56,Recipes!$A$2:$N$4,12,FALSE())</f>
        <v>5.2703573566378441E-2</v>
      </c>
      <c r="K56" s="81">
        <f t="shared" si="1"/>
        <v>10.781889279300866</v>
      </c>
      <c r="L56" s="81">
        <f t="shared" si="2"/>
        <v>11.098110720699136</v>
      </c>
      <c r="M56" s="81" t="str">
        <f t="shared" si="4"/>
        <v>NG</v>
      </c>
      <c r="N56" s="117">
        <f t="shared" si="3"/>
        <v>1</v>
      </c>
      <c r="O56" s="81">
        <f t="shared" si="5"/>
        <v>4.0200000000000014</v>
      </c>
      <c r="P56" s="81">
        <f>IF(G56="","",ABS(O56-Components!$C$2))</f>
        <v>1.2666666666666715</v>
      </c>
      <c r="Q56" s="81">
        <f>IF(G56="","",ABS(O56-Components!$C$3))</f>
        <v>1.5999999999998238E-2</v>
      </c>
      <c r="R56" s="81">
        <f>IF(G56="","",ABS(O56-Components!$C$4))</f>
        <v>3.0266666666666682</v>
      </c>
      <c r="S56" s="81">
        <f>IF(G56="","",ABS(O56-Components!$C$5))</f>
        <v>0.54266666666666907</v>
      </c>
      <c r="T56" s="81">
        <f>IF(G56="","",ABS(O56-Components!$C$6))</f>
        <v>2.8643333333333314</v>
      </c>
      <c r="U56" s="81">
        <f>IF(G56="","",ABS(O56-Components!$C$7))</f>
        <v>2.6456666666666715</v>
      </c>
      <c r="V56" s="81" t="str">
        <f>IF(F56="","",IF(M56="OK","NONE",INDEX({"S1","S2","W1","W2","N1","N2"},MATCH(MIN(P56:U56),P56:U56,0))))</f>
        <v>S2</v>
      </c>
      <c r="W56" s="117">
        <f t="shared" si="6"/>
        <v>1</v>
      </c>
      <c r="X56" s="119"/>
    </row>
    <row r="57" spans="1:24">
      <c r="A57" s="115">
        <v>55</v>
      </c>
      <c r="B57" s="116">
        <v>2</v>
      </c>
      <c r="C57" s="81" t="s">
        <v>128</v>
      </c>
      <c r="D57" s="111" t="s">
        <v>240</v>
      </c>
      <c r="E57" s="81" t="s">
        <v>102</v>
      </c>
      <c r="F57" s="52">
        <v>5.92</v>
      </c>
      <c r="G57" s="52">
        <f t="shared" si="0"/>
        <v>6.89</v>
      </c>
      <c r="H57" s="110"/>
      <c r="I57" s="81">
        <f>VLOOKUP(C57,Recipes!$A$2:$N$4,10,FALSE())</f>
        <v>10.940000000000001</v>
      </c>
      <c r="J57" s="81">
        <f>VLOOKUP(C57,Recipes!$A$2:$N$4,12,FALSE())</f>
        <v>5.2703573566378441E-2</v>
      </c>
      <c r="K57" s="81">
        <f t="shared" si="1"/>
        <v>10.781889279300866</v>
      </c>
      <c r="L57" s="81">
        <f t="shared" si="2"/>
        <v>11.098110720699136</v>
      </c>
      <c r="M57" s="81" t="str">
        <f t="shared" si="4"/>
        <v>NG</v>
      </c>
      <c r="N57" s="117">
        <f t="shared" si="3"/>
        <v>1</v>
      </c>
      <c r="O57" s="81">
        <f t="shared" si="5"/>
        <v>4.0500000000000016</v>
      </c>
      <c r="P57" s="81">
        <f>IF(G57="","",ABS(O57-Components!$C$2))</f>
        <v>1.2966666666666717</v>
      </c>
      <c r="Q57" s="81">
        <f>IF(G57="","",ABS(O57-Components!$C$3))</f>
        <v>1.4000000000002011E-2</v>
      </c>
      <c r="R57" s="81">
        <f>IF(G57="","",ABS(O57-Components!$C$4))</f>
        <v>3.0566666666666684</v>
      </c>
      <c r="S57" s="81">
        <f>IF(G57="","",ABS(O57-Components!$C$5))</f>
        <v>0.51266666666666882</v>
      </c>
      <c r="T57" s="81">
        <f>IF(G57="","",ABS(O57-Components!$C$6))</f>
        <v>2.8943333333333316</v>
      </c>
      <c r="U57" s="81">
        <f>IF(G57="","",ABS(O57-Components!$C$7))</f>
        <v>2.6756666666666717</v>
      </c>
      <c r="V57" s="81" t="str">
        <f>IF(F57="","",IF(M57="OK","NONE",INDEX({"S1","S2","W1","W2","N1","N2"},MATCH(MIN(P57:U57),P57:U57,0))))</f>
        <v>S2</v>
      </c>
      <c r="W57" s="117">
        <f t="shared" si="6"/>
        <v>1</v>
      </c>
      <c r="X57" s="119"/>
    </row>
    <row r="58" spans="1:24">
      <c r="A58" s="115">
        <v>56</v>
      </c>
      <c r="B58" s="116">
        <v>2</v>
      </c>
      <c r="C58" s="81" t="s">
        <v>128</v>
      </c>
      <c r="D58" s="111" t="s">
        <v>240</v>
      </c>
      <c r="E58" s="81" t="s">
        <v>102</v>
      </c>
      <c r="F58" s="52">
        <v>5.94</v>
      </c>
      <c r="G58" s="52">
        <f t="shared" si="0"/>
        <v>6.91</v>
      </c>
      <c r="H58" s="110"/>
      <c r="I58" s="81">
        <f>VLOOKUP(C58,Recipes!$A$2:$N$4,10,FALSE())</f>
        <v>10.940000000000001</v>
      </c>
      <c r="J58" s="81">
        <f>VLOOKUP(C58,Recipes!$A$2:$N$4,12,FALSE())</f>
        <v>5.2703573566378441E-2</v>
      </c>
      <c r="K58" s="81">
        <f t="shared" si="1"/>
        <v>10.781889279300866</v>
      </c>
      <c r="L58" s="81">
        <f t="shared" si="2"/>
        <v>11.098110720699136</v>
      </c>
      <c r="M58" s="81" t="str">
        <f t="shared" si="4"/>
        <v>NG</v>
      </c>
      <c r="N58" s="117">
        <f t="shared" si="3"/>
        <v>1</v>
      </c>
      <c r="O58" s="81">
        <f t="shared" si="5"/>
        <v>4.0300000000000011</v>
      </c>
      <c r="P58" s="81">
        <f>IF(G58="","",ABS(O58-Components!$C$2))</f>
        <v>1.2766666666666713</v>
      </c>
      <c r="Q58" s="81">
        <f>IF(G58="","",ABS(O58-Components!$C$3))</f>
        <v>5.999999999998451E-3</v>
      </c>
      <c r="R58" s="81">
        <f>IF(G58="","",ABS(O58-Components!$C$4))</f>
        <v>3.036666666666668</v>
      </c>
      <c r="S58" s="81">
        <f>IF(G58="","",ABS(O58-Components!$C$5))</f>
        <v>0.53266666666666929</v>
      </c>
      <c r="T58" s="81">
        <f>IF(G58="","",ABS(O58-Components!$C$6))</f>
        <v>2.8743333333333312</v>
      </c>
      <c r="U58" s="81">
        <f>IF(G58="","",ABS(O58-Components!$C$7))</f>
        <v>2.6556666666666713</v>
      </c>
      <c r="V58" s="81" t="str">
        <f>IF(F58="","",IF(M58="OK","NONE",INDEX({"S1","S2","W1","W2","N1","N2"},MATCH(MIN(P58:U58),P58:U58,0))))</f>
        <v>S2</v>
      </c>
      <c r="W58" s="117">
        <f t="shared" si="6"/>
        <v>1</v>
      </c>
      <c r="X58" s="119"/>
    </row>
    <row r="59" spans="1:24">
      <c r="A59" s="115">
        <v>57</v>
      </c>
      <c r="B59" s="116">
        <v>2</v>
      </c>
      <c r="C59" s="81" t="s">
        <v>128</v>
      </c>
      <c r="D59" s="111" t="s">
        <v>240</v>
      </c>
      <c r="E59" s="81" t="s">
        <v>102</v>
      </c>
      <c r="F59" s="52">
        <v>5.9</v>
      </c>
      <c r="G59" s="52">
        <f t="shared" si="0"/>
        <v>6.87</v>
      </c>
      <c r="H59" s="110"/>
      <c r="I59" s="81">
        <f>VLOOKUP(C59,Recipes!$A$2:$N$4,10,FALSE())</f>
        <v>10.940000000000001</v>
      </c>
      <c r="J59" s="81">
        <f>VLOOKUP(C59,Recipes!$A$2:$N$4,12,FALSE())</f>
        <v>5.2703573566378441E-2</v>
      </c>
      <c r="K59" s="81">
        <f t="shared" si="1"/>
        <v>10.781889279300866</v>
      </c>
      <c r="L59" s="81">
        <f t="shared" si="2"/>
        <v>11.098110720699136</v>
      </c>
      <c r="M59" s="81" t="str">
        <f t="shared" si="4"/>
        <v>NG</v>
      </c>
      <c r="N59" s="117">
        <f t="shared" si="3"/>
        <v>1</v>
      </c>
      <c r="O59" s="81">
        <f t="shared" si="5"/>
        <v>4.0700000000000012</v>
      </c>
      <c r="P59" s="81">
        <f>IF(G59="","",ABS(O59-Components!$C$2))</f>
        <v>1.3166666666666713</v>
      </c>
      <c r="Q59" s="81">
        <f>IF(G59="","",ABS(O59-Components!$C$3))</f>
        <v>3.4000000000001585E-2</v>
      </c>
      <c r="R59" s="81">
        <f>IF(G59="","",ABS(O59-Components!$C$4))</f>
        <v>3.076666666666668</v>
      </c>
      <c r="S59" s="81">
        <f>IF(G59="","",ABS(O59-Components!$C$5))</f>
        <v>0.49266666666666925</v>
      </c>
      <c r="T59" s="81">
        <f>IF(G59="","",ABS(O59-Components!$C$6))</f>
        <v>2.9143333333333312</v>
      </c>
      <c r="U59" s="81">
        <f>IF(G59="","",ABS(O59-Components!$C$7))</f>
        <v>2.6956666666666713</v>
      </c>
      <c r="V59" s="81" t="str">
        <f>IF(F59="","",IF(M59="OK","NONE",INDEX({"S1","S2","W1","W2","N1","N2"},MATCH(MIN(P59:U59),P59:U59,0))))</f>
        <v>S2</v>
      </c>
      <c r="W59" s="117">
        <f t="shared" si="6"/>
        <v>1</v>
      </c>
      <c r="X59" s="119"/>
    </row>
    <row r="60" spans="1:24">
      <c r="A60" s="115">
        <v>58</v>
      </c>
      <c r="B60" s="116">
        <v>2</v>
      </c>
      <c r="C60" s="81" t="s">
        <v>128</v>
      </c>
      <c r="D60" s="111" t="s">
        <v>240</v>
      </c>
      <c r="E60" s="81" t="s">
        <v>102</v>
      </c>
      <c r="F60" s="52">
        <v>5.92</v>
      </c>
      <c r="G60" s="52">
        <f t="shared" si="0"/>
        <v>6.89</v>
      </c>
      <c r="H60" s="110"/>
      <c r="I60" s="81">
        <f>VLOOKUP(C60,Recipes!$A$2:$N$4,10,FALSE())</f>
        <v>10.940000000000001</v>
      </c>
      <c r="J60" s="81">
        <f>VLOOKUP(C60,Recipes!$A$2:$N$4,12,FALSE())</f>
        <v>5.2703573566378441E-2</v>
      </c>
      <c r="K60" s="81">
        <f t="shared" si="1"/>
        <v>10.781889279300866</v>
      </c>
      <c r="L60" s="81">
        <f t="shared" si="2"/>
        <v>11.098110720699136</v>
      </c>
      <c r="M60" s="81" t="str">
        <f t="shared" si="4"/>
        <v>NG</v>
      </c>
      <c r="N60" s="117">
        <f t="shared" si="3"/>
        <v>1</v>
      </c>
      <c r="O60" s="81">
        <f t="shared" si="5"/>
        <v>4.0500000000000016</v>
      </c>
      <c r="P60" s="81">
        <f>IF(G60="","",ABS(O60-Components!$C$2))</f>
        <v>1.2966666666666717</v>
      </c>
      <c r="Q60" s="81">
        <f>IF(G60="","",ABS(O60-Components!$C$3))</f>
        <v>1.4000000000002011E-2</v>
      </c>
      <c r="R60" s="81">
        <f>IF(G60="","",ABS(O60-Components!$C$4))</f>
        <v>3.0566666666666684</v>
      </c>
      <c r="S60" s="81">
        <f>IF(G60="","",ABS(O60-Components!$C$5))</f>
        <v>0.51266666666666882</v>
      </c>
      <c r="T60" s="81">
        <f>IF(G60="","",ABS(O60-Components!$C$6))</f>
        <v>2.8943333333333316</v>
      </c>
      <c r="U60" s="81">
        <f>IF(G60="","",ABS(O60-Components!$C$7))</f>
        <v>2.6756666666666717</v>
      </c>
      <c r="V60" s="81" t="str">
        <f>IF(F60="","",IF(M60="OK","NONE",INDEX({"S1","S2","W1","W2","N1","N2"},MATCH(MIN(P60:U60),P60:U60,0))))</f>
        <v>S2</v>
      </c>
      <c r="W60" s="117">
        <f t="shared" si="6"/>
        <v>1</v>
      </c>
      <c r="X60" s="119"/>
    </row>
    <row r="61" spans="1:24">
      <c r="A61" s="115">
        <v>59</v>
      </c>
      <c r="B61" s="116">
        <v>2</v>
      </c>
      <c r="C61" s="81" t="s">
        <v>128</v>
      </c>
      <c r="D61" s="111" t="s">
        <v>240</v>
      </c>
      <c r="E61" s="81" t="s">
        <v>102</v>
      </c>
      <c r="F61" s="52">
        <v>5.4</v>
      </c>
      <c r="G61" s="52">
        <f t="shared" si="0"/>
        <v>6.37</v>
      </c>
      <c r="H61" s="110"/>
      <c r="I61" s="81">
        <f>VLOOKUP(C61,Recipes!$A$2:$N$4,10,FALSE())</f>
        <v>10.940000000000001</v>
      </c>
      <c r="J61" s="81">
        <f>VLOOKUP(C61,Recipes!$A$2:$N$4,12,FALSE())</f>
        <v>5.2703573566378441E-2</v>
      </c>
      <c r="K61" s="81">
        <f t="shared" si="1"/>
        <v>10.781889279300866</v>
      </c>
      <c r="L61" s="81">
        <f t="shared" si="2"/>
        <v>11.098110720699136</v>
      </c>
      <c r="M61" s="81" t="str">
        <f t="shared" si="4"/>
        <v>NG</v>
      </c>
      <c r="N61" s="117">
        <f t="shared" si="3"/>
        <v>1</v>
      </c>
      <c r="O61" s="201">
        <f t="shared" si="5"/>
        <v>4.5700000000000012</v>
      </c>
      <c r="P61" s="201">
        <f>IF(G61="","",ABS(O61-Components!$C$2))</f>
        <v>1.8166666666666713</v>
      </c>
      <c r="Q61" s="201">
        <f>IF(G61="","",ABS(O61-Components!$C$3))</f>
        <v>0.53400000000000158</v>
      </c>
      <c r="R61" s="201">
        <f>IF(G61="","",ABS(O61-Components!$C$4))</f>
        <v>3.576666666666668</v>
      </c>
      <c r="S61" s="201">
        <f>IF(G61="","",ABS(O61-Components!$C$5))</f>
        <v>7.3333333333307493E-3</v>
      </c>
      <c r="T61" s="201">
        <f>IF(G61="","",ABS(O61-Components!$C$6))</f>
        <v>3.4143333333333312</v>
      </c>
      <c r="U61" s="201">
        <f>IF(G61="","",ABS(O61-Components!$C$7))</f>
        <v>3.1956666666666713</v>
      </c>
      <c r="V61" s="201" t="str">
        <f>IF(F61="","",IF(M61="OK","NONE",INDEX({"S1","S2","W1","W2","N1","N2"},MATCH(MIN(P61:U61),P61:U61,0))))</f>
        <v>W2</v>
      </c>
      <c r="W61" s="118">
        <f t="shared" si="6"/>
        <v>0</v>
      </c>
      <c r="X61" s="119"/>
    </row>
    <row r="62" spans="1:24">
      <c r="A62" s="115">
        <v>60</v>
      </c>
      <c r="B62" s="116">
        <v>2</v>
      </c>
      <c r="C62" s="81" t="s">
        <v>128</v>
      </c>
      <c r="D62" s="111" t="s">
        <v>240</v>
      </c>
      <c r="E62" s="81" t="s">
        <v>102</v>
      </c>
      <c r="F62" s="52">
        <v>5.8</v>
      </c>
      <c r="G62" s="52">
        <f t="shared" si="0"/>
        <v>6.77</v>
      </c>
      <c r="H62" s="110"/>
      <c r="I62" s="81">
        <f>VLOOKUP(C62,Recipes!$A$2:$N$4,10,FALSE())</f>
        <v>10.940000000000001</v>
      </c>
      <c r="J62" s="81">
        <f>VLOOKUP(C62,Recipes!$A$2:$N$4,12,FALSE())</f>
        <v>5.2703573566378441E-2</v>
      </c>
      <c r="K62" s="81">
        <f t="shared" si="1"/>
        <v>10.781889279300866</v>
      </c>
      <c r="L62" s="81">
        <f t="shared" si="2"/>
        <v>11.098110720699136</v>
      </c>
      <c r="M62" s="81" t="str">
        <f t="shared" si="4"/>
        <v>NG</v>
      </c>
      <c r="N62" s="117">
        <f t="shared" si="3"/>
        <v>1</v>
      </c>
      <c r="O62" s="81">
        <f t="shared" si="5"/>
        <v>4.1700000000000017</v>
      </c>
      <c r="P62" s="81">
        <f>IF(G62="","",ABS(O62-Components!$C$2))</f>
        <v>1.4166666666666718</v>
      </c>
      <c r="Q62" s="81">
        <f>IF(G62="","",ABS(O62-Components!$C$3))</f>
        <v>0.13400000000000212</v>
      </c>
      <c r="R62" s="81">
        <f>IF(G62="","",ABS(O62-Components!$C$4))</f>
        <v>3.1766666666666685</v>
      </c>
      <c r="S62" s="81">
        <f>IF(G62="","",ABS(O62-Components!$C$5))</f>
        <v>0.39266666666666872</v>
      </c>
      <c r="T62" s="81">
        <f>IF(G62="","",ABS(O62-Components!$C$6))</f>
        <v>3.0143333333333318</v>
      </c>
      <c r="U62" s="81">
        <f>IF(G62="","",ABS(O62-Components!$C$7))</f>
        <v>2.7956666666666719</v>
      </c>
      <c r="V62" s="81" t="str">
        <f>IF(F62="","",IF(M62="OK","NONE",INDEX({"S1","S2","W1","W2","N1","N2"},MATCH(MIN(P62:U62),P62:U62,0))))</f>
        <v>S2</v>
      </c>
      <c r="W62" s="117">
        <f t="shared" si="6"/>
        <v>1</v>
      </c>
      <c r="X62" s="119"/>
    </row>
    <row r="63" spans="1:24">
      <c r="A63" s="115">
        <v>61</v>
      </c>
      <c r="B63" s="116">
        <v>3</v>
      </c>
      <c r="C63" s="81" t="s">
        <v>128</v>
      </c>
      <c r="D63" s="111" t="s">
        <v>240</v>
      </c>
      <c r="E63" s="81" t="s">
        <v>106</v>
      </c>
      <c r="F63" s="52">
        <v>5.4</v>
      </c>
      <c r="G63" s="52">
        <f t="shared" si="0"/>
        <v>6.37</v>
      </c>
      <c r="H63" s="110"/>
      <c r="I63" s="81">
        <f>VLOOKUP(C63,Recipes!$A$2:$N$4,10,FALSE())</f>
        <v>10.940000000000001</v>
      </c>
      <c r="J63" s="81">
        <f>VLOOKUP(C63,Recipes!$A$2:$N$4,12,FALSE())</f>
        <v>5.2703573566378441E-2</v>
      </c>
      <c r="K63" s="81">
        <f t="shared" si="1"/>
        <v>10.781889279300866</v>
      </c>
      <c r="L63" s="81">
        <f t="shared" si="2"/>
        <v>11.098110720699136</v>
      </c>
      <c r="M63" s="81" t="str">
        <f t="shared" si="4"/>
        <v>NG</v>
      </c>
      <c r="N63" s="117">
        <f t="shared" si="3"/>
        <v>1</v>
      </c>
      <c r="O63" s="81">
        <f t="shared" si="5"/>
        <v>4.5700000000000012</v>
      </c>
      <c r="P63" s="81">
        <f>IF(G63="","",ABS(O63-Components!$C$2))</f>
        <v>1.8166666666666713</v>
      </c>
      <c r="Q63" s="81">
        <f>IF(G63="","",ABS(O63-Components!$C$3))</f>
        <v>0.53400000000000158</v>
      </c>
      <c r="R63" s="81">
        <f>IF(G63="","",ABS(O63-Components!$C$4))</f>
        <v>3.576666666666668</v>
      </c>
      <c r="S63" s="81">
        <f>IF(G63="","",ABS(O63-Components!$C$5))</f>
        <v>7.3333333333307493E-3</v>
      </c>
      <c r="T63" s="81">
        <f>IF(G63="","",ABS(O63-Components!$C$6))</f>
        <v>3.4143333333333312</v>
      </c>
      <c r="U63" s="81">
        <f>IF(G63="","",ABS(O63-Components!$C$7))</f>
        <v>3.1956666666666713</v>
      </c>
      <c r="V63" s="81" t="str">
        <f>IF(F63="","",IF(M63="OK","NONE",INDEX({"S1","S2","W1","W2","N1","N2"},MATCH(MIN(P63:U63),P63:U63,0))))</f>
        <v>W2</v>
      </c>
      <c r="W63" s="117">
        <f t="shared" si="6"/>
        <v>1</v>
      </c>
      <c r="X63" s="119"/>
    </row>
    <row r="64" spans="1:24">
      <c r="A64" s="115">
        <v>62</v>
      </c>
      <c r="B64" s="116">
        <v>3</v>
      </c>
      <c r="C64" s="81" t="s">
        <v>128</v>
      </c>
      <c r="D64" s="111" t="s">
        <v>240</v>
      </c>
      <c r="E64" s="81" t="s">
        <v>106</v>
      </c>
      <c r="F64" s="52">
        <v>5.45</v>
      </c>
      <c r="G64" s="52">
        <f t="shared" si="0"/>
        <v>6.42</v>
      </c>
      <c r="H64" s="110"/>
      <c r="I64" s="81">
        <f>VLOOKUP(C64,Recipes!$A$2:$N$4,10,FALSE())</f>
        <v>10.940000000000001</v>
      </c>
      <c r="J64" s="81">
        <f>VLOOKUP(C64,Recipes!$A$2:$N$4,12,FALSE())</f>
        <v>5.2703573566378441E-2</v>
      </c>
      <c r="K64" s="81">
        <f t="shared" si="1"/>
        <v>10.781889279300866</v>
      </c>
      <c r="L64" s="81">
        <f t="shared" si="2"/>
        <v>11.098110720699136</v>
      </c>
      <c r="M64" s="81" t="str">
        <f t="shared" si="4"/>
        <v>NG</v>
      </c>
      <c r="N64" s="117">
        <f t="shared" si="3"/>
        <v>1</v>
      </c>
      <c r="O64" s="81">
        <f t="shared" si="5"/>
        <v>4.5200000000000014</v>
      </c>
      <c r="P64" s="81">
        <f>IF(G64="","",ABS(O64-Components!$C$2))</f>
        <v>1.7666666666666715</v>
      </c>
      <c r="Q64" s="81">
        <f>IF(G64="","",ABS(O64-Components!$C$3))</f>
        <v>0.48400000000000176</v>
      </c>
      <c r="R64" s="81">
        <f>IF(G64="","",ABS(O64-Components!$C$4))</f>
        <v>3.5266666666666682</v>
      </c>
      <c r="S64" s="81">
        <f>IF(G64="","",ABS(O64-Components!$C$5))</f>
        <v>4.2666666666669073E-2</v>
      </c>
      <c r="T64" s="81">
        <f>IF(G64="","",ABS(O64-Components!$C$6))</f>
        <v>3.3643333333333314</v>
      </c>
      <c r="U64" s="81">
        <f>IF(G64="","",ABS(O64-Components!$C$7))</f>
        <v>3.1456666666666715</v>
      </c>
      <c r="V64" s="81" t="str">
        <f>IF(F64="","",IF(M64="OK","NONE",INDEX({"S1","S2","W1","W2","N1","N2"},MATCH(MIN(P64:U64),P64:U64,0))))</f>
        <v>W2</v>
      </c>
      <c r="W64" s="117">
        <f t="shared" si="6"/>
        <v>1</v>
      </c>
      <c r="X64" s="119"/>
    </row>
    <row r="65" spans="1:24">
      <c r="A65" s="115">
        <v>63</v>
      </c>
      <c r="B65" s="116">
        <v>3</v>
      </c>
      <c r="C65" s="81" t="s">
        <v>128</v>
      </c>
      <c r="D65" s="111" t="s">
        <v>240</v>
      </c>
      <c r="E65" s="81" t="s">
        <v>106</v>
      </c>
      <c r="F65" s="52">
        <v>5.42</v>
      </c>
      <c r="G65" s="52">
        <f t="shared" si="0"/>
        <v>6.39</v>
      </c>
      <c r="H65" s="110"/>
      <c r="I65" s="81">
        <f>VLOOKUP(C65,Recipes!$A$2:$N$4,10,FALSE())</f>
        <v>10.940000000000001</v>
      </c>
      <c r="J65" s="81">
        <f>VLOOKUP(C65,Recipes!$A$2:$N$4,12,FALSE())</f>
        <v>5.2703573566378441E-2</v>
      </c>
      <c r="K65" s="81">
        <f t="shared" si="1"/>
        <v>10.781889279300866</v>
      </c>
      <c r="L65" s="81">
        <f t="shared" si="2"/>
        <v>11.098110720699136</v>
      </c>
      <c r="M65" s="81" t="str">
        <f t="shared" si="4"/>
        <v>NG</v>
      </c>
      <c r="N65" s="117">
        <f t="shared" si="3"/>
        <v>1</v>
      </c>
      <c r="O65" s="81">
        <f t="shared" si="5"/>
        <v>4.5500000000000016</v>
      </c>
      <c r="P65" s="81">
        <f>IF(G65="","",ABS(O65-Components!$C$2))</f>
        <v>1.7966666666666717</v>
      </c>
      <c r="Q65" s="81">
        <f>IF(G65="","",ABS(O65-Components!$C$3))</f>
        <v>0.51400000000000201</v>
      </c>
      <c r="R65" s="81">
        <f>IF(G65="","",ABS(O65-Components!$C$4))</f>
        <v>3.5566666666666684</v>
      </c>
      <c r="S65" s="81">
        <f>IF(G65="","",ABS(O65-Components!$C$5))</f>
        <v>1.2666666666668824E-2</v>
      </c>
      <c r="T65" s="81">
        <f>IF(G65="","",ABS(O65-Components!$C$6))</f>
        <v>3.3943333333333316</v>
      </c>
      <c r="U65" s="81">
        <f>IF(G65="","",ABS(O65-Components!$C$7))</f>
        <v>3.1756666666666717</v>
      </c>
      <c r="V65" s="81" t="str">
        <f>IF(F65="","",IF(M65="OK","NONE",INDEX({"S1","S2","W1","W2","N1","N2"},MATCH(MIN(P65:U65),P65:U65,0))))</f>
        <v>W2</v>
      </c>
      <c r="W65" s="117">
        <f t="shared" si="6"/>
        <v>1</v>
      </c>
      <c r="X65" s="119"/>
    </row>
    <row r="66" spans="1:24">
      <c r="A66" s="115">
        <v>64</v>
      </c>
      <c r="B66" s="116">
        <v>3</v>
      </c>
      <c r="C66" s="81" t="s">
        <v>128</v>
      </c>
      <c r="D66" s="111" t="s">
        <v>240</v>
      </c>
      <c r="E66" s="81" t="s">
        <v>106</v>
      </c>
      <c r="F66" s="52">
        <v>5.42</v>
      </c>
      <c r="G66" s="52">
        <f t="shared" si="0"/>
        <v>6.39</v>
      </c>
      <c r="H66" s="110"/>
      <c r="I66" s="81">
        <f>VLOOKUP(C66,Recipes!$A$2:$N$4,10,FALSE())</f>
        <v>10.940000000000001</v>
      </c>
      <c r="J66" s="81">
        <f>VLOOKUP(C66,Recipes!$A$2:$N$4,12,FALSE())</f>
        <v>5.2703573566378441E-2</v>
      </c>
      <c r="K66" s="81">
        <f t="shared" si="1"/>
        <v>10.781889279300866</v>
      </c>
      <c r="L66" s="81">
        <f t="shared" si="2"/>
        <v>11.098110720699136</v>
      </c>
      <c r="M66" s="81" t="str">
        <f t="shared" si="4"/>
        <v>NG</v>
      </c>
      <c r="N66" s="117">
        <f t="shared" si="3"/>
        <v>1</v>
      </c>
      <c r="O66" s="81">
        <f t="shared" si="5"/>
        <v>4.5500000000000016</v>
      </c>
      <c r="P66" s="81">
        <f>IF(G66="","",ABS(O66-Components!$C$2))</f>
        <v>1.7966666666666717</v>
      </c>
      <c r="Q66" s="81">
        <f>IF(G66="","",ABS(O66-Components!$C$3))</f>
        <v>0.51400000000000201</v>
      </c>
      <c r="R66" s="81">
        <f>IF(G66="","",ABS(O66-Components!$C$4))</f>
        <v>3.5566666666666684</v>
      </c>
      <c r="S66" s="81">
        <f>IF(G66="","",ABS(O66-Components!$C$5))</f>
        <v>1.2666666666668824E-2</v>
      </c>
      <c r="T66" s="81">
        <f>IF(G66="","",ABS(O66-Components!$C$6))</f>
        <v>3.3943333333333316</v>
      </c>
      <c r="U66" s="81">
        <f>IF(G66="","",ABS(O66-Components!$C$7))</f>
        <v>3.1756666666666717</v>
      </c>
      <c r="V66" s="81" t="str">
        <f>IF(F66="","",IF(M66="OK","NONE",INDEX({"S1","S2","W1","W2","N1","N2"},MATCH(MIN(P66:U66),P66:U66,0))))</f>
        <v>W2</v>
      </c>
      <c r="W66" s="117">
        <f t="shared" si="6"/>
        <v>1</v>
      </c>
      <c r="X66" s="119"/>
    </row>
    <row r="67" spans="1:24">
      <c r="A67" s="115">
        <v>65</v>
      </c>
      <c r="B67" s="116">
        <v>3</v>
      </c>
      <c r="C67" s="81" t="s">
        <v>128</v>
      </c>
      <c r="D67" s="111" t="s">
        <v>240</v>
      </c>
      <c r="E67" s="81" t="s">
        <v>106</v>
      </c>
      <c r="F67" s="52">
        <v>5.42</v>
      </c>
      <c r="G67" s="52">
        <f t="shared" ref="G67:G130" si="7">0.97+F67</f>
        <v>6.39</v>
      </c>
      <c r="H67" s="110"/>
      <c r="I67" s="81">
        <f>VLOOKUP(C67,Recipes!$A$2:$N$4,10,FALSE())</f>
        <v>10.940000000000001</v>
      </c>
      <c r="J67" s="81">
        <f>VLOOKUP(C67,Recipes!$A$2:$N$4,12,FALSE())</f>
        <v>5.2703573566378441E-2</v>
      </c>
      <c r="K67" s="81">
        <f t="shared" ref="K67:K130" si="8">I67-3*J67</f>
        <v>10.781889279300866</v>
      </c>
      <c r="L67" s="81">
        <f t="shared" ref="L67:L130" si="9">I67+3*J67</f>
        <v>11.098110720699136</v>
      </c>
      <c r="M67" s="81" t="str">
        <f t="shared" si="4"/>
        <v>NG</v>
      </c>
      <c r="N67" s="117">
        <f t="shared" ref="N67:N130" si="10">IF(M67="","",IF(M67=D67,1,0))</f>
        <v>1</v>
      </c>
      <c r="O67" s="81">
        <f t="shared" si="5"/>
        <v>4.5500000000000016</v>
      </c>
      <c r="P67" s="81">
        <f>IF(G67="","",ABS(O67-Components!$C$2))</f>
        <v>1.7966666666666717</v>
      </c>
      <c r="Q67" s="81">
        <f>IF(G67="","",ABS(O67-Components!$C$3))</f>
        <v>0.51400000000000201</v>
      </c>
      <c r="R67" s="81">
        <f>IF(G67="","",ABS(O67-Components!$C$4))</f>
        <v>3.5566666666666684</v>
      </c>
      <c r="S67" s="81">
        <f>IF(G67="","",ABS(O67-Components!$C$5))</f>
        <v>1.2666666666668824E-2</v>
      </c>
      <c r="T67" s="81">
        <f>IF(G67="","",ABS(O67-Components!$C$6))</f>
        <v>3.3943333333333316</v>
      </c>
      <c r="U67" s="81">
        <f>IF(G67="","",ABS(O67-Components!$C$7))</f>
        <v>3.1756666666666717</v>
      </c>
      <c r="V67" s="81" t="str">
        <f>IF(F67="","",IF(M67="OK","NONE",INDEX({"S1","S2","W1","W2","N1","N2"},MATCH(MIN(P67:U67),P67:U67,0))))</f>
        <v>W2</v>
      </c>
      <c r="W67" s="117">
        <f t="shared" si="6"/>
        <v>1</v>
      </c>
      <c r="X67" s="119"/>
    </row>
    <row r="68" spans="1:24">
      <c r="A68" s="115">
        <v>66</v>
      </c>
      <c r="B68" s="116">
        <v>3</v>
      </c>
      <c r="C68" s="81" t="s">
        <v>128</v>
      </c>
      <c r="D68" s="111" t="s">
        <v>240</v>
      </c>
      <c r="E68" s="81" t="s">
        <v>106</v>
      </c>
      <c r="F68" s="52">
        <v>5.42</v>
      </c>
      <c r="G68" s="52">
        <f t="shared" si="7"/>
        <v>6.39</v>
      </c>
      <c r="H68" s="110"/>
      <c r="I68" s="81">
        <f>VLOOKUP(C68,Recipes!$A$2:$N$4,10,FALSE())</f>
        <v>10.940000000000001</v>
      </c>
      <c r="J68" s="81">
        <f>VLOOKUP(C68,Recipes!$A$2:$N$4,12,FALSE())</f>
        <v>5.2703573566378441E-2</v>
      </c>
      <c r="K68" s="81">
        <f t="shared" si="8"/>
        <v>10.781889279300866</v>
      </c>
      <c r="L68" s="81">
        <f t="shared" si="9"/>
        <v>11.098110720699136</v>
      </c>
      <c r="M68" s="81" t="str">
        <f t="shared" ref="M68:M131" si="11">IF(G68="","",IF(AND(G68&gt;=K68,G68&lt;=L68),"OK","NG"))</f>
        <v>NG</v>
      </c>
      <c r="N68" s="117">
        <f t="shared" si="10"/>
        <v>1</v>
      </c>
      <c r="O68" s="81">
        <f t="shared" ref="O68:O131" si="12">IF(G68="","",I68-G68)</f>
        <v>4.5500000000000016</v>
      </c>
      <c r="P68" s="81">
        <f>IF(G68="","",ABS(O68-Components!$C$2))</f>
        <v>1.7966666666666717</v>
      </c>
      <c r="Q68" s="81">
        <f>IF(G68="","",ABS(O68-Components!$C$3))</f>
        <v>0.51400000000000201</v>
      </c>
      <c r="R68" s="81">
        <f>IF(G68="","",ABS(O68-Components!$C$4))</f>
        <v>3.5566666666666684</v>
      </c>
      <c r="S68" s="81">
        <f>IF(G68="","",ABS(O68-Components!$C$5))</f>
        <v>1.2666666666668824E-2</v>
      </c>
      <c r="T68" s="81">
        <f>IF(G68="","",ABS(O68-Components!$C$6))</f>
        <v>3.3943333333333316</v>
      </c>
      <c r="U68" s="81">
        <f>IF(G68="","",ABS(O68-Components!$C$7))</f>
        <v>3.1756666666666717</v>
      </c>
      <c r="V68" s="81" t="str">
        <f>IF(F68="","",IF(M68="OK","NONE",INDEX({"S1","S2","W1","W2","N1","N2"},MATCH(MIN(P68:U68),P68:U68,0))))</f>
        <v>W2</v>
      </c>
      <c r="W68" s="117">
        <f t="shared" ref="W68:W131" si="13">IF(G68="","",IF(V68=E68,1,0))</f>
        <v>1</v>
      </c>
      <c r="X68" s="119"/>
    </row>
    <row r="69" spans="1:24">
      <c r="A69" s="115">
        <v>67</v>
      </c>
      <c r="B69" s="116">
        <v>3</v>
      </c>
      <c r="C69" s="81" t="s">
        <v>128</v>
      </c>
      <c r="D69" s="111" t="s">
        <v>240</v>
      </c>
      <c r="E69" s="81" t="s">
        <v>106</v>
      </c>
      <c r="F69" s="52">
        <v>5.45</v>
      </c>
      <c r="G69" s="52">
        <f t="shared" si="7"/>
        <v>6.42</v>
      </c>
      <c r="H69" s="110"/>
      <c r="I69" s="81">
        <f>VLOOKUP(C69,Recipes!$A$2:$N$4,10,FALSE())</f>
        <v>10.940000000000001</v>
      </c>
      <c r="J69" s="81">
        <f>VLOOKUP(C69,Recipes!$A$2:$N$4,12,FALSE())</f>
        <v>5.2703573566378441E-2</v>
      </c>
      <c r="K69" s="81">
        <f t="shared" si="8"/>
        <v>10.781889279300866</v>
      </c>
      <c r="L69" s="81">
        <f t="shared" si="9"/>
        <v>11.098110720699136</v>
      </c>
      <c r="M69" s="81" t="str">
        <f t="shared" si="11"/>
        <v>NG</v>
      </c>
      <c r="N69" s="117">
        <f t="shared" si="10"/>
        <v>1</v>
      </c>
      <c r="O69" s="81">
        <f t="shared" si="12"/>
        <v>4.5200000000000014</v>
      </c>
      <c r="P69" s="81">
        <f>IF(G69="","",ABS(O69-Components!$C$2))</f>
        <v>1.7666666666666715</v>
      </c>
      <c r="Q69" s="81">
        <f>IF(G69="","",ABS(O69-Components!$C$3))</f>
        <v>0.48400000000000176</v>
      </c>
      <c r="R69" s="81">
        <f>IF(G69="","",ABS(O69-Components!$C$4))</f>
        <v>3.5266666666666682</v>
      </c>
      <c r="S69" s="81">
        <f>IF(G69="","",ABS(O69-Components!$C$5))</f>
        <v>4.2666666666669073E-2</v>
      </c>
      <c r="T69" s="81">
        <f>IF(G69="","",ABS(O69-Components!$C$6))</f>
        <v>3.3643333333333314</v>
      </c>
      <c r="U69" s="81">
        <f>IF(G69="","",ABS(O69-Components!$C$7))</f>
        <v>3.1456666666666715</v>
      </c>
      <c r="V69" s="81" t="str">
        <f>IF(F69="","",IF(M69="OK","NONE",INDEX({"S1","S2","W1","W2","N1","N2"},MATCH(MIN(P69:U69),P69:U69,0))))</f>
        <v>W2</v>
      </c>
      <c r="W69" s="117">
        <f t="shared" si="13"/>
        <v>1</v>
      </c>
      <c r="X69" s="119"/>
    </row>
    <row r="70" spans="1:24">
      <c r="A70" s="115">
        <v>68</v>
      </c>
      <c r="B70" s="116">
        <v>3</v>
      </c>
      <c r="C70" s="81" t="s">
        <v>128</v>
      </c>
      <c r="D70" s="111" t="s">
        <v>240</v>
      </c>
      <c r="E70" s="81" t="s">
        <v>106</v>
      </c>
      <c r="F70" s="52">
        <v>5.41</v>
      </c>
      <c r="G70" s="52">
        <f t="shared" si="7"/>
        <v>6.38</v>
      </c>
      <c r="H70" s="110"/>
      <c r="I70" s="81">
        <f>VLOOKUP(C70,Recipes!$A$2:$N$4,10,FALSE())</f>
        <v>10.940000000000001</v>
      </c>
      <c r="J70" s="81">
        <f>VLOOKUP(C70,Recipes!$A$2:$N$4,12,FALSE())</f>
        <v>5.2703573566378441E-2</v>
      </c>
      <c r="K70" s="81">
        <f t="shared" si="8"/>
        <v>10.781889279300866</v>
      </c>
      <c r="L70" s="81">
        <f t="shared" si="9"/>
        <v>11.098110720699136</v>
      </c>
      <c r="M70" s="81" t="str">
        <f t="shared" si="11"/>
        <v>NG</v>
      </c>
      <c r="N70" s="117">
        <f t="shared" si="10"/>
        <v>1</v>
      </c>
      <c r="O70" s="81">
        <f t="shared" si="12"/>
        <v>4.5600000000000014</v>
      </c>
      <c r="P70" s="81">
        <f>IF(G70="","",ABS(O70-Components!$C$2))</f>
        <v>1.8066666666666715</v>
      </c>
      <c r="Q70" s="81">
        <f>IF(G70="","",ABS(O70-Components!$C$3))</f>
        <v>0.5240000000000018</v>
      </c>
      <c r="R70" s="81">
        <f>IF(G70="","",ABS(O70-Components!$C$4))</f>
        <v>3.5666666666666682</v>
      </c>
      <c r="S70" s="81">
        <f>IF(G70="","",ABS(O70-Components!$C$5))</f>
        <v>2.6666666666690375E-3</v>
      </c>
      <c r="T70" s="81">
        <f>IF(G70="","",ABS(O70-Components!$C$6))</f>
        <v>3.4043333333333314</v>
      </c>
      <c r="U70" s="81">
        <f>IF(G70="","",ABS(O70-Components!$C$7))</f>
        <v>3.1856666666666715</v>
      </c>
      <c r="V70" s="81" t="str">
        <f>IF(F70="","",IF(M70="OK","NONE",INDEX({"S1","S2","W1","W2","N1","N2"},MATCH(MIN(P70:U70),P70:U70,0))))</f>
        <v>W2</v>
      </c>
      <c r="W70" s="117">
        <f t="shared" si="13"/>
        <v>1</v>
      </c>
      <c r="X70" s="119"/>
    </row>
    <row r="71" spans="1:24">
      <c r="A71" s="115">
        <v>69</v>
      </c>
      <c r="B71" s="116">
        <v>3</v>
      </c>
      <c r="C71" s="81" t="s">
        <v>128</v>
      </c>
      <c r="D71" s="111" t="s">
        <v>240</v>
      </c>
      <c r="E71" s="81" t="s">
        <v>106</v>
      </c>
      <c r="F71" s="52">
        <v>5.38</v>
      </c>
      <c r="G71" s="52">
        <f t="shared" si="7"/>
        <v>6.35</v>
      </c>
      <c r="H71" s="110"/>
      <c r="I71" s="81">
        <f>VLOOKUP(C71,Recipes!$A$2:$N$4,10,FALSE())</f>
        <v>10.940000000000001</v>
      </c>
      <c r="J71" s="81">
        <f>VLOOKUP(C71,Recipes!$A$2:$N$4,12,FALSE())</f>
        <v>5.2703573566378441E-2</v>
      </c>
      <c r="K71" s="81">
        <f t="shared" si="8"/>
        <v>10.781889279300866</v>
      </c>
      <c r="L71" s="81">
        <f t="shared" si="9"/>
        <v>11.098110720699136</v>
      </c>
      <c r="M71" s="81" t="str">
        <f t="shared" si="11"/>
        <v>NG</v>
      </c>
      <c r="N71" s="117">
        <f t="shared" si="10"/>
        <v>1</v>
      </c>
      <c r="O71" s="81">
        <f t="shared" si="12"/>
        <v>4.5900000000000016</v>
      </c>
      <c r="P71" s="81">
        <f>IF(G71="","",ABS(O71-Components!$C$2))</f>
        <v>1.8366666666666718</v>
      </c>
      <c r="Q71" s="81">
        <f>IF(G71="","",ABS(O71-Components!$C$3))</f>
        <v>0.55400000000000205</v>
      </c>
      <c r="R71" s="81">
        <f>IF(G71="","",ABS(O71-Components!$C$4))</f>
        <v>3.5966666666666685</v>
      </c>
      <c r="S71" s="81">
        <f>IF(G71="","",ABS(O71-Components!$C$5))</f>
        <v>2.7333333333331211E-2</v>
      </c>
      <c r="T71" s="81">
        <f>IF(G71="","",ABS(O71-Components!$C$6))</f>
        <v>3.4343333333333317</v>
      </c>
      <c r="U71" s="81">
        <f>IF(G71="","",ABS(O71-Components!$C$7))</f>
        <v>3.2156666666666718</v>
      </c>
      <c r="V71" s="81" t="str">
        <f>IF(F71="","",IF(M71="OK","NONE",INDEX({"S1","S2","W1","W2","N1","N2"},MATCH(MIN(P71:U71),P71:U71,0))))</f>
        <v>W2</v>
      </c>
      <c r="W71" s="117">
        <f t="shared" si="13"/>
        <v>1</v>
      </c>
      <c r="X71" s="119"/>
    </row>
    <row r="72" spans="1:24">
      <c r="A72" s="115">
        <v>70</v>
      </c>
      <c r="B72" s="116">
        <v>3</v>
      </c>
      <c r="C72" s="81" t="s">
        <v>128</v>
      </c>
      <c r="D72" s="111" t="s">
        <v>240</v>
      </c>
      <c r="E72" s="81" t="s">
        <v>106</v>
      </c>
      <c r="F72" s="52">
        <v>5.37</v>
      </c>
      <c r="G72" s="52">
        <f t="shared" si="7"/>
        <v>6.34</v>
      </c>
      <c r="H72" s="110"/>
      <c r="I72" s="81">
        <f>VLOOKUP(C72,Recipes!$A$2:$N$4,10,FALSE())</f>
        <v>10.940000000000001</v>
      </c>
      <c r="J72" s="81">
        <f>VLOOKUP(C72,Recipes!$A$2:$N$4,12,FALSE())</f>
        <v>5.2703573566378441E-2</v>
      </c>
      <c r="K72" s="81">
        <f t="shared" si="8"/>
        <v>10.781889279300866</v>
      </c>
      <c r="L72" s="81">
        <f t="shared" si="9"/>
        <v>11.098110720699136</v>
      </c>
      <c r="M72" s="81" t="str">
        <f t="shared" si="11"/>
        <v>NG</v>
      </c>
      <c r="N72" s="117">
        <f t="shared" si="10"/>
        <v>1</v>
      </c>
      <c r="O72" s="81">
        <f t="shared" si="12"/>
        <v>4.6000000000000014</v>
      </c>
      <c r="P72" s="81">
        <f>IF(G72="","",ABS(O72-Components!$C$2))</f>
        <v>1.8466666666666716</v>
      </c>
      <c r="Q72" s="81">
        <f>IF(G72="","",ABS(O72-Components!$C$3))</f>
        <v>0.56400000000000183</v>
      </c>
      <c r="R72" s="81">
        <f>IF(G72="","",ABS(O72-Components!$C$4))</f>
        <v>3.6066666666666682</v>
      </c>
      <c r="S72" s="81">
        <f>IF(G72="","",ABS(O72-Components!$C$5))</f>
        <v>3.7333333333330998E-2</v>
      </c>
      <c r="T72" s="81">
        <f>IF(G72="","",ABS(O72-Components!$C$6))</f>
        <v>3.4443333333333315</v>
      </c>
      <c r="U72" s="81">
        <f>IF(G72="","",ABS(O72-Components!$C$7))</f>
        <v>3.2256666666666716</v>
      </c>
      <c r="V72" s="81" t="str">
        <f>IF(F72="","",IF(M72="OK","NONE",INDEX({"S1","S2","W1","W2","N1","N2"},MATCH(MIN(P72:U72),P72:U72,0))))</f>
        <v>W2</v>
      </c>
      <c r="W72" s="117">
        <f t="shared" si="13"/>
        <v>1</v>
      </c>
      <c r="X72" s="119"/>
    </row>
    <row r="73" spans="1:24">
      <c r="A73" s="115">
        <v>71</v>
      </c>
      <c r="B73" s="116">
        <v>3</v>
      </c>
      <c r="C73" s="81" t="s">
        <v>128</v>
      </c>
      <c r="D73" s="111" t="s">
        <v>240</v>
      </c>
      <c r="E73" s="81" t="s">
        <v>106</v>
      </c>
      <c r="F73" s="52">
        <v>5.36</v>
      </c>
      <c r="G73" s="52">
        <f t="shared" si="7"/>
        <v>6.33</v>
      </c>
      <c r="H73" s="110"/>
      <c r="I73" s="81">
        <f>VLOOKUP(C73,Recipes!$A$2:$N$4,10,FALSE())</f>
        <v>10.940000000000001</v>
      </c>
      <c r="J73" s="81">
        <f>VLOOKUP(C73,Recipes!$A$2:$N$4,12,FALSE())</f>
        <v>5.2703573566378441E-2</v>
      </c>
      <c r="K73" s="81">
        <f t="shared" si="8"/>
        <v>10.781889279300866</v>
      </c>
      <c r="L73" s="81">
        <f t="shared" si="9"/>
        <v>11.098110720699136</v>
      </c>
      <c r="M73" s="81" t="str">
        <f t="shared" si="11"/>
        <v>NG</v>
      </c>
      <c r="N73" s="117">
        <f t="shared" si="10"/>
        <v>1</v>
      </c>
      <c r="O73" s="81">
        <f t="shared" si="12"/>
        <v>4.6100000000000012</v>
      </c>
      <c r="P73" s="81">
        <f>IF(G73="","",ABS(O73-Components!$C$2))</f>
        <v>1.8566666666666714</v>
      </c>
      <c r="Q73" s="81">
        <f>IF(G73="","",ABS(O73-Components!$C$3))</f>
        <v>0.57400000000000162</v>
      </c>
      <c r="R73" s="81">
        <f>IF(G73="","",ABS(O73-Components!$C$4))</f>
        <v>3.616666666666668</v>
      </c>
      <c r="S73" s="81">
        <f>IF(G73="","",ABS(O73-Components!$C$5))</f>
        <v>4.7333333333330785E-2</v>
      </c>
      <c r="T73" s="81">
        <f>IF(G73="","",ABS(O73-Components!$C$6))</f>
        <v>3.4543333333333313</v>
      </c>
      <c r="U73" s="81">
        <f>IF(G73="","",ABS(O73-Components!$C$7))</f>
        <v>3.2356666666666714</v>
      </c>
      <c r="V73" s="81" t="str">
        <f>IF(F73="","",IF(M73="OK","NONE",INDEX({"S1","S2","W1","W2","N1","N2"},MATCH(MIN(P73:U73),P73:U73,0))))</f>
        <v>W2</v>
      </c>
      <c r="W73" s="117">
        <f t="shared" si="13"/>
        <v>1</v>
      </c>
      <c r="X73" s="119"/>
    </row>
    <row r="74" spans="1:24">
      <c r="A74" s="115">
        <v>72</v>
      </c>
      <c r="B74" s="116">
        <v>3</v>
      </c>
      <c r="C74" s="81" t="s">
        <v>128</v>
      </c>
      <c r="D74" s="111" t="s">
        <v>240</v>
      </c>
      <c r="E74" s="81" t="s">
        <v>106</v>
      </c>
      <c r="F74" s="52">
        <v>5.41</v>
      </c>
      <c r="G74" s="52">
        <f t="shared" si="7"/>
        <v>6.38</v>
      </c>
      <c r="H74" s="110"/>
      <c r="I74" s="81">
        <f>VLOOKUP(C74,Recipes!$A$2:$N$4,10,FALSE())</f>
        <v>10.940000000000001</v>
      </c>
      <c r="J74" s="81">
        <f>VLOOKUP(C74,Recipes!$A$2:$N$4,12,FALSE())</f>
        <v>5.2703573566378441E-2</v>
      </c>
      <c r="K74" s="81">
        <f t="shared" si="8"/>
        <v>10.781889279300866</v>
      </c>
      <c r="L74" s="81">
        <f t="shared" si="9"/>
        <v>11.098110720699136</v>
      </c>
      <c r="M74" s="81" t="str">
        <f t="shared" si="11"/>
        <v>NG</v>
      </c>
      <c r="N74" s="117">
        <f t="shared" si="10"/>
        <v>1</v>
      </c>
      <c r="O74" s="81">
        <f t="shared" si="12"/>
        <v>4.5600000000000014</v>
      </c>
      <c r="P74" s="81">
        <f>IF(G74="","",ABS(O74-Components!$C$2))</f>
        <v>1.8066666666666715</v>
      </c>
      <c r="Q74" s="81">
        <f>IF(G74="","",ABS(O74-Components!$C$3))</f>
        <v>0.5240000000000018</v>
      </c>
      <c r="R74" s="81">
        <f>IF(G74="","",ABS(O74-Components!$C$4))</f>
        <v>3.5666666666666682</v>
      </c>
      <c r="S74" s="81">
        <f>IF(G74="","",ABS(O74-Components!$C$5))</f>
        <v>2.6666666666690375E-3</v>
      </c>
      <c r="T74" s="81">
        <f>IF(G74="","",ABS(O74-Components!$C$6))</f>
        <v>3.4043333333333314</v>
      </c>
      <c r="U74" s="81">
        <f>IF(G74="","",ABS(O74-Components!$C$7))</f>
        <v>3.1856666666666715</v>
      </c>
      <c r="V74" s="81" t="str">
        <f>IF(F74="","",IF(M74="OK","NONE",INDEX({"S1","S2","W1","W2","N1","N2"},MATCH(MIN(P74:U74),P74:U74,0))))</f>
        <v>W2</v>
      </c>
      <c r="W74" s="117">
        <f t="shared" si="13"/>
        <v>1</v>
      </c>
      <c r="X74" s="119"/>
    </row>
    <row r="75" spans="1:24">
      <c r="A75" s="115">
        <v>73</v>
      </c>
      <c r="B75" s="116">
        <v>3</v>
      </c>
      <c r="C75" s="81" t="s">
        <v>128</v>
      </c>
      <c r="D75" s="111" t="s">
        <v>240</v>
      </c>
      <c r="E75" s="81" t="s">
        <v>106</v>
      </c>
      <c r="F75" s="52">
        <v>5.37</v>
      </c>
      <c r="G75" s="52">
        <f t="shared" si="7"/>
        <v>6.34</v>
      </c>
      <c r="H75" s="110"/>
      <c r="I75" s="81">
        <f>VLOOKUP(C75,Recipes!$A$2:$N$4,10,FALSE())</f>
        <v>10.940000000000001</v>
      </c>
      <c r="J75" s="81">
        <f>VLOOKUP(C75,Recipes!$A$2:$N$4,12,FALSE())</f>
        <v>5.2703573566378441E-2</v>
      </c>
      <c r="K75" s="81">
        <f t="shared" si="8"/>
        <v>10.781889279300866</v>
      </c>
      <c r="L75" s="81">
        <f t="shared" si="9"/>
        <v>11.098110720699136</v>
      </c>
      <c r="M75" s="81" t="str">
        <f t="shared" si="11"/>
        <v>NG</v>
      </c>
      <c r="N75" s="117">
        <f t="shared" si="10"/>
        <v>1</v>
      </c>
      <c r="O75" s="81">
        <f t="shared" si="12"/>
        <v>4.6000000000000014</v>
      </c>
      <c r="P75" s="81">
        <f>IF(G75="","",ABS(O75-Components!$C$2))</f>
        <v>1.8466666666666716</v>
      </c>
      <c r="Q75" s="81">
        <f>IF(G75="","",ABS(O75-Components!$C$3))</f>
        <v>0.56400000000000183</v>
      </c>
      <c r="R75" s="81">
        <f>IF(G75="","",ABS(O75-Components!$C$4))</f>
        <v>3.6066666666666682</v>
      </c>
      <c r="S75" s="81">
        <f>IF(G75="","",ABS(O75-Components!$C$5))</f>
        <v>3.7333333333330998E-2</v>
      </c>
      <c r="T75" s="81">
        <f>IF(G75="","",ABS(O75-Components!$C$6))</f>
        <v>3.4443333333333315</v>
      </c>
      <c r="U75" s="81">
        <f>IF(G75="","",ABS(O75-Components!$C$7))</f>
        <v>3.2256666666666716</v>
      </c>
      <c r="V75" s="81" t="str">
        <f>IF(F75="","",IF(M75="OK","NONE",INDEX({"S1","S2","W1","W2","N1","N2"},MATCH(MIN(P75:U75),P75:U75,0))))</f>
        <v>W2</v>
      </c>
      <c r="W75" s="117">
        <f t="shared" si="13"/>
        <v>1</v>
      </c>
      <c r="X75" s="119"/>
    </row>
    <row r="76" spans="1:24">
      <c r="A76" s="115">
        <v>74</v>
      </c>
      <c r="B76" s="116">
        <v>3</v>
      </c>
      <c r="C76" s="81" t="s">
        <v>128</v>
      </c>
      <c r="D76" s="111" t="s">
        <v>240</v>
      </c>
      <c r="E76" s="81" t="s">
        <v>106</v>
      </c>
      <c r="F76" s="52">
        <v>5.36</v>
      </c>
      <c r="G76" s="52">
        <f t="shared" si="7"/>
        <v>6.33</v>
      </c>
      <c r="H76" s="110"/>
      <c r="I76" s="81">
        <f>VLOOKUP(C76,Recipes!$A$2:$N$4,10,FALSE())</f>
        <v>10.940000000000001</v>
      </c>
      <c r="J76" s="81">
        <f>VLOOKUP(C76,Recipes!$A$2:$N$4,12,FALSE())</f>
        <v>5.2703573566378441E-2</v>
      </c>
      <c r="K76" s="81">
        <f t="shared" si="8"/>
        <v>10.781889279300866</v>
      </c>
      <c r="L76" s="81">
        <f t="shared" si="9"/>
        <v>11.098110720699136</v>
      </c>
      <c r="M76" s="81" t="str">
        <f t="shared" si="11"/>
        <v>NG</v>
      </c>
      <c r="N76" s="117">
        <f t="shared" si="10"/>
        <v>1</v>
      </c>
      <c r="O76" s="81">
        <f t="shared" si="12"/>
        <v>4.6100000000000012</v>
      </c>
      <c r="P76" s="81">
        <f>IF(G76="","",ABS(O76-Components!$C$2))</f>
        <v>1.8566666666666714</v>
      </c>
      <c r="Q76" s="81">
        <f>IF(G76="","",ABS(O76-Components!$C$3))</f>
        <v>0.57400000000000162</v>
      </c>
      <c r="R76" s="81">
        <f>IF(G76="","",ABS(O76-Components!$C$4))</f>
        <v>3.616666666666668</v>
      </c>
      <c r="S76" s="81">
        <f>IF(G76="","",ABS(O76-Components!$C$5))</f>
        <v>4.7333333333330785E-2</v>
      </c>
      <c r="T76" s="81">
        <f>IF(G76="","",ABS(O76-Components!$C$6))</f>
        <v>3.4543333333333313</v>
      </c>
      <c r="U76" s="81">
        <f>IF(G76="","",ABS(O76-Components!$C$7))</f>
        <v>3.2356666666666714</v>
      </c>
      <c r="V76" s="81" t="str">
        <f>IF(F76="","",IF(M76="OK","NONE",INDEX({"S1","S2","W1","W2","N1","N2"},MATCH(MIN(P76:U76),P76:U76,0))))</f>
        <v>W2</v>
      </c>
      <c r="W76" s="117">
        <f t="shared" si="13"/>
        <v>1</v>
      </c>
      <c r="X76" s="119"/>
    </row>
    <row r="77" spans="1:24">
      <c r="A77" s="115">
        <v>75</v>
      </c>
      <c r="B77" s="116">
        <v>3</v>
      </c>
      <c r="C77" s="81" t="s">
        <v>128</v>
      </c>
      <c r="D77" s="111" t="s">
        <v>240</v>
      </c>
      <c r="E77" s="81" t="s">
        <v>106</v>
      </c>
      <c r="F77" s="52">
        <v>5.38</v>
      </c>
      <c r="G77" s="52">
        <f t="shared" si="7"/>
        <v>6.35</v>
      </c>
      <c r="H77" s="110"/>
      <c r="I77" s="81">
        <f>VLOOKUP(C77,Recipes!$A$2:$N$4,10,FALSE())</f>
        <v>10.940000000000001</v>
      </c>
      <c r="J77" s="81">
        <f>VLOOKUP(C77,Recipes!$A$2:$N$4,12,FALSE())</f>
        <v>5.2703573566378441E-2</v>
      </c>
      <c r="K77" s="81">
        <f t="shared" si="8"/>
        <v>10.781889279300866</v>
      </c>
      <c r="L77" s="81">
        <f t="shared" si="9"/>
        <v>11.098110720699136</v>
      </c>
      <c r="M77" s="81" t="str">
        <f t="shared" si="11"/>
        <v>NG</v>
      </c>
      <c r="N77" s="117">
        <f t="shared" si="10"/>
        <v>1</v>
      </c>
      <c r="O77" s="81">
        <f t="shared" si="12"/>
        <v>4.5900000000000016</v>
      </c>
      <c r="P77" s="81">
        <f>IF(G77="","",ABS(O77-Components!$C$2))</f>
        <v>1.8366666666666718</v>
      </c>
      <c r="Q77" s="81">
        <f>IF(G77="","",ABS(O77-Components!$C$3))</f>
        <v>0.55400000000000205</v>
      </c>
      <c r="R77" s="81">
        <f>IF(G77="","",ABS(O77-Components!$C$4))</f>
        <v>3.5966666666666685</v>
      </c>
      <c r="S77" s="81">
        <f>IF(G77="","",ABS(O77-Components!$C$5))</f>
        <v>2.7333333333331211E-2</v>
      </c>
      <c r="T77" s="81">
        <f>IF(G77="","",ABS(O77-Components!$C$6))</f>
        <v>3.4343333333333317</v>
      </c>
      <c r="U77" s="81">
        <f>IF(G77="","",ABS(O77-Components!$C$7))</f>
        <v>3.2156666666666718</v>
      </c>
      <c r="V77" s="81" t="str">
        <f>IF(F77="","",IF(M77="OK","NONE",INDEX({"S1","S2","W1","W2","N1","N2"},MATCH(MIN(P77:U77),P77:U77,0))))</f>
        <v>W2</v>
      </c>
      <c r="W77" s="117">
        <f t="shared" si="13"/>
        <v>1</v>
      </c>
      <c r="X77" s="119"/>
    </row>
    <row r="78" spans="1:24">
      <c r="A78" s="115">
        <v>76</v>
      </c>
      <c r="B78" s="116">
        <v>3</v>
      </c>
      <c r="C78" s="81" t="s">
        <v>128</v>
      </c>
      <c r="D78" s="111" t="s">
        <v>240</v>
      </c>
      <c r="E78" s="81" t="s">
        <v>106</v>
      </c>
      <c r="F78" s="52">
        <v>5.38</v>
      </c>
      <c r="G78" s="52">
        <f t="shared" si="7"/>
        <v>6.35</v>
      </c>
      <c r="H78" s="110"/>
      <c r="I78" s="81">
        <f>VLOOKUP(C78,Recipes!$A$2:$N$4,10,FALSE())</f>
        <v>10.940000000000001</v>
      </c>
      <c r="J78" s="81">
        <f>VLOOKUP(C78,Recipes!$A$2:$N$4,12,FALSE())</f>
        <v>5.2703573566378441E-2</v>
      </c>
      <c r="K78" s="81">
        <f t="shared" si="8"/>
        <v>10.781889279300866</v>
      </c>
      <c r="L78" s="81">
        <f t="shared" si="9"/>
        <v>11.098110720699136</v>
      </c>
      <c r="M78" s="81" t="str">
        <f t="shared" si="11"/>
        <v>NG</v>
      </c>
      <c r="N78" s="117">
        <f t="shared" si="10"/>
        <v>1</v>
      </c>
      <c r="O78" s="81">
        <f t="shared" si="12"/>
        <v>4.5900000000000016</v>
      </c>
      <c r="P78" s="81">
        <f>IF(G78="","",ABS(O78-Components!$C$2))</f>
        <v>1.8366666666666718</v>
      </c>
      <c r="Q78" s="81">
        <f>IF(G78="","",ABS(O78-Components!$C$3))</f>
        <v>0.55400000000000205</v>
      </c>
      <c r="R78" s="81">
        <f>IF(G78="","",ABS(O78-Components!$C$4))</f>
        <v>3.5966666666666685</v>
      </c>
      <c r="S78" s="81">
        <f>IF(G78="","",ABS(O78-Components!$C$5))</f>
        <v>2.7333333333331211E-2</v>
      </c>
      <c r="T78" s="81">
        <f>IF(G78="","",ABS(O78-Components!$C$6))</f>
        <v>3.4343333333333317</v>
      </c>
      <c r="U78" s="81">
        <f>IF(G78="","",ABS(O78-Components!$C$7))</f>
        <v>3.2156666666666718</v>
      </c>
      <c r="V78" s="81" t="str">
        <f>IF(F78="","",IF(M78="OK","NONE",INDEX({"S1","S2","W1","W2","N1","N2"},MATCH(MIN(P78:U78),P78:U78,0))))</f>
        <v>W2</v>
      </c>
      <c r="W78" s="117">
        <f t="shared" si="13"/>
        <v>1</v>
      </c>
      <c r="X78" s="119"/>
    </row>
    <row r="79" spans="1:24">
      <c r="A79" s="115">
        <v>77</v>
      </c>
      <c r="B79" s="116">
        <v>3</v>
      </c>
      <c r="C79" s="81" t="s">
        <v>128</v>
      </c>
      <c r="D79" s="111" t="s">
        <v>240</v>
      </c>
      <c r="E79" s="81" t="s">
        <v>106</v>
      </c>
      <c r="F79" s="52">
        <v>5.42</v>
      </c>
      <c r="G79" s="52">
        <f t="shared" si="7"/>
        <v>6.39</v>
      </c>
      <c r="H79" s="110"/>
      <c r="I79" s="81">
        <f>VLOOKUP(C79,Recipes!$A$2:$N$4,10,FALSE())</f>
        <v>10.940000000000001</v>
      </c>
      <c r="J79" s="81">
        <f>VLOOKUP(C79,Recipes!$A$2:$N$4,12,FALSE())</f>
        <v>5.2703573566378441E-2</v>
      </c>
      <c r="K79" s="81">
        <f t="shared" si="8"/>
        <v>10.781889279300866</v>
      </c>
      <c r="L79" s="81">
        <f t="shared" si="9"/>
        <v>11.098110720699136</v>
      </c>
      <c r="M79" s="81" t="str">
        <f t="shared" si="11"/>
        <v>NG</v>
      </c>
      <c r="N79" s="117">
        <f t="shared" si="10"/>
        <v>1</v>
      </c>
      <c r="O79" s="81">
        <f t="shared" si="12"/>
        <v>4.5500000000000016</v>
      </c>
      <c r="P79" s="81">
        <f>IF(G79="","",ABS(O79-Components!$C$2))</f>
        <v>1.7966666666666717</v>
      </c>
      <c r="Q79" s="81">
        <f>IF(G79="","",ABS(O79-Components!$C$3))</f>
        <v>0.51400000000000201</v>
      </c>
      <c r="R79" s="81">
        <f>IF(G79="","",ABS(O79-Components!$C$4))</f>
        <v>3.5566666666666684</v>
      </c>
      <c r="S79" s="81">
        <f>IF(G79="","",ABS(O79-Components!$C$5))</f>
        <v>1.2666666666668824E-2</v>
      </c>
      <c r="T79" s="81">
        <f>IF(G79="","",ABS(O79-Components!$C$6))</f>
        <v>3.3943333333333316</v>
      </c>
      <c r="U79" s="81">
        <f>IF(G79="","",ABS(O79-Components!$C$7))</f>
        <v>3.1756666666666717</v>
      </c>
      <c r="V79" s="81" t="str">
        <f>IF(F79="","",IF(M79="OK","NONE",INDEX({"S1","S2","W1","W2","N1","N2"},MATCH(MIN(P79:U79),P79:U79,0))))</f>
        <v>W2</v>
      </c>
      <c r="W79" s="117">
        <f t="shared" si="13"/>
        <v>1</v>
      </c>
      <c r="X79" s="119"/>
    </row>
    <row r="80" spans="1:24">
      <c r="A80" s="115">
        <v>78</v>
      </c>
      <c r="B80" s="116">
        <v>3</v>
      </c>
      <c r="C80" s="81" t="s">
        <v>128</v>
      </c>
      <c r="D80" s="111" t="s">
        <v>240</v>
      </c>
      <c r="E80" s="81" t="s">
        <v>106</v>
      </c>
      <c r="F80" s="52">
        <v>5.39</v>
      </c>
      <c r="G80" s="52">
        <f t="shared" si="7"/>
        <v>6.3599999999999994</v>
      </c>
      <c r="H80" s="110"/>
      <c r="I80" s="81">
        <f>VLOOKUP(C80,Recipes!$A$2:$N$4,10,FALSE())</f>
        <v>10.940000000000001</v>
      </c>
      <c r="J80" s="81">
        <f>VLOOKUP(C80,Recipes!$A$2:$N$4,12,FALSE())</f>
        <v>5.2703573566378441E-2</v>
      </c>
      <c r="K80" s="81">
        <f t="shared" si="8"/>
        <v>10.781889279300866</v>
      </c>
      <c r="L80" s="81">
        <f t="shared" si="9"/>
        <v>11.098110720699136</v>
      </c>
      <c r="M80" s="81" t="str">
        <f t="shared" si="11"/>
        <v>NG</v>
      </c>
      <c r="N80" s="117">
        <f t="shared" si="10"/>
        <v>1</v>
      </c>
      <c r="O80" s="81">
        <f t="shared" si="12"/>
        <v>4.5800000000000018</v>
      </c>
      <c r="P80" s="81">
        <f>IF(G80="","",ABS(O80-Components!$C$2))</f>
        <v>1.826666666666672</v>
      </c>
      <c r="Q80" s="81">
        <f>IF(G80="","",ABS(O80-Components!$C$3))</f>
        <v>0.54400000000000226</v>
      </c>
      <c r="R80" s="81">
        <f>IF(G80="","",ABS(O80-Components!$C$4))</f>
        <v>3.5866666666666687</v>
      </c>
      <c r="S80" s="81">
        <f>IF(G80="","",ABS(O80-Components!$C$5))</f>
        <v>1.7333333333331424E-2</v>
      </c>
      <c r="T80" s="81">
        <f>IF(G80="","",ABS(O80-Components!$C$6))</f>
        <v>3.4243333333333319</v>
      </c>
      <c r="U80" s="81">
        <f>IF(G80="","",ABS(O80-Components!$C$7))</f>
        <v>3.205666666666672</v>
      </c>
      <c r="V80" s="81" t="str">
        <f>IF(F80="","",IF(M80="OK","NONE",INDEX({"S1","S2","W1","W2","N1","N2"},MATCH(MIN(P80:U80),P80:U80,0))))</f>
        <v>W2</v>
      </c>
      <c r="W80" s="117">
        <f t="shared" si="13"/>
        <v>1</v>
      </c>
      <c r="X80" s="119"/>
    </row>
    <row r="81" spans="1:24">
      <c r="A81" s="115">
        <v>79</v>
      </c>
      <c r="B81" s="116">
        <v>3</v>
      </c>
      <c r="C81" s="81" t="s">
        <v>128</v>
      </c>
      <c r="D81" s="111" t="s">
        <v>240</v>
      </c>
      <c r="E81" s="81" t="s">
        <v>106</v>
      </c>
      <c r="F81" s="52">
        <v>5.41</v>
      </c>
      <c r="G81" s="52">
        <f t="shared" si="7"/>
        <v>6.38</v>
      </c>
      <c r="H81" s="110"/>
      <c r="I81" s="81">
        <f>VLOOKUP(C81,Recipes!$A$2:$N$4,10,FALSE())</f>
        <v>10.940000000000001</v>
      </c>
      <c r="J81" s="81">
        <f>VLOOKUP(C81,Recipes!$A$2:$N$4,12,FALSE())</f>
        <v>5.2703573566378441E-2</v>
      </c>
      <c r="K81" s="81">
        <f t="shared" si="8"/>
        <v>10.781889279300866</v>
      </c>
      <c r="L81" s="81">
        <f t="shared" si="9"/>
        <v>11.098110720699136</v>
      </c>
      <c r="M81" s="81" t="str">
        <f t="shared" si="11"/>
        <v>NG</v>
      </c>
      <c r="N81" s="117">
        <f t="shared" si="10"/>
        <v>1</v>
      </c>
      <c r="O81" s="81">
        <f t="shared" si="12"/>
        <v>4.5600000000000014</v>
      </c>
      <c r="P81" s="81">
        <f>IF(G81="","",ABS(O81-Components!$C$2))</f>
        <v>1.8066666666666715</v>
      </c>
      <c r="Q81" s="81">
        <f>IF(G81="","",ABS(O81-Components!$C$3))</f>
        <v>0.5240000000000018</v>
      </c>
      <c r="R81" s="81">
        <f>IF(G81="","",ABS(O81-Components!$C$4))</f>
        <v>3.5666666666666682</v>
      </c>
      <c r="S81" s="81">
        <f>IF(G81="","",ABS(O81-Components!$C$5))</f>
        <v>2.6666666666690375E-3</v>
      </c>
      <c r="T81" s="81">
        <f>IF(G81="","",ABS(O81-Components!$C$6))</f>
        <v>3.4043333333333314</v>
      </c>
      <c r="U81" s="81">
        <f>IF(G81="","",ABS(O81-Components!$C$7))</f>
        <v>3.1856666666666715</v>
      </c>
      <c r="V81" s="81" t="str">
        <f>IF(F81="","",IF(M81="OK","NONE",INDEX({"S1","S2","W1","W2","N1","N2"},MATCH(MIN(P81:U81),P81:U81,0))))</f>
        <v>W2</v>
      </c>
      <c r="W81" s="117">
        <f t="shared" si="13"/>
        <v>1</v>
      </c>
      <c r="X81" s="119"/>
    </row>
    <row r="82" spans="1:24">
      <c r="A82" s="115">
        <v>80</v>
      </c>
      <c r="B82" s="116">
        <v>3</v>
      </c>
      <c r="C82" s="81" t="s">
        <v>128</v>
      </c>
      <c r="D82" s="111" t="s">
        <v>240</v>
      </c>
      <c r="E82" s="81" t="s">
        <v>106</v>
      </c>
      <c r="F82" s="52">
        <v>5.32</v>
      </c>
      <c r="G82" s="52">
        <f t="shared" si="7"/>
        <v>6.29</v>
      </c>
      <c r="H82" s="110"/>
      <c r="I82" s="81">
        <f>VLOOKUP(C82,Recipes!$A$2:$N$4,10,FALSE())</f>
        <v>10.940000000000001</v>
      </c>
      <c r="J82" s="81">
        <f>VLOOKUP(C82,Recipes!$A$2:$N$4,12,FALSE())</f>
        <v>5.2703573566378441E-2</v>
      </c>
      <c r="K82" s="81">
        <f t="shared" si="8"/>
        <v>10.781889279300866</v>
      </c>
      <c r="L82" s="81">
        <f t="shared" si="9"/>
        <v>11.098110720699136</v>
      </c>
      <c r="M82" s="81" t="str">
        <f t="shared" si="11"/>
        <v>NG</v>
      </c>
      <c r="N82" s="117">
        <f t="shared" si="10"/>
        <v>1</v>
      </c>
      <c r="O82" s="81">
        <f t="shared" si="12"/>
        <v>4.6500000000000012</v>
      </c>
      <c r="P82" s="81">
        <f>IF(G82="","",ABS(O82-Components!$C$2))</f>
        <v>1.8966666666666714</v>
      </c>
      <c r="Q82" s="81">
        <f>IF(G82="","",ABS(O82-Components!$C$3))</f>
        <v>0.61400000000000166</v>
      </c>
      <c r="R82" s="81">
        <f>IF(G82="","",ABS(O82-Components!$C$4))</f>
        <v>3.6566666666666681</v>
      </c>
      <c r="S82" s="81">
        <f>IF(G82="","",ABS(O82-Components!$C$5))</f>
        <v>8.733333333333082E-2</v>
      </c>
      <c r="T82" s="81">
        <f>IF(G82="","",ABS(O82-Components!$C$6))</f>
        <v>3.4943333333333313</v>
      </c>
      <c r="U82" s="81">
        <f>IF(G82="","",ABS(O82-Components!$C$7))</f>
        <v>3.2756666666666714</v>
      </c>
      <c r="V82" s="81" t="str">
        <f>IF(F82="","",IF(M82="OK","NONE",INDEX({"S1","S2","W1","W2","N1","N2"},MATCH(MIN(P82:U82),P82:U82,0))))</f>
        <v>W2</v>
      </c>
      <c r="W82" s="117">
        <f t="shared" si="13"/>
        <v>1</v>
      </c>
      <c r="X82" s="119"/>
    </row>
    <row r="83" spans="1:24">
      <c r="A83" s="115">
        <v>81</v>
      </c>
      <c r="B83" s="116">
        <v>3</v>
      </c>
      <c r="C83" s="81" t="s">
        <v>128</v>
      </c>
      <c r="D83" s="111" t="s">
        <v>240</v>
      </c>
      <c r="E83" s="81" t="s">
        <v>106</v>
      </c>
      <c r="F83" s="52">
        <v>5.36</v>
      </c>
      <c r="G83" s="52">
        <f t="shared" si="7"/>
        <v>6.33</v>
      </c>
      <c r="H83" s="110"/>
      <c r="I83" s="81">
        <f>VLOOKUP(C83,Recipes!$A$2:$N$4,10,FALSE())</f>
        <v>10.940000000000001</v>
      </c>
      <c r="J83" s="81">
        <f>VLOOKUP(C83,Recipes!$A$2:$N$4,12,FALSE())</f>
        <v>5.2703573566378441E-2</v>
      </c>
      <c r="K83" s="81">
        <f t="shared" si="8"/>
        <v>10.781889279300866</v>
      </c>
      <c r="L83" s="81">
        <f t="shared" si="9"/>
        <v>11.098110720699136</v>
      </c>
      <c r="M83" s="81" t="str">
        <f t="shared" si="11"/>
        <v>NG</v>
      </c>
      <c r="N83" s="117">
        <f t="shared" si="10"/>
        <v>1</v>
      </c>
      <c r="O83" s="81">
        <f t="shared" si="12"/>
        <v>4.6100000000000012</v>
      </c>
      <c r="P83" s="81">
        <f>IF(G83="","",ABS(O83-Components!$C$2))</f>
        <v>1.8566666666666714</v>
      </c>
      <c r="Q83" s="81">
        <f>IF(G83="","",ABS(O83-Components!$C$3))</f>
        <v>0.57400000000000162</v>
      </c>
      <c r="R83" s="81">
        <f>IF(G83="","",ABS(O83-Components!$C$4))</f>
        <v>3.616666666666668</v>
      </c>
      <c r="S83" s="81">
        <f>IF(G83="","",ABS(O83-Components!$C$5))</f>
        <v>4.7333333333330785E-2</v>
      </c>
      <c r="T83" s="81">
        <f>IF(G83="","",ABS(O83-Components!$C$6))</f>
        <v>3.4543333333333313</v>
      </c>
      <c r="U83" s="81">
        <f>IF(G83="","",ABS(O83-Components!$C$7))</f>
        <v>3.2356666666666714</v>
      </c>
      <c r="V83" s="81" t="str">
        <f>IF(F83="","",IF(M83="OK","NONE",INDEX({"S1","S2","W1","W2","N1","N2"},MATCH(MIN(P83:U83),P83:U83,0))))</f>
        <v>W2</v>
      </c>
      <c r="W83" s="117">
        <f t="shared" si="13"/>
        <v>1</v>
      </c>
      <c r="X83" s="119"/>
    </row>
    <row r="84" spans="1:24">
      <c r="A84" s="115">
        <v>82</v>
      </c>
      <c r="B84" s="116">
        <v>3</v>
      </c>
      <c r="C84" s="81" t="s">
        <v>128</v>
      </c>
      <c r="D84" s="111" t="s">
        <v>240</v>
      </c>
      <c r="E84" s="81" t="s">
        <v>106</v>
      </c>
      <c r="F84" s="52">
        <v>5.42</v>
      </c>
      <c r="G84" s="52">
        <f t="shared" si="7"/>
        <v>6.39</v>
      </c>
      <c r="H84" s="110"/>
      <c r="I84" s="81">
        <f>VLOOKUP(C84,Recipes!$A$2:$N$4,10,FALSE())</f>
        <v>10.940000000000001</v>
      </c>
      <c r="J84" s="81">
        <f>VLOOKUP(C84,Recipes!$A$2:$N$4,12,FALSE())</f>
        <v>5.2703573566378441E-2</v>
      </c>
      <c r="K84" s="81">
        <f t="shared" si="8"/>
        <v>10.781889279300866</v>
      </c>
      <c r="L84" s="81">
        <f t="shared" si="9"/>
        <v>11.098110720699136</v>
      </c>
      <c r="M84" s="81" t="str">
        <f t="shared" si="11"/>
        <v>NG</v>
      </c>
      <c r="N84" s="117">
        <f t="shared" si="10"/>
        <v>1</v>
      </c>
      <c r="O84" s="81">
        <f t="shared" si="12"/>
        <v>4.5500000000000016</v>
      </c>
      <c r="P84" s="81">
        <f>IF(G84="","",ABS(O84-Components!$C$2))</f>
        <v>1.7966666666666717</v>
      </c>
      <c r="Q84" s="81">
        <f>IF(G84="","",ABS(O84-Components!$C$3))</f>
        <v>0.51400000000000201</v>
      </c>
      <c r="R84" s="81">
        <f>IF(G84="","",ABS(O84-Components!$C$4))</f>
        <v>3.5566666666666684</v>
      </c>
      <c r="S84" s="81">
        <f>IF(G84="","",ABS(O84-Components!$C$5))</f>
        <v>1.2666666666668824E-2</v>
      </c>
      <c r="T84" s="81">
        <f>IF(G84="","",ABS(O84-Components!$C$6))</f>
        <v>3.3943333333333316</v>
      </c>
      <c r="U84" s="81">
        <f>IF(G84="","",ABS(O84-Components!$C$7))</f>
        <v>3.1756666666666717</v>
      </c>
      <c r="V84" s="81" t="str">
        <f>IF(F84="","",IF(M84="OK","NONE",INDEX({"S1","S2","W1","W2","N1","N2"},MATCH(MIN(P84:U84),P84:U84,0))))</f>
        <v>W2</v>
      </c>
      <c r="W84" s="117">
        <f t="shared" si="13"/>
        <v>1</v>
      </c>
      <c r="X84" s="119"/>
    </row>
    <row r="85" spans="1:24">
      <c r="A85" s="115">
        <v>83</v>
      </c>
      <c r="B85" s="116">
        <v>3</v>
      </c>
      <c r="C85" s="81" t="s">
        <v>128</v>
      </c>
      <c r="D85" s="111" t="s">
        <v>240</v>
      </c>
      <c r="E85" s="81" t="s">
        <v>106</v>
      </c>
      <c r="F85" s="52">
        <v>5.37</v>
      </c>
      <c r="G85" s="52">
        <f t="shared" si="7"/>
        <v>6.34</v>
      </c>
      <c r="H85" s="110"/>
      <c r="I85" s="81">
        <f>VLOOKUP(C85,Recipes!$A$2:$N$4,10,FALSE())</f>
        <v>10.940000000000001</v>
      </c>
      <c r="J85" s="81">
        <f>VLOOKUP(C85,Recipes!$A$2:$N$4,12,FALSE())</f>
        <v>5.2703573566378441E-2</v>
      </c>
      <c r="K85" s="81">
        <f t="shared" si="8"/>
        <v>10.781889279300866</v>
      </c>
      <c r="L85" s="81">
        <f t="shared" si="9"/>
        <v>11.098110720699136</v>
      </c>
      <c r="M85" s="81" t="str">
        <f t="shared" si="11"/>
        <v>NG</v>
      </c>
      <c r="N85" s="117">
        <f t="shared" si="10"/>
        <v>1</v>
      </c>
      <c r="O85" s="81">
        <f t="shared" si="12"/>
        <v>4.6000000000000014</v>
      </c>
      <c r="P85" s="81">
        <f>IF(G85="","",ABS(O85-Components!$C$2))</f>
        <v>1.8466666666666716</v>
      </c>
      <c r="Q85" s="81">
        <f>IF(G85="","",ABS(O85-Components!$C$3))</f>
        <v>0.56400000000000183</v>
      </c>
      <c r="R85" s="81">
        <f>IF(G85="","",ABS(O85-Components!$C$4))</f>
        <v>3.6066666666666682</v>
      </c>
      <c r="S85" s="81">
        <f>IF(G85="","",ABS(O85-Components!$C$5))</f>
        <v>3.7333333333330998E-2</v>
      </c>
      <c r="T85" s="81">
        <f>IF(G85="","",ABS(O85-Components!$C$6))</f>
        <v>3.4443333333333315</v>
      </c>
      <c r="U85" s="81">
        <f>IF(G85="","",ABS(O85-Components!$C$7))</f>
        <v>3.2256666666666716</v>
      </c>
      <c r="V85" s="81" t="str">
        <f>IF(F85="","",IF(M85="OK","NONE",INDEX({"S1","S2","W1","W2","N1","N2"},MATCH(MIN(P85:U85),P85:U85,0))))</f>
        <v>W2</v>
      </c>
      <c r="W85" s="117">
        <f t="shared" si="13"/>
        <v>1</v>
      </c>
      <c r="X85" s="119"/>
    </row>
    <row r="86" spans="1:24">
      <c r="A86" s="115">
        <v>84</v>
      </c>
      <c r="B86" s="116">
        <v>3</v>
      </c>
      <c r="C86" s="81" t="s">
        <v>128</v>
      </c>
      <c r="D86" s="111" t="s">
        <v>240</v>
      </c>
      <c r="E86" s="81" t="s">
        <v>106</v>
      </c>
      <c r="F86" s="52">
        <v>5.4</v>
      </c>
      <c r="G86" s="52">
        <f t="shared" si="7"/>
        <v>6.37</v>
      </c>
      <c r="H86" s="110"/>
      <c r="I86" s="81">
        <f>VLOOKUP(C86,Recipes!$A$2:$N$4,10,FALSE())</f>
        <v>10.940000000000001</v>
      </c>
      <c r="J86" s="81">
        <f>VLOOKUP(C86,Recipes!$A$2:$N$4,12,FALSE())</f>
        <v>5.2703573566378441E-2</v>
      </c>
      <c r="K86" s="81">
        <f t="shared" si="8"/>
        <v>10.781889279300866</v>
      </c>
      <c r="L86" s="81">
        <f t="shared" si="9"/>
        <v>11.098110720699136</v>
      </c>
      <c r="M86" s="81" t="str">
        <f t="shared" si="11"/>
        <v>NG</v>
      </c>
      <c r="N86" s="117">
        <f t="shared" si="10"/>
        <v>1</v>
      </c>
      <c r="O86" s="81">
        <f t="shared" si="12"/>
        <v>4.5700000000000012</v>
      </c>
      <c r="P86" s="81">
        <f>IF(G86="","",ABS(O86-Components!$C$2))</f>
        <v>1.8166666666666713</v>
      </c>
      <c r="Q86" s="81">
        <f>IF(G86="","",ABS(O86-Components!$C$3))</f>
        <v>0.53400000000000158</v>
      </c>
      <c r="R86" s="81">
        <f>IF(G86="","",ABS(O86-Components!$C$4))</f>
        <v>3.576666666666668</v>
      </c>
      <c r="S86" s="81">
        <f>IF(G86="","",ABS(O86-Components!$C$5))</f>
        <v>7.3333333333307493E-3</v>
      </c>
      <c r="T86" s="81">
        <f>IF(G86="","",ABS(O86-Components!$C$6))</f>
        <v>3.4143333333333312</v>
      </c>
      <c r="U86" s="81">
        <f>IF(G86="","",ABS(O86-Components!$C$7))</f>
        <v>3.1956666666666713</v>
      </c>
      <c r="V86" s="81" t="str">
        <f>IF(F86="","",IF(M86="OK","NONE",INDEX({"S1","S2","W1","W2","N1","N2"},MATCH(MIN(P86:U86),P86:U86,0))))</f>
        <v>W2</v>
      </c>
      <c r="W86" s="117">
        <f t="shared" si="13"/>
        <v>1</v>
      </c>
      <c r="X86" s="119"/>
    </row>
    <row r="87" spans="1:24">
      <c r="A87" s="115">
        <v>85</v>
      </c>
      <c r="B87" s="116">
        <v>3</v>
      </c>
      <c r="C87" s="81" t="s">
        <v>128</v>
      </c>
      <c r="D87" s="111" t="s">
        <v>240</v>
      </c>
      <c r="E87" s="81" t="s">
        <v>106</v>
      </c>
      <c r="F87" s="52">
        <v>5.35</v>
      </c>
      <c r="G87" s="52">
        <f t="shared" si="7"/>
        <v>6.3199999999999994</v>
      </c>
      <c r="H87" s="110"/>
      <c r="I87" s="81">
        <f>VLOOKUP(C87,Recipes!$A$2:$N$4,10,FALSE())</f>
        <v>10.940000000000001</v>
      </c>
      <c r="J87" s="81">
        <f>VLOOKUP(C87,Recipes!$A$2:$N$4,12,FALSE())</f>
        <v>5.2703573566378441E-2</v>
      </c>
      <c r="K87" s="81">
        <f t="shared" si="8"/>
        <v>10.781889279300866</v>
      </c>
      <c r="L87" s="81">
        <f t="shared" si="9"/>
        <v>11.098110720699136</v>
      </c>
      <c r="M87" s="81" t="str">
        <f t="shared" si="11"/>
        <v>NG</v>
      </c>
      <c r="N87" s="117">
        <f t="shared" si="10"/>
        <v>1</v>
      </c>
      <c r="O87" s="81">
        <f t="shared" si="12"/>
        <v>4.6200000000000019</v>
      </c>
      <c r="P87" s="81">
        <f>IF(G87="","",ABS(O87-Components!$C$2))</f>
        <v>1.866666666666672</v>
      </c>
      <c r="Q87" s="81">
        <f>IF(G87="","",ABS(O87-Components!$C$3))</f>
        <v>0.5840000000000023</v>
      </c>
      <c r="R87" s="81">
        <f>IF(G87="","",ABS(O87-Components!$C$4))</f>
        <v>3.6266666666666687</v>
      </c>
      <c r="S87" s="81">
        <f>IF(G87="","",ABS(O87-Components!$C$5))</f>
        <v>5.733333333333146E-2</v>
      </c>
      <c r="T87" s="81">
        <f>IF(G87="","",ABS(O87-Components!$C$6))</f>
        <v>3.4643333333333319</v>
      </c>
      <c r="U87" s="81">
        <f>IF(G87="","",ABS(O87-Components!$C$7))</f>
        <v>3.245666666666672</v>
      </c>
      <c r="V87" s="81" t="str">
        <f>IF(F87="","",IF(M87="OK","NONE",INDEX({"S1","S2","W1","W2","N1","N2"},MATCH(MIN(P87:U87),P87:U87,0))))</f>
        <v>W2</v>
      </c>
      <c r="W87" s="117">
        <f t="shared" si="13"/>
        <v>1</v>
      </c>
      <c r="X87" s="119"/>
    </row>
    <row r="88" spans="1:24">
      <c r="A88" s="115">
        <v>86</v>
      </c>
      <c r="B88" s="116">
        <v>3</v>
      </c>
      <c r="C88" s="81" t="s">
        <v>128</v>
      </c>
      <c r="D88" s="111" t="s">
        <v>240</v>
      </c>
      <c r="E88" s="81" t="s">
        <v>106</v>
      </c>
      <c r="F88" s="52">
        <v>5.38</v>
      </c>
      <c r="G88" s="52">
        <f t="shared" si="7"/>
        <v>6.35</v>
      </c>
      <c r="H88" s="110"/>
      <c r="I88" s="81">
        <f>VLOOKUP(C88,Recipes!$A$2:$N$4,10,FALSE())</f>
        <v>10.940000000000001</v>
      </c>
      <c r="J88" s="81">
        <f>VLOOKUP(C88,Recipes!$A$2:$N$4,12,FALSE())</f>
        <v>5.2703573566378441E-2</v>
      </c>
      <c r="K88" s="81">
        <f t="shared" si="8"/>
        <v>10.781889279300866</v>
      </c>
      <c r="L88" s="81">
        <f t="shared" si="9"/>
        <v>11.098110720699136</v>
      </c>
      <c r="M88" s="81" t="str">
        <f t="shared" si="11"/>
        <v>NG</v>
      </c>
      <c r="N88" s="117">
        <f t="shared" si="10"/>
        <v>1</v>
      </c>
      <c r="O88" s="81">
        <f t="shared" si="12"/>
        <v>4.5900000000000016</v>
      </c>
      <c r="P88" s="81">
        <f>IF(G88="","",ABS(O88-Components!$C$2))</f>
        <v>1.8366666666666718</v>
      </c>
      <c r="Q88" s="81">
        <f>IF(G88="","",ABS(O88-Components!$C$3))</f>
        <v>0.55400000000000205</v>
      </c>
      <c r="R88" s="81">
        <f>IF(G88="","",ABS(O88-Components!$C$4))</f>
        <v>3.5966666666666685</v>
      </c>
      <c r="S88" s="81">
        <f>IF(G88="","",ABS(O88-Components!$C$5))</f>
        <v>2.7333333333331211E-2</v>
      </c>
      <c r="T88" s="81">
        <f>IF(G88="","",ABS(O88-Components!$C$6))</f>
        <v>3.4343333333333317</v>
      </c>
      <c r="U88" s="81">
        <f>IF(G88="","",ABS(O88-Components!$C$7))</f>
        <v>3.2156666666666718</v>
      </c>
      <c r="V88" s="81" t="str">
        <f>IF(F88="","",IF(M88="OK","NONE",INDEX({"S1","S2","W1","W2","N1","N2"},MATCH(MIN(P88:U88),P88:U88,0))))</f>
        <v>W2</v>
      </c>
      <c r="W88" s="117">
        <f t="shared" si="13"/>
        <v>1</v>
      </c>
      <c r="X88" s="119"/>
    </row>
    <row r="89" spans="1:24">
      <c r="A89" s="115">
        <v>87</v>
      </c>
      <c r="B89" s="116">
        <v>3</v>
      </c>
      <c r="C89" s="81" t="s">
        <v>128</v>
      </c>
      <c r="D89" s="111" t="s">
        <v>240</v>
      </c>
      <c r="E89" s="81" t="s">
        <v>106</v>
      </c>
      <c r="F89" s="52">
        <v>5.34</v>
      </c>
      <c r="G89" s="52">
        <f t="shared" si="7"/>
        <v>6.31</v>
      </c>
      <c r="H89" s="110"/>
      <c r="I89" s="81">
        <f>VLOOKUP(C89,Recipes!$A$2:$N$4,10,FALSE())</f>
        <v>10.940000000000001</v>
      </c>
      <c r="J89" s="81">
        <f>VLOOKUP(C89,Recipes!$A$2:$N$4,12,FALSE())</f>
        <v>5.2703573566378441E-2</v>
      </c>
      <c r="K89" s="81">
        <f t="shared" si="8"/>
        <v>10.781889279300866</v>
      </c>
      <c r="L89" s="81">
        <f t="shared" si="9"/>
        <v>11.098110720699136</v>
      </c>
      <c r="M89" s="81" t="str">
        <f t="shared" si="11"/>
        <v>NG</v>
      </c>
      <c r="N89" s="117">
        <f t="shared" si="10"/>
        <v>1</v>
      </c>
      <c r="O89" s="81">
        <f t="shared" si="12"/>
        <v>4.6300000000000017</v>
      </c>
      <c r="P89" s="81">
        <f>IF(G89="","",ABS(O89-Components!$C$2))</f>
        <v>1.8766666666666718</v>
      </c>
      <c r="Q89" s="81">
        <f>IF(G89="","",ABS(O89-Components!$C$3))</f>
        <v>0.59400000000000208</v>
      </c>
      <c r="R89" s="81">
        <f>IF(G89="","",ABS(O89-Components!$C$4))</f>
        <v>3.6366666666666685</v>
      </c>
      <c r="S89" s="81">
        <f>IF(G89="","",ABS(O89-Components!$C$5))</f>
        <v>6.7333333333331247E-2</v>
      </c>
      <c r="T89" s="81">
        <f>IF(G89="","",ABS(O89-Components!$C$6))</f>
        <v>3.4743333333333317</v>
      </c>
      <c r="U89" s="81">
        <f>IF(G89="","",ABS(O89-Components!$C$7))</f>
        <v>3.2556666666666718</v>
      </c>
      <c r="V89" s="81" t="str">
        <f>IF(F89="","",IF(M89="OK","NONE",INDEX({"S1","S2","W1","W2","N1","N2"},MATCH(MIN(P89:U89),P89:U89,0))))</f>
        <v>W2</v>
      </c>
      <c r="W89" s="117">
        <f t="shared" si="13"/>
        <v>1</v>
      </c>
      <c r="X89" s="119"/>
    </row>
    <row r="90" spans="1:24">
      <c r="A90" s="115">
        <v>88</v>
      </c>
      <c r="B90" s="116">
        <v>3</v>
      </c>
      <c r="C90" s="81" t="s">
        <v>128</v>
      </c>
      <c r="D90" s="111" t="s">
        <v>240</v>
      </c>
      <c r="E90" s="81" t="s">
        <v>106</v>
      </c>
      <c r="F90" s="52">
        <v>5.42</v>
      </c>
      <c r="G90" s="52">
        <f t="shared" si="7"/>
        <v>6.39</v>
      </c>
      <c r="H90" s="110"/>
      <c r="I90" s="81">
        <f>VLOOKUP(C90,Recipes!$A$2:$N$4,10,FALSE())</f>
        <v>10.940000000000001</v>
      </c>
      <c r="J90" s="81">
        <f>VLOOKUP(C90,Recipes!$A$2:$N$4,12,FALSE())</f>
        <v>5.2703573566378441E-2</v>
      </c>
      <c r="K90" s="81">
        <f t="shared" si="8"/>
        <v>10.781889279300866</v>
      </c>
      <c r="L90" s="81">
        <f t="shared" si="9"/>
        <v>11.098110720699136</v>
      </c>
      <c r="M90" s="81" t="str">
        <f t="shared" si="11"/>
        <v>NG</v>
      </c>
      <c r="N90" s="117">
        <f t="shared" si="10"/>
        <v>1</v>
      </c>
      <c r="O90" s="81">
        <f t="shared" si="12"/>
        <v>4.5500000000000016</v>
      </c>
      <c r="P90" s="81">
        <f>IF(G90="","",ABS(O90-Components!$C$2))</f>
        <v>1.7966666666666717</v>
      </c>
      <c r="Q90" s="81">
        <f>IF(G90="","",ABS(O90-Components!$C$3))</f>
        <v>0.51400000000000201</v>
      </c>
      <c r="R90" s="81">
        <f>IF(G90="","",ABS(O90-Components!$C$4))</f>
        <v>3.5566666666666684</v>
      </c>
      <c r="S90" s="81">
        <f>IF(G90="","",ABS(O90-Components!$C$5))</f>
        <v>1.2666666666668824E-2</v>
      </c>
      <c r="T90" s="81">
        <f>IF(G90="","",ABS(O90-Components!$C$6))</f>
        <v>3.3943333333333316</v>
      </c>
      <c r="U90" s="81">
        <f>IF(G90="","",ABS(O90-Components!$C$7))</f>
        <v>3.1756666666666717</v>
      </c>
      <c r="V90" s="81" t="str">
        <f>IF(F90="","",IF(M90="OK","NONE",INDEX({"S1","S2","W1","W2","N1","N2"},MATCH(MIN(P90:U90),P90:U90,0))))</f>
        <v>W2</v>
      </c>
      <c r="W90" s="117">
        <f t="shared" si="13"/>
        <v>1</v>
      </c>
      <c r="X90" s="119"/>
    </row>
    <row r="91" spans="1:24">
      <c r="A91" s="115">
        <v>89</v>
      </c>
      <c r="B91" s="116">
        <v>3</v>
      </c>
      <c r="C91" s="81" t="s">
        <v>128</v>
      </c>
      <c r="D91" s="111" t="s">
        <v>240</v>
      </c>
      <c r="E91" s="81" t="s">
        <v>106</v>
      </c>
      <c r="F91" s="52">
        <v>5.4</v>
      </c>
      <c r="G91" s="52">
        <f t="shared" si="7"/>
        <v>6.37</v>
      </c>
      <c r="H91" s="110"/>
      <c r="I91" s="81">
        <f>VLOOKUP(C91,Recipes!$A$2:$N$4,10,FALSE())</f>
        <v>10.940000000000001</v>
      </c>
      <c r="J91" s="81">
        <f>VLOOKUP(C91,Recipes!$A$2:$N$4,12,FALSE())</f>
        <v>5.2703573566378441E-2</v>
      </c>
      <c r="K91" s="81">
        <f t="shared" si="8"/>
        <v>10.781889279300866</v>
      </c>
      <c r="L91" s="81">
        <f t="shared" si="9"/>
        <v>11.098110720699136</v>
      </c>
      <c r="M91" s="81" t="str">
        <f t="shared" si="11"/>
        <v>NG</v>
      </c>
      <c r="N91" s="117">
        <f t="shared" si="10"/>
        <v>1</v>
      </c>
      <c r="O91" s="81">
        <f t="shared" si="12"/>
        <v>4.5700000000000012</v>
      </c>
      <c r="P91" s="81">
        <f>IF(G91="","",ABS(O91-Components!$C$2))</f>
        <v>1.8166666666666713</v>
      </c>
      <c r="Q91" s="81">
        <f>IF(G91="","",ABS(O91-Components!$C$3))</f>
        <v>0.53400000000000158</v>
      </c>
      <c r="R91" s="81">
        <f>IF(G91="","",ABS(O91-Components!$C$4))</f>
        <v>3.576666666666668</v>
      </c>
      <c r="S91" s="81">
        <f>IF(G91="","",ABS(O91-Components!$C$5))</f>
        <v>7.3333333333307493E-3</v>
      </c>
      <c r="T91" s="81">
        <f>IF(G91="","",ABS(O91-Components!$C$6))</f>
        <v>3.4143333333333312</v>
      </c>
      <c r="U91" s="81">
        <f>IF(G91="","",ABS(O91-Components!$C$7))</f>
        <v>3.1956666666666713</v>
      </c>
      <c r="V91" s="81" t="str">
        <f>IF(F91="","",IF(M91="OK","NONE",INDEX({"S1","S2","W1","W2","N1","N2"},MATCH(MIN(P91:U91),P91:U91,0))))</f>
        <v>W2</v>
      </c>
      <c r="W91" s="117">
        <f t="shared" si="13"/>
        <v>1</v>
      </c>
      <c r="X91" s="119"/>
    </row>
    <row r="92" spans="1:24">
      <c r="A92" s="115">
        <v>90</v>
      </c>
      <c r="B92" s="116">
        <v>3</v>
      </c>
      <c r="C92" s="81" t="s">
        <v>128</v>
      </c>
      <c r="D92" s="111" t="s">
        <v>240</v>
      </c>
      <c r="E92" s="81" t="s">
        <v>106</v>
      </c>
      <c r="F92" s="52">
        <v>5.42</v>
      </c>
      <c r="G92" s="52">
        <f t="shared" si="7"/>
        <v>6.39</v>
      </c>
      <c r="H92" s="110"/>
      <c r="I92" s="81">
        <f>VLOOKUP(C92,Recipes!$A$2:$N$4,10,FALSE())</f>
        <v>10.940000000000001</v>
      </c>
      <c r="J92" s="81">
        <f>VLOOKUP(C92,Recipes!$A$2:$N$4,12,FALSE())</f>
        <v>5.2703573566378441E-2</v>
      </c>
      <c r="K92" s="81">
        <f t="shared" si="8"/>
        <v>10.781889279300866</v>
      </c>
      <c r="L92" s="81">
        <f t="shared" si="9"/>
        <v>11.098110720699136</v>
      </c>
      <c r="M92" s="81" t="str">
        <f t="shared" si="11"/>
        <v>NG</v>
      </c>
      <c r="N92" s="117">
        <f t="shared" si="10"/>
        <v>1</v>
      </c>
      <c r="O92" s="81">
        <f t="shared" si="12"/>
        <v>4.5500000000000016</v>
      </c>
      <c r="P92" s="81">
        <f>IF(G92="","",ABS(O92-Components!$C$2))</f>
        <v>1.7966666666666717</v>
      </c>
      <c r="Q92" s="81">
        <f>IF(G92="","",ABS(O92-Components!$C$3))</f>
        <v>0.51400000000000201</v>
      </c>
      <c r="R92" s="81">
        <f>IF(G92="","",ABS(O92-Components!$C$4))</f>
        <v>3.5566666666666684</v>
      </c>
      <c r="S92" s="81">
        <f>IF(G92="","",ABS(O92-Components!$C$5))</f>
        <v>1.2666666666668824E-2</v>
      </c>
      <c r="T92" s="81">
        <f>IF(G92="","",ABS(O92-Components!$C$6))</f>
        <v>3.3943333333333316</v>
      </c>
      <c r="U92" s="81">
        <f>IF(G92="","",ABS(O92-Components!$C$7))</f>
        <v>3.1756666666666717</v>
      </c>
      <c r="V92" s="81" t="str">
        <f>IF(F92="","",IF(M92="OK","NONE",INDEX({"S1","S2","W1","W2","N1","N2"},MATCH(MIN(P92:U92),P92:U92,0))))</f>
        <v>W2</v>
      </c>
      <c r="W92" s="117">
        <f t="shared" si="13"/>
        <v>1</v>
      </c>
      <c r="X92" s="119"/>
    </row>
    <row r="93" spans="1:24">
      <c r="A93" s="115">
        <v>91</v>
      </c>
      <c r="B93" s="116">
        <v>4</v>
      </c>
      <c r="C93" s="81" t="s">
        <v>128</v>
      </c>
      <c r="D93" s="111" t="s">
        <v>240</v>
      </c>
      <c r="E93" s="81" t="s">
        <v>110</v>
      </c>
      <c r="F93" s="52">
        <v>8.61</v>
      </c>
      <c r="G93" s="52">
        <f t="shared" si="7"/>
        <v>9.58</v>
      </c>
      <c r="H93" s="110"/>
      <c r="I93" s="81">
        <f>VLOOKUP(C93,Recipes!$A$2:$N$4,10,FALSE())</f>
        <v>10.940000000000001</v>
      </c>
      <c r="J93" s="81">
        <f>VLOOKUP(C93,Recipes!$A$2:$N$4,12,FALSE())</f>
        <v>5.2703573566378441E-2</v>
      </c>
      <c r="K93" s="81">
        <f t="shared" si="8"/>
        <v>10.781889279300866</v>
      </c>
      <c r="L93" s="81">
        <f t="shared" si="9"/>
        <v>11.098110720699136</v>
      </c>
      <c r="M93" s="81" t="str">
        <f t="shared" si="11"/>
        <v>NG</v>
      </c>
      <c r="N93" s="117">
        <f t="shared" si="10"/>
        <v>1</v>
      </c>
      <c r="O93" s="81">
        <f t="shared" si="12"/>
        <v>1.3600000000000012</v>
      </c>
      <c r="P93" s="81">
        <f>IF(G93="","",ABS(O93-Components!$C$2))</f>
        <v>1.3933333333333286</v>
      </c>
      <c r="Q93" s="81">
        <f>IF(G93="","",ABS(O93-Components!$C$3))</f>
        <v>2.6759999999999984</v>
      </c>
      <c r="R93" s="81">
        <f>IF(G93="","",ABS(O93-Components!$C$4))</f>
        <v>0.36666666666666825</v>
      </c>
      <c r="S93" s="81">
        <f>IF(G93="","",ABS(O93-Components!$C$5))</f>
        <v>3.2026666666666692</v>
      </c>
      <c r="T93" s="81">
        <f>IF(G93="","",ABS(O93-Components!$C$6))</f>
        <v>0.20433333333333126</v>
      </c>
      <c r="U93" s="81">
        <f>IF(G93="","",ABS(O93-Components!$C$7))</f>
        <v>1.4333333333328868E-2</v>
      </c>
      <c r="V93" s="81" t="str">
        <f>IF(F93="","",IF(M93="OK","NONE",INDEX({"S1","S2","W1","W2","N1","N2"},MATCH(MIN(P93:U93),P93:U93,0))))</f>
        <v>N2</v>
      </c>
      <c r="W93" s="117">
        <f t="shared" si="13"/>
        <v>1</v>
      </c>
      <c r="X93" s="119"/>
    </row>
    <row r="94" spans="1:24">
      <c r="A94" s="115">
        <v>92</v>
      </c>
      <c r="B94" s="116">
        <v>4</v>
      </c>
      <c r="C94" s="81" t="s">
        <v>128</v>
      </c>
      <c r="D94" s="111" t="s">
        <v>240</v>
      </c>
      <c r="E94" s="81" t="s">
        <v>110</v>
      </c>
      <c r="F94" s="52">
        <v>8.6199999999999992</v>
      </c>
      <c r="G94" s="52">
        <f t="shared" si="7"/>
        <v>9.59</v>
      </c>
      <c r="H94" s="110"/>
      <c r="I94" s="81">
        <f>VLOOKUP(C94,Recipes!$A$2:$N$4,10,FALSE())</f>
        <v>10.940000000000001</v>
      </c>
      <c r="J94" s="81">
        <f>VLOOKUP(C94,Recipes!$A$2:$N$4,12,FALSE())</f>
        <v>5.2703573566378441E-2</v>
      </c>
      <c r="K94" s="81">
        <f t="shared" si="8"/>
        <v>10.781889279300866</v>
      </c>
      <c r="L94" s="81">
        <f t="shared" si="9"/>
        <v>11.098110720699136</v>
      </c>
      <c r="M94" s="81" t="str">
        <f t="shared" si="11"/>
        <v>NG</v>
      </c>
      <c r="N94" s="117">
        <f t="shared" si="10"/>
        <v>1</v>
      </c>
      <c r="O94" s="81">
        <f t="shared" si="12"/>
        <v>1.3500000000000014</v>
      </c>
      <c r="P94" s="81">
        <f>IF(G94="","",ABS(O94-Components!$C$2))</f>
        <v>1.4033333333333284</v>
      </c>
      <c r="Q94" s="81">
        <f>IF(G94="","",ABS(O94-Components!$C$3))</f>
        <v>2.6859999999999982</v>
      </c>
      <c r="R94" s="81">
        <f>IF(G94="","",ABS(O94-Components!$C$4))</f>
        <v>0.35666666666666846</v>
      </c>
      <c r="S94" s="81">
        <f>IF(G94="","",ABS(O94-Components!$C$5))</f>
        <v>3.212666666666669</v>
      </c>
      <c r="T94" s="81">
        <f>IF(G94="","",ABS(O94-Components!$C$6))</f>
        <v>0.19433333333333147</v>
      </c>
      <c r="U94" s="81">
        <f>IF(G94="","",ABS(O94-Components!$C$7))</f>
        <v>2.4333333333328655E-2</v>
      </c>
      <c r="V94" s="81" t="str">
        <f>IF(F94="","",IF(M94="OK","NONE",INDEX({"S1","S2","W1","W2","N1","N2"},MATCH(MIN(P94:U94),P94:U94,0))))</f>
        <v>N2</v>
      </c>
      <c r="W94" s="117">
        <f t="shared" si="13"/>
        <v>1</v>
      </c>
      <c r="X94" s="119"/>
    </row>
    <row r="95" spans="1:24">
      <c r="A95" s="115">
        <v>93</v>
      </c>
      <c r="B95" s="116">
        <v>4</v>
      </c>
      <c r="C95" s="81" t="s">
        <v>128</v>
      </c>
      <c r="D95" s="111" t="s">
        <v>240</v>
      </c>
      <c r="E95" s="81" t="s">
        <v>110</v>
      </c>
      <c r="F95" s="52">
        <v>8.6300000000000008</v>
      </c>
      <c r="G95" s="52">
        <f t="shared" si="7"/>
        <v>9.6000000000000014</v>
      </c>
      <c r="H95" s="110"/>
      <c r="I95" s="81">
        <f>VLOOKUP(C95,Recipes!$A$2:$N$4,10,FALSE())</f>
        <v>10.940000000000001</v>
      </c>
      <c r="J95" s="81">
        <f>VLOOKUP(C95,Recipes!$A$2:$N$4,12,FALSE())</f>
        <v>5.2703573566378441E-2</v>
      </c>
      <c r="K95" s="81">
        <f t="shared" si="8"/>
        <v>10.781889279300866</v>
      </c>
      <c r="L95" s="81">
        <f t="shared" si="9"/>
        <v>11.098110720699136</v>
      </c>
      <c r="M95" s="81" t="str">
        <f t="shared" si="11"/>
        <v>NG</v>
      </c>
      <c r="N95" s="117">
        <f t="shared" si="10"/>
        <v>1</v>
      </c>
      <c r="O95" s="81">
        <f t="shared" si="12"/>
        <v>1.3399999999999999</v>
      </c>
      <c r="P95" s="81">
        <f>IF(G95="","",ABS(O95-Components!$C$2))</f>
        <v>1.41333333333333</v>
      </c>
      <c r="Q95" s="81">
        <f>IF(G95="","",ABS(O95-Components!$C$3))</f>
        <v>2.6959999999999997</v>
      </c>
      <c r="R95" s="81">
        <f>IF(G95="","",ABS(O95-Components!$C$4))</f>
        <v>0.3466666666666669</v>
      </c>
      <c r="S95" s="81">
        <f>IF(G95="","",ABS(O95-Components!$C$5))</f>
        <v>3.2226666666666706</v>
      </c>
      <c r="T95" s="81">
        <f>IF(G95="","",ABS(O95-Components!$C$6))</f>
        <v>0.18433333333332991</v>
      </c>
      <c r="U95" s="81">
        <f>IF(G95="","",ABS(O95-Components!$C$7))</f>
        <v>3.4333333333330218E-2</v>
      </c>
      <c r="V95" s="81" t="str">
        <f>IF(F95="","",IF(M95="OK","NONE",INDEX({"S1","S2","W1","W2","N1","N2"},MATCH(MIN(P95:U95),P95:U95,0))))</f>
        <v>N2</v>
      </c>
      <c r="W95" s="117">
        <f t="shared" si="13"/>
        <v>1</v>
      </c>
      <c r="X95" s="119"/>
    </row>
    <row r="96" spans="1:24">
      <c r="A96" s="115">
        <v>94</v>
      </c>
      <c r="B96" s="116">
        <v>4</v>
      </c>
      <c r="C96" s="81" t="s">
        <v>128</v>
      </c>
      <c r="D96" s="111" t="s">
        <v>240</v>
      </c>
      <c r="E96" s="81" t="s">
        <v>110</v>
      </c>
      <c r="F96" s="52">
        <v>8.6199999999999992</v>
      </c>
      <c r="G96" s="52">
        <f t="shared" si="7"/>
        <v>9.59</v>
      </c>
      <c r="H96" s="110"/>
      <c r="I96" s="81">
        <f>VLOOKUP(C96,Recipes!$A$2:$N$4,10,FALSE())</f>
        <v>10.940000000000001</v>
      </c>
      <c r="J96" s="81">
        <f>VLOOKUP(C96,Recipes!$A$2:$N$4,12,FALSE())</f>
        <v>5.2703573566378441E-2</v>
      </c>
      <c r="K96" s="81">
        <f t="shared" si="8"/>
        <v>10.781889279300866</v>
      </c>
      <c r="L96" s="81">
        <f t="shared" si="9"/>
        <v>11.098110720699136</v>
      </c>
      <c r="M96" s="81" t="str">
        <f t="shared" si="11"/>
        <v>NG</v>
      </c>
      <c r="N96" s="117">
        <f t="shared" si="10"/>
        <v>1</v>
      </c>
      <c r="O96" s="81">
        <f t="shared" si="12"/>
        <v>1.3500000000000014</v>
      </c>
      <c r="P96" s="81">
        <f>IF(G96="","",ABS(O96-Components!$C$2))</f>
        <v>1.4033333333333284</v>
      </c>
      <c r="Q96" s="81">
        <f>IF(G96="","",ABS(O96-Components!$C$3))</f>
        <v>2.6859999999999982</v>
      </c>
      <c r="R96" s="81">
        <f>IF(G96="","",ABS(O96-Components!$C$4))</f>
        <v>0.35666666666666846</v>
      </c>
      <c r="S96" s="81">
        <f>IF(G96="","",ABS(O96-Components!$C$5))</f>
        <v>3.212666666666669</v>
      </c>
      <c r="T96" s="81">
        <f>IF(G96="","",ABS(O96-Components!$C$6))</f>
        <v>0.19433333333333147</v>
      </c>
      <c r="U96" s="81">
        <f>IF(G96="","",ABS(O96-Components!$C$7))</f>
        <v>2.4333333333328655E-2</v>
      </c>
      <c r="V96" s="81" t="str">
        <f>IF(F96="","",IF(M96="OK","NONE",INDEX({"S1","S2","W1","W2","N1","N2"},MATCH(MIN(P96:U96),P96:U96,0))))</f>
        <v>N2</v>
      </c>
      <c r="W96" s="117">
        <f t="shared" si="13"/>
        <v>1</v>
      </c>
      <c r="X96" s="119"/>
    </row>
    <row r="97" spans="1:24">
      <c r="A97" s="115">
        <v>95</v>
      </c>
      <c r="B97" s="116">
        <v>4</v>
      </c>
      <c r="C97" s="81" t="s">
        <v>128</v>
      </c>
      <c r="D97" s="111" t="s">
        <v>240</v>
      </c>
      <c r="E97" s="81" t="s">
        <v>110</v>
      </c>
      <c r="F97" s="52">
        <v>8.5399999999999991</v>
      </c>
      <c r="G97" s="52">
        <f t="shared" si="7"/>
        <v>9.51</v>
      </c>
      <c r="H97" s="110"/>
      <c r="I97" s="81">
        <f>VLOOKUP(C97,Recipes!$A$2:$N$4,10,FALSE())</f>
        <v>10.940000000000001</v>
      </c>
      <c r="J97" s="81">
        <f>VLOOKUP(C97,Recipes!$A$2:$N$4,12,FALSE())</f>
        <v>5.2703573566378441E-2</v>
      </c>
      <c r="K97" s="81">
        <f t="shared" si="8"/>
        <v>10.781889279300866</v>
      </c>
      <c r="L97" s="81">
        <f t="shared" si="9"/>
        <v>11.098110720699136</v>
      </c>
      <c r="M97" s="81" t="str">
        <f t="shared" si="11"/>
        <v>NG</v>
      </c>
      <c r="N97" s="117">
        <f t="shared" si="10"/>
        <v>1</v>
      </c>
      <c r="O97" s="81">
        <f t="shared" si="12"/>
        <v>1.4300000000000015</v>
      </c>
      <c r="P97" s="81">
        <f>IF(G97="","",ABS(O97-Components!$C$2))</f>
        <v>1.3233333333333284</v>
      </c>
      <c r="Q97" s="81">
        <f>IF(G97="","",ABS(O97-Components!$C$3))</f>
        <v>2.6059999999999981</v>
      </c>
      <c r="R97" s="81">
        <f>IF(G97="","",ABS(O97-Components!$C$4))</f>
        <v>0.43666666666666853</v>
      </c>
      <c r="S97" s="81">
        <f>IF(G97="","",ABS(O97-Components!$C$5))</f>
        <v>3.1326666666666689</v>
      </c>
      <c r="T97" s="81">
        <f>IF(G97="","",ABS(O97-Components!$C$6))</f>
        <v>0.27433333333333154</v>
      </c>
      <c r="U97" s="81">
        <f>IF(G97="","",ABS(O97-Components!$C$7))</f>
        <v>5.5666666666671416E-2</v>
      </c>
      <c r="V97" s="81" t="str">
        <f>IF(F97="","",IF(M97="OK","NONE",INDEX({"S1","S2","W1","W2","N1","N2"},MATCH(MIN(P97:U97),P97:U97,0))))</f>
        <v>N2</v>
      </c>
      <c r="W97" s="117">
        <f t="shared" si="13"/>
        <v>1</v>
      </c>
      <c r="X97" s="119"/>
    </row>
    <row r="98" spans="1:24">
      <c r="A98" s="115">
        <v>96</v>
      </c>
      <c r="B98" s="116">
        <v>4</v>
      </c>
      <c r="C98" s="81" t="s">
        <v>128</v>
      </c>
      <c r="D98" s="111" t="s">
        <v>240</v>
      </c>
      <c r="E98" s="81" t="s">
        <v>110</v>
      </c>
      <c r="F98" s="52">
        <v>8.48</v>
      </c>
      <c r="G98" s="52">
        <f t="shared" si="7"/>
        <v>9.4500000000000011</v>
      </c>
      <c r="H98" s="110"/>
      <c r="I98" s="81">
        <f>VLOOKUP(C98,Recipes!$A$2:$N$4,10,FALSE())</f>
        <v>10.940000000000001</v>
      </c>
      <c r="J98" s="81">
        <f>VLOOKUP(C98,Recipes!$A$2:$N$4,12,FALSE())</f>
        <v>5.2703573566378441E-2</v>
      </c>
      <c r="K98" s="81">
        <f t="shared" si="8"/>
        <v>10.781889279300866</v>
      </c>
      <c r="L98" s="81">
        <f t="shared" si="9"/>
        <v>11.098110720699136</v>
      </c>
      <c r="M98" s="81" t="str">
        <f t="shared" si="11"/>
        <v>NG</v>
      </c>
      <c r="N98" s="117">
        <f t="shared" si="10"/>
        <v>1</v>
      </c>
      <c r="O98" s="81">
        <f t="shared" si="12"/>
        <v>1.4900000000000002</v>
      </c>
      <c r="P98" s="81">
        <f>IF(G98="","",ABS(O98-Components!$C$2))</f>
        <v>1.2633333333333296</v>
      </c>
      <c r="Q98" s="81">
        <f>IF(G98="","",ABS(O98-Components!$C$3))</f>
        <v>2.5459999999999994</v>
      </c>
      <c r="R98" s="81">
        <f>IF(G98="","",ABS(O98-Components!$C$4))</f>
        <v>0.49666666666666726</v>
      </c>
      <c r="S98" s="81">
        <f>IF(G98="","",ABS(O98-Components!$C$5))</f>
        <v>3.0726666666666702</v>
      </c>
      <c r="T98" s="81">
        <f>IF(G98="","",ABS(O98-Components!$C$6))</f>
        <v>0.33433333333333026</v>
      </c>
      <c r="U98" s="81">
        <f>IF(G98="","",ABS(O98-Components!$C$7))</f>
        <v>0.11566666666667014</v>
      </c>
      <c r="V98" s="81" t="str">
        <f>IF(F98="","",IF(M98="OK","NONE",INDEX({"S1","S2","W1","W2","N1","N2"},MATCH(MIN(P98:U98),P98:U98,0))))</f>
        <v>N2</v>
      </c>
      <c r="W98" s="117">
        <f t="shared" si="13"/>
        <v>1</v>
      </c>
      <c r="X98" s="119"/>
    </row>
    <row r="99" spans="1:24">
      <c r="A99" s="115">
        <v>97</v>
      </c>
      <c r="B99" s="116">
        <v>4</v>
      </c>
      <c r="C99" s="81" t="s">
        <v>128</v>
      </c>
      <c r="D99" s="111" t="s">
        <v>240</v>
      </c>
      <c r="E99" s="81" t="s">
        <v>110</v>
      </c>
      <c r="F99" s="52">
        <v>8.6</v>
      </c>
      <c r="G99" s="52">
        <f t="shared" si="7"/>
        <v>9.57</v>
      </c>
      <c r="H99" s="110"/>
      <c r="I99" s="81">
        <f>VLOOKUP(C99,Recipes!$A$2:$N$4,10,FALSE())</f>
        <v>10.940000000000001</v>
      </c>
      <c r="J99" s="81">
        <f>VLOOKUP(C99,Recipes!$A$2:$N$4,12,FALSE())</f>
        <v>5.2703573566378441E-2</v>
      </c>
      <c r="K99" s="81">
        <f t="shared" si="8"/>
        <v>10.781889279300866</v>
      </c>
      <c r="L99" s="81">
        <f t="shared" si="9"/>
        <v>11.098110720699136</v>
      </c>
      <c r="M99" s="81" t="str">
        <f t="shared" si="11"/>
        <v>NG</v>
      </c>
      <c r="N99" s="117">
        <f t="shared" si="10"/>
        <v>1</v>
      </c>
      <c r="O99" s="81">
        <f t="shared" si="12"/>
        <v>1.370000000000001</v>
      </c>
      <c r="P99" s="81">
        <f>IF(G99="","",ABS(O99-Components!$C$2))</f>
        <v>1.3833333333333289</v>
      </c>
      <c r="Q99" s="81">
        <f>IF(G99="","",ABS(O99-Components!$C$3))</f>
        <v>2.6659999999999986</v>
      </c>
      <c r="R99" s="81">
        <f>IF(G99="","",ABS(O99-Components!$C$4))</f>
        <v>0.37666666666666804</v>
      </c>
      <c r="S99" s="81">
        <f>IF(G99="","",ABS(O99-Components!$C$5))</f>
        <v>3.1926666666666694</v>
      </c>
      <c r="T99" s="81">
        <f>IF(G99="","",ABS(O99-Components!$C$6))</f>
        <v>0.21433333333333104</v>
      </c>
      <c r="U99" s="81">
        <f>IF(G99="","",ABS(O99-Components!$C$7))</f>
        <v>4.3333333333290813E-3</v>
      </c>
      <c r="V99" s="81" t="str">
        <f>IF(F99="","",IF(M99="OK","NONE",INDEX({"S1","S2","W1","W2","N1","N2"},MATCH(MIN(P99:U99),P99:U99,0))))</f>
        <v>N2</v>
      </c>
      <c r="W99" s="117">
        <f t="shared" si="13"/>
        <v>1</v>
      </c>
      <c r="X99" s="119"/>
    </row>
    <row r="100" spans="1:24">
      <c r="A100" s="115">
        <v>98</v>
      </c>
      <c r="B100" s="116">
        <v>4</v>
      </c>
      <c r="C100" s="81" t="s">
        <v>128</v>
      </c>
      <c r="D100" s="111" t="s">
        <v>240</v>
      </c>
      <c r="E100" s="81" t="s">
        <v>110</v>
      </c>
      <c r="F100" s="52">
        <v>8.6300000000000008</v>
      </c>
      <c r="G100" s="52">
        <f t="shared" si="7"/>
        <v>9.6000000000000014</v>
      </c>
      <c r="H100" s="110"/>
      <c r="I100" s="81">
        <f>VLOOKUP(C100,Recipes!$A$2:$N$4,10,FALSE())</f>
        <v>10.940000000000001</v>
      </c>
      <c r="J100" s="81">
        <f>VLOOKUP(C100,Recipes!$A$2:$N$4,12,FALSE())</f>
        <v>5.2703573566378441E-2</v>
      </c>
      <c r="K100" s="81">
        <f t="shared" si="8"/>
        <v>10.781889279300866</v>
      </c>
      <c r="L100" s="81">
        <f t="shared" si="9"/>
        <v>11.098110720699136</v>
      </c>
      <c r="M100" s="81" t="str">
        <f t="shared" si="11"/>
        <v>NG</v>
      </c>
      <c r="N100" s="117">
        <f t="shared" si="10"/>
        <v>1</v>
      </c>
      <c r="O100" s="81">
        <f t="shared" si="12"/>
        <v>1.3399999999999999</v>
      </c>
      <c r="P100" s="81">
        <f>IF(G100="","",ABS(O100-Components!$C$2))</f>
        <v>1.41333333333333</v>
      </c>
      <c r="Q100" s="81">
        <f>IF(G100="","",ABS(O100-Components!$C$3))</f>
        <v>2.6959999999999997</v>
      </c>
      <c r="R100" s="81">
        <f>IF(G100="","",ABS(O100-Components!$C$4))</f>
        <v>0.3466666666666669</v>
      </c>
      <c r="S100" s="81">
        <f>IF(G100="","",ABS(O100-Components!$C$5))</f>
        <v>3.2226666666666706</v>
      </c>
      <c r="T100" s="81">
        <f>IF(G100="","",ABS(O100-Components!$C$6))</f>
        <v>0.18433333333332991</v>
      </c>
      <c r="U100" s="81">
        <f>IF(G100="","",ABS(O100-Components!$C$7))</f>
        <v>3.4333333333330218E-2</v>
      </c>
      <c r="V100" s="81" t="str">
        <f>IF(F100="","",IF(M100="OK","NONE",INDEX({"S1","S2","W1","W2","N1","N2"},MATCH(MIN(P100:U100),P100:U100,0))))</f>
        <v>N2</v>
      </c>
      <c r="W100" s="117">
        <f t="shared" si="13"/>
        <v>1</v>
      </c>
      <c r="X100" s="119"/>
    </row>
    <row r="101" spans="1:24">
      <c r="A101" s="115">
        <v>99</v>
      </c>
      <c r="B101" s="116">
        <v>4</v>
      </c>
      <c r="C101" s="81" t="s">
        <v>128</v>
      </c>
      <c r="D101" s="111" t="s">
        <v>240</v>
      </c>
      <c r="E101" s="81" t="s">
        <v>110</v>
      </c>
      <c r="F101" s="52">
        <v>8.6</v>
      </c>
      <c r="G101" s="52">
        <f t="shared" si="7"/>
        <v>9.57</v>
      </c>
      <c r="H101" s="110"/>
      <c r="I101" s="81">
        <f>VLOOKUP(C101,Recipes!$A$2:$N$4,10,FALSE())</f>
        <v>10.940000000000001</v>
      </c>
      <c r="J101" s="81">
        <f>VLOOKUP(C101,Recipes!$A$2:$N$4,12,FALSE())</f>
        <v>5.2703573566378441E-2</v>
      </c>
      <c r="K101" s="81">
        <f t="shared" si="8"/>
        <v>10.781889279300866</v>
      </c>
      <c r="L101" s="81">
        <f t="shared" si="9"/>
        <v>11.098110720699136</v>
      </c>
      <c r="M101" s="81" t="str">
        <f t="shared" si="11"/>
        <v>NG</v>
      </c>
      <c r="N101" s="117">
        <f t="shared" si="10"/>
        <v>1</v>
      </c>
      <c r="O101" s="81">
        <f t="shared" si="12"/>
        <v>1.370000000000001</v>
      </c>
      <c r="P101" s="81">
        <f>IF(G101="","",ABS(O101-Components!$C$2))</f>
        <v>1.3833333333333289</v>
      </c>
      <c r="Q101" s="81">
        <f>IF(G101="","",ABS(O101-Components!$C$3))</f>
        <v>2.6659999999999986</v>
      </c>
      <c r="R101" s="81">
        <f>IF(G101="","",ABS(O101-Components!$C$4))</f>
        <v>0.37666666666666804</v>
      </c>
      <c r="S101" s="81">
        <f>IF(G101="","",ABS(O101-Components!$C$5))</f>
        <v>3.1926666666666694</v>
      </c>
      <c r="T101" s="81">
        <f>IF(G101="","",ABS(O101-Components!$C$6))</f>
        <v>0.21433333333333104</v>
      </c>
      <c r="U101" s="81">
        <f>IF(G101="","",ABS(O101-Components!$C$7))</f>
        <v>4.3333333333290813E-3</v>
      </c>
      <c r="V101" s="81" t="str">
        <f>IF(F101="","",IF(M101="OK","NONE",INDEX({"S1","S2","W1","W2","N1","N2"},MATCH(MIN(P101:U101),P101:U101,0))))</f>
        <v>N2</v>
      </c>
      <c r="W101" s="117">
        <f t="shared" si="13"/>
        <v>1</v>
      </c>
      <c r="X101" s="119"/>
    </row>
    <row r="102" spans="1:24">
      <c r="A102" s="115">
        <v>100</v>
      </c>
      <c r="B102" s="116">
        <v>4</v>
      </c>
      <c r="C102" s="81" t="s">
        <v>128</v>
      </c>
      <c r="D102" s="111" t="s">
        <v>240</v>
      </c>
      <c r="E102" s="81" t="s">
        <v>110</v>
      </c>
      <c r="F102" s="52">
        <v>8.6199999999999992</v>
      </c>
      <c r="G102" s="52">
        <f t="shared" si="7"/>
        <v>9.59</v>
      </c>
      <c r="H102" s="110"/>
      <c r="I102" s="81">
        <f>VLOOKUP(C102,Recipes!$A$2:$N$4,10,FALSE())</f>
        <v>10.940000000000001</v>
      </c>
      <c r="J102" s="81">
        <f>VLOOKUP(C102,Recipes!$A$2:$N$4,12,FALSE())</f>
        <v>5.2703573566378441E-2</v>
      </c>
      <c r="K102" s="81">
        <f t="shared" si="8"/>
        <v>10.781889279300866</v>
      </c>
      <c r="L102" s="81">
        <f t="shared" si="9"/>
        <v>11.098110720699136</v>
      </c>
      <c r="M102" s="81" t="str">
        <f t="shared" si="11"/>
        <v>NG</v>
      </c>
      <c r="N102" s="117">
        <f t="shared" si="10"/>
        <v>1</v>
      </c>
      <c r="O102" s="81">
        <f t="shared" si="12"/>
        <v>1.3500000000000014</v>
      </c>
      <c r="P102" s="81">
        <f>IF(G102="","",ABS(O102-Components!$C$2))</f>
        <v>1.4033333333333284</v>
      </c>
      <c r="Q102" s="81">
        <f>IF(G102="","",ABS(O102-Components!$C$3))</f>
        <v>2.6859999999999982</v>
      </c>
      <c r="R102" s="81">
        <f>IF(G102="","",ABS(O102-Components!$C$4))</f>
        <v>0.35666666666666846</v>
      </c>
      <c r="S102" s="81">
        <f>IF(G102="","",ABS(O102-Components!$C$5))</f>
        <v>3.212666666666669</v>
      </c>
      <c r="T102" s="81">
        <f>IF(G102="","",ABS(O102-Components!$C$6))</f>
        <v>0.19433333333333147</v>
      </c>
      <c r="U102" s="81">
        <f>IF(G102="","",ABS(O102-Components!$C$7))</f>
        <v>2.4333333333328655E-2</v>
      </c>
      <c r="V102" s="81" t="str">
        <f>IF(F102="","",IF(M102="OK","NONE",INDEX({"S1","S2","W1","W2","N1","N2"},MATCH(MIN(P102:U102),P102:U102,0))))</f>
        <v>N2</v>
      </c>
      <c r="W102" s="117">
        <f t="shared" si="13"/>
        <v>1</v>
      </c>
      <c r="X102" s="119"/>
    </row>
    <row r="103" spans="1:24">
      <c r="A103" s="115">
        <v>101</v>
      </c>
      <c r="B103" s="116">
        <v>4</v>
      </c>
      <c r="C103" s="81" t="s">
        <v>128</v>
      </c>
      <c r="D103" s="111" t="s">
        <v>240</v>
      </c>
      <c r="E103" s="81" t="s">
        <v>110</v>
      </c>
      <c r="F103" s="52">
        <v>8.6</v>
      </c>
      <c r="G103" s="52">
        <f t="shared" si="7"/>
        <v>9.57</v>
      </c>
      <c r="H103" s="110"/>
      <c r="I103" s="81">
        <f>VLOOKUP(C103,Recipes!$A$2:$N$4,10,FALSE())</f>
        <v>10.940000000000001</v>
      </c>
      <c r="J103" s="81">
        <f>VLOOKUP(C103,Recipes!$A$2:$N$4,12,FALSE())</f>
        <v>5.2703573566378441E-2</v>
      </c>
      <c r="K103" s="81">
        <f t="shared" si="8"/>
        <v>10.781889279300866</v>
      </c>
      <c r="L103" s="81">
        <f t="shared" si="9"/>
        <v>11.098110720699136</v>
      </c>
      <c r="M103" s="81" t="str">
        <f t="shared" si="11"/>
        <v>NG</v>
      </c>
      <c r="N103" s="117">
        <f t="shared" si="10"/>
        <v>1</v>
      </c>
      <c r="O103" s="81">
        <f t="shared" si="12"/>
        <v>1.370000000000001</v>
      </c>
      <c r="P103" s="81">
        <f>IF(G103="","",ABS(O103-Components!$C$2))</f>
        <v>1.3833333333333289</v>
      </c>
      <c r="Q103" s="81">
        <f>IF(G103="","",ABS(O103-Components!$C$3))</f>
        <v>2.6659999999999986</v>
      </c>
      <c r="R103" s="81">
        <f>IF(G103="","",ABS(O103-Components!$C$4))</f>
        <v>0.37666666666666804</v>
      </c>
      <c r="S103" s="81">
        <f>IF(G103="","",ABS(O103-Components!$C$5))</f>
        <v>3.1926666666666694</v>
      </c>
      <c r="T103" s="81">
        <f>IF(G103="","",ABS(O103-Components!$C$6))</f>
        <v>0.21433333333333104</v>
      </c>
      <c r="U103" s="81">
        <f>IF(G103="","",ABS(O103-Components!$C$7))</f>
        <v>4.3333333333290813E-3</v>
      </c>
      <c r="V103" s="81" t="str">
        <f>IF(F103="","",IF(M103="OK","NONE",INDEX({"S1","S2","W1","W2","N1","N2"},MATCH(MIN(P103:U103),P103:U103,0))))</f>
        <v>N2</v>
      </c>
      <c r="W103" s="117">
        <f t="shared" si="13"/>
        <v>1</v>
      </c>
      <c r="X103" s="119"/>
    </row>
    <row r="104" spans="1:24">
      <c r="A104" s="115">
        <v>102</v>
      </c>
      <c r="B104" s="116">
        <v>4</v>
      </c>
      <c r="C104" s="81" t="s">
        <v>128</v>
      </c>
      <c r="D104" s="111" t="s">
        <v>240</v>
      </c>
      <c r="E104" s="81" t="s">
        <v>110</v>
      </c>
      <c r="F104" s="52">
        <v>8.5399999999999991</v>
      </c>
      <c r="G104" s="52">
        <f t="shared" si="7"/>
        <v>9.51</v>
      </c>
      <c r="H104" s="110"/>
      <c r="I104" s="81">
        <f>VLOOKUP(C104,Recipes!$A$2:$N$4,10,FALSE())</f>
        <v>10.940000000000001</v>
      </c>
      <c r="J104" s="81">
        <f>VLOOKUP(C104,Recipes!$A$2:$N$4,12,FALSE())</f>
        <v>5.2703573566378441E-2</v>
      </c>
      <c r="K104" s="81">
        <f t="shared" si="8"/>
        <v>10.781889279300866</v>
      </c>
      <c r="L104" s="81">
        <f t="shared" si="9"/>
        <v>11.098110720699136</v>
      </c>
      <c r="M104" s="81" t="str">
        <f t="shared" si="11"/>
        <v>NG</v>
      </c>
      <c r="N104" s="117">
        <f t="shared" si="10"/>
        <v>1</v>
      </c>
      <c r="O104" s="81">
        <f t="shared" si="12"/>
        <v>1.4300000000000015</v>
      </c>
      <c r="P104" s="81">
        <f>IF(G104="","",ABS(O104-Components!$C$2))</f>
        <v>1.3233333333333284</v>
      </c>
      <c r="Q104" s="81">
        <f>IF(G104="","",ABS(O104-Components!$C$3))</f>
        <v>2.6059999999999981</v>
      </c>
      <c r="R104" s="81">
        <f>IF(G104="","",ABS(O104-Components!$C$4))</f>
        <v>0.43666666666666853</v>
      </c>
      <c r="S104" s="81">
        <f>IF(G104="","",ABS(O104-Components!$C$5))</f>
        <v>3.1326666666666689</v>
      </c>
      <c r="T104" s="81">
        <f>IF(G104="","",ABS(O104-Components!$C$6))</f>
        <v>0.27433333333333154</v>
      </c>
      <c r="U104" s="81">
        <f>IF(G104="","",ABS(O104-Components!$C$7))</f>
        <v>5.5666666666671416E-2</v>
      </c>
      <c r="V104" s="81" t="str">
        <f>IF(F104="","",IF(M104="OK","NONE",INDEX({"S1","S2","W1","W2","N1","N2"},MATCH(MIN(P104:U104),P104:U104,0))))</f>
        <v>N2</v>
      </c>
      <c r="W104" s="117">
        <f t="shared" si="13"/>
        <v>1</v>
      </c>
      <c r="X104" s="119"/>
    </row>
    <row r="105" spans="1:24">
      <c r="A105" s="115">
        <v>103</v>
      </c>
      <c r="B105" s="116">
        <v>4</v>
      </c>
      <c r="C105" s="81" t="s">
        <v>128</v>
      </c>
      <c r="D105" s="111" t="s">
        <v>240</v>
      </c>
      <c r="E105" s="81" t="s">
        <v>110</v>
      </c>
      <c r="F105" s="52">
        <v>8.64</v>
      </c>
      <c r="G105" s="52">
        <f t="shared" si="7"/>
        <v>9.6100000000000012</v>
      </c>
      <c r="H105" s="110"/>
      <c r="I105" s="81">
        <f>VLOOKUP(C105,Recipes!$A$2:$N$4,10,FALSE())</f>
        <v>10.940000000000001</v>
      </c>
      <c r="J105" s="81">
        <f>VLOOKUP(C105,Recipes!$A$2:$N$4,12,FALSE())</f>
        <v>5.2703573566378441E-2</v>
      </c>
      <c r="K105" s="81">
        <f t="shared" si="8"/>
        <v>10.781889279300866</v>
      </c>
      <c r="L105" s="81">
        <f t="shared" si="9"/>
        <v>11.098110720699136</v>
      </c>
      <c r="M105" s="81" t="str">
        <f t="shared" si="11"/>
        <v>NG</v>
      </c>
      <c r="N105" s="117">
        <f t="shared" si="10"/>
        <v>1</v>
      </c>
      <c r="O105" s="81">
        <f t="shared" si="12"/>
        <v>1.33</v>
      </c>
      <c r="P105" s="81">
        <f>IF(G105="","",ABS(O105-Components!$C$2))</f>
        <v>1.4233333333333298</v>
      </c>
      <c r="Q105" s="81">
        <f>IF(G105="","",ABS(O105-Components!$C$3))</f>
        <v>2.7059999999999995</v>
      </c>
      <c r="R105" s="81">
        <f>IF(G105="","",ABS(O105-Components!$C$4))</f>
        <v>0.33666666666666711</v>
      </c>
      <c r="S105" s="81">
        <f>IF(G105="","",ABS(O105-Components!$C$5))</f>
        <v>3.2326666666666704</v>
      </c>
      <c r="T105" s="81">
        <f>IF(G105="","",ABS(O105-Components!$C$6))</f>
        <v>0.17433333333333012</v>
      </c>
      <c r="U105" s="81">
        <f>IF(G105="","",ABS(O105-Components!$C$7))</f>
        <v>4.4333333333330005E-2</v>
      </c>
      <c r="V105" s="81" t="str">
        <f>IF(F105="","",IF(M105="OK","NONE",INDEX({"S1","S2","W1","W2","N1","N2"},MATCH(MIN(P105:U105),P105:U105,0))))</f>
        <v>N2</v>
      </c>
      <c r="W105" s="117">
        <f t="shared" si="13"/>
        <v>1</v>
      </c>
      <c r="X105" s="119"/>
    </row>
    <row r="106" spans="1:24">
      <c r="A106" s="115">
        <v>104</v>
      </c>
      <c r="B106" s="116">
        <v>4</v>
      </c>
      <c r="C106" s="81" t="s">
        <v>128</v>
      </c>
      <c r="D106" s="111" t="s">
        <v>240</v>
      </c>
      <c r="E106" s="81" t="s">
        <v>110</v>
      </c>
      <c r="F106" s="52">
        <v>8.6</v>
      </c>
      <c r="G106" s="52">
        <f t="shared" si="7"/>
        <v>9.57</v>
      </c>
      <c r="H106" s="110"/>
      <c r="I106" s="81">
        <f>VLOOKUP(C106,Recipes!$A$2:$N$4,10,FALSE())</f>
        <v>10.940000000000001</v>
      </c>
      <c r="J106" s="81">
        <f>VLOOKUP(C106,Recipes!$A$2:$N$4,12,FALSE())</f>
        <v>5.2703573566378441E-2</v>
      </c>
      <c r="K106" s="81">
        <f t="shared" si="8"/>
        <v>10.781889279300866</v>
      </c>
      <c r="L106" s="81">
        <f t="shared" si="9"/>
        <v>11.098110720699136</v>
      </c>
      <c r="M106" s="81" t="str">
        <f t="shared" si="11"/>
        <v>NG</v>
      </c>
      <c r="N106" s="117">
        <f t="shared" si="10"/>
        <v>1</v>
      </c>
      <c r="O106" s="81">
        <f t="shared" si="12"/>
        <v>1.370000000000001</v>
      </c>
      <c r="P106" s="81">
        <f>IF(G106="","",ABS(O106-Components!$C$2))</f>
        <v>1.3833333333333289</v>
      </c>
      <c r="Q106" s="81">
        <f>IF(G106="","",ABS(O106-Components!$C$3))</f>
        <v>2.6659999999999986</v>
      </c>
      <c r="R106" s="81">
        <f>IF(G106="","",ABS(O106-Components!$C$4))</f>
        <v>0.37666666666666804</v>
      </c>
      <c r="S106" s="81">
        <f>IF(G106="","",ABS(O106-Components!$C$5))</f>
        <v>3.1926666666666694</v>
      </c>
      <c r="T106" s="81">
        <f>IF(G106="","",ABS(O106-Components!$C$6))</f>
        <v>0.21433333333333104</v>
      </c>
      <c r="U106" s="81">
        <f>IF(G106="","",ABS(O106-Components!$C$7))</f>
        <v>4.3333333333290813E-3</v>
      </c>
      <c r="V106" s="81" t="str">
        <f>IF(F106="","",IF(M106="OK","NONE",INDEX({"S1","S2","W1","W2","N1","N2"},MATCH(MIN(P106:U106),P106:U106,0))))</f>
        <v>N2</v>
      </c>
      <c r="W106" s="117">
        <f t="shared" si="13"/>
        <v>1</v>
      </c>
      <c r="X106" s="119"/>
    </row>
    <row r="107" spans="1:24">
      <c r="A107" s="115">
        <v>105</v>
      </c>
      <c r="B107" s="116">
        <v>4</v>
      </c>
      <c r="C107" s="81" t="s">
        <v>128</v>
      </c>
      <c r="D107" s="111" t="s">
        <v>240</v>
      </c>
      <c r="E107" s="81" t="s">
        <v>110</v>
      </c>
      <c r="F107" s="52">
        <v>8.59</v>
      </c>
      <c r="G107" s="52">
        <f t="shared" si="7"/>
        <v>9.56</v>
      </c>
      <c r="H107" s="110"/>
      <c r="I107" s="81">
        <f>VLOOKUP(C107,Recipes!$A$2:$N$4,10,FALSE())</f>
        <v>10.940000000000001</v>
      </c>
      <c r="J107" s="81">
        <f>VLOOKUP(C107,Recipes!$A$2:$N$4,12,FALSE())</f>
        <v>5.2703573566378441E-2</v>
      </c>
      <c r="K107" s="81">
        <f t="shared" si="8"/>
        <v>10.781889279300866</v>
      </c>
      <c r="L107" s="81">
        <f t="shared" si="9"/>
        <v>11.098110720699136</v>
      </c>
      <c r="M107" s="81" t="str">
        <f t="shared" si="11"/>
        <v>NG</v>
      </c>
      <c r="N107" s="117">
        <f t="shared" si="10"/>
        <v>1</v>
      </c>
      <c r="O107" s="81">
        <f t="shared" si="12"/>
        <v>1.3800000000000008</v>
      </c>
      <c r="P107" s="81">
        <f>IF(G107="","",ABS(O107-Components!$C$2))</f>
        <v>1.3733333333333291</v>
      </c>
      <c r="Q107" s="81">
        <f>IF(G107="","",ABS(O107-Components!$C$3))</f>
        <v>2.6559999999999988</v>
      </c>
      <c r="R107" s="81">
        <f>IF(G107="","",ABS(O107-Components!$C$4))</f>
        <v>0.38666666666666782</v>
      </c>
      <c r="S107" s="81">
        <f>IF(G107="","",ABS(O107-Components!$C$5))</f>
        <v>3.1826666666666696</v>
      </c>
      <c r="T107" s="81">
        <f>IF(G107="","",ABS(O107-Components!$C$6))</f>
        <v>0.22433333333333083</v>
      </c>
      <c r="U107" s="81">
        <f>IF(G107="","",ABS(O107-Components!$C$7))</f>
        <v>5.6666666666707055E-3</v>
      </c>
      <c r="V107" s="81" t="str">
        <f>IF(F107="","",IF(M107="OK","NONE",INDEX({"S1","S2","W1","W2","N1","N2"},MATCH(MIN(P107:U107),P107:U107,0))))</f>
        <v>N2</v>
      </c>
      <c r="W107" s="117">
        <f t="shared" si="13"/>
        <v>1</v>
      </c>
      <c r="X107" s="119"/>
    </row>
    <row r="108" spans="1:24">
      <c r="A108" s="115">
        <v>106</v>
      </c>
      <c r="B108" s="116">
        <v>4</v>
      </c>
      <c r="C108" s="81" t="s">
        <v>128</v>
      </c>
      <c r="D108" s="111" t="s">
        <v>240</v>
      </c>
      <c r="E108" s="81" t="s">
        <v>110</v>
      </c>
      <c r="F108" s="52">
        <v>8.57</v>
      </c>
      <c r="G108" s="52">
        <f t="shared" si="7"/>
        <v>9.5400000000000009</v>
      </c>
      <c r="H108" s="110"/>
      <c r="I108" s="81">
        <f>VLOOKUP(C108,Recipes!$A$2:$N$4,10,FALSE())</f>
        <v>10.940000000000001</v>
      </c>
      <c r="J108" s="81">
        <f>VLOOKUP(C108,Recipes!$A$2:$N$4,12,FALSE())</f>
        <v>5.2703573566378441E-2</v>
      </c>
      <c r="K108" s="81">
        <f t="shared" si="8"/>
        <v>10.781889279300866</v>
      </c>
      <c r="L108" s="81">
        <f t="shared" si="9"/>
        <v>11.098110720699136</v>
      </c>
      <c r="M108" s="81" t="str">
        <f t="shared" si="11"/>
        <v>NG</v>
      </c>
      <c r="N108" s="117">
        <f t="shared" si="10"/>
        <v>1</v>
      </c>
      <c r="O108" s="81">
        <f t="shared" si="12"/>
        <v>1.4000000000000004</v>
      </c>
      <c r="P108" s="81">
        <f>IF(G108="","",ABS(O108-Components!$C$2))</f>
        <v>1.3533333333333295</v>
      </c>
      <c r="Q108" s="81">
        <f>IF(G108="","",ABS(O108-Components!$C$3))</f>
        <v>2.6359999999999992</v>
      </c>
      <c r="R108" s="81">
        <f>IF(G108="","",ABS(O108-Components!$C$4))</f>
        <v>0.4066666666666674</v>
      </c>
      <c r="S108" s="81">
        <f>IF(G108="","",ABS(O108-Components!$C$5))</f>
        <v>3.1626666666666701</v>
      </c>
      <c r="T108" s="81">
        <f>IF(G108="","",ABS(O108-Components!$C$6))</f>
        <v>0.2443333333333304</v>
      </c>
      <c r="U108" s="81">
        <f>IF(G108="","",ABS(O108-Components!$C$7))</f>
        <v>2.5666666666670279E-2</v>
      </c>
      <c r="V108" s="81" t="str">
        <f>IF(F108="","",IF(M108="OK","NONE",INDEX({"S1","S2","W1","W2","N1","N2"},MATCH(MIN(P108:U108),P108:U108,0))))</f>
        <v>N2</v>
      </c>
      <c r="W108" s="117">
        <f t="shared" si="13"/>
        <v>1</v>
      </c>
      <c r="X108" s="119"/>
    </row>
    <row r="109" spans="1:24">
      <c r="A109" s="115">
        <v>107</v>
      </c>
      <c r="B109" s="116">
        <v>4</v>
      </c>
      <c r="C109" s="81" t="s">
        <v>128</v>
      </c>
      <c r="D109" s="111" t="s">
        <v>240</v>
      </c>
      <c r="E109" s="81" t="s">
        <v>110</v>
      </c>
      <c r="F109" s="52">
        <v>8.61</v>
      </c>
      <c r="G109" s="52">
        <f t="shared" si="7"/>
        <v>9.58</v>
      </c>
      <c r="H109" s="110"/>
      <c r="I109" s="81">
        <f>VLOOKUP(C109,Recipes!$A$2:$N$4,10,FALSE())</f>
        <v>10.940000000000001</v>
      </c>
      <c r="J109" s="81">
        <f>VLOOKUP(C109,Recipes!$A$2:$N$4,12,FALSE())</f>
        <v>5.2703573566378441E-2</v>
      </c>
      <c r="K109" s="81">
        <f t="shared" si="8"/>
        <v>10.781889279300866</v>
      </c>
      <c r="L109" s="81">
        <f t="shared" si="9"/>
        <v>11.098110720699136</v>
      </c>
      <c r="M109" s="81" t="str">
        <f t="shared" si="11"/>
        <v>NG</v>
      </c>
      <c r="N109" s="117">
        <f t="shared" si="10"/>
        <v>1</v>
      </c>
      <c r="O109" s="81">
        <f t="shared" si="12"/>
        <v>1.3600000000000012</v>
      </c>
      <c r="P109" s="81">
        <f>IF(G109="","",ABS(O109-Components!$C$2))</f>
        <v>1.3933333333333286</v>
      </c>
      <c r="Q109" s="81">
        <f>IF(G109="","",ABS(O109-Components!$C$3))</f>
        <v>2.6759999999999984</v>
      </c>
      <c r="R109" s="81">
        <f>IF(G109="","",ABS(O109-Components!$C$4))</f>
        <v>0.36666666666666825</v>
      </c>
      <c r="S109" s="81">
        <f>IF(G109="","",ABS(O109-Components!$C$5))</f>
        <v>3.2026666666666692</v>
      </c>
      <c r="T109" s="81">
        <f>IF(G109="","",ABS(O109-Components!$C$6))</f>
        <v>0.20433333333333126</v>
      </c>
      <c r="U109" s="81">
        <f>IF(G109="","",ABS(O109-Components!$C$7))</f>
        <v>1.4333333333328868E-2</v>
      </c>
      <c r="V109" s="81" t="str">
        <f>IF(F109="","",IF(M109="OK","NONE",INDEX({"S1","S2","W1","W2","N1","N2"},MATCH(MIN(P109:U109),P109:U109,0))))</f>
        <v>N2</v>
      </c>
      <c r="W109" s="117">
        <f t="shared" si="13"/>
        <v>1</v>
      </c>
      <c r="X109" s="119"/>
    </row>
    <row r="110" spans="1:24">
      <c r="A110" s="115">
        <v>108</v>
      </c>
      <c r="B110" s="116">
        <v>4</v>
      </c>
      <c r="C110" s="81" t="s">
        <v>128</v>
      </c>
      <c r="D110" s="111" t="s">
        <v>240</v>
      </c>
      <c r="E110" s="81" t="s">
        <v>110</v>
      </c>
      <c r="F110" s="52">
        <v>8.59</v>
      </c>
      <c r="G110" s="52">
        <f t="shared" si="7"/>
        <v>9.56</v>
      </c>
      <c r="H110" s="110"/>
      <c r="I110" s="81">
        <f>VLOOKUP(C110,Recipes!$A$2:$N$4,10,FALSE())</f>
        <v>10.940000000000001</v>
      </c>
      <c r="J110" s="81">
        <f>VLOOKUP(C110,Recipes!$A$2:$N$4,12,FALSE())</f>
        <v>5.2703573566378441E-2</v>
      </c>
      <c r="K110" s="81">
        <f t="shared" si="8"/>
        <v>10.781889279300866</v>
      </c>
      <c r="L110" s="81">
        <f t="shared" si="9"/>
        <v>11.098110720699136</v>
      </c>
      <c r="M110" s="81" t="str">
        <f t="shared" si="11"/>
        <v>NG</v>
      </c>
      <c r="N110" s="117">
        <f t="shared" si="10"/>
        <v>1</v>
      </c>
      <c r="O110" s="81">
        <f t="shared" si="12"/>
        <v>1.3800000000000008</v>
      </c>
      <c r="P110" s="81">
        <f>IF(G110="","",ABS(O110-Components!$C$2))</f>
        <v>1.3733333333333291</v>
      </c>
      <c r="Q110" s="81">
        <f>IF(G110="","",ABS(O110-Components!$C$3))</f>
        <v>2.6559999999999988</v>
      </c>
      <c r="R110" s="81">
        <f>IF(G110="","",ABS(O110-Components!$C$4))</f>
        <v>0.38666666666666782</v>
      </c>
      <c r="S110" s="81">
        <f>IF(G110="","",ABS(O110-Components!$C$5))</f>
        <v>3.1826666666666696</v>
      </c>
      <c r="T110" s="81">
        <f>IF(G110="","",ABS(O110-Components!$C$6))</f>
        <v>0.22433333333333083</v>
      </c>
      <c r="U110" s="81">
        <f>IF(G110="","",ABS(O110-Components!$C$7))</f>
        <v>5.6666666666707055E-3</v>
      </c>
      <c r="V110" s="81" t="str">
        <f>IF(F110="","",IF(M110="OK","NONE",INDEX({"S1","S2","W1","W2","N1","N2"},MATCH(MIN(P110:U110),P110:U110,0))))</f>
        <v>N2</v>
      </c>
      <c r="W110" s="117">
        <f t="shared" si="13"/>
        <v>1</v>
      </c>
      <c r="X110" s="119"/>
    </row>
    <row r="111" spans="1:24">
      <c r="A111" s="115">
        <v>109</v>
      </c>
      <c r="B111" s="116">
        <v>4</v>
      </c>
      <c r="C111" s="81" t="s">
        <v>128</v>
      </c>
      <c r="D111" s="111" t="s">
        <v>240</v>
      </c>
      <c r="E111" s="81" t="s">
        <v>110</v>
      </c>
      <c r="F111" s="52">
        <v>8.5</v>
      </c>
      <c r="G111" s="52">
        <f t="shared" si="7"/>
        <v>9.4700000000000006</v>
      </c>
      <c r="H111" s="110"/>
      <c r="I111" s="81">
        <f>VLOOKUP(C111,Recipes!$A$2:$N$4,10,FALSE())</f>
        <v>10.940000000000001</v>
      </c>
      <c r="J111" s="81">
        <f>VLOOKUP(C111,Recipes!$A$2:$N$4,12,FALSE())</f>
        <v>5.2703573566378441E-2</v>
      </c>
      <c r="K111" s="81">
        <f t="shared" si="8"/>
        <v>10.781889279300866</v>
      </c>
      <c r="L111" s="81">
        <f t="shared" si="9"/>
        <v>11.098110720699136</v>
      </c>
      <c r="M111" s="81" t="str">
        <f t="shared" si="11"/>
        <v>NG</v>
      </c>
      <c r="N111" s="117">
        <f t="shared" si="10"/>
        <v>1</v>
      </c>
      <c r="O111" s="81">
        <f t="shared" si="12"/>
        <v>1.4700000000000006</v>
      </c>
      <c r="P111" s="81">
        <f>IF(G111="","",ABS(O111-Components!$C$2))</f>
        <v>1.2833333333333292</v>
      </c>
      <c r="Q111" s="81">
        <f>IF(G111="","",ABS(O111-Components!$C$3))</f>
        <v>2.5659999999999989</v>
      </c>
      <c r="R111" s="81">
        <f>IF(G111="","",ABS(O111-Components!$C$4))</f>
        <v>0.47666666666666768</v>
      </c>
      <c r="S111" s="81">
        <f>IF(G111="","",ABS(O111-Components!$C$5))</f>
        <v>3.0926666666666698</v>
      </c>
      <c r="T111" s="81">
        <f>IF(G111="","",ABS(O111-Components!$C$6))</f>
        <v>0.31433333333333069</v>
      </c>
      <c r="U111" s="81">
        <f>IF(G111="","",ABS(O111-Components!$C$7))</f>
        <v>9.5666666666670563E-2</v>
      </c>
      <c r="V111" s="81" t="str">
        <f>IF(F111="","",IF(M111="OK","NONE",INDEX({"S1","S2","W1","W2","N1","N2"},MATCH(MIN(P111:U111),P111:U111,0))))</f>
        <v>N2</v>
      </c>
      <c r="W111" s="117">
        <f t="shared" si="13"/>
        <v>1</v>
      </c>
      <c r="X111" s="119"/>
    </row>
    <row r="112" spans="1:24">
      <c r="A112" s="115">
        <v>110</v>
      </c>
      <c r="B112" s="116">
        <v>4</v>
      </c>
      <c r="C112" s="81" t="s">
        <v>128</v>
      </c>
      <c r="D112" s="111" t="s">
        <v>240</v>
      </c>
      <c r="E112" s="81" t="s">
        <v>110</v>
      </c>
      <c r="F112" s="52">
        <v>8.6199999999999992</v>
      </c>
      <c r="G112" s="52">
        <f t="shared" si="7"/>
        <v>9.59</v>
      </c>
      <c r="H112" s="110"/>
      <c r="I112" s="81">
        <f>VLOOKUP(C112,Recipes!$A$2:$N$4,10,FALSE())</f>
        <v>10.940000000000001</v>
      </c>
      <c r="J112" s="81">
        <f>VLOOKUP(C112,Recipes!$A$2:$N$4,12,FALSE())</f>
        <v>5.2703573566378441E-2</v>
      </c>
      <c r="K112" s="81">
        <f t="shared" si="8"/>
        <v>10.781889279300866</v>
      </c>
      <c r="L112" s="81">
        <f t="shared" si="9"/>
        <v>11.098110720699136</v>
      </c>
      <c r="M112" s="81" t="str">
        <f t="shared" si="11"/>
        <v>NG</v>
      </c>
      <c r="N112" s="117">
        <f t="shared" si="10"/>
        <v>1</v>
      </c>
      <c r="O112" s="81">
        <f t="shared" si="12"/>
        <v>1.3500000000000014</v>
      </c>
      <c r="P112" s="81">
        <f>IF(G112="","",ABS(O112-Components!$C$2))</f>
        <v>1.4033333333333284</v>
      </c>
      <c r="Q112" s="81">
        <f>IF(G112="","",ABS(O112-Components!$C$3))</f>
        <v>2.6859999999999982</v>
      </c>
      <c r="R112" s="81">
        <f>IF(G112="","",ABS(O112-Components!$C$4))</f>
        <v>0.35666666666666846</v>
      </c>
      <c r="S112" s="81">
        <f>IF(G112="","",ABS(O112-Components!$C$5))</f>
        <v>3.212666666666669</v>
      </c>
      <c r="T112" s="81">
        <f>IF(G112="","",ABS(O112-Components!$C$6))</f>
        <v>0.19433333333333147</v>
      </c>
      <c r="U112" s="81">
        <f>IF(G112="","",ABS(O112-Components!$C$7))</f>
        <v>2.4333333333328655E-2</v>
      </c>
      <c r="V112" s="81" t="str">
        <f>IF(F112="","",IF(M112="OK","NONE",INDEX({"S1","S2","W1","W2","N1","N2"},MATCH(MIN(P112:U112),P112:U112,0))))</f>
        <v>N2</v>
      </c>
      <c r="W112" s="117">
        <f t="shared" si="13"/>
        <v>1</v>
      </c>
      <c r="X112" s="119"/>
    </row>
    <row r="113" spans="1:24">
      <c r="A113" s="115">
        <v>111</v>
      </c>
      <c r="B113" s="116">
        <v>4</v>
      </c>
      <c r="C113" s="81" t="s">
        <v>128</v>
      </c>
      <c r="D113" s="111" t="s">
        <v>240</v>
      </c>
      <c r="E113" s="81" t="s">
        <v>110</v>
      </c>
      <c r="F113" s="52">
        <v>8.61</v>
      </c>
      <c r="G113" s="52">
        <f t="shared" si="7"/>
        <v>9.58</v>
      </c>
      <c r="H113" s="110"/>
      <c r="I113" s="81">
        <f>VLOOKUP(C113,Recipes!$A$2:$N$4,10,FALSE())</f>
        <v>10.940000000000001</v>
      </c>
      <c r="J113" s="81">
        <f>VLOOKUP(C113,Recipes!$A$2:$N$4,12,FALSE())</f>
        <v>5.2703573566378441E-2</v>
      </c>
      <c r="K113" s="81">
        <f t="shared" si="8"/>
        <v>10.781889279300866</v>
      </c>
      <c r="L113" s="81">
        <f t="shared" si="9"/>
        <v>11.098110720699136</v>
      </c>
      <c r="M113" s="81" t="str">
        <f t="shared" si="11"/>
        <v>NG</v>
      </c>
      <c r="N113" s="117">
        <f t="shared" si="10"/>
        <v>1</v>
      </c>
      <c r="O113" s="81">
        <f t="shared" si="12"/>
        <v>1.3600000000000012</v>
      </c>
      <c r="P113" s="81">
        <f>IF(G113="","",ABS(O113-Components!$C$2))</f>
        <v>1.3933333333333286</v>
      </c>
      <c r="Q113" s="81">
        <f>IF(G113="","",ABS(O113-Components!$C$3))</f>
        <v>2.6759999999999984</v>
      </c>
      <c r="R113" s="81">
        <f>IF(G113="","",ABS(O113-Components!$C$4))</f>
        <v>0.36666666666666825</v>
      </c>
      <c r="S113" s="81">
        <f>IF(G113="","",ABS(O113-Components!$C$5))</f>
        <v>3.2026666666666692</v>
      </c>
      <c r="T113" s="81">
        <f>IF(G113="","",ABS(O113-Components!$C$6))</f>
        <v>0.20433333333333126</v>
      </c>
      <c r="U113" s="81">
        <f>IF(G113="","",ABS(O113-Components!$C$7))</f>
        <v>1.4333333333328868E-2</v>
      </c>
      <c r="V113" s="81" t="str">
        <f>IF(F113="","",IF(M113="OK","NONE",INDEX({"S1","S2","W1","W2","N1","N2"},MATCH(MIN(P113:U113),P113:U113,0))))</f>
        <v>N2</v>
      </c>
      <c r="W113" s="117">
        <f t="shared" si="13"/>
        <v>1</v>
      </c>
      <c r="X113" s="119"/>
    </row>
    <row r="114" spans="1:24">
      <c r="A114" s="115">
        <v>112</v>
      </c>
      <c r="B114" s="116">
        <v>4</v>
      </c>
      <c r="C114" s="81" t="s">
        <v>128</v>
      </c>
      <c r="D114" s="111" t="s">
        <v>240</v>
      </c>
      <c r="E114" s="81" t="s">
        <v>110</v>
      </c>
      <c r="F114" s="52">
        <v>8.58</v>
      </c>
      <c r="G114" s="52">
        <f t="shared" si="7"/>
        <v>9.5500000000000007</v>
      </c>
      <c r="H114" s="110"/>
      <c r="I114" s="81">
        <f>VLOOKUP(C114,Recipes!$A$2:$N$4,10,FALSE())</f>
        <v>10.940000000000001</v>
      </c>
      <c r="J114" s="81">
        <f>VLOOKUP(C114,Recipes!$A$2:$N$4,12,FALSE())</f>
        <v>5.2703573566378441E-2</v>
      </c>
      <c r="K114" s="81">
        <f t="shared" si="8"/>
        <v>10.781889279300866</v>
      </c>
      <c r="L114" s="81">
        <f t="shared" si="9"/>
        <v>11.098110720699136</v>
      </c>
      <c r="M114" s="81" t="str">
        <f t="shared" si="11"/>
        <v>NG</v>
      </c>
      <c r="N114" s="117">
        <f t="shared" si="10"/>
        <v>1</v>
      </c>
      <c r="O114" s="81">
        <f t="shared" si="12"/>
        <v>1.3900000000000006</v>
      </c>
      <c r="P114" s="81">
        <f>IF(G114="","",ABS(O114-Components!$C$2))</f>
        <v>1.3633333333333293</v>
      </c>
      <c r="Q114" s="81">
        <f>IF(G114="","",ABS(O114-Components!$C$3))</f>
        <v>2.645999999999999</v>
      </c>
      <c r="R114" s="81">
        <f>IF(G114="","",ABS(O114-Components!$C$4))</f>
        <v>0.39666666666666761</v>
      </c>
      <c r="S114" s="81">
        <f>IF(G114="","",ABS(O114-Components!$C$5))</f>
        <v>3.1726666666666699</v>
      </c>
      <c r="T114" s="81">
        <f>IF(G114="","",ABS(O114-Components!$C$6))</f>
        <v>0.23433333333333062</v>
      </c>
      <c r="U114" s="81">
        <f>IF(G114="","",ABS(O114-Components!$C$7))</f>
        <v>1.5666666666670492E-2</v>
      </c>
      <c r="V114" s="81" t="str">
        <f>IF(F114="","",IF(M114="OK","NONE",INDEX({"S1","S2","W1","W2","N1","N2"},MATCH(MIN(P114:U114),P114:U114,0))))</f>
        <v>N2</v>
      </c>
      <c r="W114" s="117">
        <f t="shared" si="13"/>
        <v>1</v>
      </c>
      <c r="X114" s="119"/>
    </row>
    <row r="115" spans="1:24">
      <c r="A115" s="115">
        <v>113</v>
      </c>
      <c r="B115" s="116">
        <v>4</v>
      </c>
      <c r="C115" s="81" t="s">
        <v>128</v>
      </c>
      <c r="D115" s="111" t="s">
        <v>240</v>
      </c>
      <c r="E115" s="81" t="s">
        <v>110</v>
      </c>
      <c r="F115" s="52">
        <v>8.59</v>
      </c>
      <c r="G115" s="52">
        <f t="shared" si="7"/>
        <v>9.56</v>
      </c>
      <c r="H115" s="110"/>
      <c r="I115" s="81">
        <f>VLOOKUP(C115,Recipes!$A$2:$N$4,10,FALSE())</f>
        <v>10.940000000000001</v>
      </c>
      <c r="J115" s="81">
        <f>VLOOKUP(C115,Recipes!$A$2:$N$4,12,FALSE())</f>
        <v>5.2703573566378441E-2</v>
      </c>
      <c r="K115" s="81">
        <f t="shared" si="8"/>
        <v>10.781889279300866</v>
      </c>
      <c r="L115" s="81">
        <f t="shared" si="9"/>
        <v>11.098110720699136</v>
      </c>
      <c r="M115" s="81" t="str">
        <f t="shared" si="11"/>
        <v>NG</v>
      </c>
      <c r="N115" s="117">
        <f t="shared" si="10"/>
        <v>1</v>
      </c>
      <c r="O115" s="81">
        <f t="shared" si="12"/>
        <v>1.3800000000000008</v>
      </c>
      <c r="P115" s="81">
        <f>IF(G115="","",ABS(O115-Components!$C$2))</f>
        <v>1.3733333333333291</v>
      </c>
      <c r="Q115" s="81">
        <f>IF(G115="","",ABS(O115-Components!$C$3))</f>
        <v>2.6559999999999988</v>
      </c>
      <c r="R115" s="81">
        <f>IF(G115="","",ABS(O115-Components!$C$4))</f>
        <v>0.38666666666666782</v>
      </c>
      <c r="S115" s="81">
        <f>IF(G115="","",ABS(O115-Components!$C$5))</f>
        <v>3.1826666666666696</v>
      </c>
      <c r="T115" s="81">
        <f>IF(G115="","",ABS(O115-Components!$C$6))</f>
        <v>0.22433333333333083</v>
      </c>
      <c r="U115" s="81">
        <f>IF(G115="","",ABS(O115-Components!$C$7))</f>
        <v>5.6666666666707055E-3</v>
      </c>
      <c r="V115" s="81" t="str">
        <f>IF(F115="","",IF(M115="OK","NONE",INDEX({"S1","S2","W1","W2","N1","N2"},MATCH(MIN(P115:U115),P115:U115,0))))</f>
        <v>N2</v>
      </c>
      <c r="W115" s="117">
        <f t="shared" si="13"/>
        <v>1</v>
      </c>
      <c r="X115" s="119"/>
    </row>
    <row r="116" spans="1:24">
      <c r="A116" s="115">
        <v>114</v>
      </c>
      <c r="B116" s="116">
        <v>4</v>
      </c>
      <c r="C116" s="81" t="s">
        <v>128</v>
      </c>
      <c r="D116" s="111" t="s">
        <v>240</v>
      </c>
      <c r="E116" s="81" t="s">
        <v>110</v>
      </c>
      <c r="F116" s="52">
        <v>8.6300000000000008</v>
      </c>
      <c r="G116" s="52">
        <f t="shared" si="7"/>
        <v>9.6000000000000014</v>
      </c>
      <c r="H116" s="110"/>
      <c r="I116" s="81">
        <f>VLOOKUP(C116,Recipes!$A$2:$N$4,10,FALSE())</f>
        <v>10.940000000000001</v>
      </c>
      <c r="J116" s="81">
        <f>VLOOKUP(C116,Recipes!$A$2:$N$4,12,FALSE())</f>
        <v>5.2703573566378441E-2</v>
      </c>
      <c r="K116" s="81">
        <f t="shared" si="8"/>
        <v>10.781889279300866</v>
      </c>
      <c r="L116" s="81">
        <f t="shared" si="9"/>
        <v>11.098110720699136</v>
      </c>
      <c r="M116" s="81" t="str">
        <f t="shared" si="11"/>
        <v>NG</v>
      </c>
      <c r="N116" s="117">
        <f t="shared" si="10"/>
        <v>1</v>
      </c>
      <c r="O116" s="81">
        <f t="shared" si="12"/>
        <v>1.3399999999999999</v>
      </c>
      <c r="P116" s="81">
        <f>IF(G116="","",ABS(O116-Components!$C$2))</f>
        <v>1.41333333333333</v>
      </c>
      <c r="Q116" s="81">
        <f>IF(G116="","",ABS(O116-Components!$C$3))</f>
        <v>2.6959999999999997</v>
      </c>
      <c r="R116" s="81">
        <f>IF(G116="","",ABS(O116-Components!$C$4))</f>
        <v>0.3466666666666669</v>
      </c>
      <c r="S116" s="81">
        <f>IF(G116="","",ABS(O116-Components!$C$5))</f>
        <v>3.2226666666666706</v>
      </c>
      <c r="T116" s="81">
        <f>IF(G116="","",ABS(O116-Components!$C$6))</f>
        <v>0.18433333333332991</v>
      </c>
      <c r="U116" s="81">
        <f>IF(G116="","",ABS(O116-Components!$C$7))</f>
        <v>3.4333333333330218E-2</v>
      </c>
      <c r="V116" s="81" t="str">
        <f>IF(F116="","",IF(M116="OK","NONE",INDEX({"S1","S2","W1","W2","N1","N2"},MATCH(MIN(P116:U116),P116:U116,0))))</f>
        <v>N2</v>
      </c>
      <c r="W116" s="117">
        <f t="shared" si="13"/>
        <v>1</v>
      </c>
      <c r="X116" s="119"/>
    </row>
    <row r="117" spans="1:24">
      <c r="A117" s="115">
        <v>115</v>
      </c>
      <c r="B117" s="116">
        <v>4</v>
      </c>
      <c r="C117" s="81" t="s">
        <v>128</v>
      </c>
      <c r="D117" s="111" t="s">
        <v>240</v>
      </c>
      <c r="E117" s="81" t="s">
        <v>110</v>
      </c>
      <c r="F117" s="52">
        <v>8.6300000000000008</v>
      </c>
      <c r="G117" s="52">
        <f t="shared" si="7"/>
        <v>9.6000000000000014</v>
      </c>
      <c r="H117" s="110"/>
      <c r="I117" s="81">
        <f>VLOOKUP(C117,Recipes!$A$2:$N$4,10,FALSE())</f>
        <v>10.940000000000001</v>
      </c>
      <c r="J117" s="81">
        <f>VLOOKUP(C117,Recipes!$A$2:$N$4,12,FALSE())</f>
        <v>5.2703573566378441E-2</v>
      </c>
      <c r="K117" s="81">
        <f t="shared" si="8"/>
        <v>10.781889279300866</v>
      </c>
      <c r="L117" s="81">
        <f t="shared" si="9"/>
        <v>11.098110720699136</v>
      </c>
      <c r="M117" s="81" t="str">
        <f t="shared" si="11"/>
        <v>NG</v>
      </c>
      <c r="N117" s="117">
        <f t="shared" si="10"/>
        <v>1</v>
      </c>
      <c r="O117" s="81">
        <f t="shared" si="12"/>
        <v>1.3399999999999999</v>
      </c>
      <c r="P117" s="81">
        <f>IF(G117="","",ABS(O117-Components!$C$2))</f>
        <v>1.41333333333333</v>
      </c>
      <c r="Q117" s="81">
        <f>IF(G117="","",ABS(O117-Components!$C$3))</f>
        <v>2.6959999999999997</v>
      </c>
      <c r="R117" s="81">
        <f>IF(G117="","",ABS(O117-Components!$C$4))</f>
        <v>0.3466666666666669</v>
      </c>
      <c r="S117" s="81">
        <f>IF(G117="","",ABS(O117-Components!$C$5))</f>
        <v>3.2226666666666706</v>
      </c>
      <c r="T117" s="81">
        <f>IF(G117="","",ABS(O117-Components!$C$6))</f>
        <v>0.18433333333332991</v>
      </c>
      <c r="U117" s="81">
        <f>IF(G117="","",ABS(O117-Components!$C$7))</f>
        <v>3.4333333333330218E-2</v>
      </c>
      <c r="V117" s="81" t="str">
        <f>IF(F117="","",IF(M117="OK","NONE",INDEX({"S1","S2","W1","W2","N1","N2"},MATCH(MIN(P117:U117),P117:U117,0))))</f>
        <v>N2</v>
      </c>
      <c r="W117" s="117">
        <f t="shared" si="13"/>
        <v>1</v>
      </c>
      <c r="X117" s="119"/>
    </row>
    <row r="118" spans="1:24">
      <c r="A118" s="115">
        <v>116</v>
      </c>
      <c r="B118" s="116">
        <v>4</v>
      </c>
      <c r="C118" s="81" t="s">
        <v>128</v>
      </c>
      <c r="D118" s="111" t="s">
        <v>240</v>
      </c>
      <c r="E118" s="81" t="s">
        <v>110</v>
      </c>
      <c r="F118" s="52">
        <v>8.59</v>
      </c>
      <c r="G118" s="52">
        <f t="shared" si="7"/>
        <v>9.56</v>
      </c>
      <c r="H118" s="110"/>
      <c r="I118" s="81">
        <f>VLOOKUP(C118,Recipes!$A$2:$N$4,10,FALSE())</f>
        <v>10.940000000000001</v>
      </c>
      <c r="J118" s="81">
        <f>VLOOKUP(C118,Recipes!$A$2:$N$4,12,FALSE())</f>
        <v>5.2703573566378441E-2</v>
      </c>
      <c r="K118" s="81">
        <f t="shared" si="8"/>
        <v>10.781889279300866</v>
      </c>
      <c r="L118" s="81">
        <f t="shared" si="9"/>
        <v>11.098110720699136</v>
      </c>
      <c r="M118" s="81" t="str">
        <f t="shared" si="11"/>
        <v>NG</v>
      </c>
      <c r="N118" s="117">
        <f t="shared" si="10"/>
        <v>1</v>
      </c>
      <c r="O118" s="81">
        <f t="shared" si="12"/>
        <v>1.3800000000000008</v>
      </c>
      <c r="P118" s="81">
        <f>IF(G118="","",ABS(O118-Components!$C$2))</f>
        <v>1.3733333333333291</v>
      </c>
      <c r="Q118" s="81">
        <f>IF(G118="","",ABS(O118-Components!$C$3))</f>
        <v>2.6559999999999988</v>
      </c>
      <c r="R118" s="81">
        <f>IF(G118="","",ABS(O118-Components!$C$4))</f>
        <v>0.38666666666666782</v>
      </c>
      <c r="S118" s="81">
        <f>IF(G118="","",ABS(O118-Components!$C$5))</f>
        <v>3.1826666666666696</v>
      </c>
      <c r="T118" s="81">
        <f>IF(G118="","",ABS(O118-Components!$C$6))</f>
        <v>0.22433333333333083</v>
      </c>
      <c r="U118" s="81">
        <f>IF(G118="","",ABS(O118-Components!$C$7))</f>
        <v>5.6666666666707055E-3</v>
      </c>
      <c r="V118" s="81" t="str">
        <f>IF(F118="","",IF(M118="OK","NONE",INDEX({"S1","S2","W1","W2","N1","N2"},MATCH(MIN(P118:U118),P118:U118,0))))</f>
        <v>N2</v>
      </c>
      <c r="W118" s="117">
        <f t="shared" si="13"/>
        <v>1</v>
      </c>
      <c r="X118" s="119"/>
    </row>
    <row r="119" spans="1:24">
      <c r="A119" s="115">
        <v>117</v>
      </c>
      <c r="B119" s="116">
        <v>4</v>
      </c>
      <c r="C119" s="81" t="s">
        <v>128</v>
      </c>
      <c r="D119" s="111" t="s">
        <v>240</v>
      </c>
      <c r="E119" s="81" t="s">
        <v>110</v>
      </c>
      <c r="F119" s="52">
        <v>8.56</v>
      </c>
      <c r="G119" s="52">
        <f t="shared" si="7"/>
        <v>9.5300000000000011</v>
      </c>
      <c r="H119" s="110"/>
      <c r="I119" s="81">
        <f>VLOOKUP(C119,Recipes!$A$2:$N$4,10,FALSE())</f>
        <v>10.940000000000001</v>
      </c>
      <c r="J119" s="81">
        <f>VLOOKUP(C119,Recipes!$A$2:$N$4,12,FALSE())</f>
        <v>5.2703573566378441E-2</v>
      </c>
      <c r="K119" s="81">
        <f t="shared" si="8"/>
        <v>10.781889279300866</v>
      </c>
      <c r="L119" s="81">
        <f t="shared" si="9"/>
        <v>11.098110720699136</v>
      </c>
      <c r="M119" s="81" t="str">
        <f t="shared" si="11"/>
        <v>NG</v>
      </c>
      <c r="N119" s="117">
        <f t="shared" si="10"/>
        <v>1</v>
      </c>
      <c r="O119" s="81">
        <f t="shared" si="12"/>
        <v>1.4100000000000001</v>
      </c>
      <c r="P119" s="81">
        <f>IF(G119="","",ABS(O119-Components!$C$2))</f>
        <v>1.3433333333333297</v>
      </c>
      <c r="Q119" s="81">
        <f>IF(G119="","",ABS(O119-Components!$C$3))</f>
        <v>2.6259999999999994</v>
      </c>
      <c r="R119" s="81">
        <f>IF(G119="","",ABS(O119-Components!$C$4))</f>
        <v>0.41666666666666718</v>
      </c>
      <c r="S119" s="81">
        <f>IF(G119="","",ABS(O119-Components!$C$5))</f>
        <v>3.1526666666666703</v>
      </c>
      <c r="T119" s="81">
        <f>IF(G119="","",ABS(O119-Components!$C$6))</f>
        <v>0.25433333333333019</v>
      </c>
      <c r="U119" s="81">
        <f>IF(G119="","",ABS(O119-Components!$C$7))</f>
        <v>3.5666666666670066E-2</v>
      </c>
      <c r="V119" s="81" t="str">
        <f>IF(F119="","",IF(M119="OK","NONE",INDEX({"S1","S2","W1","W2","N1","N2"},MATCH(MIN(P119:U119),P119:U119,0))))</f>
        <v>N2</v>
      </c>
      <c r="W119" s="117">
        <f t="shared" si="13"/>
        <v>1</v>
      </c>
      <c r="X119" s="119"/>
    </row>
    <row r="120" spans="1:24">
      <c r="A120" s="115">
        <v>118</v>
      </c>
      <c r="B120" s="116">
        <v>4</v>
      </c>
      <c r="C120" s="81" t="s">
        <v>128</v>
      </c>
      <c r="D120" s="111" t="s">
        <v>240</v>
      </c>
      <c r="E120" s="81" t="s">
        <v>110</v>
      </c>
      <c r="F120" s="52">
        <v>8.58</v>
      </c>
      <c r="G120" s="52">
        <f t="shared" si="7"/>
        <v>9.5500000000000007</v>
      </c>
      <c r="H120" s="110"/>
      <c r="I120" s="81">
        <f>VLOOKUP(C120,Recipes!$A$2:$N$4,10,FALSE())</f>
        <v>10.940000000000001</v>
      </c>
      <c r="J120" s="81">
        <f>VLOOKUP(C120,Recipes!$A$2:$N$4,12,FALSE())</f>
        <v>5.2703573566378441E-2</v>
      </c>
      <c r="K120" s="81">
        <f t="shared" si="8"/>
        <v>10.781889279300866</v>
      </c>
      <c r="L120" s="81">
        <f t="shared" si="9"/>
        <v>11.098110720699136</v>
      </c>
      <c r="M120" s="81" t="str">
        <f t="shared" si="11"/>
        <v>NG</v>
      </c>
      <c r="N120" s="117">
        <f t="shared" si="10"/>
        <v>1</v>
      </c>
      <c r="O120" s="81">
        <f t="shared" si="12"/>
        <v>1.3900000000000006</v>
      </c>
      <c r="P120" s="81">
        <f>IF(G120="","",ABS(O120-Components!$C$2))</f>
        <v>1.3633333333333293</v>
      </c>
      <c r="Q120" s="81">
        <f>IF(G120="","",ABS(O120-Components!$C$3))</f>
        <v>2.645999999999999</v>
      </c>
      <c r="R120" s="81">
        <f>IF(G120="","",ABS(O120-Components!$C$4))</f>
        <v>0.39666666666666761</v>
      </c>
      <c r="S120" s="81">
        <f>IF(G120="","",ABS(O120-Components!$C$5))</f>
        <v>3.1726666666666699</v>
      </c>
      <c r="T120" s="81">
        <f>IF(G120="","",ABS(O120-Components!$C$6))</f>
        <v>0.23433333333333062</v>
      </c>
      <c r="U120" s="81">
        <f>IF(G120="","",ABS(O120-Components!$C$7))</f>
        <v>1.5666666666670492E-2</v>
      </c>
      <c r="V120" s="81" t="str">
        <f>IF(F120="","",IF(M120="OK","NONE",INDEX({"S1","S2","W1","W2","N1","N2"},MATCH(MIN(P120:U120),P120:U120,0))))</f>
        <v>N2</v>
      </c>
      <c r="W120" s="117">
        <f t="shared" si="13"/>
        <v>1</v>
      </c>
      <c r="X120" s="119"/>
    </row>
    <row r="121" spans="1:24">
      <c r="A121" s="115">
        <v>119</v>
      </c>
      <c r="B121" s="116">
        <v>4</v>
      </c>
      <c r="C121" s="81" t="s">
        <v>128</v>
      </c>
      <c r="D121" s="111" t="s">
        <v>240</v>
      </c>
      <c r="E121" s="81" t="s">
        <v>110</v>
      </c>
      <c r="F121" s="52">
        <v>8.6300000000000008</v>
      </c>
      <c r="G121" s="52">
        <f t="shared" si="7"/>
        <v>9.6000000000000014</v>
      </c>
      <c r="H121" s="110"/>
      <c r="I121" s="81">
        <f>VLOOKUP(C121,Recipes!$A$2:$N$4,10,FALSE())</f>
        <v>10.940000000000001</v>
      </c>
      <c r="J121" s="81">
        <f>VLOOKUP(C121,Recipes!$A$2:$N$4,12,FALSE())</f>
        <v>5.2703573566378441E-2</v>
      </c>
      <c r="K121" s="81">
        <f t="shared" si="8"/>
        <v>10.781889279300866</v>
      </c>
      <c r="L121" s="81">
        <f t="shared" si="9"/>
        <v>11.098110720699136</v>
      </c>
      <c r="M121" s="81" t="str">
        <f t="shared" si="11"/>
        <v>NG</v>
      </c>
      <c r="N121" s="117">
        <f t="shared" si="10"/>
        <v>1</v>
      </c>
      <c r="O121" s="81">
        <f t="shared" si="12"/>
        <v>1.3399999999999999</v>
      </c>
      <c r="P121" s="81">
        <f>IF(G121="","",ABS(O121-Components!$C$2))</f>
        <v>1.41333333333333</v>
      </c>
      <c r="Q121" s="81">
        <f>IF(G121="","",ABS(O121-Components!$C$3))</f>
        <v>2.6959999999999997</v>
      </c>
      <c r="R121" s="81">
        <f>IF(G121="","",ABS(O121-Components!$C$4))</f>
        <v>0.3466666666666669</v>
      </c>
      <c r="S121" s="81">
        <f>IF(G121="","",ABS(O121-Components!$C$5))</f>
        <v>3.2226666666666706</v>
      </c>
      <c r="T121" s="81">
        <f>IF(G121="","",ABS(O121-Components!$C$6))</f>
        <v>0.18433333333332991</v>
      </c>
      <c r="U121" s="81">
        <f>IF(G121="","",ABS(O121-Components!$C$7))</f>
        <v>3.4333333333330218E-2</v>
      </c>
      <c r="V121" s="81" t="str">
        <f>IF(F121="","",IF(M121="OK","NONE",INDEX({"S1","S2","W1","W2","N1","N2"},MATCH(MIN(P121:U121),P121:U121,0))))</f>
        <v>N2</v>
      </c>
      <c r="W121" s="117">
        <f t="shared" si="13"/>
        <v>1</v>
      </c>
      <c r="X121" s="119"/>
    </row>
    <row r="122" spans="1:24">
      <c r="A122" s="115">
        <v>120</v>
      </c>
      <c r="B122" s="116">
        <v>4</v>
      </c>
      <c r="C122" s="81" t="s">
        <v>128</v>
      </c>
      <c r="D122" s="111" t="s">
        <v>240</v>
      </c>
      <c r="E122" s="81" t="s">
        <v>110</v>
      </c>
      <c r="F122" s="52">
        <v>8.59</v>
      </c>
      <c r="G122" s="52">
        <f t="shared" si="7"/>
        <v>9.56</v>
      </c>
      <c r="H122" s="110"/>
      <c r="I122" s="81">
        <f>VLOOKUP(C122,Recipes!$A$2:$N$4,10,FALSE())</f>
        <v>10.940000000000001</v>
      </c>
      <c r="J122" s="81">
        <f>VLOOKUP(C122,Recipes!$A$2:$N$4,12,FALSE())</f>
        <v>5.2703573566378441E-2</v>
      </c>
      <c r="K122" s="81">
        <f t="shared" si="8"/>
        <v>10.781889279300866</v>
      </c>
      <c r="L122" s="81">
        <f t="shared" si="9"/>
        <v>11.098110720699136</v>
      </c>
      <c r="M122" s="81" t="str">
        <f t="shared" si="11"/>
        <v>NG</v>
      </c>
      <c r="N122" s="117">
        <f t="shared" si="10"/>
        <v>1</v>
      </c>
      <c r="O122" s="81">
        <f t="shared" si="12"/>
        <v>1.3800000000000008</v>
      </c>
      <c r="P122" s="81">
        <f>IF(G122="","",ABS(O122-Components!$C$2))</f>
        <v>1.3733333333333291</v>
      </c>
      <c r="Q122" s="81">
        <f>IF(G122="","",ABS(O122-Components!$C$3))</f>
        <v>2.6559999999999988</v>
      </c>
      <c r="R122" s="81">
        <f>IF(G122="","",ABS(O122-Components!$C$4))</f>
        <v>0.38666666666666782</v>
      </c>
      <c r="S122" s="81">
        <f>IF(G122="","",ABS(O122-Components!$C$5))</f>
        <v>3.1826666666666696</v>
      </c>
      <c r="T122" s="81">
        <f>IF(G122="","",ABS(O122-Components!$C$6))</f>
        <v>0.22433333333333083</v>
      </c>
      <c r="U122" s="81">
        <f>IF(G122="","",ABS(O122-Components!$C$7))</f>
        <v>5.6666666666707055E-3</v>
      </c>
      <c r="V122" s="81" t="str">
        <f>IF(F122="","",IF(M122="OK","NONE",INDEX({"S1","S2","W1","W2","N1","N2"},MATCH(MIN(P122:U122),P122:U122,0))))</f>
        <v>N2</v>
      </c>
      <c r="W122" s="117">
        <f t="shared" si="13"/>
        <v>1</v>
      </c>
      <c r="X122" s="119"/>
    </row>
    <row r="123" spans="1:24">
      <c r="A123" s="115">
        <v>121</v>
      </c>
      <c r="B123" s="116">
        <v>5</v>
      </c>
      <c r="C123" s="81" t="s">
        <v>130</v>
      </c>
      <c r="D123" s="109" t="s">
        <v>238</v>
      </c>
      <c r="E123" s="81" t="s">
        <v>239</v>
      </c>
      <c r="F123" s="52">
        <v>8.9499999999999993</v>
      </c>
      <c r="G123" s="52">
        <f t="shared" si="7"/>
        <v>9.92</v>
      </c>
      <c r="H123" s="110"/>
      <c r="I123" s="81">
        <v>9.91</v>
      </c>
      <c r="J123" s="81">
        <f>VLOOKUP(C123,Recipes!$A$2:$N$4,12,FALSE())</f>
        <v>5.0137397426368718E-2</v>
      </c>
      <c r="K123" s="81">
        <f t="shared" si="8"/>
        <v>9.7595878077208944</v>
      </c>
      <c r="L123" s="81">
        <f t="shared" si="9"/>
        <v>10.060412192279106</v>
      </c>
      <c r="M123" s="81" t="str">
        <f t="shared" si="11"/>
        <v>OK</v>
      </c>
      <c r="N123" s="117">
        <f t="shared" si="10"/>
        <v>1</v>
      </c>
      <c r="O123" s="81">
        <f t="shared" si="12"/>
        <v>-9.9999999999997868E-3</v>
      </c>
      <c r="P123" s="81">
        <f>IF(G123="","",ABS(O123-Components!$C$2))</f>
        <v>2.7633333333333296</v>
      </c>
      <c r="Q123" s="81">
        <f>IF(G123="","",ABS(O123-Components!$C$3))</f>
        <v>4.0459999999999994</v>
      </c>
      <c r="R123" s="81">
        <f>IF(G123="","",ABS(O123-Components!$C$4))</f>
        <v>1.0033333333333327</v>
      </c>
      <c r="S123" s="81">
        <f>IF(G123="","",ABS(O123-Components!$C$5))</f>
        <v>4.5726666666666702</v>
      </c>
      <c r="T123" s="81">
        <f>IF(G123="","",ABS(O123-Components!$C$6))</f>
        <v>1.1656666666666697</v>
      </c>
      <c r="U123" s="81">
        <f>IF(G123="","",ABS(O123-Components!$C$7))</f>
        <v>1.3843333333333299</v>
      </c>
      <c r="V123" s="81" t="str">
        <f>IF(F123="","",IF(M123="OK","NONE",INDEX({"S1","S2","W1","W2","N1","N2"},MATCH(MIN(P123:U123),P123:U123,0))))</f>
        <v>NONE</v>
      </c>
      <c r="W123" s="117">
        <f t="shared" si="13"/>
        <v>1</v>
      </c>
      <c r="X123" s="119"/>
    </row>
    <row r="124" spans="1:24">
      <c r="A124" s="115">
        <v>122</v>
      </c>
      <c r="B124" s="116">
        <v>5</v>
      </c>
      <c r="C124" s="81" t="s">
        <v>130</v>
      </c>
      <c r="D124" s="109" t="s">
        <v>238</v>
      </c>
      <c r="E124" s="81" t="s">
        <v>239</v>
      </c>
      <c r="F124" s="52">
        <v>8.94</v>
      </c>
      <c r="G124" s="52">
        <f t="shared" si="7"/>
        <v>9.91</v>
      </c>
      <c r="H124" s="110"/>
      <c r="I124" s="81">
        <v>9.91</v>
      </c>
      <c r="J124" s="81">
        <f>VLOOKUP(C124,Recipes!$A$2:$N$4,12,FALSE())</f>
        <v>5.0137397426368718E-2</v>
      </c>
      <c r="K124" s="81">
        <f t="shared" si="8"/>
        <v>9.7595878077208944</v>
      </c>
      <c r="L124" s="81">
        <f t="shared" si="9"/>
        <v>10.060412192279106</v>
      </c>
      <c r="M124" s="81" t="str">
        <f t="shared" si="11"/>
        <v>OK</v>
      </c>
      <c r="N124" s="117">
        <f t="shared" si="10"/>
        <v>1</v>
      </c>
      <c r="O124" s="81">
        <f t="shared" si="12"/>
        <v>0</v>
      </c>
      <c r="P124" s="81">
        <f>IF(G124="","",ABS(O124-Components!$C$2))</f>
        <v>2.7533333333333299</v>
      </c>
      <c r="Q124" s="81">
        <f>IF(G124="","",ABS(O124-Components!$C$3))</f>
        <v>4.0359999999999996</v>
      </c>
      <c r="R124" s="81">
        <f>IF(G124="","",ABS(O124-Components!$C$4))</f>
        <v>0.99333333333333296</v>
      </c>
      <c r="S124" s="81">
        <f>IF(G124="","",ABS(O124-Components!$C$5))</f>
        <v>4.5626666666666704</v>
      </c>
      <c r="T124" s="81">
        <f>IF(G124="","",ABS(O124-Components!$C$6))</f>
        <v>1.15566666666667</v>
      </c>
      <c r="U124" s="81">
        <f>IF(G124="","",ABS(O124-Components!$C$7))</f>
        <v>1.3743333333333301</v>
      </c>
      <c r="V124" s="81" t="str">
        <f>IF(F124="","",IF(M124="OK","NONE",INDEX({"S1","S2","W1","W2","N1","N2"},MATCH(MIN(P124:U124),P124:U124,0))))</f>
        <v>NONE</v>
      </c>
      <c r="W124" s="117">
        <f t="shared" si="13"/>
        <v>1</v>
      </c>
      <c r="X124" s="119"/>
    </row>
    <row r="125" spans="1:24">
      <c r="A125" s="115">
        <v>123</v>
      </c>
      <c r="B125" s="116">
        <v>5</v>
      </c>
      <c r="C125" s="81" t="s">
        <v>130</v>
      </c>
      <c r="D125" s="109" t="s">
        <v>238</v>
      </c>
      <c r="E125" s="81" t="s">
        <v>239</v>
      </c>
      <c r="F125" s="52">
        <v>8.94</v>
      </c>
      <c r="G125" s="52">
        <f t="shared" si="7"/>
        <v>9.91</v>
      </c>
      <c r="H125" s="110"/>
      <c r="I125" s="81">
        <v>9.91</v>
      </c>
      <c r="J125" s="81">
        <f>VLOOKUP(C125,Recipes!$A$2:$N$4,12,FALSE())</f>
        <v>5.0137397426368718E-2</v>
      </c>
      <c r="K125" s="81">
        <f t="shared" si="8"/>
        <v>9.7595878077208944</v>
      </c>
      <c r="L125" s="81">
        <f t="shared" si="9"/>
        <v>10.060412192279106</v>
      </c>
      <c r="M125" s="81" t="str">
        <f t="shared" si="11"/>
        <v>OK</v>
      </c>
      <c r="N125" s="117">
        <f t="shared" si="10"/>
        <v>1</v>
      </c>
      <c r="O125" s="81">
        <f t="shared" si="12"/>
        <v>0</v>
      </c>
      <c r="P125" s="81">
        <f>IF(G125="","",ABS(O125-Components!$C$2))</f>
        <v>2.7533333333333299</v>
      </c>
      <c r="Q125" s="81">
        <f>IF(G125="","",ABS(O125-Components!$C$3))</f>
        <v>4.0359999999999996</v>
      </c>
      <c r="R125" s="81">
        <f>IF(G125="","",ABS(O125-Components!$C$4))</f>
        <v>0.99333333333333296</v>
      </c>
      <c r="S125" s="81">
        <f>IF(G125="","",ABS(O125-Components!$C$5))</f>
        <v>4.5626666666666704</v>
      </c>
      <c r="T125" s="81">
        <f>IF(G125="","",ABS(O125-Components!$C$6))</f>
        <v>1.15566666666667</v>
      </c>
      <c r="U125" s="81">
        <f>IF(G125="","",ABS(O125-Components!$C$7))</f>
        <v>1.3743333333333301</v>
      </c>
      <c r="V125" s="81" t="str">
        <f>IF(F125="","",IF(M125="OK","NONE",INDEX({"S1","S2","W1","W2","N1","N2"},MATCH(MIN(P125:U125),P125:U125,0))))</f>
        <v>NONE</v>
      </c>
      <c r="W125" s="117">
        <f t="shared" si="13"/>
        <v>1</v>
      </c>
      <c r="X125" s="119"/>
    </row>
    <row r="126" spans="1:24">
      <c r="A126" s="115">
        <v>124</v>
      </c>
      <c r="B126" s="116">
        <v>5</v>
      </c>
      <c r="C126" s="81" t="s">
        <v>130</v>
      </c>
      <c r="D126" s="109" t="s">
        <v>238</v>
      </c>
      <c r="E126" s="81" t="s">
        <v>239</v>
      </c>
      <c r="F126" s="52">
        <v>8.89</v>
      </c>
      <c r="G126" s="52">
        <f t="shared" si="7"/>
        <v>9.8600000000000012</v>
      </c>
      <c r="H126" s="110"/>
      <c r="I126" s="81">
        <v>9.91</v>
      </c>
      <c r="J126" s="81">
        <f>VLOOKUP(C126,Recipes!$A$2:$N$4,12,FALSE())</f>
        <v>5.0137397426368718E-2</v>
      </c>
      <c r="K126" s="81">
        <f t="shared" si="8"/>
        <v>9.7595878077208944</v>
      </c>
      <c r="L126" s="81">
        <f t="shared" si="9"/>
        <v>10.060412192279106</v>
      </c>
      <c r="M126" s="81" t="str">
        <f t="shared" si="11"/>
        <v>OK</v>
      </c>
      <c r="N126" s="117">
        <f t="shared" si="10"/>
        <v>1</v>
      </c>
      <c r="O126" s="81">
        <f t="shared" si="12"/>
        <v>4.9999999999998934E-2</v>
      </c>
      <c r="P126" s="81">
        <f>IF(G126="","",ABS(O126-Components!$C$2))</f>
        <v>2.7033333333333309</v>
      </c>
      <c r="Q126" s="81">
        <f>IF(G126="","",ABS(O126-Components!$C$3))</f>
        <v>3.9860000000000007</v>
      </c>
      <c r="R126" s="81">
        <f>IF(G126="","",ABS(O126-Components!$C$4))</f>
        <v>0.94333333333333402</v>
      </c>
      <c r="S126" s="81">
        <f>IF(G126="","",ABS(O126-Components!$C$5))</f>
        <v>4.5126666666666715</v>
      </c>
      <c r="T126" s="81">
        <f>IF(G126="","",ABS(O126-Components!$C$6))</f>
        <v>1.105666666666671</v>
      </c>
      <c r="U126" s="81">
        <f>IF(G126="","",ABS(O126-Components!$C$7))</f>
        <v>1.3243333333333311</v>
      </c>
      <c r="V126" s="81" t="str">
        <f>IF(F126="","",IF(M126="OK","NONE",INDEX({"S1","S2","W1","W2","N1","N2"},MATCH(MIN(P126:U126),P126:U126,0))))</f>
        <v>NONE</v>
      </c>
      <c r="W126" s="117">
        <f t="shared" si="13"/>
        <v>1</v>
      </c>
      <c r="X126" s="119"/>
    </row>
    <row r="127" spans="1:24">
      <c r="A127" s="115">
        <v>125</v>
      </c>
      <c r="B127" s="116">
        <v>5</v>
      </c>
      <c r="C127" s="81" t="s">
        <v>130</v>
      </c>
      <c r="D127" s="109" t="s">
        <v>238</v>
      </c>
      <c r="E127" s="81" t="s">
        <v>239</v>
      </c>
      <c r="F127" s="52">
        <v>8.89</v>
      </c>
      <c r="G127" s="52">
        <f t="shared" si="7"/>
        <v>9.8600000000000012</v>
      </c>
      <c r="H127" s="110"/>
      <c r="I127" s="81">
        <v>9.91</v>
      </c>
      <c r="J127" s="81">
        <f>VLOOKUP(C127,Recipes!$A$2:$N$4,12,FALSE())</f>
        <v>5.0137397426368718E-2</v>
      </c>
      <c r="K127" s="81">
        <f t="shared" si="8"/>
        <v>9.7595878077208944</v>
      </c>
      <c r="L127" s="81">
        <f t="shared" si="9"/>
        <v>10.060412192279106</v>
      </c>
      <c r="M127" s="81" t="str">
        <f t="shared" si="11"/>
        <v>OK</v>
      </c>
      <c r="N127" s="117">
        <f t="shared" si="10"/>
        <v>1</v>
      </c>
      <c r="O127" s="81">
        <f t="shared" si="12"/>
        <v>4.9999999999998934E-2</v>
      </c>
      <c r="P127" s="81">
        <f>IF(G127="","",ABS(O127-Components!$C$2))</f>
        <v>2.7033333333333309</v>
      </c>
      <c r="Q127" s="81">
        <f>IF(G127="","",ABS(O127-Components!$C$3))</f>
        <v>3.9860000000000007</v>
      </c>
      <c r="R127" s="81">
        <f>IF(G127="","",ABS(O127-Components!$C$4))</f>
        <v>0.94333333333333402</v>
      </c>
      <c r="S127" s="81">
        <f>IF(G127="","",ABS(O127-Components!$C$5))</f>
        <v>4.5126666666666715</v>
      </c>
      <c r="T127" s="81">
        <f>IF(G127="","",ABS(O127-Components!$C$6))</f>
        <v>1.105666666666671</v>
      </c>
      <c r="U127" s="81">
        <f>IF(G127="","",ABS(O127-Components!$C$7))</f>
        <v>1.3243333333333311</v>
      </c>
      <c r="V127" s="81" t="str">
        <f>IF(F127="","",IF(M127="OK","NONE",INDEX({"S1","S2","W1","W2","N1","N2"},MATCH(MIN(P127:U127),P127:U127,0))))</f>
        <v>NONE</v>
      </c>
      <c r="W127" s="117">
        <f t="shared" si="13"/>
        <v>1</v>
      </c>
      <c r="X127" s="119"/>
    </row>
    <row r="128" spans="1:24">
      <c r="A128" s="115">
        <v>126</v>
      </c>
      <c r="B128" s="116">
        <v>5</v>
      </c>
      <c r="C128" s="81" t="s">
        <v>130</v>
      </c>
      <c r="D128" s="109" t="s">
        <v>238</v>
      </c>
      <c r="E128" s="81" t="s">
        <v>239</v>
      </c>
      <c r="F128" s="52">
        <v>8.8800000000000008</v>
      </c>
      <c r="G128" s="52">
        <f t="shared" si="7"/>
        <v>9.8500000000000014</v>
      </c>
      <c r="H128" s="110"/>
      <c r="I128" s="81">
        <v>9.91</v>
      </c>
      <c r="J128" s="81">
        <f>VLOOKUP(C128,Recipes!$A$2:$N$4,12,FALSE())</f>
        <v>5.0137397426368718E-2</v>
      </c>
      <c r="K128" s="81">
        <f t="shared" si="8"/>
        <v>9.7595878077208944</v>
      </c>
      <c r="L128" s="81">
        <f t="shared" si="9"/>
        <v>10.060412192279106</v>
      </c>
      <c r="M128" s="81" t="str">
        <f t="shared" si="11"/>
        <v>OK</v>
      </c>
      <c r="N128" s="117">
        <f t="shared" si="10"/>
        <v>1</v>
      </c>
      <c r="O128" s="81">
        <f t="shared" si="12"/>
        <v>5.9999999999998721E-2</v>
      </c>
      <c r="P128" s="81">
        <f>IF(G128="","",ABS(O128-Components!$C$2))</f>
        <v>2.6933333333333311</v>
      </c>
      <c r="Q128" s="81">
        <f>IF(G128="","",ABS(O128-Components!$C$3))</f>
        <v>3.9760000000000009</v>
      </c>
      <c r="R128" s="81">
        <f>IF(G128="","",ABS(O128-Components!$C$4))</f>
        <v>0.93333333333333424</v>
      </c>
      <c r="S128" s="81">
        <f>IF(G128="","",ABS(O128-Components!$C$5))</f>
        <v>4.5026666666666717</v>
      </c>
      <c r="T128" s="81">
        <f>IF(G128="","",ABS(O128-Components!$C$6))</f>
        <v>1.0956666666666712</v>
      </c>
      <c r="U128" s="81">
        <f>IF(G128="","",ABS(O128-Components!$C$7))</f>
        <v>1.3143333333333314</v>
      </c>
      <c r="V128" s="81" t="str">
        <f>IF(F128="","",IF(M128="OK","NONE",INDEX({"S1","S2","W1","W2","N1","N2"},MATCH(MIN(P128:U128),P128:U128,0))))</f>
        <v>NONE</v>
      </c>
      <c r="W128" s="117">
        <f t="shared" si="13"/>
        <v>1</v>
      </c>
      <c r="X128" s="119"/>
    </row>
    <row r="129" spans="1:24">
      <c r="A129" s="115">
        <v>127</v>
      </c>
      <c r="B129" s="116">
        <v>5</v>
      </c>
      <c r="C129" s="81" t="s">
        <v>130</v>
      </c>
      <c r="D129" s="109" t="s">
        <v>238</v>
      </c>
      <c r="E129" s="81" t="s">
        <v>239</v>
      </c>
      <c r="F129" s="52">
        <v>8.91</v>
      </c>
      <c r="G129" s="52">
        <f t="shared" si="7"/>
        <v>9.8800000000000008</v>
      </c>
      <c r="H129" s="110"/>
      <c r="I129" s="81">
        <v>9.91</v>
      </c>
      <c r="J129" s="81">
        <f>VLOOKUP(C129,Recipes!$A$2:$N$4,12,FALSE())</f>
        <v>5.0137397426368718E-2</v>
      </c>
      <c r="K129" s="81">
        <f t="shared" si="8"/>
        <v>9.7595878077208944</v>
      </c>
      <c r="L129" s="81">
        <f t="shared" si="9"/>
        <v>10.060412192279106</v>
      </c>
      <c r="M129" s="81" t="str">
        <f t="shared" si="11"/>
        <v>OK</v>
      </c>
      <c r="N129" s="117">
        <f t="shared" si="10"/>
        <v>1</v>
      </c>
      <c r="O129" s="81">
        <f t="shared" si="12"/>
        <v>2.9999999999999361E-2</v>
      </c>
      <c r="P129" s="81">
        <f>IF(G129="","",ABS(O129-Components!$C$2))</f>
        <v>2.7233333333333305</v>
      </c>
      <c r="Q129" s="81">
        <f>IF(G129="","",ABS(O129-Components!$C$3))</f>
        <v>4.0060000000000002</v>
      </c>
      <c r="R129" s="81">
        <f>IF(G129="","",ABS(O129-Components!$C$4))</f>
        <v>0.9633333333333336</v>
      </c>
      <c r="S129" s="81">
        <f>IF(G129="","",ABS(O129-Components!$C$5))</f>
        <v>4.5326666666666711</v>
      </c>
      <c r="T129" s="81">
        <f>IF(G129="","",ABS(O129-Components!$C$6))</f>
        <v>1.1256666666666706</v>
      </c>
      <c r="U129" s="81">
        <f>IF(G129="","",ABS(O129-Components!$C$7))</f>
        <v>1.3443333333333307</v>
      </c>
      <c r="V129" s="81" t="str">
        <f>IF(F129="","",IF(M129="OK","NONE",INDEX({"S1","S2","W1","W2","N1","N2"},MATCH(MIN(P129:U129),P129:U129,0))))</f>
        <v>NONE</v>
      </c>
      <c r="W129" s="117">
        <f t="shared" si="13"/>
        <v>1</v>
      </c>
      <c r="X129" s="119"/>
    </row>
    <row r="130" spans="1:24">
      <c r="A130" s="115">
        <v>128</v>
      </c>
      <c r="B130" s="116">
        <v>5</v>
      </c>
      <c r="C130" s="81" t="s">
        <v>130</v>
      </c>
      <c r="D130" s="109" t="s">
        <v>238</v>
      </c>
      <c r="E130" s="81" t="s">
        <v>239</v>
      </c>
      <c r="F130" s="52">
        <v>8.85</v>
      </c>
      <c r="G130" s="52">
        <f t="shared" si="7"/>
        <v>9.82</v>
      </c>
      <c r="H130" s="110"/>
      <c r="I130" s="81">
        <v>9.91</v>
      </c>
      <c r="J130" s="81">
        <f>VLOOKUP(C130,Recipes!$A$2:$N$4,12,FALSE())</f>
        <v>5.0137397426368718E-2</v>
      </c>
      <c r="K130" s="81">
        <f t="shared" si="8"/>
        <v>9.7595878077208944</v>
      </c>
      <c r="L130" s="81">
        <f t="shared" si="9"/>
        <v>10.060412192279106</v>
      </c>
      <c r="M130" s="81" t="str">
        <f t="shared" si="11"/>
        <v>OK</v>
      </c>
      <c r="N130" s="117">
        <f t="shared" si="10"/>
        <v>1</v>
      </c>
      <c r="O130" s="81">
        <f t="shared" si="12"/>
        <v>8.9999999999999858E-2</v>
      </c>
      <c r="P130" s="81">
        <f>IF(G130="","",ABS(O130-Components!$C$2))</f>
        <v>2.66333333333333</v>
      </c>
      <c r="Q130" s="81">
        <f>IF(G130="","",ABS(O130-Components!$C$3))</f>
        <v>3.9459999999999997</v>
      </c>
      <c r="R130" s="81">
        <f>IF(G130="","",ABS(O130-Components!$C$4))</f>
        <v>0.9033333333333331</v>
      </c>
      <c r="S130" s="81">
        <f>IF(G130="","",ABS(O130-Components!$C$5))</f>
        <v>4.4726666666666706</v>
      </c>
      <c r="T130" s="81">
        <f>IF(G130="","",ABS(O130-Components!$C$6))</f>
        <v>1.0656666666666701</v>
      </c>
      <c r="U130" s="81">
        <f>IF(G130="","",ABS(O130-Components!$C$7))</f>
        <v>1.2843333333333302</v>
      </c>
      <c r="V130" s="81" t="str">
        <f>IF(F130="","",IF(M130="OK","NONE",INDEX({"S1","S2","W1","W2","N1","N2"},MATCH(MIN(P130:U130),P130:U130,0))))</f>
        <v>NONE</v>
      </c>
      <c r="W130" s="117">
        <f t="shared" si="13"/>
        <v>1</v>
      </c>
      <c r="X130" s="119"/>
    </row>
    <row r="131" spans="1:24">
      <c r="A131" s="115">
        <v>129</v>
      </c>
      <c r="B131" s="116">
        <v>5</v>
      </c>
      <c r="C131" s="81" t="s">
        <v>130</v>
      </c>
      <c r="D131" s="109" t="s">
        <v>238</v>
      </c>
      <c r="E131" s="81" t="s">
        <v>239</v>
      </c>
      <c r="F131" s="52">
        <v>8.8800000000000008</v>
      </c>
      <c r="G131" s="52">
        <f t="shared" ref="G131:G194" si="14">0.97+F131</f>
        <v>9.8500000000000014</v>
      </c>
      <c r="H131" s="110"/>
      <c r="I131" s="81">
        <v>9.91</v>
      </c>
      <c r="J131" s="81">
        <f>VLOOKUP(C131,Recipes!$A$2:$N$4,12,FALSE())</f>
        <v>5.0137397426368718E-2</v>
      </c>
      <c r="K131" s="81">
        <f t="shared" ref="K131:K194" si="15">I131-3*J131</f>
        <v>9.7595878077208944</v>
      </c>
      <c r="L131" s="81">
        <f t="shared" ref="L131:L194" si="16">I131+3*J131</f>
        <v>10.060412192279106</v>
      </c>
      <c r="M131" s="81" t="str">
        <f t="shared" si="11"/>
        <v>OK</v>
      </c>
      <c r="N131" s="117">
        <f t="shared" ref="N131:N194" si="17">IF(M131="","",IF(M131=D131,1,0))</f>
        <v>1</v>
      </c>
      <c r="O131" s="81">
        <f t="shared" si="12"/>
        <v>5.9999999999998721E-2</v>
      </c>
      <c r="P131" s="81">
        <f>IF(G131="","",ABS(O131-Components!$C$2))</f>
        <v>2.6933333333333311</v>
      </c>
      <c r="Q131" s="81">
        <f>IF(G131="","",ABS(O131-Components!$C$3))</f>
        <v>3.9760000000000009</v>
      </c>
      <c r="R131" s="81">
        <f>IF(G131="","",ABS(O131-Components!$C$4))</f>
        <v>0.93333333333333424</v>
      </c>
      <c r="S131" s="81">
        <f>IF(G131="","",ABS(O131-Components!$C$5))</f>
        <v>4.5026666666666717</v>
      </c>
      <c r="T131" s="81">
        <f>IF(G131="","",ABS(O131-Components!$C$6))</f>
        <v>1.0956666666666712</v>
      </c>
      <c r="U131" s="81">
        <f>IF(G131="","",ABS(O131-Components!$C$7))</f>
        <v>1.3143333333333314</v>
      </c>
      <c r="V131" s="81" t="str">
        <f>IF(F131="","",IF(M131="OK","NONE",INDEX({"S1","S2","W1","W2","N1","N2"},MATCH(MIN(P131:U131),P131:U131,0))))</f>
        <v>NONE</v>
      </c>
      <c r="W131" s="117">
        <f t="shared" si="13"/>
        <v>1</v>
      </c>
      <c r="X131" s="119"/>
    </row>
    <row r="132" spans="1:24">
      <c r="A132" s="115">
        <v>130</v>
      </c>
      <c r="B132" s="116">
        <v>5</v>
      </c>
      <c r="C132" s="81" t="s">
        <v>130</v>
      </c>
      <c r="D132" s="109" t="s">
        <v>238</v>
      </c>
      <c r="E132" s="81" t="s">
        <v>239</v>
      </c>
      <c r="F132" s="52">
        <v>8.8699999999999992</v>
      </c>
      <c r="G132" s="52">
        <f t="shared" si="14"/>
        <v>9.84</v>
      </c>
      <c r="H132" s="110"/>
      <c r="I132" s="81">
        <v>9.91</v>
      </c>
      <c r="J132" s="81">
        <f>VLOOKUP(C132,Recipes!$A$2:$N$4,12,FALSE())</f>
        <v>5.0137397426368718E-2</v>
      </c>
      <c r="K132" s="81">
        <f t="shared" si="15"/>
        <v>9.7595878077208944</v>
      </c>
      <c r="L132" s="81">
        <f t="shared" si="16"/>
        <v>10.060412192279106</v>
      </c>
      <c r="M132" s="81" t="str">
        <f t="shared" ref="M132:M195" si="18">IF(G132="","",IF(AND(G132&gt;=K132,G132&lt;=L132),"OK","NG"))</f>
        <v>OK</v>
      </c>
      <c r="N132" s="117">
        <f t="shared" si="17"/>
        <v>1</v>
      </c>
      <c r="O132" s="81">
        <f t="shared" ref="O132:O195" si="19">IF(G132="","",I132-G132)</f>
        <v>7.0000000000000284E-2</v>
      </c>
      <c r="P132" s="81">
        <f>IF(G132="","",ABS(O132-Components!$C$2))</f>
        <v>2.6833333333333296</v>
      </c>
      <c r="Q132" s="81">
        <f>IF(G132="","",ABS(O132-Components!$C$3))</f>
        <v>3.9659999999999993</v>
      </c>
      <c r="R132" s="81">
        <f>IF(G132="","",ABS(O132-Components!$C$4))</f>
        <v>0.92333333333333267</v>
      </c>
      <c r="S132" s="81">
        <f>IF(G132="","",ABS(O132-Components!$C$5))</f>
        <v>4.4926666666666701</v>
      </c>
      <c r="T132" s="81">
        <f>IF(G132="","",ABS(O132-Components!$C$6))</f>
        <v>1.0856666666666697</v>
      </c>
      <c r="U132" s="81">
        <f>IF(G132="","",ABS(O132-Components!$C$7))</f>
        <v>1.3043333333333298</v>
      </c>
      <c r="V132" s="81" t="str">
        <f>IF(F132="","",IF(M132="OK","NONE",INDEX({"S1","S2","W1","W2","N1","N2"},MATCH(MIN(P132:U132),P132:U132,0))))</f>
        <v>NONE</v>
      </c>
      <c r="W132" s="117">
        <f t="shared" ref="W132:W195" si="20">IF(G132="","",IF(V132=E132,1,0))</f>
        <v>1</v>
      </c>
      <c r="X132" s="119"/>
    </row>
    <row r="133" spans="1:24">
      <c r="A133" s="115">
        <v>131</v>
      </c>
      <c r="B133" s="116">
        <v>5</v>
      </c>
      <c r="C133" s="81" t="s">
        <v>130</v>
      </c>
      <c r="D133" s="109" t="s">
        <v>238</v>
      </c>
      <c r="E133" s="81" t="s">
        <v>239</v>
      </c>
      <c r="F133" s="52">
        <v>8.89</v>
      </c>
      <c r="G133" s="52">
        <f t="shared" si="14"/>
        <v>9.8600000000000012</v>
      </c>
      <c r="H133" s="110"/>
      <c r="I133" s="81">
        <v>9.91</v>
      </c>
      <c r="J133" s="81">
        <f>VLOOKUP(C133,Recipes!$A$2:$N$4,12,FALSE())</f>
        <v>5.0137397426368718E-2</v>
      </c>
      <c r="K133" s="81">
        <f t="shared" si="15"/>
        <v>9.7595878077208944</v>
      </c>
      <c r="L133" s="81">
        <f t="shared" si="16"/>
        <v>10.060412192279106</v>
      </c>
      <c r="M133" s="81" t="str">
        <f t="shared" si="18"/>
        <v>OK</v>
      </c>
      <c r="N133" s="117">
        <f t="shared" si="17"/>
        <v>1</v>
      </c>
      <c r="O133" s="81">
        <f t="shared" si="19"/>
        <v>4.9999999999998934E-2</v>
      </c>
      <c r="P133" s="81">
        <f>IF(G133="","",ABS(O133-Components!$C$2))</f>
        <v>2.7033333333333309</v>
      </c>
      <c r="Q133" s="81">
        <f>IF(G133="","",ABS(O133-Components!$C$3))</f>
        <v>3.9860000000000007</v>
      </c>
      <c r="R133" s="81">
        <f>IF(G133="","",ABS(O133-Components!$C$4))</f>
        <v>0.94333333333333402</v>
      </c>
      <c r="S133" s="81">
        <f>IF(G133="","",ABS(O133-Components!$C$5))</f>
        <v>4.5126666666666715</v>
      </c>
      <c r="T133" s="81">
        <f>IF(G133="","",ABS(O133-Components!$C$6))</f>
        <v>1.105666666666671</v>
      </c>
      <c r="U133" s="81">
        <f>IF(G133="","",ABS(O133-Components!$C$7))</f>
        <v>1.3243333333333311</v>
      </c>
      <c r="V133" s="81" t="str">
        <f>IF(F133="","",IF(M133="OK","NONE",INDEX({"S1","S2","W1","W2","N1","N2"},MATCH(MIN(P133:U133),P133:U133,0))))</f>
        <v>NONE</v>
      </c>
      <c r="W133" s="117">
        <f t="shared" si="20"/>
        <v>1</v>
      </c>
      <c r="X133" s="119"/>
    </row>
    <row r="134" spans="1:24">
      <c r="A134" s="115">
        <v>132</v>
      </c>
      <c r="B134" s="116">
        <v>5</v>
      </c>
      <c r="C134" s="81" t="s">
        <v>130</v>
      </c>
      <c r="D134" s="109" t="s">
        <v>238</v>
      </c>
      <c r="E134" s="81" t="s">
        <v>239</v>
      </c>
      <c r="F134" s="52">
        <v>8.8699999999999992</v>
      </c>
      <c r="G134" s="52">
        <f t="shared" si="14"/>
        <v>9.84</v>
      </c>
      <c r="H134" s="110"/>
      <c r="I134" s="81">
        <v>9.91</v>
      </c>
      <c r="J134" s="81">
        <f>VLOOKUP(C134,Recipes!$A$2:$N$4,12,FALSE())</f>
        <v>5.0137397426368718E-2</v>
      </c>
      <c r="K134" s="81">
        <f t="shared" si="15"/>
        <v>9.7595878077208944</v>
      </c>
      <c r="L134" s="81">
        <f t="shared" si="16"/>
        <v>10.060412192279106</v>
      </c>
      <c r="M134" s="81" t="str">
        <f t="shared" si="18"/>
        <v>OK</v>
      </c>
      <c r="N134" s="117">
        <f t="shared" si="17"/>
        <v>1</v>
      </c>
      <c r="O134" s="81">
        <f t="shared" si="19"/>
        <v>7.0000000000000284E-2</v>
      </c>
      <c r="P134" s="81">
        <f>IF(G134="","",ABS(O134-Components!$C$2))</f>
        <v>2.6833333333333296</v>
      </c>
      <c r="Q134" s="81">
        <f>IF(G134="","",ABS(O134-Components!$C$3))</f>
        <v>3.9659999999999993</v>
      </c>
      <c r="R134" s="81">
        <f>IF(G134="","",ABS(O134-Components!$C$4))</f>
        <v>0.92333333333333267</v>
      </c>
      <c r="S134" s="81">
        <f>IF(G134="","",ABS(O134-Components!$C$5))</f>
        <v>4.4926666666666701</v>
      </c>
      <c r="T134" s="81">
        <f>IF(G134="","",ABS(O134-Components!$C$6))</f>
        <v>1.0856666666666697</v>
      </c>
      <c r="U134" s="81">
        <f>IF(G134="","",ABS(O134-Components!$C$7))</f>
        <v>1.3043333333333298</v>
      </c>
      <c r="V134" s="81" t="str">
        <f>IF(F134="","",IF(M134="OK","NONE",INDEX({"S1","S2","W1","W2","N1","N2"},MATCH(MIN(P134:U134),P134:U134,0))))</f>
        <v>NONE</v>
      </c>
      <c r="W134" s="117">
        <f t="shared" si="20"/>
        <v>1</v>
      </c>
      <c r="X134" s="119"/>
    </row>
    <row r="135" spans="1:24">
      <c r="A135" s="115">
        <v>133</v>
      </c>
      <c r="B135" s="116">
        <v>5</v>
      </c>
      <c r="C135" s="81" t="s">
        <v>130</v>
      </c>
      <c r="D135" s="109" t="s">
        <v>238</v>
      </c>
      <c r="E135" s="81" t="s">
        <v>239</v>
      </c>
      <c r="F135" s="52">
        <v>8.9700000000000006</v>
      </c>
      <c r="G135" s="52">
        <f t="shared" si="14"/>
        <v>9.9400000000000013</v>
      </c>
      <c r="H135" s="110"/>
      <c r="I135" s="81">
        <v>9.91</v>
      </c>
      <c r="J135" s="81">
        <f>VLOOKUP(C135,Recipes!$A$2:$N$4,12,FALSE())</f>
        <v>5.0137397426368718E-2</v>
      </c>
      <c r="K135" s="81">
        <f t="shared" si="15"/>
        <v>9.7595878077208944</v>
      </c>
      <c r="L135" s="81">
        <f t="shared" si="16"/>
        <v>10.060412192279106</v>
      </c>
      <c r="M135" s="81" t="str">
        <f t="shared" si="18"/>
        <v>OK</v>
      </c>
      <c r="N135" s="117">
        <f t="shared" si="17"/>
        <v>1</v>
      </c>
      <c r="O135" s="81">
        <f t="shared" si="19"/>
        <v>-3.0000000000001137E-2</v>
      </c>
      <c r="P135" s="81">
        <f>IF(G135="","",ABS(O135-Components!$C$2))</f>
        <v>2.783333333333331</v>
      </c>
      <c r="Q135" s="81">
        <f>IF(G135="","",ABS(O135-Components!$C$3))</f>
        <v>4.0660000000000007</v>
      </c>
      <c r="R135" s="81">
        <f>IF(G135="","",ABS(O135-Components!$C$4))</f>
        <v>1.0233333333333341</v>
      </c>
      <c r="S135" s="81">
        <f>IF(G135="","",ABS(O135-Components!$C$5))</f>
        <v>4.5926666666666716</v>
      </c>
      <c r="T135" s="81">
        <f>IF(G135="","",ABS(O135-Components!$C$6))</f>
        <v>1.1856666666666711</v>
      </c>
      <c r="U135" s="81">
        <f>IF(G135="","",ABS(O135-Components!$C$7))</f>
        <v>1.4043333333333312</v>
      </c>
      <c r="V135" s="81" t="str">
        <f>IF(F135="","",IF(M135="OK","NONE",INDEX({"S1","S2","W1","W2","N1","N2"},MATCH(MIN(P135:U135),P135:U135,0))))</f>
        <v>NONE</v>
      </c>
      <c r="W135" s="117">
        <f t="shared" si="20"/>
        <v>1</v>
      </c>
      <c r="X135" s="119"/>
    </row>
    <row r="136" spans="1:24">
      <c r="A136" s="115">
        <v>134</v>
      </c>
      <c r="B136" s="116">
        <v>5</v>
      </c>
      <c r="C136" s="81" t="s">
        <v>130</v>
      </c>
      <c r="D136" s="109" t="s">
        <v>238</v>
      </c>
      <c r="E136" s="81" t="s">
        <v>239</v>
      </c>
      <c r="F136" s="52">
        <v>8.94</v>
      </c>
      <c r="G136" s="52">
        <f t="shared" si="14"/>
        <v>9.91</v>
      </c>
      <c r="H136" s="110"/>
      <c r="I136" s="81">
        <v>9.91</v>
      </c>
      <c r="J136" s="81">
        <f>VLOOKUP(C136,Recipes!$A$2:$N$4,12,FALSE())</f>
        <v>5.0137397426368718E-2</v>
      </c>
      <c r="K136" s="81">
        <f t="shared" si="15"/>
        <v>9.7595878077208944</v>
      </c>
      <c r="L136" s="81">
        <f t="shared" si="16"/>
        <v>10.060412192279106</v>
      </c>
      <c r="M136" s="81" t="str">
        <f t="shared" si="18"/>
        <v>OK</v>
      </c>
      <c r="N136" s="117">
        <f t="shared" si="17"/>
        <v>1</v>
      </c>
      <c r="O136" s="81">
        <f t="shared" si="19"/>
        <v>0</v>
      </c>
      <c r="P136" s="81">
        <f>IF(G136="","",ABS(O136-Components!$C$2))</f>
        <v>2.7533333333333299</v>
      </c>
      <c r="Q136" s="81">
        <f>IF(G136="","",ABS(O136-Components!$C$3))</f>
        <v>4.0359999999999996</v>
      </c>
      <c r="R136" s="81">
        <f>IF(G136="","",ABS(O136-Components!$C$4))</f>
        <v>0.99333333333333296</v>
      </c>
      <c r="S136" s="81">
        <f>IF(G136="","",ABS(O136-Components!$C$5))</f>
        <v>4.5626666666666704</v>
      </c>
      <c r="T136" s="81">
        <f>IF(G136="","",ABS(O136-Components!$C$6))</f>
        <v>1.15566666666667</v>
      </c>
      <c r="U136" s="81">
        <f>IF(G136="","",ABS(O136-Components!$C$7))</f>
        <v>1.3743333333333301</v>
      </c>
      <c r="V136" s="81" t="str">
        <f>IF(F136="","",IF(M136="OK","NONE",INDEX({"S1","S2","W1","W2","N1","N2"},MATCH(MIN(P136:U136),P136:U136,0))))</f>
        <v>NONE</v>
      </c>
      <c r="W136" s="117">
        <f t="shared" si="20"/>
        <v>1</v>
      </c>
      <c r="X136" s="119"/>
    </row>
    <row r="137" spans="1:24">
      <c r="A137" s="115">
        <v>135</v>
      </c>
      <c r="B137" s="116">
        <v>5</v>
      </c>
      <c r="C137" s="81" t="s">
        <v>130</v>
      </c>
      <c r="D137" s="109" t="s">
        <v>238</v>
      </c>
      <c r="E137" s="81" t="s">
        <v>239</v>
      </c>
      <c r="F137" s="52">
        <v>8.89</v>
      </c>
      <c r="G137" s="52">
        <f t="shared" si="14"/>
        <v>9.8600000000000012</v>
      </c>
      <c r="H137" s="110"/>
      <c r="I137" s="81">
        <v>9.91</v>
      </c>
      <c r="J137" s="81">
        <f>VLOOKUP(C137,Recipes!$A$2:$N$4,12,FALSE())</f>
        <v>5.0137397426368718E-2</v>
      </c>
      <c r="K137" s="81">
        <f t="shared" si="15"/>
        <v>9.7595878077208944</v>
      </c>
      <c r="L137" s="81">
        <f t="shared" si="16"/>
        <v>10.060412192279106</v>
      </c>
      <c r="M137" s="81" t="str">
        <f t="shared" si="18"/>
        <v>OK</v>
      </c>
      <c r="N137" s="117">
        <f t="shared" si="17"/>
        <v>1</v>
      </c>
      <c r="O137" s="81">
        <f t="shared" si="19"/>
        <v>4.9999999999998934E-2</v>
      </c>
      <c r="P137" s="81">
        <f>IF(G137="","",ABS(O137-Components!$C$2))</f>
        <v>2.7033333333333309</v>
      </c>
      <c r="Q137" s="81">
        <f>IF(G137="","",ABS(O137-Components!$C$3))</f>
        <v>3.9860000000000007</v>
      </c>
      <c r="R137" s="81">
        <f>IF(G137="","",ABS(O137-Components!$C$4))</f>
        <v>0.94333333333333402</v>
      </c>
      <c r="S137" s="81">
        <f>IF(G137="","",ABS(O137-Components!$C$5))</f>
        <v>4.5126666666666715</v>
      </c>
      <c r="T137" s="81">
        <f>IF(G137="","",ABS(O137-Components!$C$6))</f>
        <v>1.105666666666671</v>
      </c>
      <c r="U137" s="81">
        <f>IF(G137="","",ABS(O137-Components!$C$7))</f>
        <v>1.3243333333333311</v>
      </c>
      <c r="V137" s="81" t="str">
        <f>IF(F137="","",IF(M137="OK","NONE",INDEX({"S1","S2","W1","W2","N1","N2"},MATCH(MIN(P137:U137),P137:U137,0))))</f>
        <v>NONE</v>
      </c>
      <c r="W137" s="117">
        <f t="shared" si="20"/>
        <v>1</v>
      </c>
      <c r="X137" s="119"/>
    </row>
    <row r="138" spans="1:24">
      <c r="A138" s="115">
        <v>136</v>
      </c>
      <c r="B138" s="116">
        <v>5</v>
      </c>
      <c r="C138" s="81" t="s">
        <v>130</v>
      </c>
      <c r="D138" s="109" t="s">
        <v>238</v>
      </c>
      <c r="E138" s="81" t="s">
        <v>239</v>
      </c>
      <c r="F138" s="52">
        <v>8.8800000000000008</v>
      </c>
      <c r="G138" s="52">
        <f t="shared" si="14"/>
        <v>9.8500000000000014</v>
      </c>
      <c r="H138" s="110"/>
      <c r="I138" s="81">
        <v>9.91</v>
      </c>
      <c r="J138" s="81">
        <f>VLOOKUP(C138,Recipes!$A$2:$N$4,12,FALSE())</f>
        <v>5.0137397426368718E-2</v>
      </c>
      <c r="K138" s="81">
        <f t="shared" si="15"/>
        <v>9.7595878077208944</v>
      </c>
      <c r="L138" s="81">
        <f t="shared" si="16"/>
        <v>10.060412192279106</v>
      </c>
      <c r="M138" s="81" t="str">
        <f t="shared" si="18"/>
        <v>OK</v>
      </c>
      <c r="N138" s="117">
        <f t="shared" si="17"/>
        <v>1</v>
      </c>
      <c r="O138" s="81">
        <f t="shared" si="19"/>
        <v>5.9999999999998721E-2</v>
      </c>
      <c r="P138" s="81">
        <f>IF(G138="","",ABS(O138-Components!$C$2))</f>
        <v>2.6933333333333311</v>
      </c>
      <c r="Q138" s="81">
        <f>IF(G138="","",ABS(O138-Components!$C$3))</f>
        <v>3.9760000000000009</v>
      </c>
      <c r="R138" s="81">
        <f>IF(G138="","",ABS(O138-Components!$C$4))</f>
        <v>0.93333333333333424</v>
      </c>
      <c r="S138" s="81">
        <f>IF(G138="","",ABS(O138-Components!$C$5))</f>
        <v>4.5026666666666717</v>
      </c>
      <c r="T138" s="81">
        <f>IF(G138="","",ABS(O138-Components!$C$6))</f>
        <v>1.0956666666666712</v>
      </c>
      <c r="U138" s="81">
        <f>IF(G138="","",ABS(O138-Components!$C$7))</f>
        <v>1.3143333333333314</v>
      </c>
      <c r="V138" s="81" t="str">
        <f>IF(F138="","",IF(M138="OK","NONE",INDEX({"S1","S2","W1","W2","N1","N2"},MATCH(MIN(P138:U138),P138:U138,0))))</f>
        <v>NONE</v>
      </c>
      <c r="W138" s="117">
        <f t="shared" si="20"/>
        <v>1</v>
      </c>
      <c r="X138" s="119"/>
    </row>
    <row r="139" spans="1:24">
      <c r="A139" s="115">
        <v>137</v>
      </c>
      <c r="B139" s="116">
        <v>5</v>
      </c>
      <c r="C139" s="81" t="s">
        <v>130</v>
      </c>
      <c r="D139" s="109" t="s">
        <v>238</v>
      </c>
      <c r="E139" s="81" t="s">
        <v>239</v>
      </c>
      <c r="F139" s="52">
        <v>8.93</v>
      </c>
      <c r="G139" s="52">
        <f t="shared" si="14"/>
        <v>9.9</v>
      </c>
      <c r="H139" s="110"/>
      <c r="I139" s="81">
        <v>9.91</v>
      </c>
      <c r="J139" s="81">
        <f>VLOOKUP(C139,Recipes!$A$2:$N$4,12,FALSE())</f>
        <v>5.0137397426368718E-2</v>
      </c>
      <c r="K139" s="81">
        <f t="shared" si="15"/>
        <v>9.7595878077208944</v>
      </c>
      <c r="L139" s="81">
        <f t="shared" si="16"/>
        <v>10.060412192279106</v>
      </c>
      <c r="M139" s="81" t="str">
        <f t="shared" si="18"/>
        <v>OK</v>
      </c>
      <c r="N139" s="117">
        <f t="shared" si="17"/>
        <v>1</v>
      </c>
      <c r="O139" s="81">
        <f t="shared" si="19"/>
        <v>9.9999999999997868E-3</v>
      </c>
      <c r="P139" s="81">
        <f>IF(G139="","",ABS(O139-Components!$C$2))</f>
        <v>2.7433333333333301</v>
      </c>
      <c r="Q139" s="81">
        <f>IF(G139="","",ABS(O139-Components!$C$3))</f>
        <v>4.0259999999999998</v>
      </c>
      <c r="R139" s="81">
        <f>IF(G139="","",ABS(O139-Components!$C$4))</f>
        <v>0.98333333333333317</v>
      </c>
      <c r="S139" s="81">
        <f>IF(G139="","",ABS(O139-Components!$C$5))</f>
        <v>4.5526666666666706</v>
      </c>
      <c r="T139" s="81">
        <f>IF(G139="","",ABS(O139-Components!$C$6))</f>
        <v>1.1456666666666702</v>
      </c>
      <c r="U139" s="81">
        <f>IF(G139="","",ABS(O139-Components!$C$7))</f>
        <v>1.3643333333333303</v>
      </c>
      <c r="V139" s="81" t="str">
        <f>IF(F139="","",IF(M139="OK","NONE",INDEX({"S1","S2","W1","W2","N1","N2"},MATCH(MIN(P139:U139),P139:U139,0))))</f>
        <v>NONE</v>
      </c>
      <c r="W139" s="117">
        <f t="shared" si="20"/>
        <v>1</v>
      </c>
      <c r="X139" s="119"/>
    </row>
    <row r="140" spans="1:24">
      <c r="A140" s="115">
        <v>138</v>
      </c>
      <c r="B140" s="116">
        <v>5</v>
      </c>
      <c r="C140" s="81" t="s">
        <v>130</v>
      </c>
      <c r="D140" s="109" t="s">
        <v>238</v>
      </c>
      <c r="E140" s="81" t="s">
        <v>239</v>
      </c>
      <c r="F140" s="52">
        <v>8.93</v>
      </c>
      <c r="G140" s="52">
        <f t="shared" si="14"/>
        <v>9.9</v>
      </c>
      <c r="H140" s="110"/>
      <c r="I140" s="81">
        <v>9.91</v>
      </c>
      <c r="J140" s="81">
        <f>VLOOKUP(C140,Recipes!$A$2:$N$4,12,FALSE())</f>
        <v>5.0137397426368718E-2</v>
      </c>
      <c r="K140" s="81">
        <f t="shared" si="15"/>
        <v>9.7595878077208944</v>
      </c>
      <c r="L140" s="81">
        <f t="shared" si="16"/>
        <v>10.060412192279106</v>
      </c>
      <c r="M140" s="81" t="str">
        <f t="shared" si="18"/>
        <v>OK</v>
      </c>
      <c r="N140" s="117">
        <f t="shared" si="17"/>
        <v>1</v>
      </c>
      <c r="O140" s="81">
        <f t="shared" si="19"/>
        <v>9.9999999999997868E-3</v>
      </c>
      <c r="P140" s="81">
        <f>IF(G140="","",ABS(O140-Components!$C$2))</f>
        <v>2.7433333333333301</v>
      </c>
      <c r="Q140" s="81">
        <f>IF(G140="","",ABS(O140-Components!$C$3))</f>
        <v>4.0259999999999998</v>
      </c>
      <c r="R140" s="81">
        <f>IF(G140="","",ABS(O140-Components!$C$4))</f>
        <v>0.98333333333333317</v>
      </c>
      <c r="S140" s="81">
        <f>IF(G140="","",ABS(O140-Components!$C$5))</f>
        <v>4.5526666666666706</v>
      </c>
      <c r="T140" s="81">
        <f>IF(G140="","",ABS(O140-Components!$C$6))</f>
        <v>1.1456666666666702</v>
      </c>
      <c r="U140" s="81">
        <f>IF(G140="","",ABS(O140-Components!$C$7))</f>
        <v>1.3643333333333303</v>
      </c>
      <c r="V140" s="81" t="str">
        <f>IF(F140="","",IF(M140="OK","NONE",INDEX({"S1","S2","W1","W2","N1","N2"},MATCH(MIN(P140:U140),P140:U140,0))))</f>
        <v>NONE</v>
      </c>
      <c r="W140" s="117">
        <f t="shared" si="20"/>
        <v>1</v>
      </c>
      <c r="X140" s="119"/>
    </row>
    <row r="141" spans="1:24">
      <c r="A141" s="115">
        <v>139</v>
      </c>
      <c r="B141" s="116">
        <v>5</v>
      </c>
      <c r="C141" s="81" t="s">
        <v>130</v>
      </c>
      <c r="D141" s="109" t="s">
        <v>238</v>
      </c>
      <c r="E141" s="81" t="s">
        <v>239</v>
      </c>
      <c r="F141" s="52">
        <v>8.92</v>
      </c>
      <c r="G141" s="52">
        <f t="shared" si="14"/>
        <v>9.89</v>
      </c>
      <c r="H141" s="110"/>
      <c r="I141" s="81">
        <v>9.91</v>
      </c>
      <c r="J141" s="81">
        <f>VLOOKUP(C141,Recipes!$A$2:$N$4,12,FALSE())</f>
        <v>5.0137397426368718E-2</v>
      </c>
      <c r="K141" s="81">
        <f t="shared" si="15"/>
        <v>9.7595878077208944</v>
      </c>
      <c r="L141" s="81">
        <f t="shared" si="16"/>
        <v>10.060412192279106</v>
      </c>
      <c r="M141" s="81" t="str">
        <f t="shared" si="18"/>
        <v>OK</v>
      </c>
      <c r="N141" s="117">
        <f t="shared" si="17"/>
        <v>1</v>
      </c>
      <c r="O141" s="81">
        <f t="shared" si="19"/>
        <v>1.9999999999999574E-2</v>
      </c>
      <c r="P141" s="81">
        <f>IF(G141="","",ABS(O141-Components!$C$2))</f>
        <v>2.7333333333333303</v>
      </c>
      <c r="Q141" s="81">
        <f>IF(G141="","",ABS(O141-Components!$C$3))</f>
        <v>4.016</v>
      </c>
      <c r="R141" s="81">
        <f>IF(G141="","",ABS(O141-Components!$C$4))</f>
        <v>0.97333333333333338</v>
      </c>
      <c r="S141" s="81">
        <f>IF(G141="","",ABS(O141-Components!$C$5))</f>
        <v>4.5426666666666708</v>
      </c>
      <c r="T141" s="81">
        <f>IF(G141="","",ABS(O141-Components!$C$6))</f>
        <v>1.1356666666666704</v>
      </c>
      <c r="U141" s="81">
        <f>IF(G141="","",ABS(O141-Components!$C$7))</f>
        <v>1.3543333333333305</v>
      </c>
      <c r="V141" s="81" t="str">
        <f>IF(F141="","",IF(M141="OK","NONE",INDEX({"S1","S2","W1","W2","N1","N2"},MATCH(MIN(P141:U141),P141:U141,0))))</f>
        <v>NONE</v>
      </c>
      <c r="W141" s="117">
        <f t="shared" si="20"/>
        <v>1</v>
      </c>
      <c r="X141" s="119"/>
    </row>
    <row r="142" spans="1:24">
      <c r="A142" s="115">
        <v>140</v>
      </c>
      <c r="B142" s="116">
        <v>5</v>
      </c>
      <c r="C142" s="81" t="s">
        <v>130</v>
      </c>
      <c r="D142" s="109" t="s">
        <v>238</v>
      </c>
      <c r="E142" s="81" t="s">
        <v>239</v>
      </c>
      <c r="F142" s="52">
        <v>8.8800000000000008</v>
      </c>
      <c r="G142" s="52">
        <f t="shared" si="14"/>
        <v>9.8500000000000014</v>
      </c>
      <c r="H142" s="110"/>
      <c r="I142" s="81">
        <v>9.91</v>
      </c>
      <c r="J142" s="81">
        <f>VLOOKUP(C142,Recipes!$A$2:$N$4,12,FALSE())</f>
        <v>5.0137397426368718E-2</v>
      </c>
      <c r="K142" s="81">
        <f t="shared" si="15"/>
        <v>9.7595878077208944</v>
      </c>
      <c r="L142" s="81">
        <f t="shared" si="16"/>
        <v>10.060412192279106</v>
      </c>
      <c r="M142" s="81" t="str">
        <f t="shared" si="18"/>
        <v>OK</v>
      </c>
      <c r="N142" s="117">
        <f t="shared" si="17"/>
        <v>1</v>
      </c>
      <c r="O142" s="81">
        <f t="shared" si="19"/>
        <v>5.9999999999998721E-2</v>
      </c>
      <c r="P142" s="81">
        <f>IF(G142="","",ABS(O142-Components!$C$2))</f>
        <v>2.6933333333333311</v>
      </c>
      <c r="Q142" s="81">
        <f>IF(G142="","",ABS(O142-Components!$C$3))</f>
        <v>3.9760000000000009</v>
      </c>
      <c r="R142" s="81">
        <f>IF(G142="","",ABS(O142-Components!$C$4))</f>
        <v>0.93333333333333424</v>
      </c>
      <c r="S142" s="81">
        <f>IF(G142="","",ABS(O142-Components!$C$5))</f>
        <v>4.5026666666666717</v>
      </c>
      <c r="T142" s="81">
        <f>IF(G142="","",ABS(O142-Components!$C$6))</f>
        <v>1.0956666666666712</v>
      </c>
      <c r="U142" s="81">
        <f>IF(G142="","",ABS(O142-Components!$C$7))</f>
        <v>1.3143333333333314</v>
      </c>
      <c r="V142" s="81" t="str">
        <f>IF(F142="","",IF(M142="OK","NONE",INDEX({"S1","S2","W1","W2","N1","N2"},MATCH(MIN(P142:U142),P142:U142,0))))</f>
        <v>NONE</v>
      </c>
      <c r="W142" s="117">
        <f t="shared" si="20"/>
        <v>1</v>
      </c>
      <c r="X142" s="119"/>
    </row>
    <row r="143" spans="1:24">
      <c r="A143" s="115">
        <v>141</v>
      </c>
      <c r="B143" s="116">
        <v>5</v>
      </c>
      <c r="C143" s="81" t="s">
        <v>130</v>
      </c>
      <c r="D143" s="109" t="s">
        <v>238</v>
      </c>
      <c r="E143" s="81" t="s">
        <v>239</v>
      </c>
      <c r="F143" s="52">
        <v>8.9</v>
      </c>
      <c r="G143" s="52">
        <f t="shared" si="14"/>
        <v>9.870000000000001</v>
      </c>
      <c r="H143" s="110"/>
      <c r="I143" s="81">
        <v>9.91</v>
      </c>
      <c r="J143" s="81">
        <f>VLOOKUP(C143,Recipes!$A$2:$N$4,12,FALSE())</f>
        <v>5.0137397426368718E-2</v>
      </c>
      <c r="K143" s="81">
        <f t="shared" si="15"/>
        <v>9.7595878077208944</v>
      </c>
      <c r="L143" s="81">
        <f t="shared" si="16"/>
        <v>10.060412192279106</v>
      </c>
      <c r="M143" s="81" t="str">
        <f t="shared" si="18"/>
        <v>OK</v>
      </c>
      <c r="N143" s="117">
        <f t="shared" si="17"/>
        <v>1</v>
      </c>
      <c r="O143" s="81">
        <f t="shared" si="19"/>
        <v>3.9999999999999147E-2</v>
      </c>
      <c r="P143" s="81">
        <f>IF(G143="","",ABS(O143-Components!$C$2))</f>
        <v>2.7133333333333307</v>
      </c>
      <c r="Q143" s="81">
        <f>IF(G143="","",ABS(O143-Components!$C$3))</f>
        <v>3.9960000000000004</v>
      </c>
      <c r="R143" s="81">
        <f>IF(G143="","",ABS(O143-Components!$C$4))</f>
        <v>0.95333333333333381</v>
      </c>
      <c r="S143" s="81">
        <f>IF(G143="","",ABS(O143-Components!$C$5))</f>
        <v>4.5226666666666713</v>
      </c>
      <c r="T143" s="81">
        <f>IF(G143="","",ABS(O143-Components!$C$6))</f>
        <v>1.1156666666666708</v>
      </c>
      <c r="U143" s="81">
        <f>IF(G143="","",ABS(O143-Components!$C$7))</f>
        <v>1.3343333333333309</v>
      </c>
      <c r="V143" s="81" t="str">
        <f>IF(F143="","",IF(M143="OK","NONE",INDEX({"S1","S2","W1","W2","N1","N2"},MATCH(MIN(P143:U143),P143:U143,0))))</f>
        <v>NONE</v>
      </c>
      <c r="W143" s="117">
        <f t="shared" si="20"/>
        <v>1</v>
      </c>
      <c r="X143" s="119"/>
    </row>
    <row r="144" spans="1:24">
      <c r="A144" s="115">
        <v>142</v>
      </c>
      <c r="B144" s="116">
        <v>5</v>
      </c>
      <c r="C144" s="81" t="s">
        <v>130</v>
      </c>
      <c r="D144" s="109" t="s">
        <v>238</v>
      </c>
      <c r="E144" s="81" t="s">
        <v>239</v>
      </c>
      <c r="F144" s="52">
        <v>8.8699999999999992</v>
      </c>
      <c r="G144" s="52">
        <f t="shared" si="14"/>
        <v>9.84</v>
      </c>
      <c r="H144" s="110"/>
      <c r="I144" s="81">
        <v>9.91</v>
      </c>
      <c r="J144" s="81">
        <f>VLOOKUP(C144,Recipes!$A$2:$N$4,12,FALSE())</f>
        <v>5.0137397426368718E-2</v>
      </c>
      <c r="K144" s="81">
        <f t="shared" si="15"/>
        <v>9.7595878077208944</v>
      </c>
      <c r="L144" s="81">
        <f t="shared" si="16"/>
        <v>10.060412192279106</v>
      </c>
      <c r="M144" s="81" t="str">
        <f t="shared" si="18"/>
        <v>OK</v>
      </c>
      <c r="N144" s="117">
        <f t="shared" si="17"/>
        <v>1</v>
      </c>
      <c r="O144" s="81">
        <f t="shared" si="19"/>
        <v>7.0000000000000284E-2</v>
      </c>
      <c r="P144" s="81">
        <f>IF(G144="","",ABS(O144-Components!$C$2))</f>
        <v>2.6833333333333296</v>
      </c>
      <c r="Q144" s="81">
        <f>IF(G144="","",ABS(O144-Components!$C$3))</f>
        <v>3.9659999999999993</v>
      </c>
      <c r="R144" s="81">
        <f>IF(G144="","",ABS(O144-Components!$C$4))</f>
        <v>0.92333333333333267</v>
      </c>
      <c r="S144" s="81">
        <f>IF(G144="","",ABS(O144-Components!$C$5))</f>
        <v>4.4926666666666701</v>
      </c>
      <c r="T144" s="81">
        <f>IF(G144="","",ABS(O144-Components!$C$6))</f>
        <v>1.0856666666666697</v>
      </c>
      <c r="U144" s="81">
        <f>IF(G144="","",ABS(O144-Components!$C$7))</f>
        <v>1.3043333333333298</v>
      </c>
      <c r="V144" s="81" t="str">
        <f>IF(F144="","",IF(M144="OK","NONE",INDEX({"S1","S2","W1","W2","N1","N2"},MATCH(MIN(P144:U144),P144:U144,0))))</f>
        <v>NONE</v>
      </c>
      <c r="W144" s="117">
        <f t="shared" si="20"/>
        <v>1</v>
      </c>
      <c r="X144" s="119"/>
    </row>
    <row r="145" spans="1:24">
      <c r="A145" s="115">
        <v>143</v>
      </c>
      <c r="B145" s="116">
        <v>5</v>
      </c>
      <c r="C145" s="81" t="s">
        <v>130</v>
      </c>
      <c r="D145" s="109" t="s">
        <v>238</v>
      </c>
      <c r="E145" s="81" t="s">
        <v>239</v>
      </c>
      <c r="F145" s="52">
        <v>8.93</v>
      </c>
      <c r="G145" s="52">
        <f t="shared" si="14"/>
        <v>9.9</v>
      </c>
      <c r="H145" s="110"/>
      <c r="I145" s="81">
        <v>9.91</v>
      </c>
      <c r="J145" s="81">
        <f>VLOOKUP(C145,Recipes!$A$2:$N$4,12,FALSE())</f>
        <v>5.0137397426368718E-2</v>
      </c>
      <c r="K145" s="81">
        <f t="shared" si="15"/>
        <v>9.7595878077208944</v>
      </c>
      <c r="L145" s="81">
        <f t="shared" si="16"/>
        <v>10.060412192279106</v>
      </c>
      <c r="M145" s="81" t="str">
        <f t="shared" si="18"/>
        <v>OK</v>
      </c>
      <c r="N145" s="117">
        <f t="shared" si="17"/>
        <v>1</v>
      </c>
      <c r="O145" s="81">
        <f t="shared" si="19"/>
        <v>9.9999999999997868E-3</v>
      </c>
      <c r="P145" s="81">
        <f>IF(G145="","",ABS(O145-Components!$C$2))</f>
        <v>2.7433333333333301</v>
      </c>
      <c r="Q145" s="81">
        <f>IF(G145="","",ABS(O145-Components!$C$3))</f>
        <v>4.0259999999999998</v>
      </c>
      <c r="R145" s="81">
        <f>IF(G145="","",ABS(O145-Components!$C$4))</f>
        <v>0.98333333333333317</v>
      </c>
      <c r="S145" s="81">
        <f>IF(G145="","",ABS(O145-Components!$C$5))</f>
        <v>4.5526666666666706</v>
      </c>
      <c r="T145" s="81">
        <f>IF(G145="","",ABS(O145-Components!$C$6))</f>
        <v>1.1456666666666702</v>
      </c>
      <c r="U145" s="81">
        <f>IF(G145="","",ABS(O145-Components!$C$7))</f>
        <v>1.3643333333333303</v>
      </c>
      <c r="V145" s="81" t="str">
        <f>IF(F145="","",IF(M145="OK","NONE",INDEX({"S1","S2","W1","W2","N1","N2"},MATCH(MIN(P145:U145),P145:U145,0))))</f>
        <v>NONE</v>
      </c>
      <c r="W145" s="117">
        <f t="shared" si="20"/>
        <v>1</v>
      </c>
      <c r="X145" s="119"/>
    </row>
    <row r="146" spans="1:24">
      <c r="A146" s="115">
        <v>144</v>
      </c>
      <c r="B146" s="116">
        <v>5</v>
      </c>
      <c r="C146" s="81" t="s">
        <v>130</v>
      </c>
      <c r="D146" s="109" t="s">
        <v>238</v>
      </c>
      <c r="E146" s="81" t="s">
        <v>239</v>
      </c>
      <c r="F146" s="52">
        <v>8.94</v>
      </c>
      <c r="G146" s="52">
        <f t="shared" si="14"/>
        <v>9.91</v>
      </c>
      <c r="H146" s="110"/>
      <c r="I146" s="81">
        <v>9.91</v>
      </c>
      <c r="J146" s="81">
        <f>VLOOKUP(C146,Recipes!$A$2:$N$4,12,FALSE())</f>
        <v>5.0137397426368718E-2</v>
      </c>
      <c r="K146" s="81">
        <f t="shared" si="15"/>
        <v>9.7595878077208944</v>
      </c>
      <c r="L146" s="81">
        <f t="shared" si="16"/>
        <v>10.060412192279106</v>
      </c>
      <c r="M146" s="81" t="str">
        <f t="shared" si="18"/>
        <v>OK</v>
      </c>
      <c r="N146" s="117">
        <f t="shared" si="17"/>
        <v>1</v>
      </c>
      <c r="O146" s="81">
        <f t="shared" si="19"/>
        <v>0</v>
      </c>
      <c r="P146" s="81">
        <f>IF(G146="","",ABS(O146-Components!$C$2))</f>
        <v>2.7533333333333299</v>
      </c>
      <c r="Q146" s="81">
        <f>IF(G146="","",ABS(O146-Components!$C$3))</f>
        <v>4.0359999999999996</v>
      </c>
      <c r="R146" s="81">
        <f>IF(G146="","",ABS(O146-Components!$C$4))</f>
        <v>0.99333333333333296</v>
      </c>
      <c r="S146" s="81">
        <f>IF(G146="","",ABS(O146-Components!$C$5))</f>
        <v>4.5626666666666704</v>
      </c>
      <c r="T146" s="81">
        <f>IF(G146="","",ABS(O146-Components!$C$6))</f>
        <v>1.15566666666667</v>
      </c>
      <c r="U146" s="81">
        <f>IF(G146="","",ABS(O146-Components!$C$7))</f>
        <v>1.3743333333333301</v>
      </c>
      <c r="V146" s="81" t="str">
        <f>IF(F146="","",IF(M146="OK","NONE",INDEX({"S1","S2","W1","W2","N1","N2"},MATCH(MIN(P146:U146),P146:U146,0))))</f>
        <v>NONE</v>
      </c>
      <c r="W146" s="117">
        <f t="shared" si="20"/>
        <v>1</v>
      </c>
      <c r="X146" s="119"/>
    </row>
    <row r="147" spans="1:24">
      <c r="A147" s="115">
        <v>145</v>
      </c>
      <c r="B147" s="116">
        <v>5</v>
      </c>
      <c r="C147" s="81" t="s">
        <v>130</v>
      </c>
      <c r="D147" s="109" t="s">
        <v>238</v>
      </c>
      <c r="E147" s="81" t="s">
        <v>239</v>
      </c>
      <c r="F147" s="52">
        <v>8.8800000000000008</v>
      </c>
      <c r="G147" s="52">
        <f t="shared" si="14"/>
        <v>9.8500000000000014</v>
      </c>
      <c r="H147" s="110"/>
      <c r="I147" s="81">
        <v>9.91</v>
      </c>
      <c r="J147" s="81">
        <f>VLOOKUP(C147,Recipes!$A$2:$N$4,12,FALSE())</f>
        <v>5.0137397426368718E-2</v>
      </c>
      <c r="K147" s="81">
        <f t="shared" si="15"/>
        <v>9.7595878077208944</v>
      </c>
      <c r="L147" s="81">
        <f t="shared" si="16"/>
        <v>10.060412192279106</v>
      </c>
      <c r="M147" s="81" t="str">
        <f t="shared" si="18"/>
        <v>OK</v>
      </c>
      <c r="N147" s="117">
        <f t="shared" si="17"/>
        <v>1</v>
      </c>
      <c r="O147" s="81">
        <f t="shared" si="19"/>
        <v>5.9999999999998721E-2</v>
      </c>
      <c r="P147" s="81">
        <f>IF(G147="","",ABS(O147-Components!$C$2))</f>
        <v>2.6933333333333311</v>
      </c>
      <c r="Q147" s="81">
        <f>IF(G147="","",ABS(O147-Components!$C$3))</f>
        <v>3.9760000000000009</v>
      </c>
      <c r="R147" s="81">
        <f>IF(G147="","",ABS(O147-Components!$C$4))</f>
        <v>0.93333333333333424</v>
      </c>
      <c r="S147" s="81">
        <f>IF(G147="","",ABS(O147-Components!$C$5))</f>
        <v>4.5026666666666717</v>
      </c>
      <c r="T147" s="81">
        <f>IF(G147="","",ABS(O147-Components!$C$6))</f>
        <v>1.0956666666666712</v>
      </c>
      <c r="U147" s="81">
        <f>IF(G147="","",ABS(O147-Components!$C$7))</f>
        <v>1.3143333333333314</v>
      </c>
      <c r="V147" s="81" t="str">
        <f>IF(F147="","",IF(M147="OK","NONE",INDEX({"S1","S2","W1","W2","N1","N2"},MATCH(MIN(P147:U147),P147:U147,0))))</f>
        <v>NONE</v>
      </c>
      <c r="W147" s="117">
        <f t="shared" si="20"/>
        <v>1</v>
      </c>
      <c r="X147" s="119"/>
    </row>
    <row r="148" spans="1:24">
      <c r="A148" s="115">
        <v>146</v>
      </c>
      <c r="B148" s="116">
        <v>5</v>
      </c>
      <c r="C148" s="81" t="s">
        <v>130</v>
      </c>
      <c r="D148" s="109" t="s">
        <v>238</v>
      </c>
      <c r="E148" s="81" t="s">
        <v>239</v>
      </c>
      <c r="F148" s="52">
        <v>8.89</v>
      </c>
      <c r="G148" s="52">
        <f t="shared" si="14"/>
        <v>9.8600000000000012</v>
      </c>
      <c r="H148" s="110"/>
      <c r="I148" s="81">
        <v>9.91</v>
      </c>
      <c r="J148" s="81">
        <f>VLOOKUP(C148,Recipes!$A$2:$N$4,12,FALSE())</f>
        <v>5.0137397426368718E-2</v>
      </c>
      <c r="K148" s="81">
        <f t="shared" si="15"/>
        <v>9.7595878077208944</v>
      </c>
      <c r="L148" s="81">
        <f t="shared" si="16"/>
        <v>10.060412192279106</v>
      </c>
      <c r="M148" s="81" t="str">
        <f t="shared" si="18"/>
        <v>OK</v>
      </c>
      <c r="N148" s="117">
        <f t="shared" si="17"/>
        <v>1</v>
      </c>
      <c r="O148" s="81">
        <f t="shared" si="19"/>
        <v>4.9999999999998934E-2</v>
      </c>
      <c r="P148" s="81">
        <f>IF(G148="","",ABS(O148-Components!$C$2))</f>
        <v>2.7033333333333309</v>
      </c>
      <c r="Q148" s="81">
        <f>IF(G148="","",ABS(O148-Components!$C$3))</f>
        <v>3.9860000000000007</v>
      </c>
      <c r="R148" s="81">
        <f>IF(G148="","",ABS(O148-Components!$C$4))</f>
        <v>0.94333333333333402</v>
      </c>
      <c r="S148" s="81">
        <f>IF(G148="","",ABS(O148-Components!$C$5))</f>
        <v>4.5126666666666715</v>
      </c>
      <c r="T148" s="81">
        <f>IF(G148="","",ABS(O148-Components!$C$6))</f>
        <v>1.105666666666671</v>
      </c>
      <c r="U148" s="81">
        <f>IF(G148="","",ABS(O148-Components!$C$7))</f>
        <v>1.3243333333333311</v>
      </c>
      <c r="V148" s="81" t="str">
        <f>IF(F148="","",IF(M148="OK","NONE",INDEX({"S1","S2","W1","W2","N1","N2"},MATCH(MIN(P148:U148),P148:U148,0))))</f>
        <v>NONE</v>
      </c>
      <c r="W148" s="117">
        <f t="shared" si="20"/>
        <v>1</v>
      </c>
      <c r="X148" s="119"/>
    </row>
    <row r="149" spans="1:24">
      <c r="A149" s="115">
        <v>147</v>
      </c>
      <c r="B149" s="116">
        <v>5</v>
      </c>
      <c r="C149" s="81" t="s">
        <v>130</v>
      </c>
      <c r="D149" s="109" t="s">
        <v>238</v>
      </c>
      <c r="E149" s="81" t="s">
        <v>239</v>
      </c>
      <c r="F149" s="52">
        <v>8.8800000000000008</v>
      </c>
      <c r="G149" s="52">
        <f t="shared" si="14"/>
        <v>9.8500000000000014</v>
      </c>
      <c r="H149" s="110"/>
      <c r="I149" s="81">
        <v>9.91</v>
      </c>
      <c r="J149" s="81">
        <f>VLOOKUP(C149,Recipes!$A$2:$N$4,12,FALSE())</f>
        <v>5.0137397426368718E-2</v>
      </c>
      <c r="K149" s="81">
        <f t="shared" si="15"/>
        <v>9.7595878077208944</v>
      </c>
      <c r="L149" s="81">
        <f t="shared" si="16"/>
        <v>10.060412192279106</v>
      </c>
      <c r="M149" s="81" t="str">
        <f t="shared" si="18"/>
        <v>OK</v>
      </c>
      <c r="N149" s="117">
        <f t="shared" si="17"/>
        <v>1</v>
      </c>
      <c r="O149" s="81">
        <f t="shared" si="19"/>
        <v>5.9999999999998721E-2</v>
      </c>
      <c r="P149" s="81">
        <f>IF(G149="","",ABS(O149-Components!$C$2))</f>
        <v>2.6933333333333311</v>
      </c>
      <c r="Q149" s="81">
        <f>IF(G149="","",ABS(O149-Components!$C$3))</f>
        <v>3.9760000000000009</v>
      </c>
      <c r="R149" s="81">
        <f>IF(G149="","",ABS(O149-Components!$C$4))</f>
        <v>0.93333333333333424</v>
      </c>
      <c r="S149" s="81">
        <f>IF(G149="","",ABS(O149-Components!$C$5))</f>
        <v>4.5026666666666717</v>
      </c>
      <c r="T149" s="81">
        <f>IF(G149="","",ABS(O149-Components!$C$6))</f>
        <v>1.0956666666666712</v>
      </c>
      <c r="U149" s="81">
        <f>IF(G149="","",ABS(O149-Components!$C$7))</f>
        <v>1.3143333333333314</v>
      </c>
      <c r="V149" s="81" t="str">
        <f>IF(F149="","",IF(M149="OK","NONE",INDEX({"S1","S2","W1","W2","N1","N2"},MATCH(MIN(P149:U149),P149:U149,0))))</f>
        <v>NONE</v>
      </c>
      <c r="W149" s="117">
        <f t="shared" si="20"/>
        <v>1</v>
      </c>
      <c r="X149" s="119"/>
    </row>
    <row r="150" spans="1:24">
      <c r="A150" s="115">
        <v>148</v>
      </c>
      <c r="B150" s="116">
        <v>5</v>
      </c>
      <c r="C150" s="81" t="s">
        <v>130</v>
      </c>
      <c r="D150" s="109" t="s">
        <v>238</v>
      </c>
      <c r="E150" s="81" t="s">
        <v>239</v>
      </c>
      <c r="F150" s="52">
        <v>8.7100000000000009</v>
      </c>
      <c r="G150" s="52">
        <f t="shared" si="14"/>
        <v>9.6800000000000015</v>
      </c>
      <c r="H150" s="110"/>
      <c r="I150" s="81">
        <v>9.91</v>
      </c>
      <c r="J150" s="81">
        <f>VLOOKUP(C150,Recipes!$A$2:$N$4,12,FALSE())</f>
        <v>5.0137397426368718E-2</v>
      </c>
      <c r="K150" s="81">
        <f t="shared" si="15"/>
        <v>9.7595878077208944</v>
      </c>
      <c r="L150" s="81">
        <f t="shared" si="16"/>
        <v>10.060412192279106</v>
      </c>
      <c r="M150" s="81" t="str">
        <f t="shared" si="18"/>
        <v>NG</v>
      </c>
      <c r="N150" s="118">
        <f t="shared" si="17"/>
        <v>0</v>
      </c>
      <c r="O150" s="81">
        <f t="shared" si="19"/>
        <v>0.22999999999999865</v>
      </c>
      <c r="P150" s="81">
        <f>IF(G150="","",ABS(O150-Components!$C$2))</f>
        <v>2.5233333333333312</v>
      </c>
      <c r="Q150" s="81">
        <f>IF(G150="","",ABS(O150-Components!$C$3))</f>
        <v>3.8060000000000009</v>
      </c>
      <c r="R150" s="81">
        <f>IF(G150="","",ABS(O150-Components!$C$4))</f>
        <v>0.76333333333333431</v>
      </c>
      <c r="S150" s="81">
        <f>IF(G150="","",ABS(O150-Components!$C$5))</f>
        <v>4.3326666666666718</v>
      </c>
      <c r="T150" s="81">
        <f>IF(G150="","",ABS(O150-Components!$C$6))</f>
        <v>0.9256666666666713</v>
      </c>
      <c r="U150" s="81">
        <f>IF(G150="","",ABS(O150-Components!$C$7))</f>
        <v>1.1443333333333314</v>
      </c>
      <c r="V150" s="81" t="str">
        <f>IF(F150="","",IF(M150="OK","NONE",INDEX({"S1","S2","W1","W2","N1","N2"},MATCH(MIN(P150:U150),P150:U150,0))))</f>
        <v>W1</v>
      </c>
      <c r="W150" s="118">
        <f t="shared" si="20"/>
        <v>0</v>
      </c>
      <c r="X150" s="119"/>
    </row>
    <row r="151" spans="1:24">
      <c r="A151" s="115">
        <v>149</v>
      </c>
      <c r="B151" s="116">
        <v>5</v>
      </c>
      <c r="C151" s="81" t="s">
        <v>130</v>
      </c>
      <c r="D151" s="109" t="s">
        <v>238</v>
      </c>
      <c r="E151" s="81" t="s">
        <v>239</v>
      </c>
      <c r="F151" s="52">
        <v>8.94</v>
      </c>
      <c r="G151" s="52">
        <f t="shared" si="14"/>
        <v>9.91</v>
      </c>
      <c r="H151" s="110"/>
      <c r="I151" s="81">
        <v>9.91</v>
      </c>
      <c r="J151" s="81">
        <f>VLOOKUP(C151,Recipes!$A$2:$N$4,12,FALSE())</f>
        <v>5.0137397426368718E-2</v>
      </c>
      <c r="K151" s="81">
        <f t="shared" si="15"/>
        <v>9.7595878077208944</v>
      </c>
      <c r="L151" s="81">
        <f t="shared" si="16"/>
        <v>10.060412192279106</v>
      </c>
      <c r="M151" s="81" t="str">
        <f t="shared" si="18"/>
        <v>OK</v>
      </c>
      <c r="N151" s="117">
        <f t="shared" si="17"/>
        <v>1</v>
      </c>
      <c r="O151" s="81">
        <f t="shared" si="19"/>
        <v>0</v>
      </c>
      <c r="P151" s="81">
        <f>IF(G151="","",ABS(O151-Components!$C$2))</f>
        <v>2.7533333333333299</v>
      </c>
      <c r="Q151" s="81">
        <f>IF(G151="","",ABS(O151-Components!$C$3))</f>
        <v>4.0359999999999996</v>
      </c>
      <c r="R151" s="81">
        <f>IF(G151="","",ABS(O151-Components!$C$4))</f>
        <v>0.99333333333333296</v>
      </c>
      <c r="S151" s="81">
        <f>IF(G151="","",ABS(O151-Components!$C$5))</f>
        <v>4.5626666666666704</v>
      </c>
      <c r="T151" s="81">
        <f>IF(G151="","",ABS(O151-Components!$C$6))</f>
        <v>1.15566666666667</v>
      </c>
      <c r="U151" s="81">
        <f>IF(G151="","",ABS(O151-Components!$C$7))</f>
        <v>1.3743333333333301</v>
      </c>
      <c r="V151" s="81" t="str">
        <f>IF(F151="","",IF(M151="OK","NONE",INDEX({"S1","S2","W1","W2","N1","N2"},MATCH(MIN(P151:U151),P151:U151,0))))</f>
        <v>NONE</v>
      </c>
      <c r="W151" s="117">
        <f t="shared" si="20"/>
        <v>1</v>
      </c>
      <c r="X151" s="119"/>
    </row>
    <row r="152" spans="1:24">
      <c r="A152" s="115">
        <v>150</v>
      </c>
      <c r="B152" s="116">
        <v>5</v>
      </c>
      <c r="C152" s="81" t="s">
        <v>130</v>
      </c>
      <c r="D152" s="109" t="s">
        <v>238</v>
      </c>
      <c r="E152" s="81" t="s">
        <v>239</v>
      </c>
      <c r="F152" s="52">
        <v>8.9700000000000006</v>
      </c>
      <c r="G152" s="52">
        <f t="shared" si="14"/>
        <v>9.9400000000000013</v>
      </c>
      <c r="H152" s="110"/>
      <c r="I152" s="81">
        <v>9.91</v>
      </c>
      <c r="J152" s="81">
        <f>VLOOKUP(C152,Recipes!$A$2:$N$4,12,FALSE())</f>
        <v>5.0137397426368718E-2</v>
      </c>
      <c r="K152" s="81">
        <f t="shared" si="15"/>
        <v>9.7595878077208944</v>
      </c>
      <c r="L152" s="81">
        <f t="shared" si="16"/>
        <v>10.060412192279106</v>
      </c>
      <c r="M152" s="81" t="str">
        <f t="shared" si="18"/>
        <v>OK</v>
      </c>
      <c r="N152" s="117">
        <f t="shared" si="17"/>
        <v>1</v>
      </c>
      <c r="O152" s="81">
        <f t="shared" si="19"/>
        <v>-3.0000000000001137E-2</v>
      </c>
      <c r="P152" s="81">
        <f>IF(G152="","",ABS(O152-Components!$C$2))</f>
        <v>2.783333333333331</v>
      </c>
      <c r="Q152" s="81">
        <f>IF(G152="","",ABS(O152-Components!$C$3))</f>
        <v>4.0660000000000007</v>
      </c>
      <c r="R152" s="81">
        <f>IF(G152="","",ABS(O152-Components!$C$4))</f>
        <v>1.0233333333333341</v>
      </c>
      <c r="S152" s="81">
        <f>IF(G152="","",ABS(O152-Components!$C$5))</f>
        <v>4.5926666666666716</v>
      </c>
      <c r="T152" s="81">
        <f>IF(G152="","",ABS(O152-Components!$C$6))</f>
        <v>1.1856666666666711</v>
      </c>
      <c r="U152" s="81">
        <f>IF(G152="","",ABS(O152-Components!$C$7))</f>
        <v>1.4043333333333312</v>
      </c>
      <c r="V152" s="81" t="str">
        <f>IF(F152="","",IF(M152="OK","NONE",INDEX({"S1","S2","W1","W2","N1","N2"},MATCH(MIN(P152:U152),P152:U152,0))))</f>
        <v>NONE</v>
      </c>
      <c r="W152" s="117">
        <f t="shared" si="20"/>
        <v>1</v>
      </c>
      <c r="X152" s="119"/>
    </row>
    <row r="153" spans="1:24">
      <c r="A153" s="115">
        <v>151</v>
      </c>
      <c r="B153" s="116">
        <v>6</v>
      </c>
      <c r="C153" s="81" t="s">
        <v>130</v>
      </c>
      <c r="D153" s="111" t="s">
        <v>240</v>
      </c>
      <c r="E153" s="81" t="s">
        <v>99</v>
      </c>
      <c r="F153" s="52">
        <v>6.18</v>
      </c>
      <c r="G153" s="52">
        <f t="shared" si="14"/>
        <v>7.1499999999999995</v>
      </c>
      <c r="H153" s="110"/>
      <c r="I153" s="81">
        <v>9.91</v>
      </c>
      <c r="J153" s="81">
        <f>VLOOKUP(C153,Recipes!$A$2:$N$4,12,FALSE())</f>
        <v>5.0137397426368718E-2</v>
      </c>
      <c r="K153" s="81">
        <f t="shared" si="15"/>
        <v>9.7595878077208944</v>
      </c>
      <c r="L153" s="81">
        <f t="shared" si="16"/>
        <v>10.060412192279106</v>
      </c>
      <c r="M153" s="81" t="str">
        <f t="shared" si="18"/>
        <v>NG</v>
      </c>
      <c r="N153" s="117">
        <f t="shared" si="17"/>
        <v>1</v>
      </c>
      <c r="O153" s="81">
        <f t="shared" si="19"/>
        <v>2.7600000000000007</v>
      </c>
      <c r="P153" s="81">
        <f>IF(G153="","",ABS(O153-Components!$C$2))</f>
        <v>6.6666666666708174E-3</v>
      </c>
      <c r="Q153" s="81">
        <f>IF(G153="","",ABS(O153-Components!$C$3))</f>
        <v>1.2759999999999989</v>
      </c>
      <c r="R153" s="81">
        <f>IF(G153="","",ABS(O153-Components!$C$4))</f>
        <v>1.7666666666666677</v>
      </c>
      <c r="S153" s="81">
        <f>IF(G153="","",ABS(O153-Components!$C$5))</f>
        <v>1.8026666666666697</v>
      </c>
      <c r="T153" s="81">
        <f>IF(G153="","",ABS(O153-Components!$C$6))</f>
        <v>1.6043333333333307</v>
      </c>
      <c r="U153" s="81">
        <f>IF(G153="","",ABS(O153-Components!$C$7))</f>
        <v>1.3856666666666706</v>
      </c>
      <c r="V153" s="81" t="str">
        <f>IF(F153="","",IF(M153="OK","NONE",INDEX({"S1","S2","W1","W2","N1","N2"},MATCH(MIN(P153:U153),P153:U153,0))))</f>
        <v>S1</v>
      </c>
      <c r="W153" s="117">
        <f t="shared" si="20"/>
        <v>1</v>
      </c>
      <c r="X153" s="119"/>
    </row>
    <row r="154" spans="1:24">
      <c r="A154" s="115">
        <v>152</v>
      </c>
      <c r="B154" s="116">
        <v>6</v>
      </c>
      <c r="C154" s="81" t="s">
        <v>130</v>
      </c>
      <c r="D154" s="111" t="s">
        <v>240</v>
      </c>
      <c r="E154" s="81" t="s">
        <v>99</v>
      </c>
      <c r="F154" s="52">
        <v>6.18</v>
      </c>
      <c r="G154" s="52">
        <f t="shared" si="14"/>
        <v>7.1499999999999995</v>
      </c>
      <c r="H154" s="110"/>
      <c r="I154" s="81">
        <v>9.91</v>
      </c>
      <c r="J154" s="81">
        <f>VLOOKUP(C154,Recipes!$A$2:$N$4,12,FALSE())</f>
        <v>5.0137397426368718E-2</v>
      </c>
      <c r="K154" s="81">
        <f t="shared" si="15"/>
        <v>9.7595878077208944</v>
      </c>
      <c r="L154" s="81">
        <f t="shared" si="16"/>
        <v>10.060412192279106</v>
      </c>
      <c r="M154" s="81" t="str">
        <f t="shared" si="18"/>
        <v>NG</v>
      </c>
      <c r="N154" s="117">
        <f t="shared" si="17"/>
        <v>1</v>
      </c>
      <c r="O154" s="81">
        <f t="shared" si="19"/>
        <v>2.7600000000000007</v>
      </c>
      <c r="P154" s="81">
        <f>IF(G154="","",ABS(O154-Components!$C$2))</f>
        <v>6.6666666666708174E-3</v>
      </c>
      <c r="Q154" s="81">
        <f>IF(G154="","",ABS(O154-Components!$C$3))</f>
        <v>1.2759999999999989</v>
      </c>
      <c r="R154" s="81">
        <f>IF(G154="","",ABS(O154-Components!$C$4))</f>
        <v>1.7666666666666677</v>
      </c>
      <c r="S154" s="81">
        <f>IF(G154="","",ABS(O154-Components!$C$5))</f>
        <v>1.8026666666666697</v>
      </c>
      <c r="T154" s="81">
        <f>IF(G154="","",ABS(O154-Components!$C$6))</f>
        <v>1.6043333333333307</v>
      </c>
      <c r="U154" s="81">
        <f>IF(G154="","",ABS(O154-Components!$C$7))</f>
        <v>1.3856666666666706</v>
      </c>
      <c r="V154" s="81" t="str">
        <f>IF(F154="","",IF(M154="OK","NONE",INDEX({"S1","S2","W1","W2","N1","N2"},MATCH(MIN(P154:U154),P154:U154,0))))</f>
        <v>S1</v>
      </c>
      <c r="W154" s="117">
        <f t="shared" si="20"/>
        <v>1</v>
      </c>
      <c r="X154" s="119"/>
    </row>
    <row r="155" spans="1:24">
      <c r="A155" s="115">
        <v>153</v>
      </c>
      <c r="B155" s="116">
        <v>6</v>
      </c>
      <c r="C155" s="81" t="s">
        <v>130</v>
      </c>
      <c r="D155" s="111" t="s">
        <v>240</v>
      </c>
      <c r="E155" s="81" t="s">
        <v>99</v>
      </c>
      <c r="F155" s="52">
        <v>6.15</v>
      </c>
      <c r="G155" s="52">
        <f t="shared" si="14"/>
        <v>7.12</v>
      </c>
      <c r="H155" s="110"/>
      <c r="I155" s="81">
        <v>9.91</v>
      </c>
      <c r="J155" s="81">
        <f>VLOOKUP(C155,Recipes!$A$2:$N$4,12,FALSE())</f>
        <v>5.0137397426368718E-2</v>
      </c>
      <c r="K155" s="81">
        <f t="shared" si="15"/>
        <v>9.7595878077208944</v>
      </c>
      <c r="L155" s="81">
        <f t="shared" si="16"/>
        <v>10.060412192279106</v>
      </c>
      <c r="M155" s="81" t="str">
        <f t="shared" si="18"/>
        <v>NG</v>
      </c>
      <c r="N155" s="117">
        <f t="shared" si="17"/>
        <v>1</v>
      </c>
      <c r="O155" s="81">
        <f t="shared" si="19"/>
        <v>2.79</v>
      </c>
      <c r="P155" s="81">
        <f>IF(G155="","",ABS(O155-Components!$C$2))</f>
        <v>3.6666666666670178E-2</v>
      </c>
      <c r="Q155" s="81">
        <f>IF(G155="","",ABS(O155-Components!$C$3))</f>
        <v>1.2459999999999996</v>
      </c>
      <c r="R155" s="81">
        <f>IF(G155="","",ABS(O155-Components!$C$4))</f>
        <v>1.7966666666666671</v>
      </c>
      <c r="S155" s="81">
        <f>IF(G155="","",ABS(O155-Components!$C$5))</f>
        <v>1.7726666666666704</v>
      </c>
      <c r="T155" s="81">
        <f>IF(G155="","",ABS(O155-Components!$C$6))</f>
        <v>1.6343333333333301</v>
      </c>
      <c r="U155" s="81">
        <f>IF(G155="","",ABS(O155-Components!$C$7))</f>
        <v>1.41566666666667</v>
      </c>
      <c r="V155" s="81" t="str">
        <f>IF(F155="","",IF(M155="OK","NONE",INDEX({"S1","S2","W1","W2","N1","N2"},MATCH(MIN(P155:U155),P155:U155,0))))</f>
        <v>S1</v>
      </c>
      <c r="W155" s="117">
        <f t="shared" si="20"/>
        <v>1</v>
      </c>
      <c r="X155" s="119"/>
    </row>
    <row r="156" spans="1:24">
      <c r="A156" s="115">
        <v>154</v>
      </c>
      <c r="B156" s="116">
        <v>6</v>
      </c>
      <c r="C156" s="81" t="s">
        <v>130</v>
      </c>
      <c r="D156" s="111" t="s">
        <v>240</v>
      </c>
      <c r="E156" s="81" t="s">
        <v>99</v>
      </c>
      <c r="F156" s="52">
        <v>6.12</v>
      </c>
      <c r="G156" s="52">
        <f t="shared" si="14"/>
        <v>7.09</v>
      </c>
      <c r="H156" s="110"/>
      <c r="I156" s="81">
        <v>9.91</v>
      </c>
      <c r="J156" s="81">
        <f>VLOOKUP(C156,Recipes!$A$2:$N$4,12,FALSE())</f>
        <v>5.0137397426368718E-2</v>
      </c>
      <c r="K156" s="81">
        <f t="shared" si="15"/>
        <v>9.7595878077208944</v>
      </c>
      <c r="L156" s="81">
        <f t="shared" si="16"/>
        <v>10.060412192279106</v>
      </c>
      <c r="M156" s="81" t="str">
        <f t="shared" si="18"/>
        <v>NG</v>
      </c>
      <c r="N156" s="117">
        <f t="shared" si="17"/>
        <v>1</v>
      </c>
      <c r="O156" s="81">
        <f t="shared" si="19"/>
        <v>2.8200000000000003</v>
      </c>
      <c r="P156" s="81">
        <f>IF(G156="","",ABS(O156-Components!$C$2))</f>
        <v>6.6666666666670427E-2</v>
      </c>
      <c r="Q156" s="81">
        <f>IF(G156="","",ABS(O156-Components!$C$3))</f>
        <v>1.2159999999999993</v>
      </c>
      <c r="R156" s="81">
        <f>IF(G156="","",ABS(O156-Components!$C$4))</f>
        <v>1.8266666666666673</v>
      </c>
      <c r="S156" s="81">
        <f>IF(G156="","",ABS(O156-Components!$C$5))</f>
        <v>1.7426666666666701</v>
      </c>
      <c r="T156" s="81">
        <f>IF(G156="","",ABS(O156-Components!$C$6))</f>
        <v>1.6643333333333303</v>
      </c>
      <c r="U156" s="81">
        <f>IF(G156="","",ABS(O156-Components!$C$7))</f>
        <v>1.4456666666666702</v>
      </c>
      <c r="V156" s="81" t="str">
        <f>IF(F156="","",IF(M156="OK","NONE",INDEX({"S1","S2","W1","W2","N1","N2"},MATCH(MIN(P156:U156),P156:U156,0))))</f>
        <v>S1</v>
      </c>
      <c r="W156" s="117">
        <f t="shared" si="20"/>
        <v>1</v>
      </c>
      <c r="X156" s="119"/>
    </row>
    <row r="157" spans="1:24">
      <c r="A157" s="115">
        <v>155</v>
      </c>
      <c r="B157" s="116">
        <v>6</v>
      </c>
      <c r="C157" s="61" t="s">
        <v>130</v>
      </c>
      <c r="D157" s="61" t="s">
        <v>240</v>
      </c>
      <c r="E157" s="61" t="s">
        <v>99</v>
      </c>
      <c r="F157" s="52">
        <v>6.16</v>
      </c>
      <c r="G157" s="52">
        <f t="shared" si="14"/>
        <v>7.13</v>
      </c>
      <c r="H157" s="110"/>
      <c r="I157" s="81">
        <v>9.91</v>
      </c>
      <c r="J157" s="81">
        <f>VLOOKUP(C157,Recipes!$A$2:$N$4,12,FALSE())</f>
        <v>5.0137397426368718E-2</v>
      </c>
      <c r="K157" s="81">
        <f t="shared" si="15"/>
        <v>9.7595878077208944</v>
      </c>
      <c r="L157" s="81">
        <f t="shared" si="16"/>
        <v>10.060412192279106</v>
      </c>
      <c r="M157" s="81" t="str">
        <f t="shared" si="18"/>
        <v>NG</v>
      </c>
      <c r="N157" s="117">
        <f t="shared" si="17"/>
        <v>1</v>
      </c>
      <c r="O157" s="81">
        <f t="shared" si="19"/>
        <v>2.7800000000000002</v>
      </c>
      <c r="P157" s="81">
        <f>IF(G157="","",ABS(O157-Components!$C$2))</f>
        <v>2.6666666666670391E-2</v>
      </c>
      <c r="Q157" s="81">
        <f>IF(G157="","",ABS(O157-Components!$C$3))</f>
        <v>1.2559999999999993</v>
      </c>
      <c r="R157" s="81">
        <f>IF(G157="","",ABS(O157-Components!$C$4))</f>
        <v>1.7866666666666673</v>
      </c>
      <c r="S157" s="81">
        <f>IF(G157="","",ABS(O157-Components!$C$5))</f>
        <v>1.7826666666666702</v>
      </c>
      <c r="T157" s="81">
        <f>IF(G157="","",ABS(O157-Components!$C$6))</f>
        <v>1.6243333333333303</v>
      </c>
      <c r="U157" s="81">
        <f>IF(G157="","",ABS(O157-Components!$C$7))</f>
        <v>1.4056666666666702</v>
      </c>
      <c r="V157" s="81" t="str">
        <f>IF(F157="","",IF(M157="OK","NONE",INDEX({"S1","S2","W1","W2","N1","N2"},MATCH(MIN(P157:U157),P157:U157,0))))</f>
        <v>S1</v>
      </c>
      <c r="W157" s="117">
        <f t="shared" si="20"/>
        <v>1</v>
      </c>
      <c r="X157" s="119"/>
    </row>
    <row r="158" spans="1:24">
      <c r="A158" s="115">
        <v>156</v>
      </c>
      <c r="B158" s="116">
        <v>6</v>
      </c>
      <c r="C158" s="81" t="s">
        <v>130</v>
      </c>
      <c r="D158" s="111" t="s">
        <v>240</v>
      </c>
      <c r="E158" s="81" t="s">
        <v>99</v>
      </c>
      <c r="F158" s="52">
        <v>6.19</v>
      </c>
      <c r="G158" s="52">
        <f t="shared" si="14"/>
        <v>7.16</v>
      </c>
      <c r="H158" s="110"/>
      <c r="I158" s="81">
        <v>9.91</v>
      </c>
      <c r="J158" s="81">
        <f>VLOOKUP(C158,Recipes!$A$2:$N$4,12,FALSE())</f>
        <v>5.0137397426368718E-2</v>
      </c>
      <c r="K158" s="81">
        <f t="shared" si="15"/>
        <v>9.7595878077208944</v>
      </c>
      <c r="L158" s="81">
        <f t="shared" si="16"/>
        <v>10.060412192279106</v>
      </c>
      <c r="M158" s="81" t="str">
        <f t="shared" si="18"/>
        <v>NG</v>
      </c>
      <c r="N158" s="117">
        <f t="shared" si="17"/>
        <v>1</v>
      </c>
      <c r="O158" s="81">
        <f t="shared" si="19"/>
        <v>2.75</v>
      </c>
      <c r="P158" s="81">
        <f>IF(G158="","",ABS(O158-Components!$C$2))</f>
        <v>3.3333333333298576E-3</v>
      </c>
      <c r="Q158" s="81">
        <f>IF(G158="","",ABS(O158-Components!$C$3))</f>
        <v>1.2859999999999996</v>
      </c>
      <c r="R158" s="81">
        <f>IF(G158="","",ABS(O158-Components!$C$4))</f>
        <v>1.756666666666667</v>
      </c>
      <c r="S158" s="81">
        <f>IF(G158="","",ABS(O158-Components!$C$5))</f>
        <v>1.8126666666666704</v>
      </c>
      <c r="T158" s="81">
        <f>IF(G158="","",ABS(O158-Components!$C$6))</f>
        <v>1.59433333333333</v>
      </c>
      <c r="U158" s="81">
        <f>IF(G158="","",ABS(O158-Components!$C$7))</f>
        <v>1.3756666666666699</v>
      </c>
      <c r="V158" s="81" t="str">
        <f>IF(F158="","",IF(M158="OK","NONE",INDEX({"S1","S2","W1","W2","N1","N2"},MATCH(MIN(P158:U158),P158:U158,0))))</f>
        <v>S1</v>
      </c>
      <c r="W158" s="117">
        <f t="shared" si="20"/>
        <v>1</v>
      </c>
      <c r="X158" s="119"/>
    </row>
    <row r="159" spans="1:24">
      <c r="A159" s="115">
        <v>157</v>
      </c>
      <c r="B159" s="116">
        <v>6</v>
      </c>
      <c r="C159" s="81" t="s">
        <v>130</v>
      </c>
      <c r="D159" s="111" t="s">
        <v>240</v>
      </c>
      <c r="E159" s="81" t="s">
        <v>99</v>
      </c>
      <c r="F159" s="52">
        <v>6.18</v>
      </c>
      <c r="G159" s="52">
        <f t="shared" si="14"/>
        <v>7.1499999999999995</v>
      </c>
      <c r="H159" s="110"/>
      <c r="I159" s="81">
        <v>9.91</v>
      </c>
      <c r="J159" s="81">
        <f>VLOOKUP(C159,Recipes!$A$2:$N$4,12,FALSE())</f>
        <v>5.0137397426368718E-2</v>
      </c>
      <c r="K159" s="81">
        <f t="shared" si="15"/>
        <v>9.7595878077208944</v>
      </c>
      <c r="L159" s="81">
        <f t="shared" si="16"/>
        <v>10.060412192279106</v>
      </c>
      <c r="M159" s="81" t="str">
        <f t="shared" si="18"/>
        <v>NG</v>
      </c>
      <c r="N159" s="117">
        <f t="shared" si="17"/>
        <v>1</v>
      </c>
      <c r="O159" s="81">
        <f t="shared" si="19"/>
        <v>2.7600000000000007</v>
      </c>
      <c r="P159" s="81">
        <f>IF(G159="","",ABS(O159-Components!$C$2))</f>
        <v>6.6666666666708174E-3</v>
      </c>
      <c r="Q159" s="81">
        <f>IF(G159="","",ABS(O159-Components!$C$3))</f>
        <v>1.2759999999999989</v>
      </c>
      <c r="R159" s="81">
        <f>IF(G159="","",ABS(O159-Components!$C$4))</f>
        <v>1.7666666666666677</v>
      </c>
      <c r="S159" s="81">
        <f>IF(G159="","",ABS(O159-Components!$C$5))</f>
        <v>1.8026666666666697</v>
      </c>
      <c r="T159" s="81">
        <f>IF(G159="","",ABS(O159-Components!$C$6))</f>
        <v>1.6043333333333307</v>
      </c>
      <c r="U159" s="81">
        <f>IF(G159="","",ABS(O159-Components!$C$7))</f>
        <v>1.3856666666666706</v>
      </c>
      <c r="V159" s="81" t="str">
        <f>IF(F159="","",IF(M159="OK","NONE",INDEX({"S1","S2","W1","W2","N1","N2"},MATCH(MIN(P159:U159),P159:U159,0))))</f>
        <v>S1</v>
      </c>
      <c r="W159" s="117">
        <f t="shared" si="20"/>
        <v>1</v>
      </c>
      <c r="X159" s="119"/>
    </row>
    <row r="160" spans="1:24">
      <c r="A160" s="115">
        <v>158</v>
      </c>
      <c r="B160" s="116">
        <v>6</v>
      </c>
      <c r="C160" s="81" t="s">
        <v>130</v>
      </c>
      <c r="D160" s="111" t="s">
        <v>240</v>
      </c>
      <c r="E160" s="81" t="s">
        <v>99</v>
      </c>
      <c r="F160" s="52">
        <v>6.13</v>
      </c>
      <c r="G160" s="52">
        <f t="shared" si="14"/>
        <v>7.1</v>
      </c>
      <c r="H160" s="110"/>
      <c r="I160" s="81">
        <v>9.91</v>
      </c>
      <c r="J160" s="81">
        <f>VLOOKUP(C160,Recipes!$A$2:$N$4,12,FALSE())</f>
        <v>5.0137397426368718E-2</v>
      </c>
      <c r="K160" s="81">
        <f t="shared" si="15"/>
        <v>9.7595878077208944</v>
      </c>
      <c r="L160" s="81">
        <f t="shared" si="16"/>
        <v>10.060412192279106</v>
      </c>
      <c r="M160" s="81" t="str">
        <f t="shared" si="18"/>
        <v>NG</v>
      </c>
      <c r="N160" s="117">
        <f t="shared" si="17"/>
        <v>1</v>
      </c>
      <c r="O160" s="81">
        <f t="shared" si="19"/>
        <v>2.8100000000000005</v>
      </c>
      <c r="P160" s="81">
        <f>IF(G160="","",ABS(O160-Components!$C$2))</f>
        <v>5.666666666667064E-2</v>
      </c>
      <c r="Q160" s="81">
        <f>IF(G160="","",ABS(O160-Components!$C$3))</f>
        <v>1.2259999999999991</v>
      </c>
      <c r="R160" s="81">
        <f>IF(G160="","",ABS(O160-Components!$C$4))</f>
        <v>1.8166666666666675</v>
      </c>
      <c r="S160" s="81">
        <f>IF(G160="","",ABS(O160-Components!$C$5))</f>
        <v>1.7526666666666699</v>
      </c>
      <c r="T160" s="81">
        <f>IF(G160="","",ABS(O160-Components!$C$6))</f>
        <v>1.6543333333333305</v>
      </c>
      <c r="U160" s="81">
        <f>IF(G160="","",ABS(O160-Components!$C$7))</f>
        <v>1.4356666666666704</v>
      </c>
      <c r="V160" s="81" t="str">
        <f>IF(F160="","",IF(M160="OK","NONE",INDEX({"S1","S2","W1","W2","N1","N2"},MATCH(MIN(P160:U160),P160:U160,0))))</f>
        <v>S1</v>
      </c>
      <c r="W160" s="117">
        <f t="shared" si="20"/>
        <v>1</v>
      </c>
      <c r="X160" s="119"/>
    </row>
    <row r="161" spans="1:24">
      <c r="A161" s="115">
        <v>159</v>
      </c>
      <c r="B161" s="116">
        <v>6</v>
      </c>
      <c r="C161" s="81" t="s">
        <v>130</v>
      </c>
      <c r="D161" s="111" t="s">
        <v>240</v>
      </c>
      <c r="E161" s="81" t="s">
        <v>99</v>
      </c>
      <c r="F161" s="52">
        <v>6.22</v>
      </c>
      <c r="G161" s="52">
        <f t="shared" si="14"/>
        <v>7.1899999999999995</v>
      </c>
      <c r="H161" s="110"/>
      <c r="I161" s="81">
        <v>9.91</v>
      </c>
      <c r="J161" s="81">
        <f>VLOOKUP(C161,Recipes!$A$2:$N$4,12,FALSE())</f>
        <v>5.0137397426368718E-2</v>
      </c>
      <c r="K161" s="81">
        <f t="shared" si="15"/>
        <v>9.7595878077208944</v>
      </c>
      <c r="L161" s="81">
        <f t="shared" si="16"/>
        <v>10.060412192279106</v>
      </c>
      <c r="M161" s="81" t="str">
        <f t="shared" si="18"/>
        <v>NG</v>
      </c>
      <c r="N161" s="117">
        <f t="shared" si="17"/>
        <v>1</v>
      </c>
      <c r="O161" s="81">
        <f t="shared" si="19"/>
        <v>2.7200000000000006</v>
      </c>
      <c r="P161" s="81">
        <f>IF(G161="","",ABS(O161-Components!$C$2))</f>
        <v>3.3333333333329218E-2</v>
      </c>
      <c r="Q161" s="81">
        <f>IF(G161="","",ABS(O161-Components!$C$3))</f>
        <v>1.3159999999999989</v>
      </c>
      <c r="R161" s="81">
        <f>IF(G161="","",ABS(O161-Components!$C$4))</f>
        <v>1.7266666666666677</v>
      </c>
      <c r="S161" s="81">
        <f>IF(G161="","",ABS(O161-Components!$C$5))</f>
        <v>1.8426666666666698</v>
      </c>
      <c r="T161" s="81">
        <f>IF(G161="","",ABS(O161-Components!$C$6))</f>
        <v>1.5643333333333307</v>
      </c>
      <c r="U161" s="81">
        <f>IF(G161="","",ABS(O161-Components!$C$7))</f>
        <v>1.3456666666666706</v>
      </c>
      <c r="V161" s="81" t="str">
        <f>IF(F161="","",IF(M161="OK","NONE",INDEX({"S1","S2","W1","W2","N1","N2"},MATCH(MIN(P161:U161),P161:U161,0))))</f>
        <v>S1</v>
      </c>
      <c r="W161" s="117">
        <f t="shared" si="20"/>
        <v>1</v>
      </c>
      <c r="X161" s="119"/>
    </row>
    <row r="162" spans="1:24">
      <c r="A162" s="115">
        <v>160</v>
      </c>
      <c r="B162" s="116">
        <v>6</v>
      </c>
      <c r="C162" s="61" t="s">
        <v>130</v>
      </c>
      <c r="D162" s="61" t="s">
        <v>240</v>
      </c>
      <c r="E162" s="61" t="s">
        <v>99</v>
      </c>
      <c r="F162" s="52">
        <v>6.17</v>
      </c>
      <c r="G162" s="52">
        <f t="shared" si="14"/>
        <v>7.14</v>
      </c>
      <c r="H162" s="110"/>
      <c r="I162" s="81">
        <v>9.91</v>
      </c>
      <c r="J162" s="81">
        <f>VLOOKUP(C162,Recipes!$A$2:$N$4,12,FALSE())</f>
        <v>5.0137397426368718E-2</v>
      </c>
      <c r="K162" s="81">
        <f t="shared" si="15"/>
        <v>9.7595878077208944</v>
      </c>
      <c r="L162" s="81">
        <f t="shared" si="16"/>
        <v>10.060412192279106</v>
      </c>
      <c r="M162" s="81" t="str">
        <f t="shared" si="18"/>
        <v>NG</v>
      </c>
      <c r="N162" s="117">
        <f t="shared" si="17"/>
        <v>1</v>
      </c>
      <c r="O162" s="81">
        <f t="shared" si="19"/>
        <v>2.7700000000000005</v>
      </c>
      <c r="P162" s="81">
        <f>IF(G162="","",ABS(O162-Components!$C$2))</f>
        <v>1.6666666666670604E-2</v>
      </c>
      <c r="Q162" s="81">
        <f>IF(G162="","",ABS(O162-Components!$C$3))</f>
        <v>1.2659999999999991</v>
      </c>
      <c r="R162" s="81">
        <f>IF(G162="","",ABS(O162-Components!$C$4))</f>
        <v>1.7766666666666675</v>
      </c>
      <c r="S162" s="81">
        <f>IF(G162="","",ABS(O162-Components!$C$5))</f>
        <v>1.79266666666667</v>
      </c>
      <c r="T162" s="81">
        <f>IF(G162="","",ABS(O162-Components!$C$6))</f>
        <v>1.6143333333333305</v>
      </c>
      <c r="U162" s="81">
        <f>IF(G162="","",ABS(O162-Components!$C$7))</f>
        <v>1.3956666666666704</v>
      </c>
      <c r="V162" s="81" t="str">
        <f>IF(F162="","",IF(M162="OK","NONE",INDEX({"S1","S2","W1","W2","N1","N2"},MATCH(MIN(P162:U162),P162:U162,0))))</f>
        <v>S1</v>
      </c>
      <c r="W162" s="117">
        <f t="shared" si="20"/>
        <v>1</v>
      </c>
      <c r="X162" s="119"/>
    </row>
    <row r="163" spans="1:24">
      <c r="A163" s="115">
        <v>161</v>
      </c>
      <c r="B163" s="116">
        <v>6</v>
      </c>
      <c r="C163" s="81" t="s">
        <v>130</v>
      </c>
      <c r="D163" s="111" t="s">
        <v>240</v>
      </c>
      <c r="E163" s="81" t="s">
        <v>99</v>
      </c>
      <c r="F163" s="52">
        <v>6.16</v>
      </c>
      <c r="G163" s="52">
        <f t="shared" si="14"/>
        <v>7.13</v>
      </c>
      <c r="H163" s="110"/>
      <c r="I163" s="81">
        <v>9.91</v>
      </c>
      <c r="J163" s="81">
        <f>VLOOKUP(C163,Recipes!$A$2:$N$4,12,FALSE())</f>
        <v>5.0137397426368718E-2</v>
      </c>
      <c r="K163" s="81">
        <f t="shared" si="15"/>
        <v>9.7595878077208944</v>
      </c>
      <c r="L163" s="81">
        <f t="shared" si="16"/>
        <v>10.060412192279106</v>
      </c>
      <c r="M163" s="81" t="str">
        <f t="shared" si="18"/>
        <v>NG</v>
      </c>
      <c r="N163" s="117">
        <f t="shared" si="17"/>
        <v>1</v>
      </c>
      <c r="O163" s="81">
        <f t="shared" si="19"/>
        <v>2.7800000000000002</v>
      </c>
      <c r="P163" s="81">
        <f>IF(G163="","",ABS(O163-Components!$C$2))</f>
        <v>2.6666666666670391E-2</v>
      </c>
      <c r="Q163" s="81">
        <f>IF(G163="","",ABS(O163-Components!$C$3))</f>
        <v>1.2559999999999993</v>
      </c>
      <c r="R163" s="81">
        <f>IF(G163="","",ABS(O163-Components!$C$4))</f>
        <v>1.7866666666666673</v>
      </c>
      <c r="S163" s="81">
        <f>IF(G163="","",ABS(O163-Components!$C$5))</f>
        <v>1.7826666666666702</v>
      </c>
      <c r="T163" s="81">
        <f>IF(G163="","",ABS(O163-Components!$C$6))</f>
        <v>1.6243333333333303</v>
      </c>
      <c r="U163" s="81">
        <f>IF(G163="","",ABS(O163-Components!$C$7))</f>
        <v>1.4056666666666702</v>
      </c>
      <c r="V163" s="81" t="str">
        <f>IF(F163="","",IF(M163="OK","NONE",INDEX({"S1","S2","W1","W2","N1","N2"},MATCH(MIN(P163:U163),P163:U163,0))))</f>
        <v>S1</v>
      </c>
      <c r="W163" s="117">
        <f t="shared" si="20"/>
        <v>1</v>
      </c>
      <c r="X163" s="119"/>
    </row>
    <row r="164" spans="1:24">
      <c r="A164" s="115">
        <v>162</v>
      </c>
      <c r="B164" s="116">
        <v>6</v>
      </c>
      <c r="C164" s="81" t="s">
        <v>130</v>
      </c>
      <c r="D164" s="111" t="s">
        <v>240</v>
      </c>
      <c r="E164" s="81" t="s">
        <v>99</v>
      </c>
      <c r="F164" s="52">
        <v>6.17</v>
      </c>
      <c r="G164" s="52">
        <f t="shared" si="14"/>
        <v>7.14</v>
      </c>
      <c r="H164" s="110"/>
      <c r="I164" s="81">
        <v>9.91</v>
      </c>
      <c r="J164" s="81">
        <f>VLOOKUP(C164,Recipes!$A$2:$N$4,12,FALSE())</f>
        <v>5.0137397426368718E-2</v>
      </c>
      <c r="K164" s="81">
        <f t="shared" si="15"/>
        <v>9.7595878077208944</v>
      </c>
      <c r="L164" s="81">
        <f t="shared" si="16"/>
        <v>10.060412192279106</v>
      </c>
      <c r="M164" s="81" t="str">
        <f t="shared" si="18"/>
        <v>NG</v>
      </c>
      <c r="N164" s="117">
        <f t="shared" si="17"/>
        <v>1</v>
      </c>
      <c r="O164" s="81">
        <f t="shared" si="19"/>
        <v>2.7700000000000005</v>
      </c>
      <c r="P164" s="81">
        <f>IF(G164="","",ABS(O164-Components!$C$2))</f>
        <v>1.6666666666670604E-2</v>
      </c>
      <c r="Q164" s="81">
        <f>IF(G164="","",ABS(O164-Components!$C$3))</f>
        <v>1.2659999999999991</v>
      </c>
      <c r="R164" s="81">
        <f>IF(G164="","",ABS(O164-Components!$C$4))</f>
        <v>1.7766666666666675</v>
      </c>
      <c r="S164" s="81">
        <f>IF(G164="","",ABS(O164-Components!$C$5))</f>
        <v>1.79266666666667</v>
      </c>
      <c r="T164" s="81">
        <f>IF(G164="","",ABS(O164-Components!$C$6))</f>
        <v>1.6143333333333305</v>
      </c>
      <c r="U164" s="81">
        <f>IF(G164="","",ABS(O164-Components!$C$7))</f>
        <v>1.3956666666666704</v>
      </c>
      <c r="V164" s="81" t="str">
        <f>IF(F164="","",IF(M164="OK","NONE",INDEX({"S1","S2","W1","W2","N1","N2"},MATCH(MIN(P164:U164),P164:U164,0))))</f>
        <v>S1</v>
      </c>
      <c r="W164" s="117">
        <f t="shared" si="20"/>
        <v>1</v>
      </c>
      <c r="X164" s="119"/>
    </row>
    <row r="165" spans="1:24">
      <c r="A165" s="115">
        <v>163</v>
      </c>
      <c r="B165" s="116">
        <v>6</v>
      </c>
      <c r="C165" s="81" t="s">
        <v>130</v>
      </c>
      <c r="D165" s="111" t="s">
        <v>240</v>
      </c>
      <c r="E165" s="81" t="s">
        <v>99</v>
      </c>
      <c r="F165" s="52">
        <v>6.14</v>
      </c>
      <c r="G165" s="52">
        <f t="shared" si="14"/>
        <v>7.1099999999999994</v>
      </c>
      <c r="H165" s="110"/>
      <c r="I165" s="81">
        <v>9.91</v>
      </c>
      <c r="J165" s="81">
        <f>VLOOKUP(C165,Recipes!$A$2:$N$4,12,FALSE())</f>
        <v>5.0137397426368718E-2</v>
      </c>
      <c r="K165" s="81">
        <f t="shared" si="15"/>
        <v>9.7595878077208944</v>
      </c>
      <c r="L165" s="81">
        <f t="shared" si="16"/>
        <v>10.060412192279106</v>
      </c>
      <c r="M165" s="81" t="str">
        <f t="shared" si="18"/>
        <v>NG</v>
      </c>
      <c r="N165" s="117">
        <f t="shared" si="17"/>
        <v>1</v>
      </c>
      <c r="O165" s="81">
        <f t="shared" si="19"/>
        <v>2.8000000000000007</v>
      </c>
      <c r="P165" s="81">
        <f>IF(G165="","",ABS(O165-Components!$C$2))</f>
        <v>4.6666666666670853E-2</v>
      </c>
      <c r="Q165" s="81">
        <f>IF(G165="","",ABS(O165-Components!$C$3))</f>
        <v>1.2359999999999989</v>
      </c>
      <c r="R165" s="81">
        <f>IF(G165="","",ABS(O165-Components!$C$4))</f>
        <v>1.8066666666666678</v>
      </c>
      <c r="S165" s="81">
        <f>IF(G165="","",ABS(O165-Components!$C$5))</f>
        <v>1.7626666666666697</v>
      </c>
      <c r="T165" s="81">
        <f>IF(G165="","",ABS(O165-Components!$C$6))</f>
        <v>1.6443333333333308</v>
      </c>
      <c r="U165" s="81">
        <f>IF(G165="","",ABS(O165-Components!$C$7))</f>
        <v>1.4256666666666706</v>
      </c>
      <c r="V165" s="81" t="str">
        <f>IF(F165="","",IF(M165="OK","NONE",INDEX({"S1","S2","W1","W2","N1","N2"},MATCH(MIN(P165:U165),P165:U165,0))))</f>
        <v>S1</v>
      </c>
      <c r="W165" s="117">
        <f t="shared" si="20"/>
        <v>1</v>
      </c>
      <c r="X165" s="119"/>
    </row>
    <row r="166" spans="1:24">
      <c r="A166" s="115">
        <v>164</v>
      </c>
      <c r="B166" s="116">
        <v>6</v>
      </c>
      <c r="C166" s="81" t="s">
        <v>130</v>
      </c>
      <c r="D166" s="111" t="s">
        <v>240</v>
      </c>
      <c r="E166" s="81" t="s">
        <v>99</v>
      </c>
      <c r="F166" s="52">
        <v>6.2</v>
      </c>
      <c r="G166" s="52">
        <f t="shared" si="14"/>
        <v>7.17</v>
      </c>
      <c r="H166" s="110"/>
      <c r="I166" s="81">
        <v>9.91</v>
      </c>
      <c r="J166" s="81">
        <f>VLOOKUP(C166,Recipes!$A$2:$N$4,12,FALSE())</f>
        <v>5.0137397426368718E-2</v>
      </c>
      <c r="K166" s="81">
        <f t="shared" si="15"/>
        <v>9.7595878077208944</v>
      </c>
      <c r="L166" s="81">
        <f t="shared" si="16"/>
        <v>10.060412192279106</v>
      </c>
      <c r="M166" s="81" t="str">
        <f t="shared" si="18"/>
        <v>NG</v>
      </c>
      <c r="N166" s="117">
        <f t="shared" si="17"/>
        <v>1</v>
      </c>
      <c r="O166" s="81">
        <f t="shared" si="19"/>
        <v>2.74</v>
      </c>
      <c r="P166" s="81">
        <f>IF(G166="","",ABS(O166-Components!$C$2))</f>
        <v>1.3333333333329644E-2</v>
      </c>
      <c r="Q166" s="81">
        <f>IF(G166="","",ABS(O166-Components!$C$3))</f>
        <v>1.2959999999999994</v>
      </c>
      <c r="R166" s="81">
        <f>IF(G166="","",ABS(O166-Components!$C$4))</f>
        <v>1.7466666666666673</v>
      </c>
      <c r="S166" s="81">
        <f>IF(G166="","",ABS(O166-Components!$C$5))</f>
        <v>1.8226666666666702</v>
      </c>
      <c r="T166" s="81">
        <f>IF(G166="","",ABS(O166-Components!$C$6))</f>
        <v>1.5843333333333303</v>
      </c>
      <c r="U166" s="81">
        <f>IF(G166="","",ABS(O166-Components!$C$7))</f>
        <v>1.3656666666666701</v>
      </c>
      <c r="V166" s="81" t="str">
        <f>IF(F166="","",IF(M166="OK","NONE",INDEX({"S1","S2","W1","W2","N1","N2"},MATCH(MIN(P166:U166),P166:U166,0))))</f>
        <v>S1</v>
      </c>
      <c r="W166" s="117">
        <f t="shared" si="20"/>
        <v>1</v>
      </c>
      <c r="X166" s="119"/>
    </row>
    <row r="167" spans="1:24">
      <c r="A167" s="115">
        <v>165</v>
      </c>
      <c r="B167" s="116">
        <v>6</v>
      </c>
      <c r="C167" s="61" t="s">
        <v>130</v>
      </c>
      <c r="D167" s="61" t="s">
        <v>240</v>
      </c>
      <c r="E167" s="61" t="s">
        <v>99</v>
      </c>
      <c r="F167" s="52">
        <v>6.19</v>
      </c>
      <c r="G167" s="52">
        <f t="shared" si="14"/>
        <v>7.16</v>
      </c>
      <c r="H167" s="110"/>
      <c r="I167" s="81">
        <v>9.91</v>
      </c>
      <c r="J167" s="81">
        <f>VLOOKUP(C167,Recipes!$A$2:$N$4,12,FALSE())</f>
        <v>5.0137397426368718E-2</v>
      </c>
      <c r="K167" s="81">
        <f t="shared" si="15"/>
        <v>9.7595878077208944</v>
      </c>
      <c r="L167" s="81">
        <f t="shared" si="16"/>
        <v>10.060412192279106</v>
      </c>
      <c r="M167" s="81" t="str">
        <f t="shared" si="18"/>
        <v>NG</v>
      </c>
      <c r="N167" s="117">
        <f t="shared" si="17"/>
        <v>1</v>
      </c>
      <c r="O167" s="81">
        <f t="shared" si="19"/>
        <v>2.75</v>
      </c>
      <c r="P167" s="81">
        <f>IF(G167="","",ABS(O167-Components!$C$2))</f>
        <v>3.3333333333298576E-3</v>
      </c>
      <c r="Q167" s="81">
        <f>IF(G167="","",ABS(O167-Components!$C$3))</f>
        <v>1.2859999999999996</v>
      </c>
      <c r="R167" s="81">
        <f>IF(G167="","",ABS(O167-Components!$C$4))</f>
        <v>1.756666666666667</v>
      </c>
      <c r="S167" s="81">
        <f>IF(G167="","",ABS(O167-Components!$C$5))</f>
        <v>1.8126666666666704</v>
      </c>
      <c r="T167" s="81">
        <f>IF(G167="","",ABS(O167-Components!$C$6))</f>
        <v>1.59433333333333</v>
      </c>
      <c r="U167" s="81">
        <f>IF(G167="","",ABS(O167-Components!$C$7))</f>
        <v>1.3756666666666699</v>
      </c>
      <c r="V167" s="81" t="str">
        <f>IF(F167="","",IF(M167="OK","NONE",INDEX({"S1","S2","W1","W2","N1","N2"},MATCH(MIN(P167:U167),P167:U167,0))))</f>
        <v>S1</v>
      </c>
      <c r="W167" s="117">
        <f t="shared" si="20"/>
        <v>1</v>
      </c>
      <c r="X167" s="119"/>
    </row>
    <row r="168" spans="1:24">
      <c r="A168" s="115">
        <v>166</v>
      </c>
      <c r="B168" s="116">
        <v>6</v>
      </c>
      <c r="C168" s="81" t="s">
        <v>130</v>
      </c>
      <c r="D168" s="111" t="s">
        <v>240</v>
      </c>
      <c r="E168" s="81" t="s">
        <v>99</v>
      </c>
      <c r="F168" s="52">
        <v>6.19</v>
      </c>
      <c r="G168" s="52">
        <f t="shared" si="14"/>
        <v>7.16</v>
      </c>
      <c r="H168" s="110"/>
      <c r="I168" s="81">
        <v>9.91</v>
      </c>
      <c r="J168" s="81">
        <f>VLOOKUP(C168,Recipes!$A$2:$N$4,12,FALSE())</f>
        <v>5.0137397426368718E-2</v>
      </c>
      <c r="K168" s="81">
        <f t="shared" si="15"/>
        <v>9.7595878077208944</v>
      </c>
      <c r="L168" s="81">
        <f t="shared" si="16"/>
        <v>10.060412192279106</v>
      </c>
      <c r="M168" s="81" t="str">
        <f t="shared" si="18"/>
        <v>NG</v>
      </c>
      <c r="N168" s="117">
        <f t="shared" si="17"/>
        <v>1</v>
      </c>
      <c r="O168" s="81">
        <f t="shared" si="19"/>
        <v>2.75</v>
      </c>
      <c r="P168" s="81">
        <f>IF(G168="","",ABS(O168-Components!$C$2))</f>
        <v>3.3333333333298576E-3</v>
      </c>
      <c r="Q168" s="81">
        <f>IF(G168="","",ABS(O168-Components!$C$3))</f>
        <v>1.2859999999999996</v>
      </c>
      <c r="R168" s="81">
        <f>IF(G168="","",ABS(O168-Components!$C$4))</f>
        <v>1.756666666666667</v>
      </c>
      <c r="S168" s="81">
        <f>IF(G168="","",ABS(O168-Components!$C$5))</f>
        <v>1.8126666666666704</v>
      </c>
      <c r="T168" s="81">
        <f>IF(G168="","",ABS(O168-Components!$C$6))</f>
        <v>1.59433333333333</v>
      </c>
      <c r="U168" s="81">
        <f>IF(G168="","",ABS(O168-Components!$C$7))</f>
        <v>1.3756666666666699</v>
      </c>
      <c r="V168" s="81" t="str">
        <f>IF(F168="","",IF(M168="OK","NONE",INDEX({"S1","S2","W1","W2","N1","N2"},MATCH(MIN(P168:U168),P168:U168,0))))</f>
        <v>S1</v>
      </c>
      <c r="W168" s="117">
        <f t="shared" si="20"/>
        <v>1</v>
      </c>
      <c r="X168" s="119"/>
    </row>
    <row r="169" spans="1:24">
      <c r="A169" s="115">
        <v>167</v>
      </c>
      <c r="B169" s="116">
        <v>6</v>
      </c>
      <c r="C169" s="81" t="s">
        <v>130</v>
      </c>
      <c r="D169" s="111" t="s">
        <v>240</v>
      </c>
      <c r="E169" s="81" t="s">
        <v>99</v>
      </c>
      <c r="F169" s="52">
        <v>6.13</v>
      </c>
      <c r="G169" s="52">
        <f t="shared" si="14"/>
        <v>7.1</v>
      </c>
      <c r="H169" s="110"/>
      <c r="I169" s="81">
        <v>9.91</v>
      </c>
      <c r="J169" s="81">
        <f>VLOOKUP(C169,Recipes!$A$2:$N$4,12,FALSE())</f>
        <v>5.0137397426368718E-2</v>
      </c>
      <c r="K169" s="81">
        <f t="shared" si="15"/>
        <v>9.7595878077208944</v>
      </c>
      <c r="L169" s="81">
        <f t="shared" si="16"/>
        <v>10.060412192279106</v>
      </c>
      <c r="M169" s="81" t="str">
        <f t="shared" si="18"/>
        <v>NG</v>
      </c>
      <c r="N169" s="117">
        <f t="shared" si="17"/>
        <v>1</v>
      </c>
      <c r="O169" s="81">
        <f t="shared" si="19"/>
        <v>2.8100000000000005</v>
      </c>
      <c r="P169" s="81">
        <f>IF(G169="","",ABS(O169-Components!$C$2))</f>
        <v>5.666666666667064E-2</v>
      </c>
      <c r="Q169" s="81">
        <f>IF(G169="","",ABS(O169-Components!$C$3))</f>
        <v>1.2259999999999991</v>
      </c>
      <c r="R169" s="81">
        <f>IF(G169="","",ABS(O169-Components!$C$4))</f>
        <v>1.8166666666666675</v>
      </c>
      <c r="S169" s="81">
        <f>IF(G169="","",ABS(O169-Components!$C$5))</f>
        <v>1.7526666666666699</v>
      </c>
      <c r="T169" s="81">
        <f>IF(G169="","",ABS(O169-Components!$C$6))</f>
        <v>1.6543333333333305</v>
      </c>
      <c r="U169" s="81">
        <f>IF(G169="","",ABS(O169-Components!$C$7))</f>
        <v>1.4356666666666704</v>
      </c>
      <c r="V169" s="81" t="str">
        <f>IF(F169="","",IF(M169="OK","NONE",INDEX({"S1","S2","W1","W2","N1","N2"},MATCH(MIN(P169:U169),P169:U169,0))))</f>
        <v>S1</v>
      </c>
      <c r="W169" s="117">
        <f t="shared" si="20"/>
        <v>1</v>
      </c>
      <c r="X169" s="119"/>
    </row>
    <row r="170" spans="1:24">
      <c r="A170" s="115">
        <v>168</v>
      </c>
      <c r="B170" s="116">
        <v>6</v>
      </c>
      <c r="C170" s="81" t="s">
        <v>130</v>
      </c>
      <c r="D170" s="111" t="s">
        <v>240</v>
      </c>
      <c r="E170" s="81" t="s">
        <v>99</v>
      </c>
      <c r="F170" s="52">
        <v>6.17</v>
      </c>
      <c r="G170" s="52">
        <f t="shared" si="14"/>
        <v>7.14</v>
      </c>
      <c r="H170" s="110"/>
      <c r="I170" s="81">
        <v>9.91</v>
      </c>
      <c r="J170" s="81">
        <f>VLOOKUP(C170,Recipes!$A$2:$N$4,12,FALSE())</f>
        <v>5.0137397426368718E-2</v>
      </c>
      <c r="K170" s="81">
        <f t="shared" si="15"/>
        <v>9.7595878077208944</v>
      </c>
      <c r="L170" s="81">
        <f t="shared" si="16"/>
        <v>10.060412192279106</v>
      </c>
      <c r="M170" s="81" t="str">
        <f t="shared" si="18"/>
        <v>NG</v>
      </c>
      <c r="N170" s="117">
        <f t="shared" si="17"/>
        <v>1</v>
      </c>
      <c r="O170" s="81">
        <f t="shared" si="19"/>
        <v>2.7700000000000005</v>
      </c>
      <c r="P170" s="81">
        <f>IF(G170="","",ABS(O170-Components!$C$2))</f>
        <v>1.6666666666670604E-2</v>
      </c>
      <c r="Q170" s="81">
        <f>IF(G170="","",ABS(O170-Components!$C$3))</f>
        <v>1.2659999999999991</v>
      </c>
      <c r="R170" s="81">
        <f>IF(G170="","",ABS(O170-Components!$C$4))</f>
        <v>1.7766666666666675</v>
      </c>
      <c r="S170" s="81">
        <f>IF(G170="","",ABS(O170-Components!$C$5))</f>
        <v>1.79266666666667</v>
      </c>
      <c r="T170" s="81">
        <f>IF(G170="","",ABS(O170-Components!$C$6))</f>
        <v>1.6143333333333305</v>
      </c>
      <c r="U170" s="81">
        <f>IF(G170="","",ABS(O170-Components!$C$7))</f>
        <v>1.3956666666666704</v>
      </c>
      <c r="V170" s="81" t="str">
        <f>IF(F170="","",IF(M170="OK","NONE",INDEX({"S1","S2","W1","W2","N1","N2"},MATCH(MIN(P170:U170),P170:U170,0))))</f>
        <v>S1</v>
      </c>
      <c r="W170" s="117">
        <f t="shared" si="20"/>
        <v>1</v>
      </c>
      <c r="X170" s="119"/>
    </row>
    <row r="171" spans="1:24">
      <c r="A171" s="115">
        <v>169</v>
      </c>
      <c r="B171" s="116">
        <v>6</v>
      </c>
      <c r="C171" s="81" t="s">
        <v>130</v>
      </c>
      <c r="D171" s="111" t="s">
        <v>240</v>
      </c>
      <c r="E171" s="81" t="s">
        <v>99</v>
      </c>
      <c r="F171" s="52">
        <v>6.19</v>
      </c>
      <c r="G171" s="52">
        <f t="shared" si="14"/>
        <v>7.16</v>
      </c>
      <c r="H171" s="110"/>
      <c r="I171" s="81">
        <v>9.91</v>
      </c>
      <c r="J171" s="81">
        <f>VLOOKUP(C171,Recipes!$A$2:$N$4,12,FALSE())</f>
        <v>5.0137397426368718E-2</v>
      </c>
      <c r="K171" s="81">
        <f t="shared" si="15"/>
        <v>9.7595878077208944</v>
      </c>
      <c r="L171" s="81">
        <f t="shared" si="16"/>
        <v>10.060412192279106</v>
      </c>
      <c r="M171" s="81" t="str">
        <f t="shared" si="18"/>
        <v>NG</v>
      </c>
      <c r="N171" s="117">
        <f t="shared" si="17"/>
        <v>1</v>
      </c>
      <c r="O171" s="81">
        <f t="shared" si="19"/>
        <v>2.75</v>
      </c>
      <c r="P171" s="81">
        <f>IF(G171="","",ABS(O171-Components!$C$2))</f>
        <v>3.3333333333298576E-3</v>
      </c>
      <c r="Q171" s="81">
        <f>IF(G171="","",ABS(O171-Components!$C$3))</f>
        <v>1.2859999999999996</v>
      </c>
      <c r="R171" s="81">
        <f>IF(G171="","",ABS(O171-Components!$C$4))</f>
        <v>1.756666666666667</v>
      </c>
      <c r="S171" s="81">
        <f>IF(G171="","",ABS(O171-Components!$C$5))</f>
        <v>1.8126666666666704</v>
      </c>
      <c r="T171" s="81">
        <f>IF(G171="","",ABS(O171-Components!$C$6))</f>
        <v>1.59433333333333</v>
      </c>
      <c r="U171" s="81">
        <f>IF(G171="","",ABS(O171-Components!$C$7))</f>
        <v>1.3756666666666699</v>
      </c>
      <c r="V171" s="81" t="str">
        <f>IF(F171="","",IF(M171="OK","NONE",INDEX({"S1","S2","W1","W2","N1","N2"},MATCH(MIN(P171:U171),P171:U171,0))))</f>
        <v>S1</v>
      </c>
      <c r="W171" s="117">
        <f t="shared" si="20"/>
        <v>1</v>
      </c>
      <c r="X171" s="119"/>
    </row>
    <row r="172" spans="1:24">
      <c r="A172" s="115">
        <v>170</v>
      </c>
      <c r="B172" s="116">
        <v>6</v>
      </c>
      <c r="C172" s="61" t="s">
        <v>130</v>
      </c>
      <c r="D172" s="61" t="s">
        <v>240</v>
      </c>
      <c r="E172" s="61" t="s">
        <v>99</v>
      </c>
      <c r="F172" s="52">
        <v>6.09</v>
      </c>
      <c r="G172" s="52">
        <f t="shared" si="14"/>
        <v>7.06</v>
      </c>
      <c r="H172" s="110"/>
      <c r="I172" s="81">
        <v>9.91</v>
      </c>
      <c r="J172" s="81">
        <f>VLOOKUP(C172,Recipes!$A$2:$N$4,12,FALSE())</f>
        <v>5.0137397426368718E-2</v>
      </c>
      <c r="K172" s="81">
        <f t="shared" si="15"/>
        <v>9.7595878077208944</v>
      </c>
      <c r="L172" s="81">
        <f t="shared" si="16"/>
        <v>10.060412192279106</v>
      </c>
      <c r="M172" s="81" t="str">
        <f t="shared" si="18"/>
        <v>NG</v>
      </c>
      <c r="N172" s="117">
        <f t="shared" si="17"/>
        <v>1</v>
      </c>
      <c r="O172" s="81">
        <f t="shared" si="19"/>
        <v>2.8500000000000005</v>
      </c>
      <c r="P172" s="81">
        <f>IF(G172="","",ABS(O172-Components!$C$2))</f>
        <v>9.6666666666670675E-2</v>
      </c>
      <c r="Q172" s="81">
        <f>IF(G172="","",ABS(O172-Components!$C$3))</f>
        <v>1.1859999999999991</v>
      </c>
      <c r="R172" s="81">
        <f>IF(G172="","",ABS(O172-Components!$C$4))</f>
        <v>1.8566666666666676</v>
      </c>
      <c r="S172" s="81">
        <f>IF(G172="","",ABS(O172-Components!$C$5))</f>
        <v>1.7126666666666699</v>
      </c>
      <c r="T172" s="81">
        <f>IF(G172="","",ABS(O172-Components!$C$6))</f>
        <v>1.6943333333333306</v>
      </c>
      <c r="U172" s="81">
        <f>IF(G172="","",ABS(O172-Components!$C$7))</f>
        <v>1.4756666666666705</v>
      </c>
      <c r="V172" s="81" t="str">
        <f>IF(F172="","",IF(M172="OK","NONE",INDEX({"S1","S2","W1","W2","N1","N2"},MATCH(MIN(P172:U172),P172:U172,0))))</f>
        <v>S1</v>
      </c>
      <c r="W172" s="117">
        <f t="shared" si="20"/>
        <v>1</v>
      </c>
      <c r="X172" s="119"/>
    </row>
    <row r="173" spans="1:24">
      <c r="A173" s="115">
        <v>171</v>
      </c>
      <c r="B173" s="116">
        <v>6</v>
      </c>
      <c r="C173" s="81" t="s">
        <v>130</v>
      </c>
      <c r="D173" s="111" t="s">
        <v>240</v>
      </c>
      <c r="E173" s="81" t="s">
        <v>99</v>
      </c>
      <c r="F173" s="52">
        <v>6.19</v>
      </c>
      <c r="G173" s="52">
        <f t="shared" si="14"/>
        <v>7.16</v>
      </c>
      <c r="H173" s="110"/>
      <c r="I173" s="81">
        <v>9.91</v>
      </c>
      <c r="J173" s="81">
        <f>VLOOKUP(C173,Recipes!$A$2:$N$4,12,FALSE())</f>
        <v>5.0137397426368718E-2</v>
      </c>
      <c r="K173" s="81">
        <f t="shared" si="15"/>
        <v>9.7595878077208944</v>
      </c>
      <c r="L173" s="81">
        <f t="shared" si="16"/>
        <v>10.060412192279106</v>
      </c>
      <c r="M173" s="81" t="str">
        <f t="shared" si="18"/>
        <v>NG</v>
      </c>
      <c r="N173" s="117">
        <f t="shared" si="17"/>
        <v>1</v>
      </c>
      <c r="O173" s="81">
        <f t="shared" si="19"/>
        <v>2.75</v>
      </c>
      <c r="P173" s="81">
        <f>IF(G173="","",ABS(O173-Components!$C$2))</f>
        <v>3.3333333333298576E-3</v>
      </c>
      <c r="Q173" s="81">
        <f>IF(G173="","",ABS(O173-Components!$C$3))</f>
        <v>1.2859999999999996</v>
      </c>
      <c r="R173" s="81">
        <f>IF(G173="","",ABS(O173-Components!$C$4))</f>
        <v>1.756666666666667</v>
      </c>
      <c r="S173" s="81">
        <f>IF(G173="","",ABS(O173-Components!$C$5))</f>
        <v>1.8126666666666704</v>
      </c>
      <c r="T173" s="81">
        <f>IF(G173="","",ABS(O173-Components!$C$6))</f>
        <v>1.59433333333333</v>
      </c>
      <c r="U173" s="81">
        <f>IF(G173="","",ABS(O173-Components!$C$7))</f>
        <v>1.3756666666666699</v>
      </c>
      <c r="V173" s="81" t="str">
        <f>IF(F173="","",IF(M173="OK","NONE",INDEX({"S1","S2","W1","W2","N1","N2"},MATCH(MIN(P173:U173),P173:U173,0))))</f>
        <v>S1</v>
      </c>
      <c r="W173" s="117">
        <f t="shared" si="20"/>
        <v>1</v>
      </c>
      <c r="X173" s="119"/>
    </row>
    <row r="174" spans="1:24">
      <c r="A174" s="115">
        <v>172</v>
      </c>
      <c r="B174" s="116">
        <v>6</v>
      </c>
      <c r="C174" s="81" t="s">
        <v>130</v>
      </c>
      <c r="D174" s="111" t="s">
        <v>240</v>
      </c>
      <c r="E174" s="81" t="s">
        <v>99</v>
      </c>
      <c r="F174" s="52">
        <v>6.18</v>
      </c>
      <c r="G174" s="52">
        <f t="shared" si="14"/>
        <v>7.1499999999999995</v>
      </c>
      <c r="H174" s="110"/>
      <c r="I174" s="81">
        <v>9.91</v>
      </c>
      <c r="J174" s="81">
        <f>VLOOKUP(C174,Recipes!$A$2:$N$4,12,FALSE())</f>
        <v>5.0137397426368718E-2</v>
      </c>
      <c r="K174" s="81">
        <f t="shared" si="15"/>
        <v>9.7595878077208944</v>
      </c>
      <c r="L174" s="81">
        <f t="shared" si="16"/>
        <v>10.060412192279106</v>
      </c>
      <c r="M174" s="81" t="str">
        <f t="shared" si="18"/>
        <v>NG</v>
      </c>
      <c r="N174" s="117">
        <f t="shared" si="17"/>
        <v>1</v>
      </c>
      <c r="O174" s="81">
        <f t="shared" si="19"/>
        <v>2.7600000000000007</v>
      </c>
      <c r="P174" s="81">
        <f>IF(G174="","",ABS(O174-Components!$C$2))</f>
        <v>6.6666666666708174E-3</v>
      </c>
      <c r="Q174" s="81">
        <f>IF(G174="","",ABS(O174-Components!$C$3))</f>
        <v>1.2759999999999989</v>
      </c>
      <c r="R174" s="81">
        <f>IF(G174="","",ABS(O174-Components!$C$4))</f>
        <v>1.7666666666666677</v>
      </c>
      <c r="S174" s="81">
        <f>IF(G174="","",ABS(O174-Components!$C$5))</f>
        <v>1.8026666666666697</v>
      </c>
      <c r="T174" s="81">
        <f>IF(G174="","",ABS(O174-Components!$C$6))</f>
        <v>1.6043333333333307</v>
      </c>
      <c r="U174" s="81">
        <f>IF(G174="","",ABS(O174-Components!$C$7))</f>
        <v>1.3856666666666706</v>
      </c>
      <c r="V174" s="81" t="str">
        <f>IF(F174="","",IF(M174="OK","NONE",INDEX({"S1","S2","W1","W2","N1","N2"},MATCH(MIN(P174:U174),P174:U174,0))))</f>
        <v>S1</v>
      </c>
      <c r="W174" s="117">
        <f t="shared" si="20"/>
        <v>1</v>
      </c>
      <c r="X174" s="119"/>
    </row>
    <row r="175" spans="1:24">
      <c r="A175" s="115">
        <v>173</v>
      </c>
      <c r="B175" s="116">
        <v>6</v>
      </c>
      <c r="C175" s="81" t="s">
        <v>130</v>
      </c>
      <c r="D175" s="111" t="s">
        <v>240</v>
      </c>
      <c r="E175" s="81" t="s">
        <v>99</v>
      </c>
      <c r="F175" s="52">
        <v>6.19</v>
      </c>
      <c r="G175" s="52">
        <f t="shared" si="14"/>
        <v>7.16</v>
      </c>
      <c r="H175" s="110"/>
      <c r="I175" s="81">
        <v>9.91</v>
      </c>
      <c r="J175" s="81">
        <f>VLOOKUP(C175,Recipes!$A$2:$N$4,12,FALSE())</f>
        <v>5.0137397426368718E-2</v>
      </c>
      <c r="K175" s="81">
        <f t="shared" si="15"/>
        <v>9.7595878077208944</v>
      </c>
      <c r="L175" s="81">
        <f t="shared" si="16"/>
        <v>10.060412192279106</v>
      </c>
      <c r="M175" s="81" t="str">
        <f t="shared" si="18"/>
        <v>NG</v>
      </c>
      <c r="N175" s="117">
        <f t="shared" si="17"/>
        <v>1</v>
      </c>
      <c r="O175" s="81">
        <f t="shared" si="19"/>
        <v>2.75</v>
      </c>
      <c r="P175" s="81">
        <f>IF(G175="","",ABS(O175-Components!$C$2))</f>
        <v>3.3333333333298576E-3</v>
      </c>
      <c r="Q175" s="81">
        <f>IF(G175="","",ABS(O175-Components!$C$3))</f>
        <v>1.2859999999999996</v>
      </c>
      <c r="R175" s="81">
        <f>IF(G175="","",ABS(O175-Components!$C$4))</f>
        <v>1.756666666666667</v>
      </c>
      <c r="S175" s="81">
        <f>IF(G175="","",ABS(O175-Components!$C$5))</f>
        <v>1.8126666666666704</v>
      </c>
      <c r="T175" s="81">
        <f>IF(G175="","",ABS(O175-Components!$C$6))</f>
        <v>1.59433333333333</v>
      </c>
      <c r="U175" s="81">
        <f>IF(G175="","",ABS(O175-Components!$C$7))</f>
        <v>1.3756666666666699</v>
      </c>
      <c r="V175" s="81" t="str">
        <f>IF(F175="","",IF(M175="OK","NONE",INDEX({"S1","S2","W1","W2","N1","N2"},MATCH(MIN(P175:U175),P175:U175,0))))</f>
        <v>S1</v>
      </c>
      <c r="W175" s="117">
        <f t="shared" si="20"/>
        <v>1</v>
      </c>
      <c r="X175" s="119"/>
    </row>
    <row r="176" spans="1:24">
      <c r="A176" s="115">
        <v>174</v>
      </c>
      <c r="B176" s="116">
        <v>6</v>
      </c>
      <c r="C176" s="81" t="s">
        <v>130</v>
      </c>
      <c r="D176" s="111" t="s">
        <v>240</v>
      </c>
      <c r="E176" s="81" t="s">
        <v>99</v>
      </c>
      <c r="F176" s="52">
        <v>6.15</v>
      </c>
      <c r="G176" s="52">
        <f t="shared" si="14"/>
        <v>7.12</v>
      </c>
      <c r="H176" s="110"/>
      <c r="I176" s="81">
        <v>9.91</v>
      </c>
      <c r="J176" s="81">
        <f>VLOOKUP(C176,Recipes!$A$2:$N$4,12,FALSE())</f>
        <v>5.0137397426368718E-2</v>
      </c>
      <c r="K176" s="81">
        <f t="shared" si="15"/>
        <v>9.7595878077208944</v>
      </c>
      <c r="L176" s="81">
        <f t="shared" si="16"/>
        <v>10.060412192279106</v>
      </c>
      <c r="M176" s="81" t="str">
        <f t="shared" si="18"/>
        <v>NG</v>
      </c>
      <c r="N176" s="117">
        <f t="shared" si="17"/>
        <v>1</v>
      </c>
      <c r="O176" s="81">
        <f t="shared" si="19"/>
        <v>2.79</v>
      </c>
      <c r="P176" s="81">
        <f>IF(G176="","",ABS(O176-Components!$C$2))</f>
        <v>3.6666666666670178E-2</v>
      </c>
      <c r="Q176" s="81">
        <f>IF(G176="","",ABS(O176-Components!$C$3))</f>
        <v>1.2459999999999996</v>
      </c>
      <c r="R176" s="81">
        <f>IF(G176="","",ABS(O176-Components!$C$4))</f>
        <v>1.7966666666666671</v>
      </c>
      <c r="S176" s="81">
        <f>IF(G176="","",ABS(O176-Components!$C$5))</f>
        <v>1.7726666666666704</v>
      </c>
      <c r="T176" s="81">
        <f>IF(G176="","",ABS(O176-Components!$C$6))</f>
        <v>1.6343333333333301</v>
      </c>
      <c r="U176" s="81">
        <f>IF(G176="","",ABS(O176-Components!$C$7))</f>
        <v>1.41566666666667</v>
      </c>
      <c r="V176" s="81" t="str">
        <f>IF(F176="","",IF(M176="OK","NONE",INDEX({"S1","S2","W1","W2","N1","N2"},MATCH(MIN(P176:U176),P176:U176,0))))</f>
        <v>S1</v>
      </c>
      <c r="W176" s="117">
        <f t="shared" si="20"/>
        <v>1</v>
      </c>
      <c r="X176" s="119"/>
    </row>
    <row r="177" spans="1:24">
      <c r="A177" s="115">
        <v>175</v>
      </c>
      <c r="B177" s="116">
        <v>6</v>
      </c>
      <c r="C177" s="61" t="s">
        <v>130</v>
      </c>
      <c r="D177" s="61" t="s">
        <v>240</v>
      </c>
      <c r="E177" s="61" t="s">
        <v>99</v>
      </c>
      <c r="F177" s="52">
        <v>6.16</v>
      </c>
      <c r="G177" s="52">
        <f t="shared" si="14"/>
        <v>7.13</v>
      </c>
      <c r="H177" s="110"/>
      <c r="I177" s="81">
        <v>9.91</v>
      </c>
      <c r="J177" s="81">
        <f>VLOOKUP(C177,Recipes!$A$2:$N$4,12,FALSE())</f>
        <v>5.0137397426368718E-2</v>
      </c>
      <c r="K177" s="81">
        <f t="shared" si="15"/>
        <v>9.7595878077208944</v>
      </c>
      <c r="L177" s="81">
        <f t="shared" si="16"/>
        <v>10.060412192279106</v>
      </c>
      <c r="M177" s="81" t="str">
        <f t="shared" si="18"/>
        <v>NG</v>
      </c>
      <c r="N177" s="117">
        <f t="shared" si="17"/>
        <v>1</v>
      </c>
      <c r="O177" s="81">
        <f t="shared" si="19"/>
        <v>2.7800000000000002</v>
      </c>
      <c r="P177" s="81">
        <f>IF(G177="","",ABS(O177-Components!$C$2))</f>
        <v>2.6666666666670391E-2</v>
      </c>
      <c r="Q177" s="81">
        <f>IF(G177="","",ABS(O177-Components!$C$3))</f>
        <v>1.2559999999999993</v>
      </c>
      <c r="R177" s="81">
        <f>IF(G177="","",ABS(O177-Components!$C$4))</f>
        <v>1.7866666666666673</v>
      </c>
      <c r="S177" s="81">
        <f>IF(G177="","",ABS(O177-Components!$C$5))</f>
        <v>1.7826666666666702</v>
      </c>
      <c r="T177" s="81">
        <f>IF(G177="","",ABS(O177-Components!$C$6))</f>
        <v>1.6243333333333303</v>
      </c>
      <c r="U177" s="81">
        <f>IF(G177="","",ABS(O177-Components!$C$7))</f>
        <v>1.4056666666666702</v>
      </c>
      <c r="V177" s="81" t="str">
        <f>IF(F177="","",IF(M177="OK","NONE",INDEX({"S1","S2","W1","W2","N1","N2"},MATCH(MIN(P177:U177),P177:U177,0))))</f>
        <v>S1</v>
      </c>
      <c r="W177" s="117">
        <f t="shared" si="20"/>
        <v>1</v>
      </c>
      <c r="X177" s="119"/>
    </row>
    <row r="178" spans="1:24">
      <c r="A178" s="115">
        <v>176</v>
      </c>
      <c r="B178" s="116">
        <v>6</v>
      </c>
      <c r="C178" s="81" t="s">
        <v>130</v>
      </c>
      <c r="D178" s="111" t="s">
        <v>240</v>
      </c>
      <c r="E178" s="81" t="s">
        <v>99</v>
      </c>
      <c r="F178" s="52">
        <v>6.16</v>
      </c>
      <c r="G178" s="52">
        <f t="shared" si="14"/>
        <v>7.13</v>
      </c>
      <c r="H178" s="110"/>
      <c r="I178" s="81">
        <v>9.91</v>
      </c>
      <c r="J178" s="81">
        <f>VLOOKUP(C178,Recipes!$A$2:$N$4,12,FALSE())</f>
        <v>5.0137397426368718E-2</v>
      </c>
      <c r="K178" s="81">
        <f t="shared" si="15"/>
        <v>9.7595878077208944</v>
      </c>
      <c r="L178" s="81">
        <f t="shared" si="16"/>
        <v>10.060412192279106</v>
      </c>
      <c r="M178" s="81" t="str">
        <f t="shared" si="18"/>
        <v>NG</v>
      </c>
      <c r="N178" s="117">
        <f t="shared" si="17"/>
        <v>1</v>
      </c>
      <c r="O178" s="81">
        <f t="shared" si="19"/>
        <v>2.7800000000000002</v>
      </c>
      <c r="P178" s="81">
        <f>IF(G178="","",ABS(O178-Components!$C$2))</f>
        <v>2.6666666666670391E-2</v>
      </c>
      <c r="Q178" s="81">
        <f>IF(G178="","",ABS(O178-Components!$C$3))</f>
        <v>1.2559999999999993</v>
      </c>
      <c r="R178" s="81">
        <f>IF(G178="","",ABS(O178-Components!$C$4))</f>
        <v>1.7866666666666673</v>
      </c>
      <c r="S178" s="81">
        <f>IF(G178="","",ABS(O178-Components!$C$5))</f>
        <v>1.7826666666666702</v>
      </c>
      <c r="T178" s="81">
        <f>IF(G178="","",ABS(O178-Components!$C$6))</f>
        <v>1.6243333333333303</v>
      </c>
      <c r="U178" s="81">
        <f>IF(G178="","",ABS(O178-Components!$C$7))</f>
        <v>1.4056666666666702</v>
      </c>
      <c r="V178" s="81" t="str">
        <f>IF(F178="","",IF(M178="OK","NONE",INDEX({"S1","S2","W1","W2","N1","N2"},MATCH(MIN(P178:U178),P178:U178,0))))</f>
        <v>S1</v>
      </c>
      <c r="W178" s="117">
        <f t="shared" si="20"/>
        <v>1</v>
      </c>
      <c r="X178" s="119"/>
    </row>
    <row r="179" spans="1:24">
      <c r="A179" s="115">
        <v>177</v>
      </c>
      <c r="B179" s="116">
        <v>6</v>
      </c>
      <c r="C179" s="81" t="s">
        <v>130</v>
      </c>
      <c r="D179" s="111" t="s">
        <v>240</v>
      </c>
      <c r="E179" s="81" t="s">
        <v>99</v>
      </c>
      <c r="F179" s="52">
        <v>6.15</v>
      </c>
      <c r="G179" s="52">
        <f t="shared" si="14"/>
        <v>7.12</v>
      </c>
      <c r="H179" s="110"/>
      <c r="I179" s="81">
        <v>9.91</v>
      </c>
      <c r="J179" s="81">
        <f>VLOOKUP(C179,Recipes!$A$2:$N$4,12,FALSE())</f>
        <v>5.0137397426368718E-2</v>
      </c>
      <c r="K179" s="81">
        <f t="shared" si="15"/>
        <v>9.7595878077208944</v>
      </c>
      <c r="L179" s="81">
        <f t="shared" si="16"/>
        <v>10.060412192279106</v>
      </c>
      <c r="M179" s="81" t="str">
        <f t="shared" si="18"/>
        <v>NG</v>
      </c>
      <c r="N179" s="117">
        <f t="shared" si="17"/>
        <v>1</v>
      </c>
      <c r="O179" s="81">
        <f t="shared" si="19"/>
        <v>2.79</v>
      </c>
      <c r="P179" s="81">
        <f>IF(G179="","",ABS(O179-Components!$C$2))</f>
        <v>3.6666666666670178E-2</v>
      </c>
      <c r="Q179" s="81">
        <f>IF(G179="","",ABS(O179-Components!$C$3))</f>
        <v>1.2459999999999996</v>
      </c>
      <c r="R179" s="81">
        <f>IF(G179="","",ABS(O179-Components!$C$4))</f>
        <v>1.7966666666666671</v>
      </c>
      <c r="S179" s="81">
        <f>IF(G179="","",ABS(O179-Components!$C$5))</f>
        <v>1.7726666666666704</v>
      </c>
      <c r="T179" s="81">
        <f>IF(G179="","",ABS(O179-Components!$C$6))</f>
        <v>1.6343333333333301</v>
      </c>
      <c r="U179" s="81">
        <f>IF(G179="","",ABS(O179-Components!$C$7))</f>
        <v>1.41566666666667</v>
      </c>
      <c r="V179" s="81" t="str">
        <f>IF(F179="","",IF(M179="OK","NONE",INDEX({"S1","S2","W1","W2","N1","N2"},MATCH(MIN(P179:U179),P179:U179,0))))</f>
        <v>S1</v>
      </c>
      <c r="W179" s="117">
        <f t="shared" si="20"/>
        <v>1</v>
      </c>
      <c r="X179" s="119"/>
    </row>
    <row r="180" spans="1:24">
      <c r="A180" s="115">
        <v>178</v>
      </c>
      <c r="B180" s="116">
        <v>6</v>
      </c>
      <c r="C180" s="81" t="s">
        <v>130</v>
      </c>
      <c r="D180" s="111" t="s">
        <v>240</v>
      </c>
      <c r="E180" s="81" t="s">
        <v>99</v>
      </c>
      <c r="F180" s="52">
        <v>6.17</v>
      </c>
      <c r="G180" s="52">
        <f t="shared" si="14"/>
        <v>7.14</v>
      </c>
      <c r="H180" s="110"/>
      <c r="I180" s="81">
        <v>9.91</v>
      </c>
      <c r="J180" s="81">
        <f>VLOOKUP(C180,Recipes!$A$2:$N$4,12,FALSE())</f>
        <v>5.0137397426368718E-2</v>
      </c>
      <c r="K180" s="81">
        <f t="shared" si="15"/>
        <v>9.7595878077208944</v>
      </c>
      <c r="L180" s="81">
        <f t="shared" si="16"/>
        <v>10.060412192279106</v>
      </c>
      <c r="M180" s="81" t="str">
        <f t="shared" si="18"/>
        <v>NG</v>
      </c>
      <c r="N180" s="117">
        <f t="shared" si="17"/>
        <v>1</v>
      </c>
      <c r="O180" s="81">
        <f t="shared" si="19"/>
        <v>2.7700000000000005</v>
      </c>
      <c r="P180" s="81">
        <f>IF(G180="","",ABS(O180-Components!$C$2))</f>
        <v>1.6666666666670604E-2</v>
      </c>
      <c r="Q180" s="81">
        <f>IF(G180="","",ABS(O180-Components!$C$3))</f>
        <v>1.2659999999999991</v>
      </c>
      <c r="R180" s="81">
        <f>IF(G180="","",ABS(O180-Components!$C$4))</f>
        <v>1.7766666666666675</v>
      </c>
      <c r="S180" s="81">
        <f>IF(G180="","",ABS(O180-Components!$C$5))</f>
        <v>1.79266666666667</v>
      </c>
      <c r="T180" s="81">
        <f>IF(G180="","",ABS(O180-Components!$C$6))</f>
        <v>1.6143333333333305</v>
      </c>
      <c r="U180" s="81">
        <f>IF(G180="","",ABS(O180-Components!$C$7))</f>
        <v>1.3956666666666704</v>
      </c>
      <c r="V180" s="81" t="str">
        <f>IF(F180="","",IF(M180="OK","NONE",INDEX({"S1","S2","W1","W2","N1","N2"},MATCH(MIN(P180:U180),P180:U180,0))))</f>
        <v>S1</v>
      </c>
      <c r="W180" s="117">
        <f t="shared" si="20"/>
        <v>1</v>
      </c>
      <c r="X180" s="119"/>
    </row>
    <row r="181" spans="1:24">
      <c r="A181" s="115">
        <v>179</v>
      </c>
      <c r="B181" s="116">
        <v>6</v>
      </c>
      <c r="C181" s="81" t="s">
        <v>130</v>
      </c>
      <c r="D181" s="111" t="s">
        <v>240</v>
      </c>
      <c r="E181" s="81" t="s">
        <v>99</v>
      </c>
      <c r="F181" s="52">
        <v>6.2</v>
      </c>
      <c r="G181" s="52">
        <f t="shared" si="14"/>
        <v>7.17</v>
      </c>
      <c r="H181" s="110"/>
      <c r="I181" s="81">
        <v>9.91</v>
      </c>
      <c r="J181" s="81">
        <f>VLOOKUP(C181,Recipes!$A$2:$N$4,12,FALSE())</f>
        <v>5.0137397426368718E-2</v>
      </c>
      <c r="K181" s="81">
        <f t="shared" si="15"/>
        <v>9.7595878077208944</v>
      </c>
      <c r="L181" s="81">
        <f t="shared" si="16"/>
        <v>10.060412192279106</v>
      </c>
      <c r="M181" s="81" t="str">
        <f t="shared" si="18"/>
        <v>NG</v>
      </c>
      <c r="N181" s="117">
        <f t="shared" si="17"/>
        <v>1</v>
      </c>
      <c r="O181" s="81">
        <f t="shared" si="19"/>
        <v>2.74</v>
      </c>
      <c r="P181" s="81">
        <f>IF(G181="","",ABS(O181-Components!$C$2))</f>
        <v>1.3333333333329644E-2</v>
      </c>
      <c r="Q181" s="81">
        <f>IF(G181="","",ABS(O181-Components!$C$3))</f>
        <v>1.2959999999999994</v>
      </c>
      <c r="R181" s="81">
        <f>IF(G181="","",ABS(O181-Components!$C$4))</f>
        <v>1.7466666666666673</v>
      </c>
      <c r="S181" s="81">
        <f>IF(G181="","",ABS(O181-Components!$C$5))</f>
        <v>1.8226666666666702</v>
      </c>
      <c r="T181" s="81">
        <f>IF(G181="","",ABS(O181-Components!$C$6))</f>
        <v>1.5843333333333303</v>
      </c>
      <c r="U181" s="81">
        <f>IF(G181="","",ABS(O181-Components!$C$7))</f>
        <v>1.3656666666666701</v>
      </c>
      <c r="V181" s="81" t="str">
        <f>IF(F181="","",IF(M181="OK","NONE",INDEX({"S1","S2","W1","W2","N1","N2"},MATCH(MIN(P181:U181),P181:U181,0))))</f>
        <v>S1</v>
      </c>
      <c r="W181" s="117">
        <f t="shared" si="20"/>
        <v>1</v>
      </c>
      <c r="X181" s="119"/>
    </row>
    <row r="182" spans="1:24">
      <c r="A182" s="115">
        <v>180</v>
      </c>
      <c r="B182" s="116">
        <v>6</v>
      </c>
      <c r="C182" s="61" t="s">
        <v>130</v>
      </c>
      <c r="D182" s="61" t="s">
        <v>240</v>
      </c>
      <c r="E182" s="61" t="s">
        <v>99</v>
      </c>
      <c r="F182" s="52">
        <v>6.14</v>
      </c>
      <c r="G182" s="52">
        <f t="shared" si="14"/>
        <v>7.1099999999999994</v>
      </c>
      <c r="H182" s="110"/>
      <c r="I182" s="81">
        <v>9.91</v>
      </c>
      <c r="J182" s="81">
        <f>VLOOKUP(C182,Recipes!$A$2:$N$4,12,FALSE())</f>
        <v>5.0137397426368718E-2</v>
      </c>
      <c r="K182" s="81">
        <f t="shared" si="15"/>
        <v>9.7595878077208944</v>
      </c>
      <c r="L182" s="81">
        <f t="shared" si="16"/>
        <v>10.060412192279106</v>
      </c>
      <c r="M182" s="81" t="str">
        <f t="shared" si="18"/>
        <v>NG</v>
      </c>
      <c r="N182" s="117">
        <f t="shared" si="17"/>
        <v>1</v>
      </c>
      <c r="O182" s="81">
        <f t="shared" si="19"/>
        <v>2.8000000000000007</v>
      </c>
      <c r="P182" s="81">
        <f>IF(G182="","",ABS(O182-Components!$C$2))</f>
        <v>4.6666666666670853E-2</v>
      </c>
      <c r="Q182" s="81">
        <f>IF(G182="","",ABS(O182-Components!$C$3))</f>
        <v>1.2359999999999989</v>
      </c>
      <c r="R182" s="81">
        <f>IF(G182="","",ABS(O182-Components!$C$4))</f>
        <v>1.8066666666666678</v>
      </c>
      <c r="S182" s="81">
        <f>IF(G182="","",ABS(O182-Components!$C$5))</f>
        <v>1.7626666666666697</v>
      </c>
      <c r="T182" s="81">
        <f>IF(G182="","",ABS(O182-Components!$C$6))</f>
        <v>1.6443333333333308</v>
      </c>
      <c r="U182" s="81">
        <f>IF(G182="","",ABS(O182-Components!$C$7))</f>
        <v>1.4256666666666706</v>
      </c>
      <c r="V182" s="81" t="str">
        <f>IF(F182="","",IF(M182="OK","NONE",INDEX({"S1","S2","W1","W2","N1","N2"},MATCH(MIN(P182:U182),P182:U182,0))))</f>
        <v>S1</v>
      </c>
      <c r="W182" s="117">
        <f t="shared" si="20"/>
        <v>1</v>
      </c>
      <c r="X182" s="119"/>
    </row>
    <row r="183" spans="1:24">
      <c r="A183" s="115">
        <v>181</v>
      </c>
      <c r="B183" s="116">
        <v>7</v>
      </c>
      <c r="C183" s="81" t="s">
        <v>130</v>
      </c>
      <c r="D183" s="111" t="s">
        <v>240</v>
      </c>
      <c r="E183" s="81" t="s">
        <v>104</v>
      </c>
      <c r="F183" s="52">
        <v>7.99</v>
      </c>
      <c r="G183" s="52">
        <f t="shared" si="14"/>
        <v>8.9600000000000009</v>
      </c>
      <c r="H183" s="110"/>
      <c r="I183" s="81">
        <v>9.91</v>
      </c>
      <c r="J183" s="81">
        <f>VLOOKUP(C183,Recipes!$A$2:$N$4,12,FALSE())</f>
        <v>5.0137397426368718E-2</v>
      </c>
      <c r="K183" s="81">
        <f t="shared" si="15"/>
        <v>9.7595878077208944</v>
      </c>
      <c r="L183" s="81">
        <f t="shared" si="16"/>
        <v>10.060412192279106</v>
      </c>
      <c r="M183" s="81" t="str">
        <f t="shared" si="18"/>
        <v>NG</v>
      </c>
      <c r="N183" s="117">
        <f t="shared" si="17"/>
        <v>1</v>
      </c>
      <c r="O183" s="81">
        <f t="shared" si="19"/>
        <v>0.94999999999999929</v>
      </c>
      <c r="P183" s="81">
        <f>IF(G183="","",ABS(O183-Components!$C$2))</f>
        <v>1.8033333333333306</v>
      </c>
      <c r="Q183" s="81">
        <f>IF(G183="","",ABS(O183-Components!$C$3))</f>
        <v>3.0860000000000003</v>
      </c>
      <c r="R183" s="81">
        <f>IF(G183="","",ABS(O183-Components!$C$4))</f>
        <v>4.3333333333333668E-2</v>
      </c>
      <c r="S183" s="81">
        <f>IF(G183="","",ABS(O183-Components!$C$5))</f>
        <v>3.6126666666666711</v>
      </c>
      <c r="T183" s="81">
        <f>IF(G183="","",ABS(O183-Components!$C$6))</f>
        <v>0.20566666666667066</v>
      </c>
      <c r="U183" s="81">
        <f>IF(G183="","",ABS(O183-Components!$C$7))</f>
        <v>0.42433333333333079</v>
      </c>
      <c r="V183" s="81" t="str">
        <f>IF(F183="","",IF(M183="OK","NONE",INDEX({"S1","S2","W1","W2","N1","N2"},MATCH(MIN(P183:U183),P183:U183,0))))</f>
        <v>W1</v>
      </c>
      <c r="W183" s="117">
        <f t="shared" si="20"/>
        <v>1</v>
      </c>
      <c r="X183" s="119"/>
    </row>
    <row r="184" spans="1:24">
      <c r="A184" s="115">
        <v>182</v>
      </c>
      <c r="B184" s="116">
        <v>7</v>
      </c>
      <c r="C184" s="81" t="s">
        <v>130</v>
      </c>
      <c r="D184" s="111" t="s">
        <v>240</v>
      </c>
      <c r="E184" s="81" t="s">
        <v>104</v>
      </c>
      <c r="F184" s="52">
        <v>7.97</v>
      </c>
      <c r="G184" s="52">
        <f t="shared" si="14"/>
        <v>8.94</v>
      </c>
      <c r="H184" s="110"/>
      <c r="I184" s="81">
        <v>9.91</v>
      </c>
      <c r="J184" s="81">
        <f>VLOOKUP(C184,Recipes!$A$2:$N$4,12,FALSE())</f>
        <v>5.0137397426368718E-2</v>
      </c>
      <c r="K184" s="81">
        <f t="shared" si="15"/>
        <v>9.7595878077208944</v>
      </c>
      <c r="L184" s="81">
        <f t="shared" si="16"/>
        <v>10.060412192279106</v>
      </c>
      <c r="M184" s="81" t="str">
        <f t="shared" si="18"/>
        <v>NG</v>
      </c>
      <c r="N184" s="117">
        <f t="shared" si="17"/>
        <v>1</v>
      </c>
      <c r="O184" s="81">
        <f t="shared" si="19"/>
        <v>0.97000000000000064</v>
      </c>
      <c r="P184" s="81">
        <f>IF(G184="","",ABS(O184-Components!$C$2))</f>
        <v>1.7833333333333292</v>
      </c>
      <c r="Q184" s="81">
        <f>IF(G184="","",ABS(O184-Components!$C$3))</f>
        <v>3.0659999999999989</v>
      </c>
      <c r="R184" s="81">
        <f>IF(G184="","",ABS(O184-Components!$C$4))</f>
        <v>2.3333333333332318E-2</v>
      </c>
      <c r="S184" s="81">
        <f>IF(G184="","",ABS(O184-Components!$C$5))</f>
        <v>3.5926666666666698</v>
      </c>
      <c r="T184" s="81">
        <f>IF(G184="","",ABS(O184-Components!$C$6))</f>
        <v>0.18566666666666931</v>
      </c>
      <c r="U184" s="81">
        <f>IF(G184="","",ABS(O184-Components!$C$7))</f>
        <v>0.40433333333332944</v>
      </c>
      <c r="V184" s="81" t="str">
        <f>IF(F184="","",IF(M184="OK","NONE",INDEX({"S1","S2","W1","W2","N1","N2"},MATCH(MIN(P184:U184),P184:U184,0))))</f>
        <v>W1</v>
      </c>
      <c r="W184" s="117">
        <f t="shared" si="20"/>
        <v>1</v>
      </c>
      <c r="X184" s="119"/>
    </row>
    <row r="185" spans="1:24">
      <c r="A185" s="115">
        <v>183</v>
      </c>
      <c r="B185" s="116">
        <v>7</v>
      </c>
      <c r="C185" s="81" t="s">
        <v>130</v>
      </c>
      <c r="D185" s="111" t="s">
        <v>240</v>
      </c>
      <c r="E185" s="81" t="s">
        <v>104</v>
      </c>
      <c r="F185" s="52">
        <v>7.97</v>
      </c>
      <c r="G185" s="52">
        <f t="shared" si="14"/>
        <v>8.94</v>
      </c>
      <c r="H185" s="110"/>
      <c r="I185" s="81">
        <v>9.91</v>
      </c>
      <c r="J185" s="81">
        <f>VLOOKUP(C185,Recipes!$A$2:$N$4,12,FALSE())</f>
        <v>5.0137397426368718E-2</v>
      </c>
      <c r="K185" s="81">
        <f t="shared" si="15"/>
        <v>9.7595878077208944</v>
      </c>
      <c r="L185" s="81">
        <f t="shared" si="16"/>
        <v>10.060412192279106</v>
      </c>
      <c r="M185" s="81" t="str">
        <f t="shared" si="18"/>
        <v>NG</v>
      </c>
      <c r="N185" s="117">
        <f t="shared" si="17"/>
        <v>1</v>
      </c>
      <c r="O185" s="81">
        <f t="shared" si="19"/>
        <v>0.97000000000000064</v>
      </c>
      <c r="P185" s="81">
        <f>IF(G185="","",ABS(O185-Components!$C$2))</f>
        <v>1.7833333333333292</v>
      </c>
      <c r="Q185" s="81">
        <f>IF(G185="","",ABS(O185-Components!$C$3))</f>
        <v>3.0659999999999989</v>
      </c>
      <c r="R185" s="81">
        <f>IF(G185="","",ABS(O185-Components!$C$4))</f>
        <v>2.3333333333332318E-2</v>
      </c>
      <c r="S185" s="81">
        <f>IF(G185="","",ABS(O185-Components!$C$5))</f>
        <v>3.5926666666666698</v>
      </c>
      <c r="T185" s="81">
        <f>IF(G185="","",ABS(O185-Components!$C$6))</f>
        <v>0.18566666666666931</v>
      </c>
      <c r="U185" s="81">
        <f>IF(G185="","",ABS(O185-Components!$C$7))</f>
        <v>0.40433333333332944</v>
      </c>
      <c r="V185" s="81" t="str">
        <f>IF(F185="","",IF(M185="OK","NONE",INDEX({"S1","S2","W1","W2","N1","N2"},MATCH(MIN(P185:U185),P185:U185,0))))</f>
        <v>W1</v>
      </c>
      <c r="W185" s="117">
        <f t="shared" si="20"/>
        <v>1</v>
      </c>
      <c r="X185" s="119"/>
    </row>
    <row r="186" spans="1:24">
      <c r="A186" s="115">
        <v>184</v>
      </c>
      <c r="B186" s="116">
        <v>7</v>
      </c>
      <c r="C186" s="81" t="s">
        <v>130</v>
      </c>
      <c r="D186" s="111" t="s">
        <v>240</v>
      </c>
      <c r="E186" s="81" t="s">
        <v>104</v>
      </c>
      <c r="F186" s="52">
        <v>7.94</v>
      </c>
      <c r="G186" s="52">
        <f t="shared" si="14"/>
        <v>8.91</v>
      </c>
      <c r="H186" s="110"/>
      <c r="I186" s="81">
        <v>9.91</v>
      </c>
      <c r="J186" s="81">
        <f>VLOOKUP(C186,Recipes!$A$2:$N$4,12,FALSE())</f>
        <v>5.0137397426368718E-2</v>
      </c>
      <c r="K186" s="81">
        <f t="shared" si="15"/>
        <v>9.7595878077208944</v>
      </c>
      <c r="L186" s="81">
        <f t="shared" si="16"/>
        <v>10.060412192279106</v>
      </c>
      <c r="M186" s="81" t="str">
        <f t="shared" si="18"/>
        <v>NG</v>
      </c>
      <c r="N186" s="117">
        <f t="shared" si="17"/>
        <v>1</v>
      </c>
      <c r="O186" s="81">
        <f t="shared" si="19"/>
        <v>1</v>
      </c>
      <c r="P186" s="81">
        <f>IF(G186="","",ABS(O186-Components!$C$2))</f>
        <v>1.7533333333333299</v>
      </c>
      <c r="Q186" s="81">
        <f>IF(G186="","",ABS(O186-Components!$C$3))</f>
        <v>3.0359999999999996</v>
      </c>
      <c r="R186" s="81">
        <f>IF(G186="","",ABS(O186-Components!$C$4))</f>
        <v>6.6666666666670427E-3</v>
      </c>
      <c r="S186" s="81">
        <f>IF(G186="","",ABS(O186-Components!$C$5))</f>
        <v>3.5626666666666704</v>
      </c>
      <c r="T186" s="81">
        <f>IF(G186="","",ABS(O186-Components!$C$6))</f>
        <v>0.15566666666666995</v>
      </c>
      <c r="U186" s="81">
        <f>IF(G186="","",ABS(O186-Components!$C$7))</f>
        <v>0.37433333333333008</v>
      </c>
      <c r="V186" s="81" t="str">
        <f>IF(F186="","",IF(M186="OK","NONE",INDEX({"S1","S2","W1","W2","N1","N2"},MATCH(MIN(P186:U186),P186:U186,0))))</f>
        <v>W1</v>
      </c>
      <c r="W186" s="117">
        <f t="shared" si="20"/>
        <v>1</v>
      </c>
      <c r="X186" s="119"/>
    </row>
    <row r="187" spans="1:24">
      <c r="A187" s="115">
        <v>185</v>
      </c>
      <c r="B187" s="116">
        <v>7</v>
      </c>
      <c r="C187" s="61" t="s">
        <v>130</v>
      </c>
      <c r="D187" s="61" t="s">
        <v>240</v>
      </c>
      <c r="E187" s="61" t="s">
        <v>104</v>
      </c>
      <c r="F187" s="52">
        <v>7.96</v>
      </c>
      <c r="G187" s="52">
        <f t="shared" si="14"/>
        <v>8.93</v>
      </c>
      <c r="H187" s="110"/>
      <c r="I187" s="81">
        <v>9.91</v>
      </c>
      <c r="J187" s="81">
        <f>VLOOKUP(C187,Recipes!$A$2:$N$4,12,FALSE())</f>
        <v>5.0137397426368718E-2</v>
      </c>
      <c r="K187" s="81">
        <f t="shared" si="15"/>
        <v>9.7595878077208944</v>
      </c>
      <c r="L187" s="81">
        <f t="shared" si="16"/>
        <v>10.060412192279106</v>
      </c>
      <c r="M187" s="81" t="str">
        <f t="shared" si="18"/>
        <v>NG</v>
      </c>
      <c r="N187" s="117">
        <f t="shared" si="17"/>
        <v>1</v>
      </c>
      <c r="O187" s="81">
        <f t="shared" si="19"/>
        <v>0.98000000000000043</v>
      </c>
      <c r="P187" s="81">
        <f>IF(G187="","",ABS(O187-Components!$C$2))</f>
        <v>1.7733333333333294</v>
      </c>
      <c r="Q187" s="81">
        <f>IF(G187="","",ABS(O187-Components!$C$3))</f>
        <v>3.0559999999999992</v>
      </c>
      <c r="R187" s="81">
        <f>IF(G187="","",ABS(O187-Components!$C$4))</f>
        <v>1.3333333333332531E-2</v>
      </c>
      <c r="S187" s="81">
        <f>IF(G187="","",ABS(O187-Components!$C$5))</f>
        <v>3.58266666666667</v>
      </c>
      <c r="T187" s="81">
        <f>IF(G187="","",ABS(O187-Components!$C$6))</f>
        <v>0.17566666666666952</v>
      </c>
      <c r="U187" s="81">
        <f>IF(G187="","",ABS(O187-Components!$C$7))</f>
        <v>0.39433333333332965</v>
      </c>
      <c r="V187" s="81" t="str">
        <f>IF(F187="","",IF(M187="OK","NONE",INDEX({"S1","S2","W1","W2","N1","N2"},MATCH(MIN(P187:U187),P187:U187,0))))</f>
        <v>W1</v>
      </c>
      <c r="W187" s="117">
        <f t="shared" si="20"/>
        <v>1</v>
      </c>
      <c r="X187" s="119"/>
    </row>
    <row r="188" spans="1:24">
      <c r="A188" s="115">
        <v>186</v>
      </c>
      <c r="B188" s="116">
        <v>7</v>
      </c>
      <c r="C188" s="81" t="s">
        <v>130</v>
      </c>
      <c r="D188" s="111" t="s">
        <v>240</v>
      </c>
      <c r="E188" s="81" t="s">
        <v>104</v>
      </c>
      <c r="F188" s="52">
        <v>8.02</v>
      </c>
      <c r="G188" s="52">
        <f t="shared" si="14"/>
        <v>8.99</v>
      </c>
      <c r="H188" s="110"/>
      <c r="I188" s="81">
        <v>9.91</v>
      </c>
      <c r="J188" s="81">
        <f>VLOOKUP(C188,Recipes!$A$2:$N$4,12,FALSE())</f>
        <v>5.0137397426368718E-2</v>
      </c>
      <c r="K188" s="81">
        <f t="shared" si="15"/>
        <v>9.7595878077208944</v>
      </c>
      <c r="L188" s="81">
        <f t="shared" si="16"/>
        <v>10.060412192279106</v>
      </c>
      <c r="M188" s="81" t="str">
        <f t="shared" si="18"/>
        <v>NG</v>
      </c>
      <c r="N188" s="117">
        <f t="shared" si="17"/>
        <v>1</v>
      </c>
      <c r="O188" s="81">
        <f t="shared" si="19"/>
        <v>0.91999999999999993</v>
      </c>
      <c r="P188" s="81">
        <f>IF(G188="","",ABS(O188-Components!$C$2))</f>
        <v>1.8333333333333299</v>
      </c>
      <c r="Q188" s="81">
        <f>IF(G188="","",ABS(O188-Components!$C$3))</f>
        <v>3.1159999999999997</v>
      </c>
      <c r="R188" s="81">
        <f>IF(G188="","",ABS(O188-Components!$C$4))</f>
        <v>7.3333333333333028E-2</v>
      </c>
      <c r="S188" s="81">
        <f>IF(G188="","",ABS(O188-Components!$C$5))</f>
        <v>3.6426666666666705</v>
      </c>
      <c r="T188" s="81">
        <f>IF(G188="","",ABS(O188-Components!$C$6))</f>
        <v>0.23566666666667002</v>
      </c>
      <c r="U188" s="81">
        <f>IF(G188="","",ABS(O188-Components!$C$7))</f>
        <v>0.45433333333333015</v>
      </c>
      <c r="V188" s="81" t="str">
        <f>IF(F188="","",IF(M188="OK","NONE",INDEX({"S1","S2","W1","W2","N1","N2"},MATCH(MIN(P188:U188),P188:U188,0))))</f>
        <v>W1</v>
      </c>
      <c r="W188" s="117">
        <f t="shared" si="20"/>
        <v>1</v>
      </c>
      <c r="X188" s="119"/>
    </row>
    <row r="189" spans="1:24">
      <c r="A189" s="115">
        <v>187</v>
      </c>
      <c r="B189" s="116">
        <v>7</v>
      </c>
      <c r="C189" s="81" t="s">
        <v>130</v>
      </c>
      <c r="D189" s="111" t="s">
        <v>240</v>
      </c>
      <c r="E189" s="81" t="s">
        <v>104</v>
      </c>
      <c r="F189" s="52">
        <v>8.07</v>
      </c>
      <c r="G189" s="52">
        <f t="shared" si="14"/>
        <v>9.0400000000000009</v>
      </c>
      <c r="H189" s="110"/>
      <c r="I189" s="81">
        <v>9.91</v>
      </c>
      <c r="J189" s="81">
        <f>VLOOKUP(C189,Recipes!$A$2:$N$4,12,FALSE())</f>
        <v>5.0137397426368718E-2</v>
      </c>
      <c r="K189" s="81">
        <f t="shared" si="15"/>
        <v>9.7595878077208944</v>
      </c>
      <c r="L189" s="81">
        <f t="shared" si="16"/>
        <v>10.060412192279106</v>
      </c>
      <c r="M189" s="81" t="str">
        <f t="shared" si="18"/>
        <v>NG</v>
      </c>
      <c r="N189" s="117">
        <f t="shared" si="17"/>
        <v>1</v>
      </c>
      <c r="O189" s="81">
        <f t="shared" si="19"/>
        <v>0.86999999999999922</v>
      </c>
      <c r="P189" s="81">
        <f>IF(G189="","",ABS(O189-Components!$C$2))</f>
        <v>1.8833333333333306</v>
      </c>
      <c r="Q189" s="81">
        <f>IF(G189="","",ABS(O189-Components!$C$3))</f>
        <v>3.1660000000000004</v>
      </c>
      <c r="R189" s="81">
        <f>IF(G189="","",ABS(O189-Components!$C$4))</f>
        <v>0.12333333333333374</v>
      </c>
      <c r="S189" s="81">
        <f>IF(G189="","",ABS(O189-Components!$C$5))</f>
        <v>3.6926666666666712</v>
      </c>
      <c r="T189" s="81">
        <f>IF(G189="","",ABS(O189-Components!$C$6))</f>
        <v>0.28566666666667073</v>
      </c>
      <c r="U189" s="81">
        <f>IF(G189="","",ABS(O189-Components!$C$7))</f>
        <v>0.50433333333333086</v>
      </c>
      <c r="V189" s="81" t="str">
        <f>IF(F189="","",IF(M189="OK","NONE",INDEX({"S1","S2","W1","W2","N1","N2"},MATCH(MIN(P189:U189),P189:U189,0))))</f>
        <v>W1</v>
      </c>
      <c r="W189" s="117">
        <f t="shared" si="20"/>
        <v>1</v>
      </c>
      <c r="X189" s="119"/>
    </row>
    <row r="190" spans="1:24">
      <c r="A190" s="115">
        <v>188</v>
      </c>
      <c r="B190" s="116">
        <v>7</v>
      </c>
      <c r="C190" s="81" t="s">
        <v>130</v>
      </c>
      <c r="D190" s="111" t="s">
        <v>240</v>
      </c>
      <c r="E190" s="81" t="s">
        <v>104</v>
      </c>
      <c r="F190" s="52">
        <v>7.89</v>
      </c>
      <c r="G190" s="52">
        <f t="shared" si="14"/>
        <v>8.86</v>
      </c>
      <c r="H190" s="110"/>
      <c r="I190" s="81">
        <v>9.91</v>
      </c>
      <c r="J190" s="81">
        <f>VLOOKUP(C190,Recipes!$A$2:$N$4,12,FALSE())</f>
        <v>5.0137397426368718E-2</v>
      </c>
      <c r="K190" s="81">
        <f t="shared" si="15"/>
        <v>9.7595878077208944</v>
      </c>
      <c r="L190" s="81">
        <f t="shared" si="16"/>
        <v>10.060412192279106</v>
      </c>
      <c r="M190" s="81" t="str">
        <f t="shared" si="18"/>
        <v>NG</v>
      </c>
      <c r="N190" s="117">
        <f t="shared" si="17"/>
        <v>1</v>
      </c>
      <c r="O190" s="81">
        <f t="shared" si="19"/>
        <v>1.0500000000000007</v>
      </c>
      <c r="P190" s="81">
        <f>IF(G190="","",ABS(O190-Components!$C$2))</f>
        <v>1.7033333333333291</v>
      </c>
      <c r="Q190" s="81">
        <f>IF(G190="","",ABS(O190-Components!$C$3))</f>
        <v>2.9859999999999989</v>
      </c>
      <c r="R190" s="81">
        <f>IF(G190="","",ABS(O190-Components!$C$4))</f>
        <v>5.6666666666667753E-2</v>
      </c>
      <c r="S190" s="81">
        <f>IF(G190="","",ABS(O190-Components!$C$5))</f>
        <v>3.5126666666666697</v>
      </c>
      <c r="T190" s="81">
        <f>IF(G190="","",ABS(O190-Components!$C$6))</f>
        <v>0.10566666666666924</v>
      </c>
      <c r="U190" s="81">
        <f>IF(G190="","",ABS(O190-Components!$C$7))</f>
        <v>0.32433333333332937</v>
      </c>
      <c r="V190" s="81" t="str">
        <f>IF(F190="","",IF(M190="OK","NONE",INDEX({"S1","S2","W1","W2","N1","N2"},MATCH(MIN(P190:U190),P190:U190,0))))</f>
        <v>W1</v>
      </c>
      <c r="W190" s="117">
        <f t="shared" si="20"/>
        <v>1</v>
      </c>
      <c r="X190" s="119"/>
    </row>
    <row r="191" spans="1:24">
      <c r="A191" s="115">
        <v>189</v>
      </c>
      <c r="B191" s="116">
        <v>7</v>
      </c>
      <c r="C191" s="81" t="s">
        <v>130</v>
      </c>
      <c r="D191" s="111" t="s">
        <v>240</v>
      </c>
      <c r="E191" s="81" t="s">
        <v>104</v>
      </c>
      <c r="F191" s="52">
        <v>7.91</v>
      </c>
      <c r="G191" s="52">
        <f t="shared" si="14"/>
        <v>8.8800000000000008</v>
      </c>
      <c r="H191" s="110"/>
      <c r="I191" s="81">
        <v>9.91</v>
      </c>
      <c r="J191" s="81">
        <f>VLOOKUP(C191,Recipes!$A$2:$N$4,12,FALSE())</f>
        <v>5.0137397426368718E-2</v>
      </c>
      <c r="K191" s="81">
        <f t="shared" si="15"/>
        <v>9.7595878077208944</v>
      </c>
      <c r="L191" s="81">
        <f t="shared" si="16"/>
        <v>10.060412192279106</v>
      </c>
      <c r="M191" s="81" t="str">
        <f t="shared" si="18"/>
        <v>NG</v>
      </c>
      <c r="N191" s="117">
        <f t="shared" si="17"/>
        <v>1</v>
      </c>
      <c r="O191" s="81">
        <f t="shared" si="19"/>
        <v>1.0299999999999994</v>
      </c>
      <c r="P191" s="81">
        <f>IF(G191="","",ABS(O191-Components!$C$2))</f>
        <v>1.7233333333333305</v>
      </c>
      <c r="Q191" s="81">
        <f>IF(G191="","",ABS(O191-Components!$C$3))</f>
        <v>3.0060000000000002</v>
      </c>
      <c r="R191" s="81">
        <f>IF(G191="","",ABS(O191-Components!$C$4))</f>
        <v>3.6666666666666403E-2</v>
      </c>
      <c r="S191" s="81">
        <f>IF(G191="","",ABS(O191-Components!$C$5))</f>
        <v>3.5326666666666711</v>
      </c>
      <c r="T191" s="81">
        <f>IF(G191="","",ABS(O191-Components!$C$6))</f>
        <v>0.12566666666667059</v>
      </c>
      <c r="U191" s="81">
        <f>IF(G191="","",ABS(O191-Components!$C$7))</f>
        <v>0.34433333333333072</v>
      </c>
      <c r="V191" s="81" t="str">
        <f>IF(F191="","",IF(M191="OK","NONE",INDEX({"S1","S2","W1","W2","N1","N2"},MATCH(MIN(P191:U191),P191:U191,0))))</f>
        <v>W1</v>
      </c>
      <c r="W191" s="117">
        <f t="shared" si="20"/>
        <v>1</v>
      </c>
      <c r="X191" s="119"/>
    </row>
    <row r="192" spans="1:24">
      <c r="A192" s="115">
        <v>190</v>
      </c>
      <c r="B192" s="116">
        <v>7</v>
      </c>
      <c r="C192" s="61" t="s">
        <v>130</v>
      </c>
      <c r="D192" s="61" t="s">
        <v>240</v>
      </c>
      <c r="E192" s="61" t="s">
        <v>104</v>
      </c>
      <c r="F192" s="52">
        <v>7.95</v>
      </c>
      <c r="G192" s="52">
        <f t="shared" si="14"/>
        <v>8.92</v>
      </c>
      <c r="H192" s="110"/>
      <c r="I192" s="81">
        <v>9.91</v>
      </c>
      <c r="J192" s="81">
        <f>VLOOKUP(C192,Recipes!$A$2:$N$4,12,FALSE())</f>
        <v>5.0137397426368718E-2</v>
      </c>
      <c r="K192" s="81">
        <f t="shared" si="15"/>
        <v>9.7595878077208944</v>
      </c>
      <c r="L192" s="81">
        <f t="shared" si="16"/>
        <v>10.060412192279106</v>
      </c>
      <c r="M192" s="81" t="str">
        <f t="shared" si="18"/>
        <v>NG</v>
      </c>
      <c r="N192" s="117">
        <f t="shared" si="17"/>
        <v>1</v>
      </c>
      <c r="O192" s="81">
        <f t="shared" si="19"/>
        <v>0.99000000000000021</v>
      </c>
      <c r="P192" s="81">
        <f>IF(G192="","",ABS(O192-Components!$C$2))</f>
        <v>1.7633333333333296</v>
      </c>
      <c r="Q192" s="81">
        <f>IF(G192="","",ABS(O192-Components!$C$3))</f>
        <v>3.0459999999999994</v>
      </c>
      <c r="R192" s="81">
        <f>IF(G192="","",ABS(O192-Components!$C$4))</f>
        <v>3.3333333333327442E-3</v>
      </c>
      <c r="S192" s="81">
        <f>IF(G192="","",ABS(O192-Components!$C$5))</f>
        <v>3.5726666666666702</v>
      </c>
      <c r="T192" s="81">
        <f>IF(G192="","",ABS(O192-Components!$C$6))</f>
        <v>0.16566666666666974</v>
      </c>
      <c r="U192" s="81">
        <f>IF(G192="","",ABS(O192-Components!$C$7))</f>
        <v>0.38433333333332986</v>
      </c>
      <c r="V192" s="81" t="str">
        <f>IF(F192="","",IF(M192="OK","NONE",INDEX({"S1","S2","W1","W2","N1","N2"},MATCH(MIN(P192:U192),P192:U192,0))))</f>
        <v>W1</v>
      </c>
      <c r="W192" s="117">
        <f t="shared" si="20"/>
        <v>1</v>
      </c>
      <c r="X192" s="119"/>
    </row>
    <row r="193" spans="1:24">
      <c r="A193" s="115">
        <v>191</v>
      </c>
      <c r="B193" s="116">
        <v>7</v>
      </c>
      <c r="C193" s="81" t="s">
        <v>130</v>
      </c>
      <c r="D193" s="111" t="s">
        <v>240</v>
      </c>
      <c r="E193" s="81" t="s">
        <v>104</v>
      </c>
      <c r="F193" s="52">
        <v>7.95</v>
      </c>
      <c r="G193" s="52">
        <f t="shared" si="14"/>
        <v>8.92</v>
      </c>
      <c r="H193" s="110"/>
      <c r="I193" s="81">
        <v>9.91</v>
      </c>
      <c r="J193" s="81">
        <f>VLOOKUP(C193,Recipes!$A$2:$N$4,12,FALSE())</f>
        <v>5.0137397426368718E-2</v>
      </c>
      <c r="K193" s="81">
        <f t="shared" si="15"/>
        <v>9.7595878077208944</v>
      </c>
      <c r="L193" s="81">
        <f t="shared" si="16"/>
        <v>10.060412192279106</v>
      </c>
      <c r="M193" s="81" t="str">
        <f t="shared" si="18"/>
        <v>NG</v>
      </c>
      <c r="N193" s="117">
        <f t="shared" si="17"/>
        <v>1</v>
      </c>
      <c r="O193" s="81">
        <f t="shared" si="19"/>
        <v>0.99000000000000021</v>
      </c>
      <c r="P193" s="81">
        <f>IF(G193="","",ABS(O193-Components!$C$2))</f>
        <v>1.7633333333333296</v>
      </c>
      <c r="Q193" s="81">
        <f>IF(G193="","",ABS(O193-Components!$C$3))</f>
        <v>3.0459999999999994</v>
      </c>
      <c r="R193" s="81">
        <f>IF(G193="","",ABS(O193-Components!$C$4))</f>
        <v>3.3333333333327442E-3</v>
      </c>
      <c r="S193" s="81">
        <f>IF(G193="","",ABS(O193-Components!$C$5))</f>
        <v>3.5726666666666702</v>
      </c>
      <c r="T193" s="81">
        <f>IF(G193="","",ABS(O193-Components!$C$6))</f>
        <v>0.16566666666666974</v>
      </c>
      <c r="U193" s="81">
        <f>IF(G193="","",ABS(O193-Components!$C$7))</f>
        <v>0.38433333333332986</v>
      </c>
      <c r="V193" s="81" t="str">
        <f>IF(F193="","",IF(M193="OK","NONE",INDEX({"S1","S2","W1","W2","N1","N2"},MATCH(MIN(P193:U193),P193:U193,0))))</f>
        <v>W1</v>
      </c>
      <c r="W193" s="117">
        <f t="shared" si="20"/>
        <v>1</v>
      </c>
      <c r="X193" s="119"/>
    </row>
    <row r="194" spans="1:24">
      <c r="A194" s="115">
        <v>192</v>
      </c>
      <c r="B194" s="116">
        <v>7</v>
      </c>
      <c r="C194" s="81" t="s">
        <v>130</v>
      </c>
      <c r="D194" s="111" t="s">
        <v>240</v>
      </c>
      <c r="E194" s="81" t="s">
        <v>104</v>
      </c>
      <c r="F194" s="52">
        <v>7.9</v>
      </c>
      <c r="G194" s="52">
        <f t="shared" si="14"/>
        <v>8.870000000000001</v>
      </c>
      <c r="H194" s="110"/>
      <c r="I194" s="81">
        <v>9.91</v>
      </c>
      <c r="J194" s="81">
        <f>VLOOKUP(C194,Recipes!$A$2:$N$4,12,FALSE())</f>
        <v>5.0137397426368718E-2</v>
      </c>
      <c r="K194" s="81">
        <f t="shared" si="15"/>
        <v>9.7595878077208944</v>
      </c>
      <c r="L194" s="81">
        <f t="shared" si="16"/>
        <v>10.060412192279106</v>
      </c>
      <c r="M194" s="81" t="str">
        <f t="shared" si="18"/>
        <v>NG</v>
      </c>
      <c r="N194" s="117">
        <f t="shared" si="17"/>
        <v>1</v>
      </c>
      <c r="O194" s="81">
        <f t="shared" si="19"/>
        <v>1.0399999999999991</v>
      </c>
      <c r="P194" s="81">
        <f>IF(G194="","",ABS(O194-Components!$C$2))</f>
        <v>1.7133333333333307</v>
      </c>
      <c r="Q194" s="81">
        <f>IF(G194="","",ABS(O194-Components!$C$3))</f>
        <v>2.9960000000000004</v>
      </c>
      <c r="R194" s="81">
        <f>IF(G194="","",ABS(O194-Components!$C$4))</f>
        <v>4.666666666666619E-2</v>
      </c>
      <c r="S194" s="81">
        <f>IF(G194="","",ABS(O194-Components!$C$5))</f>
        <v>3.5226666666666713</v>
      </c>
      <c r="T194" s="81">
        <f>IF(G194="","",ABS(O194-Components!$C$6))</f>
        <v>0.1156666666666708</v>
      </c>
      <c r="U194" s="81">
        <f>IF(G194="","",ABS(O194-Components!$C$7))</f>
        <v>0.33433333333333093</v>
      </c>
      <c r="V194" s="81" t="str">
        <f>IF(F194="","",IF(M194="OK","NONE",INDEX({"S1","S2","W1","W2","N1","N2"},MATCH(MIN(P194:U194),P194:U194,0))))</f>
        <v>W1</v>
      </c>
      <c r="W194" s="117">
        <f t="shared" si="20"/>
        <v>1</v>
      </c>
      <c r="X194" s="119"/>
    </row>
    <row r="195" spans="1:24">
      <c r="A195" s="115">
        <v>193</v>
      </c>
      <c r="B195" s="116">
        <v>7</v>
      </c>
      <c r="C195" s="81" t="s">
        <v>130</v>
      </c>
      <c r="D195" s="111" t="s">
        <v>240</v>
      </c>
      <c r="E195" s="81" t="s">
        <v>104</v>
      </c>
      <c r="F195" s="52">
        <v>7.91</v>
      </c>
      <c r="G195" s="52">
        <f t="shared" ref="G195:G258" si="21">0.97+F195</f>
        <v>8.8800000000000008</v>
      </c>
      <c r="H195" s="110"/>
      <c r="I195" s="81">
        <v>9.91</v>
      </c>
      <c r="J195" s="81">
        <f>VLOOKUP(C195,Recipes!$A$2:$N$4,12,FALSE())</f>
        <v>5.0137397426368718E-2</v>
      </c>
      <c r="K195" s="81">
        <f t="shared" ref="K195:K258" si="22">I195-3*J195</f>
        <v>9.7595878077208944</v>
      </c>
      <c r="L195" s="81">
        <f t="shared" ref="L195:L258" si="23">I195+3*J195</f>
        <v>10.060412192279106</v>
      </c>
      <c r="M195" s="81" t="str">
        <f t="shared" si="18"/>
        <v>NG</v>
      </c>
      <c r="N195" s="117">
        <f t="shared" ref="N195:N258" si="24">IF(M195="","",IF(M195=D195,1,0))</f>
        <v>1</v>
      </c>
      <c r="O195" s="81">
        <f t="shared" si="19"/>
        <v>1.0299999999999994</v>
      </c>
      <c r="P195" s="81">
        <f>IF(G195="","",ABS(O195-Components!$C$2))</f>
        <v>1.7233333333333305</v>
      </c>
      <c r="Q195" s="81">
        <f>IF(G195="","",ABS(O195-Components!$C$3))</f>
        <v>3.0060000000000002</v>
      </c>
      <c r="R195" s="81">
        <f>IF(G195="","",ABS(O195-Components!$C$4))</f>
        <v>3.6666666666666403E-2</v>
      </c>
      <c r="S195" s="81">
        <f>IF(G195="","",ABS(O195-Components!$C$5))</f>
        <v>3.5326666666666711</v>
      </c>
      <c r="T195" s="81">
        <f>IF(G195="","",ABS(O195-Components!$C$6))</f>
        <v>0.12566666666667059</v>
      </c>
      <c r="U195" s="81">
        <f>IF(G195="","",ABS(O195-Components!$C$7))</f>
        <v>0.34433333333333072</v>
      </c>
      <c r="V195" s="81" t="str">
        <f>IF(F195="","",IF(M195="OK","NONE",INDEX({"S1","S2","W1","W2","N1","N2"},MATCH(MIN(P195:U195),P195:U195,0))))</f>
        <v>W1</v>
      </c>
      <c r="W195" s="117">
        <f t="shared" si="20"/>
        <v>1</v>
      </c>
      <c r="X195" s="119"/>
    </row>
    <row r="196" spans="1:24">
      <c r="A196" s="115">
        <v>194</v>
      </c>
      <c r="B196" s="116">
        <v>7</v>
      </c>
      <c r="C196" s="81" t="s">
        <v>130</v>
      </c>
      <c r="D196" s="111" t="s">
        <v>240</v>
      </c>
      <c r="E196" s="81" t="s">
        <v>104</v>
      </c>
      <c r="F196" s="52">
        <v>7.98</v>
      </c>
      <c r="G196" s="52">
        <f t="shared" si="21"/>
        <v>8.9500000000000011</v>
      </c>
      <c r="H196" s="110"/>
      <c r="I196" s="81">
        <v>9.91</v>
      </c>
      <c r="J196" s="81">
        <f>VLOOKUP(C196,Recipes!$A$2:$N$4,12,FALSE())</f>
        <v>5.0137397426368718E-2</v>
      </c>
      <c r="K196" s="81">
        <f t="shared" si="22"/>
        <v>9.7595878077208944</v>
      </c>
      <c r="L196" s="81">
        <f t="shared" si="23"/>
        <v>10.060412192279106</v>
      </c>
      <c r="M196" s="81" t="str">
        <f t="shared" ref="M196:M259" si="25">IF(G196="","",IF(AND(G196&gt;=K196,G196&lt;=L196),"OK","NG"))</f>
        <v>NG</v>
      </c>
      <c r="N196" s="117">
        <f t="shared" si="24"/>
        <v>1</v>
      </c>
      <c r="O196" s="81">
        <f t="shared" ref="O196:O259" si="26">IF(G196="","",I196-G196)</f>
        <v>0.95999999999999908</v>
      </c>
      <c r="P196" s="81">
        <f>IF(G196="","",ABS(O196-Components!$C$2))</f>
        <v>1.7933333333333308</v>
      </c>
      <c r="Q196" s="81">
        <f>IF(G196="","",ABS(O196-Components!$C$3))</f>
        <v>3.0760000000000005</v>
      </c>
      <c r="R196" s="81">
        <f>IF(G196="","",ABS(O196-Components!$C$4))</f>
        <v>3.3333333333333881E-2</v>
      </c>
      <c r="S196" s="81">
        <f>IF(G196="","",ABS(O196-Components!$C$5))</f>
        <v>3.6026666666666713</v>
      </c>
      <c r="T196" s="81">
        <f>IF(G196="","",ABS(O196-Components!$C$6))</f>
        <v>0.19566666666667087</v>
      </c>
      <c r="U196" s="81">
        <f>IF(G196="","",ABS(O196-Components!$C$7))</f>
        <v>0.414333333333331</v>
      </c>
      <c r="V196" s="81" t="str">
        <f>IF(F196="","",IF(M196="OK","NONE",INDEX({"S1","S2","W1","W2","N1","N2"},MATCH(MIN(P196:U196),P196:U196,0))))</f>
        <v>W1</v>
      </c>
      <c r="W196" s="117">
        <f t="shared" ref="W196:W259" si="27">IF(G196="","",IF(V196=E196,1,0))</f>
        <v>1</v>
      </c>
      <c r="X196" s="119"/>
    </row>
    <row r="197" spans="1:24">
      <c r="A197" s="115">
        <v>195</v>
      </c>
      <c r="B197" s="116">
        <v>7</v>
      </c>
      <c r="C197" s="61" t="s">
        <v>130</v>
      </c>
      <c r="D197" s="61" t="s">
        <v>240</v>
      </c>
      <c r="E197" s="61" t="s">
        <v>104</v>
      </c>
      <c r="F197" s="52">
        <v>7.95</v>
      </c>
      <c r="G197" s="52">
        <f t="shared" si="21"/>
        <v>8.92</v>
      </c>
      <c r="H197" s="110"/>
      <c r="I197" s="81">
        <v>9.91</v>
      </c>
      <c r="J197" s="81">
        <f>VLOOKUP(C197,Recipes!$A$2:$N$4,12,FALSE())</f>
        <v>5.0137397426368718E-2</v>
      </c>
      <c r="K197" s="81">
        <f t="shared" si="22"/>
        <v>9.7595878077208944</v>
      </c>
      <c r="L197" s="81">
        <f t="shared" si="23"/>
        <v>10.060412192279106</v>
      </c>
      <c r="M197" s="81" t="str">
        <f t="shared" si="25"/>
        <v>NG</v>
      </c>
      <c r="N197" s="117">
        <f t="shared" si="24"/>
        <v>1</v>
      </c>
      <c r="O197" s="81">
        <f t="shared" si="26"/>
        <v>0.99000000000000021</v>
      </c>
      <c r="P197" s="81">
        <f>IF(G197="","",ABS(O197-Components!$C$2))</f>
        <v>1.7633333333333296</v>
      </c>
      <c r="Q197" s="81">
        <f>IF(G197="","",ABS(O197-Components!$C$3))</f>
        <v>3.0459999999999994</v>
      </c>
      <c r="R197" s="81">
        <f>IF(G197="","",ABS(O197-Components!$C$4))</f>
        <v>3.3333333333327442E-3</v>
      </c>
      <c r="S197" s="81">
        <f>IF(G197="","",ABS(O197-Components!$C$5))</f>
        <v>3.5726666666666702</v>
      </c>
      <c r="T197" s="81">
        <f>IF(G197="","",ABS(O197-Components!$C$6))</f>
        <v>0.16566666666666974</v>
      </c>
      <c r="U197" s="81">
        <f>IF(G197="","",ABS(O197-Components!$C$7))</f>
        <v>0.38433333333332986</v>
      </c>
      <c r="V197" s="81" t="str">
        <f>IF(F197="","",IF(M197="OK","NONE",INDEX({"S1","S2","W1","W2","N1","N2"},MATCH(MIN(P197:U197),P197:U197,0))))</f>
        <v>W1</v>
      </c>
      <c r="W197" s="117">
        <f t="shared" si="27"/>
        <v>1</v>
      </c>
      <c r="X197" s="119"/>
    </row>
    <row r="198" spans="1:24">
      <c r="A198" s="115">
        <v>196</v>
      </c>
      <c r="B198" s="116">
        <v>7</v>
      </c>
      <c r="C198" s="81" t="s">
        <v>130</v>
      </c>
      <c r="D198" s="111" t="s">
        <v>240</v>
      </c>
      <c r="E198" s="81" t="s">
        <v>104</v>
      </c>
      <c r="F198" s="52">
        <v>7.9640000000000004</v>
      </c>
      <c r="G198" s="52">
        <f t="shared" si="21"/>
        <v>8.9340000000000011</v>
      </c>
      <c r="H198" s="110"/>
      <c r="I198" s="81">
        <v>9.91</v>
      </c>
      <c r="J198" s="81">
        <f>VLOOKUP(C198,Recipes!$A$2:$N$4,12,FALSE())</f>
        <v>5.0137397426368718E-2</v>
      </c>
      <c r="K198" s="81">
        <f t="shared" si="22"/>
        <v>9.7595878077208944</v>
      </c>
      <c r="L198" s="81">
        <f t="shared" si="23"/>
        <v>10.060412192279106</v>
      </c>
      <c r="M198" s="81" t="str">
        <f t="shared" si="25"/>
        <v>NG</v>
      </c>
      <c r="N198" s="117">
        <f t="shared" si="24"/>
        <v>1</v>
      </c>
      <c r="O198" s="81">
        <f t="shared" si="26"/>
        <v>0.97599999999999909</v>
      </c>
      <c r="P198" s="81">
        <f>IF(G198="","",ABS(O198-Components!$C$2))</f>
        <v>1.7773333333333308</v>
      </c>
      <c r="Q198" s="81">
        <f>IF(G198="","",ABS(O198-Components!$C$3))</f>
        <v>3.0600000000000005</v>
      </c>
      <c r="R198" s="81">
        <f>IF(G198="","",ABS(O198-Components!$C$4))</f>
        <v>1.7333333333333867E-2</v>
      </c>
      <c r="S198" s="81">
        <f>IF(G198="","",ABS(O198-Components!$C$5))</f>
        <v>3.5866666666666713</v>
      </c>
      <c r="T198" s="81">
        <f>IF(G198="","",ABS(O198-Components!$C$6))</f>
        <v>0.17966666666667086</v>
      </c>
      <c r="U198" s="81">
        <f>IF(G198="","",ABS(O198-Components!$C$7))</f>
        <v>0.39833333333333099</v>
      </c>
      <c r="V198" s="81" t="str">
        <f>IF(F198="","",IF(M198="OK","NONE",INDEX({"S1","S2","W1","W2","N1","N2"},MATCH(MIN(P198:U198),P198:U198,0))))</f>
        <v>W1</v>
      </c>
      <c r="W198" s="117">
        <f t="shared" si="27"/>
        <v>1</v>
      </c>
      <c r="X198" s="119"/>
    </row>
    <row r="199" spans="1:24">
      <c r="A199" s="115">
        <v>197</v>
      </c>
      <c r="B199" s="116">
        <v>7</v>
      </c>
      <c r="C199" s="81" t="s">
        <v>130</v>
      </c>
      <c r="D199" s="111" t="s">
        <v>240</v>
      </c>
      <c r="E199" s="81" t="s">
        <v>104</v>
      </c>
      <c r="F199" s="52">
        <v>7.97</v>
      </c>
      <c r="G199" s="52">
        <f t="shared" si="21"/>
        <v>8.94</v>
      </c>
      <c r="H199" s="110"/>
      <c r="I199" s="81">
        <v>9.91</v>
      </c>
      <c r="J199" s="81">
        <f>VLOOKUP(C199,Recipes!$A$2:$N$4,12,FALSE())</f>
        <v>5.0137397426368718E-2</v>
      </c>
      <c r="K199" s="81">
        <f t="shared" si="22"/>
        <v>9.7595878077208944</v>
      </c>
      <c r="L199" s="81">
        <f t="shared" si="23"/>
        <v>10.060412192279106</v>
      </c>
      <c r="M199" s="81" t="str">
        <f t="shared" si="25"/>
        <v>NG</v>
      </c>
      <c r="N199" s="117">
        <f t="shared" si="24"/>
        <v>1</v>
      </c>
      <c r="O199" s="81">
        <f t="shared" si="26"/>
        <v>0.97000000000000064</v>
      </c>
      <c r="P199" s="81">
        <f>IF(G199="","",ABS(O199-Components!$C$2))</f>
        <v>1.7833333333333292</v>
      </c>
      <c r="Q199" s="81">
        <f>IF(G199="","",ABS(O199-Components!$C$3))</f>
        <v>3.0659999999999989</v>
      </c>
      <c r="R199" s="81">
        <f>IF(G199="","",ABS(O199-Components!$C$4))</f>
        <v>2.3333333333332318E-2</v>
      </c>
      <c r="S199" s="81">
        <f>IF(G199="","",ABS(O199-Components!$C$5))</f>
        <v>3.5926666666666698</v>
      </c>
      <c r="T199" s="81">
        <f>IF(G199="","",ABS(O199-Components!$C$6))</f>
        <v>0.18566666666666931</v>
      </c>
      <c r="U199" s="81">
        <f>IF(G199="","",ABS(O199-Components!$C$7))</f>
        <v>0.40433333333332944</v>
      </c>
      <c r="V199" s="81" t="str">
        <f>IF(F199="","",IF(M199="OK","NONE",INDEX({"S1","S2","W1","W2","N1","N2"},MATCH(MIN(P199:U199),P199:U199,0))))</f>
        <v>W1</v>
      </c>
      <c r="W199" s="117">
        <f t="shared" si="27"/>
        <v>1</v>
      </c>
      <c r="X199" s="119"/>
    </row>
    <row r="200" spans="1:24">
      <c r="A200" s="115">
        <v>198</v>
      </c>
      <c r="B200" s="116">
        <v>7</v>
      </c>
      <c r="C200" s="81" t="s">
        <v>130</v>
      </c>
      <c r="D200" s="111" t="s">
        <v>240</v>
      </c>
      <c r="E200" s="81" t="s">
        <v>104</v>
      </c>
      <c r="F200" s="52">
        <v>7.91</v>
      </c>
      <c r="G200" s="52">
        <f t="shared" si="21"/>
        <v>8.8800000000000008</v>
      </c>
      <c r="H200" s="110"/>
      <c r="I200" s="81">
        <v>9.91</v>
      </c>
      <c r="J200" s="81">
        <f>VLOOKUP(C200,Recipes!$A$2:$N$4,12,FALSE())</f>
        <v>5.0137397426368718E-2</v>
      </c>
      <c r="K200" s="81">
        <f t="shared" si="22"/>
        <v>9.7595878077208944</v>
      </c>
      <c r="L200" s="81">
        <f t="shared" si="23"/>
        <v>10.060412192279106</v>
      </c>
      <c r="M200" s="81" t="str">
        <f t="shared" si="25"/>
        <v>NG</v>
      </c>
      <c r="N200" s="117">
        <f t="shared" si="24"/>
        <v>1</v>
      </c>
      <c r="O200" s="81">
        <f t="shared" si="26"/>
        <v>1.0299999999999994</v>
      </c>
      <c r="P200" s="81">
        <f>IF(G200="","",ABS(O200-Components!$C$2))</f>
        <v>1.7233333333333305</v>
      </c>
      <c r="Q200" s="81">
        <f>IF(G200="","",ABS(O200-Components!$C$3))</f>
        <v>3.0060000000000002</v>
      </c>
      <c r="R200" s="81">
        <f>IF(G200="","",ABS(O200-Components!$C$4))</f>
        <v>3.6666666666666403E-2</v>
      </c>
      <c r="S200" s="81">
        <f>IF(G200="","",ABS(O200-Components!$C$5))</f>
        <v>3.5326666666666711</v>
      </c>
      <c r="T200" s="81">
        <f>IF(G200="","",ABS(O200-Components!$C$6))</f>
        <v>0.12566666666667059</v>
      </c>
      <c r="U200" s="81">
        <f>IF(G200="","",ABS(O200-Components!$C$7))</f>
        <v>0.34433333333333072</v>
      </c>
      <c r="V200" s="81" t="str">
        <f>IF(F200="","",IF(M200="OK","NONE",INDEX({"S1","S2","W1","W2","N1","N2"},MATCH(MIN(P200:U200),P200:U200,0))))</f>
        <v>W1</v>
      </c>
      <c r="W200" s="117">
        <f t="shared" si="27"/>
        <v>1</v>
      </c>
      <c r="X200" s="119"/>
    </row>
    <row r="201" spans="1:24">
      <c r="A201" s="115">
        <v>199</v>
      </c>
      <c r="B201" s="116">
        <v>7</v>
      </c>
      <c r="C201" s="81" t="s">
        <v>130</v>
      </c>
      <c r="D201" s="111" t="s">
        <v>240</v>
      </c>
      <c r="E201" s="81" t="s">
        <v>104</v>
      </c>
      <c r="F201" s="52">
        <v>7.93</v>
      </c>
      <c r="G201" s="52">
        <f t="shared" si="21"/>
        <v>8.9</v>
      </c>
      <c r="H201" s="110"/>
      <c r="I201" s="81">
        <v>9.91</v>
      </c>
      <c r="J201" s="81">
        <f>VLOOKUP(C201,Recipes!$A$2:$N$4,12,FALSE())</f>
        <v>5.0137397426368718E-2</v>
      </c>
      <c r="K201" s="81">
        <f t="shared" si="22"/>
        <v>9.7595878077208944</v>
      </c>
      <c r="L201" s="81">
        <f t="shared" si="23"/>
        <v>10.060412192279106</v>
      </c>
      <c r="M201" s="81" t="str">
        <f t="shared" si="25"/>
        <v>NG</v>
      </c>
      <c r="N201" s="117">
        <f t="shared" si="24"/>
        <v>1</v>
      </c>
      <c r="O201" s="81">
        <f t="shared" si="26"/>
        <v>1.0099999999999998</v>
      </c>
      <c r="P201" s="81">
        <f>IF(G201="","",ABS(O201-Components!$C$2))</f>
        <v>1.7433333333333301</v>
      </c>
      <c r="Q201" s="81">
        <f>IF(G201="","",ABS(O201-Components!$C$3))</f>
        <v>3.0259999999999998</v>
      </c>
      <c r="R201" s="81">
        <f>IF(G201="","",ABS(O201-Components!$C$4))</f>
        <v>1.6666666666666829E-2</v>
      </c>
      <c r="S201" s="81">
        <f>IF(G201="","",ABS(O201-Components!$C$5))</f>
        <v>3.5526666666666706</v>
      </c>
      <c r="T201" s="81">
        <f>IF(G201="","",ABS(O201-Components!$C$6))</f>
        <v>0.14566666666667016</v>
      </c>
      <c r="U201" s="81">
        <f>IF(G201="","",ABS(O201-Components!$C$7))</f>
        <v>0.36433333333333029</v>
      </c>
      <c r="V201" s="81" t="str">
        <f>IF(F201="","",IF(M201="OK","NONE",INDEX({"S1","S2","W1","W2","N1","N2"},MATCH(MIN(P201:U201),P201:U201,0))))</f>
        <v>W1</v>
      </c>
      <c r="W201" s="117">
        <f t="shared" si="27"/>
        <v>1</v>
      </c>
      <c r="X201" s="119"/>
    </row>
    <row r="202" spans="1:24">
      <c r="A202" s="115">
        <v>200</v>
      </c>
      <c r="B202" s="116">
        <v>7</v>
      </c>
      <c r="C202" s="61" t="s">
        <v>130</v>
      </c>
      <c r="D202" s="61" t="s">
        <v>240</v>
      </c>
      <c r="E202" s="61" t="s">
        <v>104</v>
      </c>
      <c r="F202" s="52">
        <v>7.94</v>
      </c>
      <c r="G202" s="52">
        <f t="shared" si="21"/>
        <v>8.91</v>
      </c>
      <c r="H202" s="110"/>
      <c r="I202" s="81">
        <v>9.91</v>
      </c>
      <c r="J202" s="81">
        <f>VLOOKUP(C202,Recipes!$A$2:$N$4,12,FALSE())</f>
        <v>5.0137397426368718E-2</v>
      </c>
      <c r="K202" s="81">
        <f t="shared" si="22"/>
        <v>9.7595878077208944</v>
      </c>
      <c r="L202" s="81">
        <f t="shared" si="23"/>
        <v>10.060412192279106</v>
      </c>
      <c r="M202" s="81" t="str">
        <f t="shared" si="25"/>
        <v>NG</v>
      </c>
      <c r="N202" s="117">
        <f t="shared" si="24"/>
        <v>1</v>
      </c>
      <c r="O202" s="81">
        <f t="shared" si="26"/>
        <v>1</v>
      </c>
      <c r="P202" s="81">
        <f>IF(G202="","",ABS(O202-Components!$C$2))</f>
        <v>1.7533333333333299</v>
      </c>
      <c r="Q202" s="81">
        <f>IF(G202="","",ABS(O202-Components!$C$3))</f>
        <v>3.0359999999999996</v>
      </c>
      <c r="R202" s="81">
        <f>IF(G202="","",ABS(O202-Components!$C$4))</f>
        <v>6.6666666666670427E-3</v>
      </c>
      <c r="S202" s="81">
        <f>IF(G202="","",ABS(O202-Components!$C$5))</f>
        <v>3.5626666666666704</v>
      </c>
      <c r="T202" s="81">
        <f>IF(G202="","",ABS(O202-Components!$C$6))</f>
        <v>0.15566666666666995</v>
      </c>
      <c r="U202" s="81">
        <f>IF(G202="","",ABS(O202-Components!$C$7))</f>
        <v>0.37433333333333008</v>
      </c>
      <c r="V202" s="81" t="str">
        <f>IF(F202="","",IF(M202="OK","NONE",INDEX({"S1","S2","W1","W2","N1","N2"},MATCH(MIN(P202:U202),P202:U202,0))))</f>
        <v>W1</v>
      </c>
      <c r="W202" s="117">
        <f t="shared" si="27"/>
        <v>1</v>
      </c>
      <c r="X202" s="119"/>
    </row>
    <row r="203" spans="1:24">
      <c r="A203" s="115">
        <v>201</v>
      </c>
      <c r="B203" s="116">
        <v>7</v>
      </c>
      <c r="C203" s="81" t="s">
        <v>130</v>
      </c>
      <c r="D203" s="111" t="s">
        <v>240</v>
      </c>
      <c r="E203" s="81" t="s">
        <v>104</v>
      </c>
      <c r="F203" s="52">
        <v>7.89</v>
      </c>
      <c r="G203" s="52">
        <f t="shared" si="21"/>
        <v>8.86</v>
      </c>
      <c r="H203" s="110"/>
      <c r="I203" s="81">
        <v>9.91</v>
      </c>
      <c r="J203" s="81">
        <f>VLOOKUP(C203,Recipes!$A$2:$N$4,12,FALSE())</f>
        <v>5.0137397426368718E-2</v>
      </c>
      <c r="K203" s="81">
        <f t="shared" si="22"/>
        <v>9.7595878077208944</v>
      </c>
      <c r="L203" s="81">
        <f t="shared" si="23"/>
        <v>10.060412192279106</v>
      </c>
      <c r="M203" s="81" t="str">
        <f t="shared" si="25"/>
        <v>NG</v>
      </c>
      <c r="N203" s="117">
        <f t="shared" si="24"/>
        <v>1</v>
      </c>
      <c r="O203" s="81">
        <f t="shared" si="26"/>
        <v>1.0500000000000007</v>
      </c>
      <c r="P203" s="81">
        <f>IF(G203="","",ABS(O203-Components!$C$2))</f>
        <v>1.7033333333333291</v>
      </c>
      <c r="Q203" s="81">
        <f>IF(G203="","",ABS(O203-Components!$C$3))</f>
        <v>2.9859999999999989</v>
      </c>
      <c r="R203" s="81">
        <f>IF(G203="","",ABS(O203-Components!$C$4))</f>
        <v>5.6666666666667753E-2</v>
      </c>
      <c r="S203" s="81">
        <f>IF(G203="","",ABS(O203-Components!$C$5))</f>
        <v>3.5126666666666697</v>
      </c>
      <c r="T203" s="81">
        <f>IF(G203="","",ABS(O203-Components!$C$6))</f>
        <v>0.10566666666666924</v>
      </c>
      <c r="U203" s="81">
        <f>IF(G203="","",ABS(O203-Components!$C$7))</f>
        <v>0.32433333333332937</v>
      </c>
      <c r="V203" s="81" t="str">
        <f>IF(F203="","",IF(M203="OK","NONE",INDEX({"S1","S2","W1","W2","N1","N2"},MATCH(MIN(P203:U203),P203:U203,0))))</f>
        <v>W1</v>
      </c>
      <c r="W203" s="117">
        <f t="shared" si="27"/>
        <v>1</v>
      </c>
      <c r="X203" s="119"/>
    </row>
    <row r="204" spans="1:24">
      <c r="A204" s="115">
        <v>202</v>
      </c>
      <c r="B204" s="116">
        <v>7</v>
      </c>
      <c r="C204" s="81" t="s">
        <v>130</v>
      </c>
      <c r="D204" s="111" t="s">
        <v>240</v>
      </c>
      <c r="E204" s="81" t="s">
        <v>104</v>
      </c>
      <c r="F204" s="52">
        <v>7.95</v>
      </c>
      <c r="G204" s="52">
        <f t="shared" si="21"/>
        <v>8.92</v>
      </c>
      <c r="H204" s="110"/>
      <c r="I204" s="81">
        <v>9.91</v>
      </c>
      <c r="J204" s="81">
        <f>VLOOKUP(C204,Recipes!$A$2:$N$4,12,FALSE())</f>
        <v>5.0137397426368718E-2</v>
      </c>
      <c r="K204" s="81">
        <f t="shared" si="22"/>
        <v>9.7595878077208944</v>
      </c>
      <c r="L204" s="81">
        <f t="shared" si="23"/>
        <v>10.060412192279106</v>
      </c>
      <c r="M204" s="81" t="str">
        <f t="shared" si="25"/>
        <v>NG</v>
      </c>
      <c r="N204" s="117">
        <f t="shared" si="24"/>
        <v>1</v>
      </c>
      <c r="O204" s="81">
        <f t="shared" si="26"/>
        <v>0.99000000000000021</v>
      </c>
      <c r="P204" s="81">
        <f>IF(G204="","",ABS(O204-Components!$C$2))</f>
        <v>1.7633333333333296</v>
      </c>
      <c r="Q204" s="81">
        <f>IF(G204="","",ABS(O204-Components!$C$3))</f>
        <v>3.0459999999999994</v>
      </c>
      <c r="R204" s="81">
        <f>IF(G204="","",ABS(O204-Components!$C$4))</f>
        <v>3.3333333333327442E-3</v>
      </c>
      <c r="S204" s="81">
        <f>IF(G204="","",ABS(O204-Components!$C$5))</f>
        <v>3.5726666666666702</v>
      </c>
      <c r="T204" s="81">
        <f>IF(G204="","",ABS(O204-Components!$C$6))</f>
        <v>0.16566666666666974</v>
      </c>
      <c r="U204" s="81">
        <f>IF(G204="","",ABS(O204-Components!$C$7))</f>
        <v>0.38433333333332986</v>
      </c>
      <c r="V204" s="81" t="str">
        <f>IF(F204="","",IF(M204="OK","NONE",INDEX({"S1","S2","W1","W2","N1","N2"},MATCH(MIN(P204:U204),P204:U204,0))))</f>
        <v>W1</v>
      </c>
      <c r="W204" s="117">
        <f t="shared" si="27"/>
        <v>1</v>
      </c>
      <c r="X204" s="119"/>
    </row>
    <row r="205" spans="1:24">
      <c r="A205" s="115">
        <v>203</v>
      </c>
      <c r="B205" s="116">
        <v>7</v>
      </c>
      <c r="C205" s="81" t="s">
        <v>130</v>
      </c>
      <c r="D205" s="111" t="s">
        <v>240</v>
      </c>
      <c r="E205" s="81" t="s">
        <v>104</v>
      </c>
      <c r="F205" s="52">
        <v>7.9</v>
      </c>
      <c r="G205" s="52">
        <f t="shared" si="21"/>
        <v>8.870000000000001</v>
      </c>
      <c r="H205" s="110"/>
      <c r="I205" s="81">
        <v>9.91</v>
      </c>
      <c r="J205" s="81">
        <f>VLOOKUP(C205,Recipes!$A$2:$N$4,12,FALSE())</f>
        <v>5.0137397426368718E-2</v>
      </c>
      <c r="K205" s="81">
        <f t="shared" si="22"/>
        <v>9.7595878077208944</v>
      </c>
      <c r="L205" s="81">
        <f t="shared" si="23"/>
        <v>10.060412192279106</v>
      </c>
      <c r="M205" s="81" t="str">
        <f t="shared" si="25"/>
        <v>NG</v>
      </c>
      <c r="N205" s="117">
        <f t="shared" si="24"/>
        <v>1</v>
      </c>
      <c r="O205" s="81">
        <f t="shared" si="26"/>
        <v>1.0399999999999991</v>
      </c>
      <c r="P205" s="81">
        <f>IF(G205="","",ABS(O205-Components!$C$2))</f>
        <v>1.7133333333333307</v>
      </c>
      <c r="Q205" s="81">
        <f>IF(G205="","",ABS(O205-Components!$C$3))</f>
        <v>2.9960000000000004</v>
      </c>
      <c r="R205" s="81">
        <f>IF(G205="","",ABS(O205-Components!$C$4))</f>
        <v>4.666666666666619E-2</v>
      </c>
      <c r="S205" s="81">
        <f>IF(G205="","",ABS(O205-Components!$C$5))</f>
        <v>3.5226666666666713</v>
      </c>
      <c r="T205" s="81">
        <f>IF(G205="","",ABS(O205-Components!$C$6))</f>
        <v>0.1156666666666708</v>
      </c>
      <c r="U205" s="81">
        <f>IF(G205="","",ABS(O205-Components!$C$7))</f>
        <v>0.33433333333333093</v>
      </c>
      <c r="V205" s="81" t="str">
        <f>IF(F205="","",IF(M205="OK","NONE",INDEX({"S1","S2","W1","W2","N1","N2"},MATCH(MIN(P205:U205),P205:U205,0))))</f>
        <v>W1</v>
      </c>
      <c r="W205" s="117">
        <f t="shared" si="27"/>
        <v>1</v>
      </c>
      <c r="X205" s="119"/>
    </row>
    <row r="206" spans="1:24">
      <c r="A206" s="115">
        <v>204</v>
      </c>
      <c r="B206" s="116">
        <v>7</v>
      </c>
      <c r="C206" s="81" t="s">
        <v>130</v>
      </c>
      <c r="D206" s="111" t="s">
        <v>240</v>
      </c>
      <c r="E206" s="81" t="s">
        <v>104</v>
      </c>
      <c r="F206" s="52">
        <v>7.99</v>
      </c>
      <c r="G206" s="52">
        <f t="shared" si="21"/>
        <v>8.9600000000000009</v>
      </c>
      <c r="H206" s="110"/>
      <c r="I206" s="81">
        <v>9.91</v>
      </c>
      <c r="J206" s="81">
        <f>VLOOKUP(C206,Recipes!$A$2:$N$4,12,FALSE())</f>
        <v>5.0137397426368718E-2</v>
      </c>
      <c r="K206" s="81">
        <f t="shared" si="22"/>
        <v>9.7595878077208944</v>
      </c>
      <c r="L206" s="81">
        <f t="shared" si="23"/>
        <v>10.060412192279106</v>
      </c>
      <c r="M206" s="81" t="str">
        <f t="shared" si="25"/>
        <v>NG</v>
      </c>
      <c r="N206" s="117">
        <f t="shared" si="24"/>
        <v>1</v>
      </c>
      <c r="O206" s="81">
        <f t="shared" si="26"/>
        <v>0.94999999999999929</v>
      </c>
      <c r="P206" s="81">
        <f>IF(G206="","",ABS(O206-Components!$C$2))</f>
        <v>1.8033333333333306</v>
      </c>
      <c r="Q206" s="81">
        <f>IF(G206="","",ABS(O206-Components!$C$3))</f>
        <v>3.0860000000000003</v>
      </c>
      <c r="R206" s="81">
        <f>IF(G206="","",ABS(O206-Components!$C$4))</f>
        <v>4.3333333333333668E-2</v>
      </c>
      <c r="S206" s="81">
        <f>IF(G206="","",ABS(O206-Components!$C$5))</f>
        <v>3.6126666666666711</v>
      </c>
      <c r="T206" s="81">
        <f>IF(G206="","",ABS(O206-Components!$C$6))</f>
        <v>0.20566666666667066</v>
      </c>
      <c r="U206" s="81">
        <f>IF(G206="","",ABS(O206-Components!$C$7))</f>
        <v>0.42433333333333079</v>
      </c>
      <c r="V206" s="81" t="str">
        <f>IF(F206="","",IF(M206="OK","NONE",INDEX({"S1","S2","W1","W2","N1","N2"},MATCH(MIN(P206:U206),P206:U206,0))))</f>
        <v>W1</v>
      </c>
      <c r="W206" s="117">
        <f t="shared" si="27"/>
        <v>1</v>
      </c>
      <c r="X206" s="119"/>
    </row>
    <row r="207" spans="1:24">
      <c r="A207" s="115">
        <v>205</v>
      </c>
      <c r="B207" s="116">
        <v>7</v>
      </c>
      <c r="C207" s="61" t="s">
        <v>130</v>
      </c>
      <c r="D207" s="61" t="s">
        <v>240</v>
      </c>
      <c r="E207" s="61" t="s">
        <v>104</v>
      </c>
      <c r="F207" s="52">
        <v>7.97</v>
      </c>
      <c r="G207" s="52">
        <f t="shared" si="21"/>
        <v>8.94</v>
      </c>
      <c r="H207" s="110"/>
      <c r="I207" s="81">
        <v>9.91</v>
      </c>
      <c r="J207" s="81">
        <f>VLOOKUP(C207,Recipes!$A$2:$N$4,12,FALSE())</f>
        <v>5.0137397426368718E-2</v>
      </c>
      <c r="K207" s="81">
        <f t="shared" si="22"/>
        <v>9.7595878077208944</v>
      </c>
      <c r="L207" s="81">
        <f t="shared" si="23"/>
        <v>10.060412192279106</v>
      </c>
      <c r="M207" s="81" t="str">
        <f t="shared" si="25"/>
        <v>NG</v>
      </c>
      <c r="N207" s="117">
        <f t="shared" si="24"/>
        <v>1</v>
      </c>
      <c r="O207" s="81">
        <f t="shared" si="26"/>
        <v>0.97000000000000064</v>
      </c>
      <c r="P207" s="81">
        <f>IF(G207="","",ABS(O207-Components!$C$2))</f>
        <v>1.7833333333333292</v>
      </c>
      <c r="Q207" s="81">
        <f>IF(G207="","",ABS(O207-Components!$C$3))</f>
        <v>3.0659999999999989</v>
      </c>
      <c r="R207" s="81">
        <f>IF(G207="","",ABS(O207-Components!$C$4))</f>
        <v>2.3333333333332318E-2</v>
      </c>
      <c r="S207" s="81">
        <f>IF(G207="","",ABS(O207-Components!$C$5))</f>
        <v>3.5926666666666698</v>
      </c>
      <c r="T207" s="81">
        <f>IF(G207="","",ABS(O207-Components!$C$6))</f>
        <v>0.18566666666666931</v>
      </c>
      <c r="U207" s="81">
        <f>IF(G207="","",ABS(O207-Components!$C$7))</f>
        <v>0.40433333333332944</v>
      </c>
      <c r="V207" s="81" t="str">
        <f>IF(F207="","",IF(M207="OK","NONE",INDEX({"S1","S2","W1","W2","N1","N2"},MATCH(MIN(P207:U207),P207:U207,0))))</f>
        <v>W1</v>
      </c>
      <c r="W207" s="117">
        <f t="shared" si="27"/>
        <v>1</v>
      </c>
      <c r="X207" s="119"/>
    </row>
    <row r="208" spans="1:24">
      <c r="A208" s="115">
        <v>206</v>
      </c>
      <c r="B208" s="116">
        <v>7</v>
      </c>
      <c r="C208" s="81" t="s">
        <v>130</v>
      </c>
      <c r="D208" s="111" t="s">
        <v>240</v>
      </c>
      <c r="E208" s="81" t="s">
        <v>104</v>
      </c>
      <c r="F208" s="52">
        <v>7.96</v>
      </c>
      <c r="G208" s="52">
        <f t="shared" si="21"/>
        <v>8.93</v>
      </c>
      <c r="H208" s="110"/>
      <c r="I208" s="81">
        <v>9.91</v>
      </c>
      <c r="J208" s="81">
        <f>VLOOKUP(C208,Recipes!$A$2:$N$4,12,FALSE())</f>
        <v>5.0137397426368718E-2</v>
      </c>
      <c r="K208" s="81">
        <f t="shared" si="22"/>
        <v>9.7595878077208944</v>
      </c>
      <c r="L208" s="81">
        <f t="shared" si="23"/>
        <v>10.060412192279106</v>
      </c>
      <c r="M208" s="81" t="str">
        <f t="shared" si="25"/>
        <v>NG</v>
      </c>
      <c r="N208" s="117">
        <f t="shared" si="24"/>
        <v>1</v>
      </c>
      <c r="O208" s="81">
        <f t="shared" si="26"/>
        <v>0.98000000000000043</v>
      </c>
      <c r="P208" s="81">
        <f>IF(G208="","",ABS(O208-Components!$C$2))</f>
        <v>1.7733333333333294</v>
      </c>
      <c r="Q208" s="81">
        <f>IF(G208="","",ABS(O208-Components!$C$3))</f>
        <v>3.0559999999999992</v>
      </c>
      <c r="R208" s="81">
        <f>IF(G208="","",ABS(O208-Components!$C$4))</f>
        <v>1.3333333333332531E-2</v>
      </c>
      <c r="S208" s="81">
        <f>IF(G208="","",ABS(O208-Components!$C$5))</f>
        <v>3.58266666666667</v>
      </c>
      <c r="T208" s="81">
        <f>IF(G208="","",ABS(O208-Components!$C$6))</f>
        <v>0.17566666666666952</v>
      </c>
      <c r="U208" s="81">
        <f>IF(G208="","",ABS(O208-Components!$C$7))</f>
        <v>0.39433333333332965</v>
      </c>
      <c r="V208" s="81" t="str">
        <f>IF(F208="","",IF(M208="OK","NONE",INDEX({"S1","S2","W1","W2","N1","N2"},MATCH(MIN(P208:U208),P208:U208,0))))</f>
        <v>W1</v>
      </c>
      <c r="W208" s="117">
        <f t="shared" si="27"/>
        <v>1</v>
      </c>
      <c r="X208" s="119"/>
    </row>
    <row r="209" spans="1:24">
      <c r="A209" s="115">
        <v>207</v>
      </c>
      <c r="B209" s="116">
        <v>7</v>
      </c>
      <c r="C209" s="81" t="s">
        <v>130</v>
      </c>
      <c r="D209" s="111" t="s">
        <v>240</v>
      </c>
      <c r="E209" s="81" t="s">
        <v>104</v>
      </c>
      <c r="F209" s="52">
        <v>7.99</v>
      </c>
      <c r="G209" s="52">
        <f t="shared" si="21"/>
        <v>8.9600000000000009</v>
      </c>
      <c r="H209" s="110"/>
      <c r="I209" s="81">
        <v>9.91</v>
      </c>
      <c r="J209" s="81">
        <f>VLOOKUP(C209,Recipes!$A$2:$N$4,12,FALSE())</f>
        <v>5.0137397426368718E-2</v>
      </c>
      <c r="K209" s="81">
        <f t="shared" si="22"/>
        <v>9.7595878077208944</v>
      </c>
      <c r="L209" s="81">
        <f t="shared" si="23"/>
        <v>10.060412192279106</v>
      </c>
      <c r="M209" s="81" t="str">
        <f t="shared" si="25"/>
        <v>NG</v>
      </c>
      <c r="N209" s="117">
        <f t="shared" si="24"/>
        <v>1</v>
      </c>
      <c r="O209" s="81">
        <f t="shared" si="26"/>
        <v>0.94999999999999929</v>
      </c>
      <c r="P209" s="81">
        <f>IF(G209="","",ABS(O209-Components!$C$2))</f>
        <v>1.8033333333333306</v>
      </c>
      <c r="Q209" s="81">
        <f>IF(G209="","",ABS(O209-Components!$C$3))</f>
        <v>3.0860000000000003</v>
      </c>
      <c r="R209" s="81">
        <f>IF(G209="","",ABS(O209-Components!$C$4))</f>
        <v>4.3333333333333668E-2</v>
      </c>
      <c r="S209" s="81">
        <f>IF(G209="","",ABS(O209-Components!$C$5))</f>
        <v>3.6126666666666711</v>
      </c>
      <c r="T209" s="81">
        <f>IF(G209="","",ABS(O209-Components!$C$6))</f>
        <v>0.20566666666667066</v>
      </c>
      <c r="U209" s="81">
        <f>IF(G209="","",ABS(O209-Components!$C$7))</f>
        <v>0.42433333333333079</v>
      </c>
      <c r="V209" s="81" t="str">
        <f>IF(F209="","",IF(M209="OK","NONE",INDEX({"S1","S2","W1","W2","N1","N2"},MATCH(MIN(P209:U209),P209:U209,0))))</f>
        <v>W1</v>
      </c>
      <c r="W209" s="117">
        <f t="shared" si="27"/>
        <v>1</v>
      </c>
      <c r="X209" s="119"/>
    </row>
    <row r="210" spans="1:24">
      <c r="A210" s="115">
        <v>208</v>
      </c>
      <c r="B210" s="116">
        <v>7</v>
      </c>
      <c r="C210" s="81" t="s">
        <v>130</v>
      </c>
      <c r="D210" s="111" t="s">
        <v>240</v>
      </c>
      <c r="E210" s="81" t="s">
        <v>104</v>
      </c>
      <c r="F210" s="52">
        <v>7.87</v>
      </c>
      <c r="G210" s="52">
        <f t="shared" si="21"/>
        <v>8.84</v>
      </c>
      <c r="H210" s="110"/>
      <c r="I210" s="81">
        <v>9.91</v>
      </c>
      <c r="J210" s="81">
        <f>VLOOKUP(C210,Recipes!$A$2:$N$4,12,FALSE())</f>
        <v>5.0137397426368718E-2</v>
      </c>
      <c r="K210" s="81">
        <f t="shared" si="22"/>
        <v>9.7595878077208944</v>
      </c>
      <c r="L210" s="81">
        <f t="shared" si="23"/>
        <v>10.060412192279106</v>
      </c>
      <c r="M210" s="81" t="str">
        <f t="shared" si="25"/>
        <v>NG</v>
      </c>
      <c r="N210" s="117">
        <f t="shared" si="24"/>
        <v>1</v>
      </c>
      <c r="O210" s="81">
        <f t="shared" si="26"/>
        <v>1.0700000000000003</v>
      </c>
      <c r="P210" s="81">
        <f>IF(G210="","",ABS(O210-Components!$C$2))</f>
        <v>1.6833333333333296</v>
      </c>
      <c r="Q210" s="81">
        <f>IF(G210="","",ABS(O210-Components!$C$3))</f>
        <v>2.9659999999999993</v>
      </c>
      <c r="R210" s="81">
        <f>IF(G210="","",ABS(O210-Components!$C$4))</f>
        <v>7.6666666666667327E-2</v>
      </c>
      <c r="S210" s="81">
        <f>IF(G210="","",ABS(O210-Components!$C$5))</f>
        <v>3.4926666666666701</v>
      </c>
      <c r="T210" s="81">
        <f>IF(G210="","",ABS(O210-Components!$C$6))</f>
        <v>8.5666666666669666E-2</v>
      </c>
      <c r="U210" s="81">
        <f>IF(G210="","",ABS(O210-Components!$C$7))</f>
        <v>0.30433333333332979</v>
      </c>
      <c r="V210" s="81" t="str">
        <f>IF(F210="","",IF(M210="OK","NONE",INDEX({"S1","S2","W1","W2","N1","N2"},MATCH(MIN(P210:U210),P210:U210,0))))</f>
        <v>W1</v>
      </c>
      <c r="W210" s="117">
        <f t="shared" si="27"/>
        <v>1</v>
      </c>
      <c r="X210" s="119"/>
    </row>
    <row r="211" spans="1:24">
      <c r="A211" s="115">
        <v>209</v>
      </c>
      <c r="B211" s="116">
        <v>7</v>
      </c>
      <c r="C211" s="81" t="s">
        <v>130</v>
      </c>
      <c r="D211" s="111" t="s">
        <v>240</v>
      </c>
      <c r="E211" s="81" t="s">
        <v>104</v>
      </c>
      <c r="F211" s="52">
        <v>7.72</v>
      </c>
      <c r="G211" s="52">
        <f t="shared" si="21"/>
        <v>8.69</v>
      </c>
      <c r="H211" s="110"/>
      <c r="I211" s="81">
        <v>9.91</v>
      </c>
      <c r="J211" s="81">
        <f>VLOOKUP(C211,Recipes!$A$2:$N$4,12,FALSE())</f>
        <v>5.0137397426368718E-2</v>
      </c>
      <c r="K211" s="81">
        <f t="shared" si="22"/>
        <v>9.7595878077208944</v>
      </c>
      <c r="L211" s="81">
        <f t="shared" si="23"/>
        <v>10.060412192279106</v>
      </c>
      <c r="M211" s="81" t="str">
        <f t="shared" si="25"/>
        <v>NG</v>
      </c>
      <c r="N211" s="117">
        <f t="shared" si="24"/>
        <v>1</v>
      </c>
      <c r="O211" s="81">
        <f t="shared" si="26"/>
        <v>1.2200000000000006</v>
      </c>
      <c r="P211" s="81">
        <f>IF(G211="","",ABS(O211-Components!$C$2))</f>
        <v>1.5333333333333292</v>
      </c>
      <c r="Q211" s="81">
        <f>IF(G211="","",ABS(O211-Components!$C$3))</f>
        <v>2.8159999999999989</v>
      </c>
      <c r="R211" s="81">
        <f>IF(G211="","",ABS(O211-Components!$C$4))</f>
        <v>0.22666666666666768</v>
      </c>
      <c r="S211" s="81">
        <f>IF(G211="","",ABS(O211-Components!$C$5))</f>
        <v>3.3426666666666698</v>
      </c>
      <c r="T211" s="81">
        <f>IF(G211="","",ABS(O211-Components!$C$6))</f>
        <v>6.4333333333330689E-2</v>
      </c>
      <c r="U211" s="81">
        <f>IF(G211="","",ABS(O211-Components!$C$7))</f>
        <v>0.15433333333332944</v>
      </c>
      <c r="V211" s="81" t="str">
        <f>IF(F211="","",IF(M211="OK","NONE",INDEX({"S1","S2","W1","W2","N1","N2"},MATCH(MIN(P211:U211),P211:U211,0))))</f>
        <v>N1</v>
      </c>
      <c r="W211" s="118">
        <f t="shared" si="27"/>
        <v>0</v>
      </c>
      <c r="X211" s="119"/>
    </row>
    <row r="212" spans="1:24">
      <c r="A212" s="115">
        <v>210</v>
      </c>
      <c r="B212" s="116">
        <v>7</v>
      </c>
      <c r="C212" s="61" t="s">
        <v>130</v>
      </c>
      <c r="D212" s="61" t="s">
        <v>240</v>
      </c>
      <c r="E212" s="61" t="s">
        <v>104</v>
      </c>
      <c r="F212" s="52">
        <v>7.95</v>
      </c>
      <c r="G212" s="52">
        <f t="shared" si="21"/>
        <v>8.92</v>
      </c>
      <c r="H212" s="110"/>
      <c r="I212" s="81">
        <v>9.91</v>
      </c>
      <c r="J212" s="81">
        <f>VLOOKUP(C212,Recipes!$A$2:$N$4,12,FALSE())</f>
        <v>5.0137397426368718E-2</v>
      </c>
      <c r="K212" s="81">
        <f t="shared" si="22"/>
        <v>9.7595878077208944</v>
      </c>
      <c r="L212" s="81">
        <f t="shared" si="23"/>
        <v>10.060412192279106</v>
      </c>
      <c r="M212" s="81" t="str">
        <f t="shared" si="25"/>
        <v>NG</v>
      </c>
      <c r="N212" s="117">
        <f t="shared" si="24"/>
        <v>1</v>
      </c>
      <c r="O212" s="81">
        <f t="shared" si="26"/>
        <v>0.99000000000000021</v>
      </c>
      <c r="P212" s="81">
        <f>IF(G212="","",ABS(O212-Components!$C$2))</f>
        <v>1.7633333333333296</v>
      </c>
      <c r="Q212" s="81">
        <f>IF(G212="","",ABS(O212-Components!$C$3))</f>
        <v>3.0459999999999994</v>
      </c>
      <c r="R212" s="81">
        <f>IF(G212="","",ABS(O212-Components!$C$4))</f>
        <v>3.3333333333327442E-3</v>
      </c>
      <c r="S212" s="81">
        <f>IF(G212="","",ABS(O212-Components!$C$5))</f>
        <v>3.5726666666666702</v>
      </c>
      <c r="T212" s="81">
        <f>IF(G212="","",ABS(O212-Components!$C$6))</f>
        <v>0.16566666666666974</v>
      </c>
      <c r="U212" s="81">
        <f>IF(G212="","",ABS(O212-Components!$C$7))</f>
        <v>0.38433333333332986</v>
      </c>
      <c r="V212" s="81" t="str">
        <f>IF(F212="","",IF(M212="OK","NONE",INDEX({"S1","S2","W1","W2","N1","N2"},MATCH(MIN(P212:U212),P212:U212,0))))</f>
        <v>W1</v>
      </c>
      <c r="W212" s="117">
        <f t="shared" si="27"/>
        <v>1</v>
      </c>
      <c r="X212" s="119"/>
    </row>
    <row r="213" spans="1:24">
      <c r="A213" s="115">
        <v>211</v>
      </c>
      <c r="B213" s="116">
        <v>8</v>
      </c>
      <c r="C213" s="81" t="s">
        <v>130</v>
      </c>
      <c r="D213" s="111" t="s">
        <v>240</v>
      </c>
      <c r="E213" s="81" t="s">
        <v>108</v>
      </c>
      <c r="F213" s="52">
        <v>7.72</v>
      </c>
      <c r="G213" s="52">
        <f t="shared" si="21"/>
        <v>8.69</v>
      </c>
      <c r="H213" s="110"/>
      <c r="I213" s="81">
        <v>9.91</v>
      </c>
      <c r="J213" s="81">
        <f>VLOOKUP(C213,Recipes!$A$2:$N$4,12,FALSE())</f>
        <v>5.0137397426368718E-2</v>
      </c>
      <c r="K213" s="81">
        <f t="shared" si="22"/>
        <v>9.7595878077208944</v>
      </c>
      <c r="L213" s="81">
        <f t="shared" si="23"/>
        <v>10.060412192279106</v>
      </c>
      <c r="M213" s="81" t="str">
        <f t="shared" si="25"/>
        <v>NG</v>
      </c>
      <c r="N213" s="117">
        <f t="shared" si="24"/>
        <v>1</v>
      </c>
      <c r="O213" s="81">
        <f t="shared" si="26"/>
        <v>1.2200000000000006</v>
      </c>
      <c r="P213" s="81">
        <f>IF(G213="","",ABS(O213-Components!$C$2))</f>
        <v>1.5333333333333292</v>
      </c>
      <c r="Q213" s="81">
        <f>IF(G213="","",ABS(O213-Components!$C$3))</f>
        <v>2.8159999999999989</v>
      </c>
      <c r="R213" s="81">
        <f>IF(G213="","",ABS(O213-Components!$C$4))</f>
        <v>0.22666666666666768</v>
      </c>
      <c r="S213" s="81">
        <f>IF(G213="","",ABS(O213-Components!$C$5))</f>
        <v>3.3426666666666698</v>
      </c>
      <c r="T213" s="81">
        <f>IF(G213="","",ABS(O213-Components!$C$6))</f>
        <v>6.4333333333330689E-2</v>
      </c>
      <c r="U213" s="81">
        <f>IF(G213="","",ABS(O213-Components!$C$7))</f>
        <v>0.15433333333332944</v>
      </c>
      <c r="V213" s="81" t="str">
        <f>IF(F213="","",IF(M213="OK","NONE",INDEX({"S1","S2","W1","W2","N1","N2"},MATCH(MIN(P213:U213),P213:U213,0))))</f>
        <v>N1</v>
      </c>
      <c r="W213" s="117">
        <f t="shared" si="27"/>
        <v>1</v>
      </c>
      <c r="X213" s="119"/>
    </row>
    <row r="214" spans="1:24">
      <c r="A214" s="115">
        <v>212</v>
      </c>
      <c r="B214" s="116">
        <v>8</v>
      </c>
      <c r="C214" s="81" t="s">
        <v>130</v>
      </c>
      <c r="D214" s="111" t="s">
        <v>240</v>
      </c>
      <c r="E214" s="81" t="s">
        <v>108</v>
      </c>
      <c r="F214" s="52">
        <v>7.75</v>
      </c>
      <c r="G214" s="52">
        <f t="shared" si="21"/>
        <v>8.7200000000000006</v>
      </c>
      <c r="H214" s="110"/>
      <c r="I214" s="81">
        <v>9.91</v>
      </c>
      <c r="J214" s="81">
        <f>VLOOKUP(C214,Recipes!$A$2:$N$4,12,FALSE())</f>
        <v>5.0137397426368718E-2</v>
      </c>
      <c r="K214" s="81">
        <f t="shared" si="22"/>
        <v>9.7595878077208944</v>
      </c>
      <c r="L214" s="81">
        <f t="shared" si="23"/>
        <v>10.060412192279106</v>
      </c>
      <c r="M214" s="81" t="str">
        <f t="shared" si="25"/>
        <v>NG</v>
      </c>
      <c r="N214" s="117">
        <f t="shared" si="24"/>
        <v>1</v>
      </c>
      <c r="O214" s="81">
        <f t="shared" si="26"/>
        <v>1.1899999999999995</v>
      </c>
      <c r="P214" s="81">
        <f>IF(G214="","",ABS(O214-Components!$C$2))</f>
        <v>1.5633333333333304</v>
      </c>
      <c r="Q214" s="81">
        <f>IF(G214="","",ABS(O214-Components!$C$3))</f>
        <v>2.8460000000000001</v>
      </c>
      <c r="R214" s="81">
        <f>IF(G214="","",ABS(O214-Components!$C$4))</f>
        <v>0.19666666666666655</v>
      </c>
      <c r="S214" s="81">
        <f>IF(G214="","",ABS(O214-Components!$C$5))</f>
        <v>3.3726666666666709</v>
      </c>
      <c r="T214" s="81">
        <f>IF(G214="","",ABS(O214-Components!$C$6))</f>
        <v>3.4333333333329552E-2</v>
      </c>
      <c r="U214" s="81">
        <f>IF(G214="","",ABS(O214-Components!$C$7))</f>
        <v>0.18433333333333057</v>
      </c>
      <c r="V214" s="81" t="str">
        <f>IF(F214="","",IF(M214="OK","NONE",INDEX({"S1","S2","W1","W2","N1","N2"},MATCH(MIN(P214:U214),P214:U214,0))))</f>
        <v>N1</v>
      </c>
      <c r="W214" s="117">
        <f t="shared" si="27"/>
        <v>1</v>
      </c>
      <c r="X214" s="119"/>
    </row>
    <row r="215" spans="1:24">
      <c r="A215" s="115">
        <v>213</v>
      </c>
      <c r="B215" s="116">
        <v>8</v>
      </c>
      <c r="C215" s="81" t="s">
        <v>130</v>
      </c>
      <c r="D215" s="111" t="s">
        <v>240</v>
      </c>
      <c r="E215" s="81" t="s">
        <v>108</v>
      </c>
      <c r="F215" s="52">
        <v>7.8</v>
      </c>
      <c r="G215" s="52">
        <f t="shared" si="21"/>
        <v>8.77</v>
      </c>
      <c r="H215" s="110"/>
      <c r="I215" s="81">
        <v>9.91</v>
      </c>
      <c r="J215" s="81">
        <f>VLOOKUP(C215,Recipes!$A$2:$N$4,12,FALSE())</f>
        <v>5.0137397426368718E-2</v>
      </c>
      <c r="K215" s="81">
        <f t="shared" si="22"/>
        <v>9.7595878077208944</v>
      </c>
      <c r="L215" s="81">
        <f t="shared" si="23"/>
        <v>10.060412192279106</v>
      </c>
      <c r="M215" s="81" t="str">
        <f t="shared" si="25"/>
        <v>NG</v>
      </c>
      <c r="N215" s="117">
        <f t="shared" si="24"/>
        <v>1</v>
      </c>
      <c r="O215" s="81">
        <f t="shared" si="26"/>
        <v>1.1400000000000006</v>
      </c>
      <c r="P215" s="81">
        <f>IF(G215="","",ABS(O215-Components!$C$2))</f>
        <v>1.6133333333333293</v>
      </c>
      <c r="Q215" s="81">
        <f>IF(G215="","",ABS(O215-Components!$C$3))</f>
        <v>2.895999999999999</v>
      </c>
      <c r="R215" s="81">
        <f>IF(G215="","",ABS(O215-Components!$C$4))</f>
        <v>0.14666666666666761</v>
      </c>
      <c r="S215" s="81">
        <f>IF(G215="","",ABS(O215-Components!$C$5))</f>
        <v>3.4226666666666699</v>
      </c>
      <c r="T215" s="81">
        <f>IF(G215="","",ABS(O215-Components!$C$6))</f>
        <v>1.5666666666669382E-2</v>
      </c>
      <c r="U215" s="81">
        <f>IF(G215="","",ABS(O215-Components!$C$7))</f>
        <v>0.23433333333332951</v>
      </c>
      <c r="V215" s="81" t="str">
        <f>IF(F215="","",IF(M215="OK","NONE",INDEX({"S1","S2","W1","W2","N1","N2"},MATCH(MIN(P215:U215),P215:U215,0))))</f>
        <v>N1</v>
      </c>
      <c r="W215" s="117">
        <f t="shared" si="27"/>
        <v>1</v>
      </c>
      <c r="X215" s="119"/>
    </row>
    <row r="216" spans="1:24">
      <c r="A216" s="115">
        <v>214</v>
      </c>
      <c r="B216" s="116">
        <v>8</v>
      </c>
      <c r="C216" s="81" t="s">
        <v>130</v>
      </c>
      <c r="D216" s="111" t="s">
        <v>240</v>
      </c>
      <c r="E216" s="81" t="s">
        <v>108</v>
      </c>
      <c r="F216" s="52">
        <v>7.77</v>
      </c>
      <c r="G216" s="52">
        <f t="shared" si="21"/>
        <v>8.74</v>
      </c>
      <c r="H216" s="110"/>
      <c r="I216" s="81">
        <v>9.91</v>
      </c>
      <c r="J216" s="81">
        <f>VLOOKUP(C216,Recipes!$A$2:$N$4,12,FALSE())</f>
        <v>5.0137397426368718E-2</v>
      </c>
      <c r="K216" s="81">
        <f t="shared" si="22"/>
        <v>9.7595878077208944</v>
      </c>
      <c r="L216" s="81">
        <f t="shared" si="23"/>
        <v>10.060412192279106</v>
      </c>
      <c r="M216" s="81" t="str">
        <f t="shared" si="25"/>
        <v>NG</v>
      </c>
      <c r="N216" s="117">
        <f t="shared" si="24"/>
        <v>1</v>
      </c>
      <c r="O216" s="81">
        <f t="shared" si="26"/>
        <v>1.17</v>
      </c>
      <c r="P216" s="81">
        <f>IF(G216="","",ABS(O216-Components!$C$2))</f>
        <v>1.5833333333333299</v>
      </c>
      <c r="Q216" s="81">
        <f>IF(G216="","",ABS(O216-Components!$C$3))</f>
        <v>2.8659999999999997</v>
      </c>
      <c r="R216" s="81">
        <f>IF(G216="","",ABS(O216-Components!$C$4))</f>
        <v>0.17666666666666697</v>
      </c>
      <c r="S216" s="81">
        <f>IF(G216="","",ABS(O216-Components!$C$5))</f>
        <v>3.3926666666666705</v>
      </c>
      <c r="T216" s="81">
        <f>IF(G216="","",ABS(O216-Components!$C$6))</f>
        <v>1.4333333333329978E-2</v>
      </c>
      <c r="U216" s="81">
        <f>IF(G216="","",ABS(O216-Components!$C$7))</f>
        <v>0.20433333333333015</v>
      </c>
      <c r="V216" s="81" t="str">
        <f>IF(F216="","",IF(M216="OK","NONE",INDEX({"S1","S2","W1","W2","N1","N2"},MATCH(MIN(P216:U216),P216:U216,0))))</f>
        <v>N1</v>
      </c>
      <c r="W216" s="117">
        <f t="shared" si="27"/>
        <v>1</v>
      </c>
      <c r="X216" s="119"/>
    </row>
    <row r="217" spans="1:24">
      <c r="A217" s="115">
        <v>215</v>
      </c>
      <c r="B217" s="116">
        <v>8</v>
      </c>
      <c r="C217" s="61" t="s">
        <v>130</v>
      </c>
      <c r="D217" s="61" t="s">
        <v>240</v>
      </c>
      <c r="E217" s="61" t="s">
        <v>108</v>
      </c>
      <c r="F217" s="52">
        <v>7.78</v>
      </c>
      <c r="G217" s="52">
        <f t="shared" si="21"/>
        <v>8.75</v>
      </c>
      <c r="H217" s="110"/>
      <c r="I217" s="81">
        <v>9.91</v>
      </c>
      <c r="J217" s="81">
        <f>VLOOKUP(C217,Recipes!$A$2:$N$4,12,FALSE())</f>
        <v>5.0137397426368718E-2</v>
      </c>
      <c r="K217" s="81">
        <f t="shared" si="22"/>
        <v>9.7595878077208944</v>
      </c>
      <c r="L217" s="81">
        <f t="shared" si="23"/>
        <v>10.060412192279106</v>
      </c>
      <c r="M217" s="81" t="str">
        <f t="shared" si="25"/>
        <v>NG</v>
      </c>
      <c r="N217" s="117">
        <f t="shared" si="24"/>
        <v>1</v>
      </c>
      <c r="O217" s="81">
        <f t="shared" si="26"/>
        <v>1.1600000000000001</v>
      </c>
      <c r="P217" s="81">
        <f>IF(G217="","",ABS(O217-Components!$C$2))</f>
        <v>1.5933333333333297</v>
      </c>
      <c r="Q217" s="81">
        <f>IF(G217="","",ABS(O217-Components!$C$3))</f>
        <v>2.8759999999999994</v>
      </c>
      <c r="R217" s="81">
        <f>IF(G217="","",ABS(O217-Components!$C$4))</f>
        <v>0.16666666666666718</v>
      </c>
      <c r="S217" s="81">
        <f>IF(G217="","",ABS(O217-Components!$C$5))</f>
        <v>3.4026666666666703</v>
      </c>
      <c r="T217" s="81">
        <f>IF(G217="","",ABS(O217-Components!$C$6))</f>
        <v>4.3333333333301916E-3</v>
      </c>
      <c r="U217" s="81">
        <f>IF(G217="","",ABS(O217-Components!$C$7))</f>
        <v>0.21433333333332993</v>
      </c>
      <c r="V217" s="81" t="str">
        <f>IF(F217="","",IF(M217="OK","NONE",INDEX({"S1","S2","W1","W2","N1","N2"},MATCH(MIN(P217:U217),P217:U217,0))))</f>
        <v>N1</v>
      </c>
      <c r="W217" s="117">
        <f t="shared" si="27"/>
        <v>1</v>
      </c>
      <c r="X217" s="119"/>
    </row>
    <row r="218" spans="1:24">
      <c r="A218" s="115">
        <v>216</v>
      </c>
      <c r="B218" s="116">
        <v>8</v>
      </c>
      <c r="C218" s="81" t="s">
        <v>130</v>
      </c>
      <c r="D218" s="111" t="s">
        <v>240</v>
      </c>
      <c r="E218" s="81" t="s">
        <v>108</v>
      </c>
      <c r="F218" s="52">
        <v>7.82</v>
      </c>
      <c r="G218" s="52">
        <f t="shared" si="21"/>
        <v>8.7900000000000009</v>
      </c>
      <c r="H218" s="110"/>
      <c r="I218" s="81">
        <v>9.91</v>
      </c>
      <c r="J218" s="81">
        <f>VLOOKUP(C218,Recipes!$A$2:$N$4,12,FALSE())</f>
        <v>5.0137397426368718E-2</v>
      </c>
      <c r="K218" s="81">
        <f t="shared" si="22"/>
        <v>9.7595878077208944</v>
      </c>
      <c r="L218" s="81">
        <f t="shared" si="23"/>
        <v>10.060412192279106</v>
      </c>
      <c r="M218" s="81" t="str">
        <f t="shared" si="25"/>
        <v>NG</v>
      </c>
      <c r="N218" s="117">
        <f t="shared" si="24"/>
        <v>1</v>
      </c>
      <c r="O218" s="81">
        <f t="shared" si="26"/>
        <v>1.1199999999999992</v>
      </c>
      <c r="P218" s="81">
        <f>IF(G218="","",ABS(O218-Components!$C$2))</f>
        <v>1.6333333333333306</v>
      </c>
      <c r="Q218" s="81">
        <f>IF(G218="","",ABS(O218-Components!$C$3))</f>
        <v>2.9160000000000004</v>
      </c>
      <c r="R218" s="81">
        <f>IF(G218="","",ABS(O218-Components!$C$4))</f>
        <v>0.12666666666666626</v>
      </c>
      <c r="S218" s="81">
        <f>IF(G218="","",ABS(O218-Components!$C$5))</f>
        <v>3.4426666666666712</v>
      </c>
      <c r="T218" s="81">
        <f>IF(G218="","",ABS(O218-Components!$C$6))</f>
        <v>3.5666666666670732E-2</v>
      </c>
      <c r="U218" s="81">
        <f>IF(G218="","",ABS(O218-Components!$C$7))</f>
        <v>0.25433333333333086</v>
      </c>
      <c r="V218" s="81" t="str">
        <f>IF(F218="","",IF(M218="OK","NONE",INDEX({"S1","S2","W1","W2","N1","N2"},MATCH(MIN(P218:U218),P218:U218,0))))</f>
        <v>N1</v>
      </c>
      <c r="W218" s="117">
        <f t="shared" si="27"/>
        <v>1</v>
      </c>
      <c r="X218" s="119"/>
    </row>
    <row r="219" spans="1:24">
      <c r="A219" s="115">
        <v>217</v>
      </c>
      <c r="B219" s="116">
        <v>8</v>
      </c>
      <c r="C219" s="81" t="s">
        <v>130</v>
      </c>
      <c r="D219" s="111" t="s">
        <v>240</v>
      </c>
      <c r="E219" s="81" t="s">
        <v>108</v>
      </c>
      <c r="F219" s="52">
        <v>7.78</v>
      </c>
      <c r="G219" s="52">
        <f t="shared" si="21"/>
        <v>8.75</v>
      </c>
      <c r="H219" s="110"/>
      <c r="I219" s="81">
        <v>9.91</v>
      </c>
      <c r="J219" s="81">
        <f>VLOOKUP(C219,Recipes!$A$2:$N$4,12,FALSE())</f>
        <v>5.0137397426368718E-2</v>
      </c>
      <c r="K219" s="81">
        <f t="shared" si="22"/>
        <v>9.7595878077208944</v>
      </c>
      <c r="L219" s="81">
        <f t="shared" si="23"/>
        <v>10.060412192279106</v>
      </c>
      <c r="M219" s="81" t="str">
        <f t="shared" si="25"/>
        <v>NG</v>
      </c>
      <c r="N219" s="117">
        <f t="shared" si="24"/>
        <v>1</v>
      </c>
      <c r="O219" s="81">
        <f t="shared" si="26"/>
        <v>1.1600000000000001</v>
      </c>
      <c r="P219" s="81">
        <f>IF(G219="","",ABS(O219-Components!$C$2))</f>
        <v>1.5933333333333297</v>
      </c>
      <c r="Q219" s="81">
        <f>IF(G219="","",ABS(O219-Components!$C$3))</f>
        <v>2.8759999999999994</v>
      </c>
      <c r="R219" s="81">
        <f>IF(G219="","",ABS(O219-Components!$C$4))</f>
        <v>0.16666666666666718</v>
      </c>
      <c r="S219" s="81">
        <f>IF(G219="","",ABS(O219-Components!$C$5))</f>
        <v>3.4026666666666703</v>
      </c>
      <c r="T219" s="81">
        <f>IF(G219="","",ABS(O219-Components!$C$6))</f>
        <v>4.3333333333301916E-3</v>
      </c>
      <c r="U219" s="81">
        <f>IF(G219="","",ABS(O219-Components!$C$7))</f>
        <v>0.21433333333332993</v>
      </c>
      <c r="V219" s="81" t="str">
        <f>IF(F219="","",IF(M219="OK","NONE",INDEX({"S1","S2","W1","W2","N1","N2"},MATCH(MIN(P219:U219),P219:U219,0))))</f>
        <v>N1</v>
      </c>
      <c r="W219" s="117">
        <f t="shared" si="27"/>
        <v>1</v>
      </c>
      <c r="X219" s="119"/>
    </row>
    <row r="220" spans="1:24">
      <c r="A220" s="115">
        <v>218</v>
      </c>
      <c r="B220" s="116">
        <v>8</v>
      </c>
      <c r="C220" s="81" t="s">
        <v>130</v>
      </c>
      <c r="D220" s="111" t="s">
        <v>240</v>
      </c>
      <c r="E220" s="81" t="s">
        <v>108</v>
      </c>
      <c r="F220" s="52">
        <v>7.52</v>
      </c>
      <c r="G220" s="52">
        <f t="shared" si="21"/>
        <v>8.49</v>
      </c>
      <c r="H220" s="110"/>
      <c r="I220" s="81">
        <v>9.91</v>
      </c>
      <c r="J220" s="81">
        <f>VLOOKUP(C220,Recipes!$A$2:$N$4,12,FALSE())</f>
        <v>5.0137397426368718E-2</v>
      </c>
      <c r="K220" s="81">
        <f t="shared" si="22"/>
        <v>9.7595878077208944</v>
      </c>
      <c r="L220" s="81">
        <f t="shared" si="23"/>
        <v>10.060412192279106</v>
      </c>
      <c r="M220" s="81" t="str">
        <f t="shared" si="25"/>
        <v>NG</v>
      </c>
      <c r="N220" s="117">
        <f t="shared" si="24"/>
        <v>1</v>
      </c>
      <c r="O220" s="81">
        <f t="shared" si="26"/>
        <v>1.42</v>
      </c>
      <c r="P220" s="81">
        <f>IF(G220="","",ABS(O220-Components!$C$2))</f>
        <v>1.3333333333333299</v>
      </c>
      <c r="Q220" s="81">
        <f>IF(G220="","",ABS(O220-Components!$C$3))</f>
        <v>2.6159999999999997</v>
      </c>
      <c r="R220" s="81">
        <f>IF(G220="","",ABS(O220-Components!$C$4))</f>
        <v>0.42666666666666697</v>
      </c>
      <c r="S220" s="81">
        <f>IF(G220="","",ABS(O220-Components!$C$5))</f>
        <v>3.1426666666666705</v>
      </c>
      <c r="T220" s="81">
        <f>IF(G220="","",ABS(O220-Components!$C$6))</f>
        <v>0.26433333333332998</v>
      </c>
      <c r="U220" s="81">
        <f>IF(G220="","",ABS(O220-Components!$C$7))</f>
        <v>4.5666666666669853E-2</v>
      </c>
      <c r="V220" s="81" t="str">
        <f>IF(F220="","",IF(M220="OK","NONE",INDEX({"S1","S2","W1","W2","N1","N2"},MATCH(MIN(P220:U220),P220:U220,0))))</f>
        <v>N2</v>
      </c>
      <c r="W220" s="118">
        <f t="shared" si="27"/>
        <v>0</v>
      </c>
      <c r="X220" s="119"/>
    </row>
    <row r="221" spans="1:24">
      <c r="A221" s="115">
        <v>219</v>
      </c>
      <c r="B221" s="116">
        <v>8</v>
      </c>
      <c r="C221" s="81" t="s">
        <v>130</v>
      </c>
      <c r="D221" s="111" t="s">
        <v>240</v>
      </c>
      <c r="E221" s="81" t="s">
        <v>108</v>
      </c>
      <c r="F221" s="52">
        <v>7.75</v>
      </c>
      <c r="G221" s="52">
        <f t="shared" si="21"/>
        <v>8.7200000000000006</v>
      </c>
      <c r="H221" s="110"/>
      <c r="I221" s="81">
        <v>9.91</v>
      </c>
      <c r="J221" s="81">
        <f>VLOOKUP(C221,Recipes!$A$2:$N$4,12,FALSE())</f>
        <v>5.0137397426368718E-2</v>
      </c>
      <c r="K221" s="81">
        <f t="shared" si="22"/>
        <v>9.7595878077208944</v>
      </c>
      <c r="L221" s="81">
        <f t="shared" si="23"/>
        <v>10.060412192279106</v>
      </c>
      <c r="M221" s="81" t="str">
        <f t="shared" si="25"/>
        <v>NG</v>
      </c>
      <c r="N221" s="117">
        <f t="shared" si="24"/>
        <v>1</v>
      </c>
      <c r="O221" s="81">
        <f t="shared" si="26"/>
        <v>1.1899999999999995</v>
      </c>
      <c r="P221" s="81">
        <f>IF(G221="","",ABS(O221-Components!$C$2))</f>
        <v>1.5633333333333304</v>
      </c>
      <c r="Q221" s="81">
        <f>IF(G221="","",ABS(O221-Components!$C$3))</f>
        <v>2.8460000000000001</v>
      </c>
      <c r="R221" s="81">
        <f>IF(G221="","",ABS(O221-Components!$C$4))</f>
        <v>0.19666666666666655</v>
      </c>
      <c r="S221" s="81">
        <f>IF(G221="","",ABS(O221-Components!$C$5))</f>
        <v>3.3726666666666709</v>
      </c>
      <c r="T221" s="81">
        <f>IF(G221="","",ABS(O221-Components!$C$6))</f>
        <v>3.4333333333329552E-2</v>
      </c>
      <c r="U221" s="81">
        <f>IF(G221="","",ABS(O221-Components!$C$7))</f>
        <v>0.18433333333333057</v>
      </c>
      <c r="V221" s="81" t="str">
        <f>IF(F221="","",IF(M221="OK","NONE",INDEX({"S1","S2","W1","W2","N1","N2"},MATCH(MIN(P221:U221),P221:U221,0))))</f>
        <v>N1</v>
      </c>
      <c r="W221" s="117">
        <f t="shared" si="27"/>
        <v>1</v>
      </c>
      <c r="X221" s="119"/>
    </row>
    <row r="222" spans="1:24">
      <c r="A222" s="115">
        <v>220</v>
      </c>
      <c r="B222" s="116">
        <v>8</v>
      </c>
      <c r="C222" s="61" t="s">
        <v>130</v>
      </c>
      <c r="D222" s="61" t="s">
        <v>240</v>
      </c>
      <c r="E222" s="61" t="s">
        <v>108</v>
      </c>
      <c r="F222" s="52">
        <v>7.76</v>
      </c>
      <c r="G222" s="52">
        <f t="shared" si="21"/>
        <v>8.73</v>
      </c>
      <c r="H222" s="110"/>
      <c r="I222" s="81">
        <v>9.91</v>
      </c>
      <c r="J222" s="81">
        <f>VLOOKUP(C222,Recipes!$A$2:$N$4,12,FALSE())</f>
        <v>5.0137397426368718E-2</v>
      </c>
      <c r="K222" s="81">
        <f t="shared" si="22"/>
        <v>9.7595878077208944</v>
      </c>
      <c r="L222" s="81">
        <f t="shared" si="23"/>
        <v>10.060412192279106</v>
      </c>
      <c r="M222" s="81" t="str">
        <f t="shared" si="25"/>
        <v>NG</v>
      </c>
      <c r="N222" s="117">
        <f t="shared" si="24"/>
        <v>1</v>
      </c>
      <c r="O222" s="81">
        <f t="shared" si="26"/>
        <v>1.1799999999999997</v>
      </c>
      <c r="P222" s="81">
        <f>IF(G222="","",ABS(O222-Components!$C$2))</f>
        <v>1.5733333333333301</v>
      </c>
      <c r="Q222" s="81">
        <f>IF(G222="","",ABS(O222-Components!$C$3))</f>
        <v>2.8559999999999999</v>
      </c>
      <c r="R222" s="81">
        <f>IF(G222="","",ABS(O222-Components!$C$4))</f>
        <v>0.18666666666666676</v>
      </c>
      <c r="S222" s="81">
        <f>IF(G222="","",ABS(O222-Components!$C$5))</f>
        <v>3.3826666666666707</v>
      </c>
      <c r="T222" s="81">
        <f>IF(G222="","",ABS(O222-Components!$C$6))</f>
        <v>2.4333333333329765E-2</v>
      </c>
      <c r="U222" s="81">
        <f>IF(G222="","",ABS(O222-Components!$C$7))</f>
        <v>0.19433333333333036</v>
      </c>
      <c r="V222" s="81" t="str">
        <f>IF(F222="","",IF(M222="OK","NONE",INDEX({"S1","S2","W1","W2","N1","N2"},MATCH(MIN(P222:U222),P222:U222,0))))</f>
        <v>N1</v>
      </c>
      <c r="W222" s="117">
        <f t="shared" si="27"/>
        <v>1</v>
      </c>
      <c r="X222" s="119"/>
    </row>
    <row r="223" spans="1:24">
      <c r="A223" s="115">
        <v>221</v>
      </c>
      <c r="B223" s="116">
        <v>8</v>
      </c>
      <c r="C223" s="81" t="s">
        <v>130</v>
      </c>
      <c r="D223" s="111" t="s">
        <v>240</v>
      </c>
      <c r="E223" s="81" t="s">
        <v>108</v>
      </c>
      <c r="F223" s="52">
        <v>7.78</v>
      </c>
      <c r="G223" s="52">
        <f t="shared" si="21"/>
        <v>8.75</v>
      </c>
      <c r="H223" s="110"/>
      <c r="I223" s="81">
        <v>9.91</v>
      </c>
      <c r="J223" s="81">
        <f>VLOOKUP(C223,Recipes!$A$2:$N$4,12,FALSE())</f>
        <v>5.0137397426368718E-2</v>
      </c>
      <c r="K223" s="81">
        <f t="shared" si="22"/>
        <v>9.7595878077208944</v>
      </c>
      <c r="L223" s="81">
        <f t="shared" si="23"/>
        <v>10.060412192279106</v>
      </c>
      <c r="M223" s="81" t="str">
        <f t="shared" si="25"/>
        <v>NG</v>
      </c>
      <c r="N223" s="117">
        <f t="shared" si="24"/>
        <v>1</v>
      </c>
      <c r="O223" s="81">
        <f t="shared" si="26"/>
        <v>1.1600000000000001</v>
      </c>
      <c r="P223" s="81">
        <f>IF(G223="","",ABS(O223-Components!$C$2))</f>
        <v>1.5933333333333297</v>
      </c>
      <c r="Q223" s="81">
        <f>IF(G223="","",ABS(O223-Components!$C$3))</f>
        <v>2.8759999999999994</v>
      </c>
      <c r="R223" s="81">
        <f>IF(G223="","",ABS(O223-Components!$C$4))</f>
        <v>0.16666666666666718</v>
      </c>
      <c r="S223" s="81">
        <f>IF(G223="","",ABS(O223-Components!$C$5))</f>
        <v>3.4026666666666703</v>
      </c>
      <c r="T223" s="81">
        <f>IF(G223="","",ABS(O223-Components!$C$6))</f>
        <v>4.3333333333301916E-3</v>
      </c>
      <c r="U223" s="81">
        <f>IF(G223="","",ABS(O223-Components!$C$7))</f>
        <v>0.21433333333332993</v>
      </c>
      <c r="V223" s="81" t="str">
        <f>IF(F223="","",IF(M223="OK","NONE",INDEX({"S1","S2","W1","W2","N1","N2"},MATCH(MIN(P223:U223),P223:U223,0))))</f>
        <v>N1</v>
      </c>
      <c r="W223" s="117">
        <f t="shared" si="27"/>
        <v>1</v>
      </c>
      <c r="X223" s="119"/>
    </row>
    <row r="224" spans="1:24">
      <c r="A224" s="115">
        <v>222</v>
      </c>
      <c r="B224" s="116">
        <v>8</v>
      </c>
      <c r="C224" s="81" t="s">
        <v>130</v>
      </c>
      <c r="D224" s="111" t="s">
        <v>240</v>
      </c>
      <c r="E224" s="81" t="s">
        <v>108</v>
      </c>
      <c r="F224" s="52">
        <v>7.82</v>
      </c>
      <c r="G224" s="52">
        <f t="shared" si="21"/>
        <v>8.7900000000000009</v>
      </c>
      <c r="H224" s="110"/>
      <c r="I224" s="81">
        <v>9.91</v>
      </c>
      <c r="J224" s="81">
        <f>VLOOKUP(C224,Recipes!$A$2:$N$4,12,FALSE())</f>
        <v>5.0137397426368718E-2</v>
      </c>
      <c r="K224" s="81">
        <f t="shared" si="22"/>
        <v>9.7595878077208944</v>
      </c>
      <c r="L224" s="81">
        <f t="shared" si="23"/>
        <v>10.060412192279106</v>
      </c>
      <c r="M224" s="81" t="str">
        <f t="shared" si="25"/>
        <v>NG</v>
      </c>
      <c r="N224" s="117">
        <f t="shared" si="24"/>
        <v>1</v>
      </c>
      <c r="O224" s="81">
        <f t="shared" si="26"/>
        <v>1.1199999999999992</v>
      </c>
      <c r="P224" s="81">
        <f>IF(G224="","",ABS(O224-Components!$C$2))</f>
        <v>1.6333333333333306</v>
      </c>
      <c r="Q224" s="81">
        <f>IF(G224="","",ABS(O224-Components!$C$3))</f>
        <v>2.9160000000000004</v>
      </c>
      <c r="R224" s="81">
        <f>IF(G224="","",ABS(O224-Components!$C$4))</f>
        <v>0.12666666666666626</v>
      </c>
      <c r="S224" s="81">
        <f>IF(G224="","",ABS(O224-Components!$C$5))</f>
        <v>3.4426666666666712</v>
      </c>
      <c r="T224" s="81">
        <f>IF(G224="","",ABS(O224-Components!$C$6))</f>
        <v>3.5666666666670732E-2</v>
      </c>
      <c r="U224" s="81">
        <f>IF(G224="","",ABS(O224-Components!$C$7))</f>
        <v>0.25433333333333086</v>
      </c>
      <c r="V224" s="81" t="str">
        <f>IF(F224="","",IF(M224="OK","NONE",INDEX({"S1","S2","W1","W2","N1","N2"},MATCH(MIN(P224:U224),P224:U224,0))))</f>
        <v>N1</v>
      </c>
      <c r="W224" s="117">
        <f t="shared" si="27"/>
        <v>1</v>
      </c>
      <c r="X224" s="119"/>
    </row>
    <row r="225" spans="1:24">
      <c r="A225" s="115">
        <v>223</v>
      </c>
      <c r="B225" s="116">
        <v>8</v>
      </c>
      <c r="C225" s="81" t="s">
        <v>130</v>
      </c>
      <c r="D225" s="111" t="s">
        <v>240</v>
      </c>
      <c r="E225" s="81" t="s">
        <v>108</v>
      </c>
      <c r="F225" s="52">
        <v>7.8</v>
      </c>
      <c r="G225" s="52">
        <f t="shared" si="21"/>
        <v>8.77</v>
      </c>
      <c r="H225" s="110"/>
      <c r="I225" s="81">
        <v>9.91</v>
      </c>
      <c r="J225" s="81">
        <f>VLOOKUP(C225,Recipes!$A$2:$N$4,12,FALSE())</f>
        <v>5.0137397426368718E-2</v>
      </c>
      <c r="K225" s="81">
        <f t="shared" si="22"/>
        <v>9.7595878077208944</v>
      </c>
      <c r="L225" s="81">
        <f t="shared" si="23"/>
        <v>10.060412192279106</v>
      </c>
      <c r="M225" s="81" t="str">
        <f t="shared" si="25"/>
        <v>NG</v>
      </c>
      <c r="N225" s="117">
        <f t="shared" si="24"/>
        <v>1</v>
      </c>
      <c r="O225" s="81">
        <f t="shared" si="26"/>
        <v>1.1400000000000006</v>
      </c>
      <c r="P225" s="81">
        <f>IF(G225="","",ABS(O225-Components!$C$2))</f>
        <v>1.6133333333333293</v>
      </c>
      <c r="Q225" s="81">
        <f>IF(G225="","",ABS(O225-Components!$C$3))</f>
        <v>2.895999999999999</v>
      </c>
      <c r="R225" s="81">
        <f>IF(G225="","",ABS(O225-Components!$C$4))</f>
        <v>0.14666666666666761</v>
      </c>
      <c r="S225" s="81">
        <f>IF(G225="","",ABS(O225-Components!$C$5))</f>
        <v>3.4226666666666699</v>
      </c>
      <c r="T225" s="81">
        <f>IF(G225="","",ABS(O225-Components!$C$6))</f>
        <v>1.5666666666669382E-2</v>
      </c>
      <c r="U225" s="81">
        <f>IF(G225="","",ABS(O225-Components!$C$7))</f>
        <v>0.23433333333332951</v>
      </c>
      <c r="V225" s="81" t="str">
        <f>IF(F225="","",IF(M225="OK","NONE",INDEX({"S1","S2","W1","W2","N1","N2"},MATCH(MIN(P225:U225),P225:U225,0))))</f>
        <v>N1</v>
      </c>
      <c r="W225" s="117">
        <f t="shared" si="27"/>
        <v>1</v>
      </c>
      <c r="X225" s="119"/>
    </row>
    <row r="226" spans="1:24">
      <c r="A226" s="115">
        <v>224</v>
      </c>
      <c r="B226" s="116">
        <v>8</v>
      </c>
      <c r="C226" s="81" t="s">
        <v>130</v>
      </c>
      <c r="D226" s="111" t="s">
        <v>240</v>
      </c>
      <c r="E226" s="81" t="s">
        <v>108</v>
      </c>
      <c r="F226" s="52">
        <v>7.75</v>
      </c>
      <c r="G226" s="52">
        <f t="shared" si="21"/>
        <v>8.7200000000000006</v>
      </c>
      <c r="H226" s="110"/>
      <c r="I226" s="81">
        <v>9.91</v>
      </c>
      <c r="J226" s="81">
        <f>VLOOKUP(C226,Recipes!$A$2:$N$4,12,FALSE())</f>
        <v>5.0137397426368718E-2</v>
      </c>
      <c r="K226" s="81">
        <f t="shared" si="22"/>
        <v>9.7595878077208944</v>
      </c>
      <c r="L226" s="81">
        <f t="shared" si="23"/>
        <v>10.060412192279106</v>
      </c>
      <c r="M226" s="81" t="str">
        <f t="shared" si="25"/>
        <v>NG</v>
      </c>
      <c r="N226" s="117">
        <f t="shared" si="24"/>
        <v>1</v>
      </c>
      <c r="O226" s="81">
        <f t="shared" si="26"/>
        <v>1.1899999999999995</v>
      </c>
      <c r="P226" s="81">
        <f>IF(G226="","",ABS(O226-Components!$C$2))</f>
        <v>1.5633333333333304</v>
      </c>
      <c r="Q226" s="81">
        <f>IF(G226="","",ABS(O226-Components!$C$3))</f>
        <v>2.8460000000000001</v>
      </c>
      <c r="R226" s="81">
        <f>IF(G226="","",ABS(O226-Components!$C$4))</f>
        <v>0.19666666666666655</v>
      </c>
      <c r="S226" s="81">
        <f>IF(G226="","",ABS(O226-Components!$C$5))</f>
        <v>3.3726666666666709</v>
      </c>
      <c r="T226" s="81">
        <f>IF(G226="","",ABS(O226-Components!$C$6))</f>
        <v>3.4333333333329552E-2</v>
      </c>
      <c r="U226" s="81">
        <f>IF(G226="","",ABS(O226-Components!$C$7))</f>
        <v>0.18433333333333057</v>
      </c>
      <c r="V226" s="81" t="str">
        <f>IF(F226="","",IF(M226="OK","NONE",INDEX({"S1","S2","W1","W2","N1","N2"},MATCH(MIN(P226:U226),P226:U226,0))))</f>
        <v>N1</v>
      </c>
      <c r="W226" s="117">
        <f t="shared" si="27"/>
        <v>1</v>
      </c>
      <c r="X226" s="119"/>
    </row>
    <row r="227" spans="1:24">
      <c r="A227" s="115">
        <v>225</v>
      </c>
      <c r="B227" s="116">
        <v>8</v>
      </c>
      <c r="C227" s="61" t="s">
        <v>130</v>
      </c>
      <c r="D227" s="61" t="s">
        <v>240</v>
      </c>
      <c r="E227" s="61" t="s">
        <v>108</v>
      </c>
      <c r="F227" s="52">
        <v>7.72</v>
      </c>
      <c r="G227" s="52">
        <f t="shared" si="21"/>
        <v>8.69</v>
      </c>
      <c r="H227" s="110"/>
      <c r="I227" s="81">
        <v>9.91</v>
      </c>
      <c r="J227" s="81">
        <f>VLOOKUP(C227,Recipes!$A$2:$N$4,12,FALSE())</f>
        <v>5.0137397426368718E-2</v>
      </c>
      <c r="K227" s="81">
        <f t="shared" si="22"/>
        <v>9.7595878077208944</v>
      </c>
      <c r="L227" s="81">
        <f t="shared" si="23"/>
        <v>10.060412192279106</v>
      </c>
      <c r="M227" s="81" t="str">
        <f t="shared" si="25"/>
        <v>NG</v>
      </c>
      <c r="N227" s="117">
        <f t="shared" si="24"/>
        <v>1</v>
      </c>
      <c r="O227" s="81">
        <f t="shared" si="26"/>
        <v>1.2200000000000006</v>
      </c>
      <c r="P227" s="81">
        <f>IF(G227="","",ABS(O227-Components!$C$2))</f>
        <v>1.5333333333333292</v>
      </c>
      <c r="Q227" s="81">
        <f>IF(G227="","",ABS(O227-Components!$C$3))</f>
        <v>2.8159999999999989</v>
      </c>
      <c r="R227" s="81">
        <f>IF(G227="","",ABS(O227-Components!$C$4))</f>
        <v>0.22666666666666768</v>
      </c>
      <c r="S227" s="81">
        <f>IF(G227="","",ABS(O227-Components!$C$5))</f>
        <v>3.3426666666666698</v>
      </c>
      <c r="T227" s="81">
        <f>IF(G227="","",ABS(O227-Components!$C$6))</f>
        <v>6.4333333333330689E-2</v>
      </c>
      <c r="U227" s="81">
        <f>IF(G227="","",ABS(O227-Components!$C$7))</f>
        <v>0.15433333333332944</v>
      </c>
      <c r="V227" s="81" t="str">
        <f>IF(F227="","",IF(M227="OK","NONE",INDEX({"S1","S2","W1","W2","N1","N2"},MATCH(MIN(P227:U227),P227:U227,0))))</f>
        <v>N1</v>
      </c>
      <c r="W227" s="117">
        <f t="shared" si="27"/>
        <v>1</v>
      </c>
      <c r="X227" s="119"/>
    </row>
    <row r="228" spans="1:24">
      <c r="A228" s="115">
        <v>226</v>
      </c>
      <c r="B228" s="116">
        <v>8</v>
      </c>
      <c r="C228" s="81" t="s">
        <v>130</v>
      </c>
      <c r="D228" s="111" t="s">
        <v>240</v>
      </c>
      <c r="E228" s="81" t="s">
        <v>108</v>
      </c>
      <c r="F228" s="52">
        <v>7.78</v>
      </c>
      <c r="G228" s="52">
        <f t="shared" si="21"/>
        <v>8.75</v>
      </c>
      <c r="H228" s="110"/>
      <c r="I228" s="81">
        <v>9.91</v>
      </c>
      <c r="J228" s="81">
        <f>VLOOKUP(C228,Recipes!$A$2:$N$4,12,FALSE())</f>
        <v>5.0137397426368718E-2</v>
      </c>
      <c r="K228" s="81">
        <f t="shared" si="22"/>
        <v>9.7595878077208944</v>
      </c>
      <c r="L228" s="81">
        <f t="shared" si="23"/>
        <v>10.060412192279106</v>
      </c>
      <c r="M228" s="81" t="str">
        <f t="shared" si="25"/>
        <v>NG</v>
      </c>
      <c r="N228" s="117">
        <f t="shared" si="24"/>
        <v>1</v>
      </c>
      <c r="O228" s="81">
        <f t="shared" si="26"/>
        <v>1.1600000000000001</v>
      </c>
      <c r="P228" s="81">
        <f>IF(G228="","",ABS(O228-Components!$C$2))</f>
        <v>1.5933333333333297</v>
      </c>
      <c r="Q228" s="81">
        <f>IF(G228="","",ABS(O228-Components!$C$3))</f>
        <v>2.8759999999999994</v>
      </c>
      <c r="R228" s="81">
        <f>IF(G228="","",ABS(O228-Components!$C$4))</f>
        <v>0.16666666666666718</v>
      </c>
      <c r="S228" s="81">
        <f>IF(G228="","",ABS(O228-Components!$C$5))</f>
        <v>3.4026666666666703</v>
      </c>
      <c r="T228" s="81">
        <f>IF(G228="","",ABS(O228-Components!$C$6))</f>
        <v>4.3333333333301916E-3</v>
      </c>
      <c r="U228" s="81">
        <f>IF(G228="","",ABS(O228-Components!$C$7))</f>
        <v>0.21433333333332993</v>
      </c>
      <c r="V228" s="81" t="str">
        <f>IF(F228="","",IF(M228="OK","NONE",INDEX({"S1","S2","W1","W2","N1","N2"},MATCH(MIN(P228:U228),P228:U228,0))))</f>
        <v>N1</v>
      </c>
      <c r="W228" s="117">
        <f t="shared" si="27"/>
        <v>1</v>
      </c>
      <c r="X228" s="119"/>
    </row>
    <row r="229" spans="1:24">
      <c r="A229" s="115">
        <v>227</v>
      </c>
      <c r="B229" s="116">
        <v>8</v>
      </c>
      <c r="C229" s="81" t="s">
        <v>130</v>
      </c>
      <c r="D229" s="111" t="s">
        <v>240</v>
      </c>
      <c r="E229" s="81" t="s">
        <v>108</v>
      </c>
      <c r="F229" s="52">
        <v>7.75</v>
      </c>
      <c r="G229" s="52">
        <f t="shared" si="21"/>
        <v>8.7200000000000006</v>
      </c>
      <c r="H229" s="110"/>
      <c r="I229" s="81">
        <v>9.91</v>
      </c>
      <c r="J229" s="81">
        <f>VLOOKUP(C229,Recipes!$A$2:$N$4,12,FALSE())</f>
        <v>5.0137397426368718E-2</v>
      </c>
      <c r="K229" s="81">
        <f t="shared" si="22"/>
        <v>9.7595878077208944</v>
      </c>
      <c r="L229" s="81">
        <f t="shared" si="23"/>
        <v>10.060412192279106</v>
      </c>
      <c r="M229" s="81" t="str">
        <f t="shared" si="25"/>
        <v>NG</v>
      </c>
      <c r="N229" s="117">
        <f t="shared" si="24"/>
        <v>1</v>
      </c>
      <c r="O229" s="81">
        <f t="shared" si="26"/>
        <v>1.1899999999999995</v>
      </c>
      <c r="P229" s="81">
        <f>IF(G229="","",ABS(O229-Components!$C$2))</f>
        <v>1.5633333333333304</v>
      </c>
      <c r="Q229" s="81">
        <f>IF(G229="","",ABS(O229-Components!$C$3))</f>
        <v>2.8460000000000001</v>
      </c>
      <c r="R229" s="81">
        <f>IF(G229="","",ABS(O229-Components!$C$4))</f>
        <v>0.19666666666666655</v>
      </c>
      <c r="S229" s="81">
        <f>IF(G229="","",ABS(O229-Components!$C$5))</f>
        <v>3.3726666666666709</v>
      </c>
      <c r="T229" s="81">
        <f>IF(G229="","",ABS(O229-Components!$C$6))</f>
        <v>3.4333333333329552E-2</v>
      </c>
      <c r="U229" s="81">
        <f>IF(G229="","",ABS(O229-Components!$C$7))</f>
        <v>0.18433333333333057</v>
      </c>
      <c r="V229" s="81" t="str">
        <f>IF(F229="","",IF(M229="OK","NONE",INDEX({"S1","S2","W1","W2","N1","N2"},MATCH(MIN(P229:U229),P229:U229,0))))</f>
        <v>N1</v>
      </c>
      <c r="W229" s="117">
        <f t="shared" si="27"/>
        <v>1</v>
      </c>
      <c r="X229" s="119"/>
    </row>
    <row r="230" spans="1:24">
      <c r="A230" s="115">
        <v>228</v>
      </c>
      <c r="B230" s="116">
        <v>8</v>
      </c>
      <c r="C230" s="81" t="s">
        <v>130</v>
      </c>
      <c r="D230" s="111" t="s">
        <v>240</v>
      </c>
      <c r="E230" s="81" t="s">
        <v>108</v>
      </c>
      <c r="F230" s="52">
        <v>7.77</v>
      </c>
      <c r="G230" s="52">
        <f t="shared" si="21"/>
        <v>8.74</v>
      </c>
      <c r="H230" s="110"/>
      <c r="I230" s="81">
        <v>9.91</v>
      </c>
      <c r="J230" s="81">
        <f>VLOOKUP(C230,Recipes!$A$2:$N$4,12,FALSE())</f>
        <v>5.0137397426368718E-2</v>
      </c>
      <c r="K230" s="81">
        <f t="shared" si="22"/>
        <v>9.7595878077208944</v>
      </c>
      <c r="L230" s="81">
        <f t="shared" si="23"/>
        <v>10.060412192279106</v>
      </c>
      <c r="M230" s="81" t="str">
        <f t="shared" si="25"/>
        <v>NG</v>
      </c>
      <c r="N230" s="117">
        <f t="shared" si="24"/>
        <v>1</v>
      </c>
      <c r="O230" s="81">
        <f t="shared" si="26"/>
        <v>1.17</v>
      </c>
      <c r="P230" s="81">
        <f>IF(G230="","",ABS(O230-Components!$C$2))</f>
        <v>1.5833333333333299</v>
      </c>
      <c r="Q230" s="81">
        <f>IF(G230="","",ABS(O230-Components!$C$3))</f>
        <v>2.8659999999999997</v>
      </c>
      <c r="R230" s="81">
        <f>IF(G230="","",ABS(O230-Components!$C$4))</f>
        <v>0.17666666666666697</v>
      </c>
      <c r="S230" s="81">
        <f>IF(G230="","",ABS(O230-Components!$C$5))</f>
        <v>3.3926666666666705</v>
      </c>
      <c r="T230" s="81">
        <f>IF(G230="","",ABS(O230-Components!$C$6))</f>
        <v>1.4333333333329978E-2</v>
      </c>
      <c r="U230" s="81">
        <f>IF(G230="","",ABS(O230-Components!$C$7))</f>
        <v>0.20433333333333015</v>
      </c>
      <c r="V230" s="81" t="str">
        <f>IF(F230="","",IF(M230="OK","NONE",INDEX({"S1","S2","W1","W2","N1","N2"},MATCH(MIN(P230:U230),P230:U230,0))))</f>
        <v>N1</v>
      </c>
      <c r="W230" s="117">
        <f t="shared" si="27"/>
        <v>1</v>
      </c>
      <c r="X230" s="119"/>
    </row>
    <row r="231" spans="1:24">
      <c r="A231" s="115">
        <v>229</v>
      </c>
      <c r="B231" s="116">
        <v>8</v>
      </c>
      <c r="C231" s="81" t="s">
        <v>130</v>
      </c>
      <c r="D231" s="111" t="s">
        <v>240</v>
      </c>
      <c r="E231" s="81" t="s">
        <v>108</v>
      </c>
      <c r="F231" s="52">
        <v>7.69</v>
      </c>
      <c r="G231" s="52">
        <f t="shared" si="21"/>
        <v>8.66</v>
      </c>
      <c r="H231" s="110"/>
      <c r="I231" s="81">
        <v>9.91</v>
      </c>
      <c r="J231" s="81">
        <f>VLOOKUP(C231,Recipes!$A$2:$N$4,12,FALSE())</f>
        <v>5.0137397426368718E-2</v>
      </c>
      <c r="K231" s="81">
        <f t="shared" si="22"/>
        <v>9.7595878077208944</v>
      </c>
      <c r="L231" s="81">
        <f t="shared" si="23"/>
        <v>10.060412192279106</v>
      </c>
      <c r="M231" s="81" t="str">
        <f t="shared" si="25"/>
        <v>NG</v>
      </c>
      <c r="N231" s="117">
        <f t="shared" si="24"/>
        <v>1</v>
      </c>
      <c r="O231" s="81">
        <f t="shared" si="26"/>
        <v>1.25</v>
      </c>
      <c r="P231" s="81">
        <f>IF(G231="","",ABS(O231-Components!$C$2))</f>
        <v>1.5033333333333299</v>
      </c>
      <c r="Q231" s="81">
        <f>IF(G231="","",ABS(O231-Components!$C$3))</f>
        <v>2.7859999999999996</v>
      </c>
      <c r="R231" s="81">
        <f>IF(G231="","",ABS(O231-Components!$C$4))</f>
        <v>0.25666666666666704</v>
      </c>
      <c r="S231" s="81">
        <f>IF(G231="","",ABS(O231-Components!$C$5))</f>
        <v>3.3126666666666704</v>
      </c>
      <c r="T231" s="81">
        <f>IF(G231="","",ABS(O231-Components!$C$6))</f>
        <v>9.4333333333330049E-2</v>
      </c>
      <c r="U231" s="81">
        <f>IF(G231="","",ABS(O231-Components!$C$7))</f>
        <v>0.12433333333333008</v>
      </c>
      <c r="V231" s="81" t="str">
        <f>IF(F231="","",IF(M231="OK","NONE",INDEX({"S1","S2","W1","W2","N1","N2"},MATCH(MIN(P231:U231),P231:U231,0))))</f>
        <v>N1</v>
      </c>
      <c r="W231" s="117">
        <f t="shared" si="27"/>
        <v>1</v>
      </c>
      <c r="X231" s="119"/>
    </row>
    <row r="232" spans="1:24">
      <c r="A232" s="115">
        <v>230</v>
      </c>
      <c r="B232" s="116">
        <v>8</v>
      </c>
      <c r="C232" s="61" t="s">
        <v>130</v>
      </c>
      <c r="D232" s="61" t="s">
        <v>240</v>
      </c>
      <c r="E232" s="61" t="s">
        <v>108</v>
      </c>
      <c r="F232" s="52">
        <v>7.77</v>
      </c>
      <c r="G232" s="52">
        <f t="shared" si="21"/>
        <v>8.74</v>
      </c>
      <c r="H232" s="110"/>
      <c r="I232" s="81">
        <v>9.91</v>
      </c>
      <c r="J232" s="81">
        <f>VLOOKUP(C232,Recipes!$A$2:$N$4,12,FALSE())</f>
        <v>5.0137397426368718E-2</v>
      </c>
      <c r="K232" s="81">
        <f t="shared" si="22"/>
        <v>9.7595878077208944</v>
      </c>
      <c r="L232" s="81">
        <f t="shared" si="23"/>
        <v>10.060412192279106</v>
      </c>
      <c r="M232" s="81" t="str">
        <f t="shared" si="25"/>
        <v>NG</v>
      </c>
      <c r="N232" s="117">
        <f t="shared" si="24"/>
        <v>1</v>
      </c>
      <c r="O232" s="81">
        <f t="shared" si="26"/>
        <v>1.17</v>
      </c>
      <c r="P232" s="81">
        <f>IF(G232="","",ABS(O232-Components!$C$2))</f>
        <v>1.5833333333333299</v>
      </c>
      <c r="Q232" s="81">
        <f>IF(G232="","",ABS(O232-Components!$C$3))</f>
        <v>2.8659999999999997</v>
      </c>
      <c r="R232" s="81">
        <f>IF(G232="","",ABS(O232-Components!$C$4))</f>
        <v>0.17666666666666697</v>
      </c>
      <c r="S232" s="81">
        <f>IF(G232="","",ABS(O232-Components!$C$5))</f>
        <v>3.3926666666666705</v>
      </c>
      <c r="T232" s="81">
        <f>IF(G232="","",ABS(O232-Components!$C$6))</f>
        <v>1.4333333333329978E-2</v>
      </c>
      <c r="U232" s="81">
        <f>IF(G232="","",ABS(O232-Components!$C$7))</f>
        <v>0.20433333333333015</v>
      </c>
      <c r="V232" s="81" t="str">
        <f>IF(F232="","",IF(M232="OK","NONE",INDEX({"S1","S2","W1","W2","N1","N2"},MATCH(MIN(P232:U232),P232:U232,0))))</f>
        <v>N1</v>
      </c>
      <c r="W232" s="117">
        <f t="shared" si="27"/>
        <v>1</v>
      </c>
      <c r="X232" s="119"/>
    </row>
    <row r="233" spans="1:24">
      <c r="A233" s="115">
        <v>231</v>
      </c>
      <c r="B233" s="116">
        <v>8</v>
      </c>
      <c r="C233" s="81" t="s">
        <v>130</v>
      </c>
      <c r="D233" s="111" t="s">
        <v>240</v>
      </c>
      <c r="E233" s="81" t="s">
        <v>108</v>
      </c>
      <c r="F233" s="52">
        <v>7.77</v>
      </c>
      <c r="G233" s="52">
        <f t="shared" si="21"/>
        <v>8.74</v>
      </c>
      <c r="H233" s="110"/>
      <c r="I233" s="81">
        <v>9.91</v>
      </c>
      <c r="J233" s="81">
        <f>VLOOKUP(C233,Recipes!$A$2:$N$4,12,FALSE())</f>
        <v>5.0137397426368718E-2</v>
      </c>
      <c r="K233" s="81">
        <f t="shared" si="22"/>
        <v>9.7595878077208944</v>
      </c>
      <c r="L233" s="81">
        <f t="shared" si="23"/>
        <v>10.060412192279106</v>
      </c>
      <c r="M233" s="81" t="str">
        <f t="shared" si="25"/>
        <v>NG</v>
      </c>
      <c r="N233" s="117">
        <f t="shared" si="24"/>
        <v>1</v>
      </c>
      <c r="O233" s="81">
        <f t="shared" si="26"/>
        <v>1.17</v>
      </c>
      <c r="P233" s="81">
        <f>IF(G233="","",ABS(O233-Components!$C$2))</f>
        <v>1.5833333333333299</v>
      </c>
      <c r="Q233" s="81">
        <f>IF(G233="","",ABS(O233-Components!$C$3))</f>
        <v>2.8659999999999997</v>
      </c>
      <c r="R233" s="81">
        <f>IF(G233="","",ABS(O233-Components!$C$4))</f>
        <v>0.17666666666666697</v>
      </c>
      <c r="S233" s="81">
        <f>IF(G233="","",ABS(O233-Components!$C$5))</f>
        <v>3.3926666666666705</v>
      </c>
      <c r="T233" s="81">
        <f>IF(G233="","",ABS(O233-Components!$C$6))</f>
        <v>1.4333333333329978E-2</v>
      </c>
      <c r="U233" s="81">
        <f>IF(G233="","",ABS(O233-Components!$C$7))</f>
        <v>0.20433333333333015</v>
      </c>
      <c r="V233" s="81" t="str">
        <f>IF(F233="","",IF(M233="OK","NONE",INDEX({"S1","S2","W1","W2","N1","N2"},MATCH(MIN(P233:U233),P233:U233,0))))</f>
        <v>N1</v>
      </c>
      <c r="W233" s="117">
        <f t="shared" si="27"/>
        <v>1</v>
      </c>
      <c r="X233" s="119"/>
    </row>
    <row r="234" spans="1:24">
      <c r="A234" s="115">
        <v>232</v>
      </c>
      <c r="B234" s="116">
        <v>8</v>
      </c>
      <c r="C234" s="81" t="s">
        <v>130</v>
      </c>
      <c r="D234" s="111" t="s">
        <v>240</v>
      </c>
      <c r="E234" s="81" t="s">
        <v>108</v>
      </c>
      <c r="F234" s="52">
        <v>7.78</v>
      </c>
      <c r="G234" s="52">
        <f t="shared" si="21"/>
        <v>8.75</v>
      </c>
      <c r="H234" s="110"/>
      <c r="I234" s="81">
        <v>9.91</v>
      </c>
      <c r="J234" s="81">
        <f>VLOOKUP(C234,Recipes!$A$2:$N$4,12,FALSE())</f>
        <v>5.0137397426368718E-2</v>
      </c>
      <c r="K234" s="81">
        <f t="shared" si="22"/>
        <v>9.7595878077208944</v>
      </c>
      <c r="L234" s="81">
        <f t="shared" si="23"/>
        <v>10.060412192279106</v>
      </c>
      <c r="M234" s="81" t="str">
        <f t="shared" si="25"/>
        <v>NG</v>
      </c>
      <c r="N234" s="117">
        <f t="shared" si="24"/>
        <v>1</v>
      </c>
      <c r="O234" s="81">
        <f t="shared" si="26"/>
        <v>1.1600000000000001</v>
      </c>
      <c r="P234" s="81">
        <f>IF(G234="","",ABS(O234-Components!$C$2))</f>
        <v>1.5933333333333297</v>
      </c>
      <c r="Q234" s="81">
        <f>IF(G234="","",ABS(O234-Components!$C$3))</f>
        <v>2.8759999999999994</v>
      </c>
      <c r="R234" s="81">
        <f>IF(G234="","",ABS(O234-Components!$C$4))</f>
        <v>0.16666666666666718</v>
      </c>
      <c r="S234" s="81">
        <f>IF(G234="","",ABS(O234-Components!$C$5))</f>
        <v>3.4026666666666703</v>
      </c>
      <c r="T234" s="81">
        <f>IF(G234="","",ABS(O234-Components!$C$6))</f>
        <v>4.3333333333301916E-3</v>
      </c>
      <c r="U234" s="81">
        <f>IF(G234="","",ABS(O234-Components!$C$7))</f>
        <v>0.21433333333332993</v>
      </c>
      <c r="V234" s="81" t="str">
        <f>IF(F234="","",IF(M234="OK","NONE",INDEX({"S1","S2","W1","W2","N1","N2"},MATCH(MIN(P234:U234),P234:U234,0))))</f>
        <v>N1</v>
      </c>
      <c r="W234" s="117">
        <f t="shared" si="27"/>
        <v>1</v>
      </c>
      <c r="X234" s="119"/>
    </row>
    <row r="235" spans="1:24">
      <c r="A235" s="115">
        <v>233</v>
      </c>
      <c r="B235" s="116">
        <v>8</v>
      </c>
      <c r="C235" s="81" t="s">
        <v>130</v>
      </c>
      <c r="D235" s="111" t="s">
        <v>240</v>
      </c>
      <c r="E235" s="81" t="s">
        <v>108</v>
      </c>
      <c r="F235" s="52">
        <v>7.76</v>
      </c>
      <c r="G235" s="52">
        <f t="shared" si="21"/>
        <v>8.73</v>
      </c>
      <c r="H235" s="110"/>
      <c r="I235" s="81">
        <v>9.91</v>
      </c>
      <c r="J235" s="81">
        <f>VLOOKUP(C235,Recipes!$A$2:$N$4,12,FALSE())</f>
        <v>5.0137397426368718E-2</v>
      </c>
      <c r="K235" s="81">
        <f t="shared" si="22"/>
        <v>9.7595878077208944</v>
      </c>
      <c r="L235" s="81">
        <f t="shared" si="23"/>
        <v>10.060412192279106</v>
      </c>
      <c r="M235" s="81" t="str">
        <f t="shared" si="25"/>
        <v>NG</v>
      </c>
      <c r="N235" s="117">
        <f t="shared" si="24"/>
        <v>1</v>
      </c>
      <c r="O235" s="81">
        <f t="shared" si="26"/>
        <v>1.1799999999999997</v>
      </c>
      <c r="P235" s="81">
        <f>IF(G235="","",ABS(O235-Components!$C$2))</f>
        <v>1.5733333333333301</v>
      </c>
      <c r="Q235" s="81">
        <f>IF(G235="","",ABS(O235-Components!$C$3))</f>
        <v>2.8559999999999999</v>
      </c>
      <c r="R235" s="81">
        <f>IF(G235="","",ABS(O235-Components!$C$4))</f>
        <v>0.18666666666666676</v>
      </c>
      <c r="S235" s="81">
        <f>IF(G235="","",ABS(O235-Components!$C$5))</f>
        <v>3.3826666666666707</v>
      </c>
      <c r="T235" s="81">
        <f>IF(G235="","",ABS(O235-Components!$C$6))</f>
        <v>2.4333333333329765E-2</v>
      </c>
      <c r="U235" s="81">
        <f>IF(G235="","",ABS(O235-Components!$C$7))</f>
        <v>0.19433333333333036</v>
      </c>
      <c r="V235" s="81" t="str">
        <f>IF(F235="","",IF(M235="OK","NONE",INDEX({"S1","S2","W1","W2","N1","N2"},MATCH(MIN(P235:U235),P235:U235,0))))</f>
        <v>N1</v>
      </c>
      <c r="W235" s="117">
        <f t="shared" si="27"/>
        <v>1</v>
      </c>
      <c r="X235" s="119"/>
    </row>
    <row r="236" spans="1:24">
      <c r="A236" s="115">
        <v>234</v>
      </c>
      <c r="B236" s="116">
        <v>8</v>
      </c>
      <c r="C236" s="81" t="s">
        <v>130</v>
      </c>
      <c r="D236" s="111" t="s">
        <v>240</v>
      </c>
      <c r="E236" s="81" t="s">
        <v>108</v>
      </c>
      <c r="F236" s="52">
        <v>7.77</v>
      </c>
      <c r="G236" s="52">
        <f t="shared" si="21"/>
        <v>8.74</v>
      </c>
      <c r="H236" s="110"/>
      <c r="I236" s="81">
        <v>9.91</v>
      </c>
      <c r="J236" s="81">
        <f>VLOOKUP(C236,Recipes!$A$2:$N$4,12,FALSE())</f>
        <v>5.0137397426368718E-2</v>
      </c>
      <c r="K236" s="81">
        <f t="shared" si="22"/>
        <v>9.7595878077208944</v>
      </c>
      <c r="L236" s="81">
        <f t="shared" si="23"/>
        <v>10.060412192279106</v>
      </c>
      <c r="M236" s="81" t="str">
        <f t="shared" si="25"/>
        <v>NG</v>
      </c>
      <c r="N236" s="117">
        <f t="shared" si="24"/>
        <v>1</v>
      </c>
      <c r="O236" s="81">
        <f t="shared" si="26"/>
        <v>1.17</v>
      </c>
      <c r="P236" s="81">
        <f>IF(G236="","",ABS(O236-Components!$C$2))</f>
        <v>1.5833333333333299</v>
      </c>
      <c r="Q236" s="81">
        <f>IF(G236="","",ABS(O236-Components!$C$3))</f>
        <v>2.8659999999999997</v>
      </c>
      <c r="R236" s="81">
        <f>IF(G236="","",ABS(O236-Components!$C$4))</f>
        <v>0.17666666666666697</v>
      </c>
      <c r="S236" s="81">
        <f>IF(G236="","",ABS(O236-Components!$C$5))</f>
        <v>3.3926666666666705</v>
      </c>
      <c r="T236" s="81">
        <f>IF(G236="","",ABS(O236-Components!$C$6))</f>
        <v>1.4333333333329978E-2</v>
      </c>
      <c r="U236" s="81">
        <f>IF(G236="","",ABS(O236-Components!$C$7))</f>
        <v>0.20433333333333015</v>
      </c>
      <c r="V236" s="81" t="str">
        <f>IF(F236="","",IF(M236="OK","NONE",INDEX({"S1","S2","W1","W2","N1","N2"},MATCH(MIN(P236:U236),P236:U236,0))))</f>
        <v>N1</v>
      </c>
      <c r="W236" s="117">
        <f t="shared" si="27"/>
        <v>1</v>
      </c>
      <c r="X236" s="119"/>
    </row>
    <row r="237" spans="1:24">
      <c r="A237" s="115">
        <v>235</v>
      </c>
      <c r="B237" s="116">
        <v>8</v>
      </c>
      <c r="C237" s="61" t="s">
        <v>130</v>
      </c>
      <c r="D237" s="61" t="s">
        <v>240</v>
      </c>
      <c r="E237" s="61" t="s">
        <v>108</v>
      </c>
      <c r="F237" s="52">
        <v>7.71</v>
      </c>
      <c r="G237" s="52">
        <f t="shared" si="21"/>
        <v>8.68</v>
      </c>
      <c r="H237" s="110"/>
      <c r="I237" s="81">
        <v>9.91</v>
      </c>
      <c r="J237" s="81">
        <f>VLOOKUP(C237,Recipes!$A$2:$N$4,12,FALSE())</f>
        <v>5.0137397426368718E-2</v>
      </c>
      <c r="K237" s="81">
        <f t="shared" si="22"/>
        <v>9.7595878077208944</v>
      </c>
      <c r="L237" s="81">
        <f t="shared" si="23"/>
        <v>10.060412192279106</v>
      </c>
      <c r="M237" s="81" t="str">
        <f t="shared" si="25"/>
        <v>NG</v>
      </c>
      <c r="N237" s="117">
        <f t="shared" si="24"/>
        <v>1</v>
      </c>
      <c r="O237" s="81">
        <f t="shared" si="26"/>
        <v>1.2300000000000004</v>
      </c>
      <c r="P237" s="81">
        <f>IF(G237="","",ABS(O237-Components!$C$2))</f>
        <v>1.5233333333333294</v>
      </c>
      <c r="Q237" s="81">
        <f>IF(G237="","",ABS(O237-Components!$C$3))</f>
        <v>2.8059999999999992</v>
      </c>
      <c r="R237" s="81">
        <f>IF(G237="","",ABS(O237-Components!$C$4))</f>
        <v>0.23666666666666747</v>
      </c>
      <c r="S237" s="81">
        <f>IF(G237="","",ABS(O237-Components!$C$5))</f>
        <v>3.33266666666667</v>
      </c>
      <c r="T237" s="81">
        <f>IF(G237="","",ABS(O237-Components!$C$6))</f>
        <v>7.4333333333330476E-2</v>
      </c>
      <c r="U237" s="81">
        <f>IF(G237="","",ABS(O237-Components!$C$7))</f>
        <v>0.14433333333332965</v>
      </c>
      <c r="V237" s="81" t="str">
        <f>IF(F237="","",IF(M237="OK","NONE",INDEX({"S1","S2","W1","W2","N1","N2"},MATCH(MIN(P237:U237),P237:U237,0))))</f>
        <v>N1</v>
      </c>
      <c r="W237" s="117">
        <f t="shared" si="27"/>
        <v>1</v>
      </c>
      <c r="X237" s="119"/>
    </row>
    <row r="238" spans="1:24">
      <c r="A238" s="115">
        <v>236</v>
      </c>
      <c r="B238" s="116">
        <v>8</v>
      </c>
      <c r="C238" s="81" t="s">
        <v>130</v>
      </c>
      <c r="D238" s="111" t="s">
        <v>240</v>
      </c>
      <c r="E238" s="81" t="s">
        <v>108</v>
      </c>
      <c r="F238" s="52">
        <v>7.78</v>
      </c>
      <c r="G238" s="52">
        <f t="shared" si="21"/>
        <v>8.75</v>
      </c>
      <c r="H238" s="110"/>
      <c r="I238" s="81">
        <v>9.91</v>
      </c>
      <c r="J238" s="81">
        <f>VLOOKUP(C238,Recipes!$A$2:$N$4,12,FALSE())</f>
        <v>5.0137397426368718E-2</v>
      </c>
      <c r="K238" s="81">
        <f t="shared" si="22"/>
        <v>9.7595878077208944</v>
      </c>
      <c r="L238" s="81">
        <f t="shared" si="23"/>
        <v>10.060412192279106</v>
      </c>
      <c r="M238" s="81" t="str">
        <f t="shared" si="25"/>
        <v>NG</v>
      </c>
      <c r="N238" s="117">
        <f t="shared" si="24"/>
        <v>1</v>
      </c>
      <c r="O238" s="81">
        <f t="shared" si="26"/>
        <v>1.1600000000000001</v>
      </c>
      <c r="P238" s="81">
        <f>IF(G238="","",ABS(O238-Components!$C$2))</f>
        <v>1.5933333333333297</v>
      </c>
      <c r="Q238" s="81">
        <f>IF(G238="","",ABS(O238-Components!$C$3))</f>
        <v>2.8759999999999994</v>
      </c>
      <c r="R238" s="81">
        <f>IF(G238="","",ABS(O238-Components!$C$4))</f>
        <v>0.16666666666666718</v>
      </c>
      <c r="S238" s="81">
        <f>IF(G238="","",ABS(O238-Components!$C$5))</f>
        <v>3.4026666666666703</v>
      </c>
      <c r="T238" s="81">
        <f>IF(G238="","",ABS(O238-Components!$C$6))</f>
        <v>4.3333333333301916E-3</v>
      </c>
      <c r="U238" s="81">
        <f>IF(G238="","",ABS(O238-Components!$C$7))</f>
        <v>0.21433333333332993</v>
      </c>
      <c r="V238" s="81" t="str">
        <f>IF(F238="","",IF(M238="OK","NONE",INDEX({"S1","S2","W1","W2","N1","N2"},MATCH(MIN(P238:U238),P238:U238,0))))</f>
        <v>N1</v>
      </c>
      <c r="W238" s="117">
        <f t="shared" si="27"/>
        <v>1</v>
      </c>
      <c r="X238" s="119"/>
    </row>
    <row r="239" spans="1:24">
      <c r="A239" s="115">
        <v>237</v>
      </c>
      <c r="B239" s="116">
        <v>8</v>
      </c>
      <c r="C239" s="81" t="s">
        <v>130</v>
      </c>
      <c r="D239" s="111" t="s">
        <v>240</v>
      </c>
      <c r="E239" s="81" t="s">
        <v>108</v>
      </c>
      <c r="F239" s="52">
        <v>7.79</v>
      </c>
      <c r="G239" s="52">
        <f t="shared" si="21"/>
        <v>8.76</v>
      </c>
      <c r="H239" s="110"/>
      <c r="I239" s="81">
        <v>9.91</v>
      </c>
      <c r="J239" s="81">
        <f>VLOOKUP(C239,Recipes!$A$2:$N$4,12,FALSE())</f>
        <v>5.0137397426368718E-2</v>
      </c>
      <c r="K239" s="81">
        <f t="shared" si="22"/>
        <v>9.7595878077208944</v>
      </c>
      <c r="L239" s="81">
        <f t="shared" si="23"/>
        <v>10.060412192279106</v>
      </c>
      <c r="M239" s="81" t="str">
        <f t="shared" si="25"/>
        <v>NG</v>
      </c>
      <c r="N239" s="117">
        <f t="shared" si="24"/>
        <v>1</v>
      </c>
      <c r="O239" s="81">
        <f t="shared" si="26"/>
        <v>1.1500000000000004</v>
      </c>
      <c r="P239" s="81">
        <f>IF(G239="","",ABS(O239-Components!$C$2))</f>
        <v>1.6033333333333295</v>
      </c>
      <c r="Q239" s="81">
        <f>IF(G239="","",ABS(O239-Components!$C$3))</f>
        <v>2.8859999999999992</v>
      </c>
      <c r="R239" s="81">
        <f>IF(G239="","",ABS(O239-Components!$C$4))</f>
        <v>0.1566666666666674</v>
      </c>
      <c r="S239" s="81">
        <f>IF(G239="","",ABS(O239-Components!$C$5))</f>
        <v>3.4126666666666701</v>
      </c>
      <c r="T239" s="81">
        <f>IF(G239="","",ABS(O239-Components!$C$6))</f>
        <v>5.6666666666695953E-3</v>
      </c>
      <c r="U239" s="81">
        <f>IF(G239="","",ABS(O239-Components!$C$7))</f>
        <v>0.22433333333332972</v>
      </c>
      <c r="V239" s="81" t="str">
        <f>IF(F239="","",IF(M239="OK","NONE",INDEX({"S1","S2","W1","W2","N1","N2"},MATCH(MIN(P239:U239),P239:U239,0))))</f>
        <v>N1</v>
      </c>
      <c r="W239" s="117">
        <f t="shared" si="27"/>
        <v>1</v>
      </c>
      <c r="X239" s="119"/>
    </row>
    <row r="240" spans="1:24">
      <c r="A240" s="115">
        <v>238</v>
      </c>
      <c r="B240" s="116">
        <v>8</v>
      </c>
      <c r="C240" s="81" t="s">
        <v>130</v>
      </c>
      <c r="D240" s="111" t="s">
        <v>240</v>
      </c>
      <c r="E240" s="81" t="s">
        <v>108</v>
      </c>
      <c r="F240" s="52">
        <v>7.78</v>
      </c>
      <c r="G240" s="52">
        <f t="shared" si="21"/>
        <v>8.75</v>
      </c>
      <c r="H240" s="110"/>
      <c r="I240" s="81">
        <v>9.91</v>
      </c>
      <c r="J240" s="81">
        <f>VLOOKUP(C240,Recipes!$A$2:$N$4,12,FALSE())</f>
        <v>5.0137397426368718E-2</v>
      </c>
      <c r="K240" s="81">
        <f t="shared" si="22"/>
        <v>9.7595878077208944</v>
      </c>
      <c r="L240" s="81">
        <f t="shared" si="23"/>
        <v>10.060412192279106</v>
      </c>
      <c r="M240" s="81" t="str">
        <f t="shared" si="25"/>
        <v>NG</v>
      </c>
      <c r="N240" s="117">
        <f t="shared" si="24"/>
        <v>1</v>
      </c>
      <c r="O240" s="81">
        <f t="shared" si="26"/>
        <v>1.1600000000000001</v>
      </c>
      <c r="P240" s="81">
        <f>IF(G240="","",ABS(O240-Components!$C$2))</f>
        <v>1.5933333333333297</v>
      </c>
      <c r="Q240" s="81">
        <f>IF(G240="","",ABS(O240-Components!$C$3))</f>
        <v>2.8759999999999994</v>
      </c>
      <c r="R240" s="81">
        <f>IF(G240="","",ABS(O240-Components!$C$4))</f>
        <v>0.16666666666666718</v>
      </c>
      <c r="S240" s="81">
        <f>IF(G240="","",ABS(O240-Components!$C$5))</f>
        <v>3.4026666666666703</v>
      </c>
      <c r="T240" s="81">
        <f>IF(G240="","",ABS(O240-Components!$C$6))</f>
        <v>4.3333333333301916E-3</v>
      </c>
      <c r="U240" s="81">
        <f>IF(G240="","",ABS(O240-Components!$C$7))</f>
        <v>0.21433333333332993</v>
      </c>
      <c r="V240" s="81" t="str">
        <f>IF(F240="","",IF(M240="OK","NONE",INDEX({"S1","S2","W1","W2","N1","N2"},MATCH(MIN(P240:U240),P240:U240,0))))</f>
        <v>N1</v>
      </c>
      <c r="W240" s="117">
        <f t="shared" si="27"/>
        <v>1</v>
      </c>
      <c r="X240" s="119"/>
    </row>
    <row r="241" spans="1:24">
      <c r="A241" s="115">
        <v>239</v>
      </c>
      <c r="B241" s="116">
        <v>8</v>
      </c>
      <c r="C241" s="81" t="s">
        <v>130</v>
      </c>
      <c r="D241" s="111" t="s">
        <v>240</v>
      </c>
      <c r="E241" s="81" t="s">
        <v>108</v>
      </c>
      <c r="F241" s="52">
        <v>7.78</v>
      </c>
      <c r="G241" s="52">
        <f t="shared" si="21"/>
        <v>8.75</v>
      </c>
      <c r="H241" s="110"/>
      <c r="I241" s="81">
        <v>9.91</v>
      </c>
      <c r="J241" s="81">
        <f>VLOOKUP(C241,Recipes!$A$2:$N$4,12,FALSE())</f>
        <v>5.0137397426368718E-2</v>
      </c>
      <c r="K241" s="81">
        <f t="shared" si="22"/>
        <v>9.7595878077208944</v>
      </c>
      <c r="L241" s="81">
        <f t="shared" si="23"/>
        <v>10.060412192279106</v>
      </c>
      <c r="M241" s="81" t="str">
        <f t="shared" si="25"/>
        <v>NG</v>
      </c>
      <c r="N241" s="117">
        <f t="shared" si="24"/>
        <v>1</v>
      </c>
      <c r="O241" s="81">
        <f t="shared" si="26"/>
        <v>1.1600000000000001</v>
      </c>
      <c r="P241" s="81">
        <f>IF(G241="","",ABS(O241-Components!$C$2))</f>
        <v>1.5933333333333297</v>
      </c>
      <c r="Q241" s="81">
        <f>IF(G241="","",ABS(O241-Components!$C$3))</f>
        <v>2.8759999999999994</v>
      </c>
      <c r="R241" s="81">
        <f>IF(G241="","",ABS(O241-Components!$C$4))</f>
        <v>0.16666666666666718</v>
      </c>
      <c r="S241" s="81">
        <f>IF(G241="","",ABS(O241-Components!$C$5))</f>
        <v>3.4026666666666703</v>
      </c>
      <c r="T241" s="81">
        <f>IF(G241="","",ABS(O241-Components!$C$6))</f>
        <v>4.3333333333301916E-3</v>
      </c>
      <c r="U241" s="81">
        <f>IF(G241="","",ABS(O241-Components!$C$7))</f>
        <v>0.21433333333332993</v>
      </c>
      <c r="V241" s="81" t="str">
        <f>IF(F241="","",IF(M241="OK","NONE",INDEX({"S1","S2","W1","W2","N1","N2"},MATCH(MIN(P241:U241),P241:U241,0))))</f>
        <v>N1</v>
      </c>
      <c r="W241" s="117">
        <f t="shared" si="27"/>
        <v>1</v>
      </c>
      <c r="X241" s="119"/>
    </row>
    <row r="242" spans="1:24">
      <c r="A242" s="115">
        <v>240</v>
      </c>
      <c r="B242" s="116">
        <v>8</v>
      </c>
      <c r="C242" s="61" t="s">
        <v>130</v>
      </c>
      <c r="D242" s="61" t="s">
        <v>240</v>
      </c>
      <c r="E242" s="61" t="s">
        <v>108</v>
      </c>
      <c r="F242" s="52">
        <v>7.79</v>
      </c>
      <c r="G242" s="52">
        <f t="shared" si="21"/>
        <v>8.76</v>
      </c>
      <c r="H242" s="110"/>
      <c r="I242" s="81">
        <v>9.91</v>
      </c>
      <c r="J242" s="81">
        <f>VLOOKUP(C242,Recipes!$A$2:$N$4,12,FALSE())</f>
        <v>5.0137397426368718E-2</v>
      </c>
      <c r="K242" s="81">
        <f t="shared" si="22"/>
        <v>9.7595878077208944</v>
      </c>
      <c r="L242" s="81">
        <f t="shared" si="23"/>
        <v>10.060412192279106</v>
      </c>
      <c r="M242" s="81" t="str">
        <f t="shared" si="25"/>
        <v>NG</v>
      </c>
      <c r="N242" s="117">
        <f t="shared" si="24"/>
        <v>1</v>
      </c>
      <c r="O242" s="81">
        <f t="shared" si="26"/>
        <v>1.1500000000000004</v>
      </c>
      <c r="P242" s="81">
        <f>IF(G242="","",ABS(O242-Components!$C$2))</f>
        <v>1.6033333333333295</v>
      </c>
      <c r="Q242" s="81">
        <f>IF(G242="","",ABS(O242-Components!$C$3))</f>
        <v>2.8859999999999992</v>
      </c>
      <c r="R242" s="81">
        <f>IF(G242="","",ABS(O242-Components!$C$4))</f>
        <v>0.1566666666666674</v>
      </c>
      <c r="S242" s="81">
        <f>IF(G242="","",ABS(O242-Components!$C$5))</f>
        <v>3.4126666666666701</v>
      </c>
      <c r="T242" s="81">
        <f>IF(G242="","",ABS(O242-Components!$C$6))</f>
        <v>5.6666666666695953E-3</v>
      </c>
      <c r="U242" s="81">
        <f>IF(G242="","",ABS(O242-Components!$C$7))</f>
        <v>0.22433333333332972</v>
      </c>
      <c r="V242" s="81" t="str">
        <f>IF(F242="","",IF(M242="OK","NONE",INDEX({"S1","S2","W1","W2","N1","N2"},MATCH(MIN(P242:U242),P242:U242,0))))</f>
        <v>N1</v>
      </c>
      <c r="W242" s="117">
        <f t="shared" si="27"/>
        <v>1</v>
      </c>
      <c r="X242" s="119"/>
    </row>
    <row r="243" spans="1:24">
      <c r="A243" s="115">
        <v>241</v>
      </c>
      <c r="B243" s="116">
        <v>9</v>
      </c>
      <c r="C243" s="81" t="s">
        <v>130</v>
      </c>
      <c r="D243" s="111" t="s">
        <v>240</v>
      </c>
      <c r="E243" s="81" t="s">
        <v>102</v>
      </c>
      <c r="F243" s="52">
        <v>4.9400000000000004</v>
      </c>
      <c r="G243" s="52">
        <f t="shared" si="21"/>
        <v>5.91</v>
      </c>
      <c r="H243" s="110"/>
      <c r="I243" s="81">
        <v>9.91</v>
      </c>
      <c r="J243" s="81">
        <f>VLOOKUP(C243,Recipes!$A$2:$N$4,12,FALSE())</f>
        <v>5.0137397426368718E-2</v>
      </c>
      <c r="K243" s="81">
        <f t="shared" si="22"/>
        <v>9.7595878077208944</v>
      </c>
      <c r="L243" s="81">
        <f t="shared" si="23"/>
        <v>10.060412192279106</v>
      </c>
      <c r="M243" s="81" t="str">
        <f t="shared" si="25"/>
        <v>NG</v>
      </c>
      <c r="N243" s="117">
        <f t="shared" si="24"/>
        <v>1</v>
      </c>
      <c r="O243" s="81">
        <f t="shared" si="26"/>
        <v>4</v>
      </c>
      <c r="P243" s="81">
        <f>IF(G243="","",ABS(O243-Components!$C$2))</f>
        <v>1.2466666666666701</v>
      </c>
      <c r="Q243" s="81">
        <f>IF(G243="","",ABS(O243-Components!$C$3))</f>
        <v>3.5999999999999588E-2</v>
      </c>
      <c r="R243" s="81">
        <f>IF(G243="","",ABS(O243-Components!$C$4))</f>
        <v>3.0066666666666668</v>
      </c>
      <c r="S243" s="81">
        <f>IF(G243="","",ABS(O243-Components!$C$5))</f>
        <v>0.56266666666667042</v>
      </c>
      <c r="T243" s="81">
        <f>IF(G243="","",ABS(O243-Components!$C$6))</f>
        <v>2.84433333333333</v>
      </c>
      <c r="U243" s="81">
        <f>IF(G243="","",ABS(O243-Components!$C$7))</f>
        <v>2.6256666666666701</v>
      </c>
      <c r="V243" s="81" t="str">
        <f>IF(F243="","",IF(M243="OK","NONE",INDEX({"S1","S2","W1","W2","N1","N2"},MATCH(MIN(P243:U243),P243:U243,0))))</f>
        <v>S2</v>
      </c>
      <c r="W243" s="117">
        <f t="shared" si="27"/>
        <v>1</v>
      </c>
      <c r="X243" s="119"/>
    </row>
    <row r="244" spans="1:24">
      <c r="A244" s="115">
        <v>242</v>
      </c>
      <c r="B244" s="116">
        <v>9</v>
      </c>
      <c r="C244" s="81" t="s">
        <v>130</v>
      </c>
      <c r="D244" s="111" t="s">
        <v>240</v>
      </c>
      <c r="E244" s="81" t="s">
        <v>102</v>
      </c>
      <c r="F244" s="52">
        <v>4.91</v>
      </c>
      <c r="G244" s="52">
        <f t="shared" si="21"/>
        <v>5.88</v>
      </c>
      <c r="H244" s="110"/>
      <c r="I244" s="81">
        <v>9.91</v>
      </c>
      <c r="J244" s="81">
        <f>VLOOKUP(C244,Recipes!$A$2:$N$4,12,FALSE())</f>
        <v>5.0137397426368718E-2</v>
      </c>
      <c r="K244" s="81">
        <f t="shared" si="22"/>
        <v>9.7595878077208944</v>
      </c>
      <c r="L244" s="81">
        <f t="shared" si="23"/>
        <v>10.060412192279106</v>
      </c>
      <c r="M244" s="81" t="str">
        <f t="shared" si="25"/>
        <v>NG</v>
      </c>
      <c r="N244" s="117">
        <f t="shared" si="24"/>
        <v>1</v>
      </c>
      <c r="O244" s="81">
        <f t="shared" si="26"/>
        <v>4.03</v>
      </c>
      <c r="P244" s="81">
        <f>IF(G244="","",ABS(O244-Components!$C$2))</f>
        <v>1.2766666666666704</v>
      </c>
      <c r="Q244" s="81">
        <f>IF(G244="","",ABS(O244-Components!$C$3))</f>
        <v>5.9999999999993392E-3</v>
      </c>
      <c r="R244" s="81">
        <f>IF(G244="","",ABS(O244-Components!$C$4))</f>
        <v>3.0366666666666671</v>
      </c>
      <c r="S244" s="81">
        <f>IF(G244="","",ABS(O244-Components!$C$5))</f>
        <v>0.53266666666667017</v>
      </c>
      <c r="T244" s="81">
        <f>IF(G244="","",ABS(O244-Components!$C$6))</f>
        <v>2.8743333333333303</v>
      </c>
      <c r="U244" s="81">
        <f>IF(G244="","",ABS(O244-Components!$C$7))</f>
        <v>2.6556666666666704</v>
      </c>
      <c r="V244" s="81" t="str">
        <f>IF(F244="","",IF(M244="OK","NONE",INDEX({"S1","S2","W1","W2","N1","N2"},MATCH(MIN(P244:U244),P244:U244,0))))</f>
        <v>S2</v>
      </c>
      <c r="W244" s="117">
        <f t="shared" si="27"/>
        <v>1</v>
      </c>
      <c r="X244" s="119"/>
    </row>
    <row r="245" spans="1:24">
      <c r="A245" s="115">
        <v>243</v>
      </c>
      <c r="B245" s="116">
        <v>9</v>
      </c>
      <c r="C245" s="81" t="s">
        <v>130</v>
      </c>
      <c r="D245" s="111" t="s">
        <v>240</v>
      </c>
      <c r="E245" s="81" t="s">
        <v>102</v>
      </c>
      <c r="F245" s="52">
        <v>4.8099999999999996</v>
      </c>
      <c r="G245" s="52">
        <f t="shared" si="21"/>
        <v>5.7799999999999994</v>
      </c>
      <c r="H245" s="110"/>
      <c r="I245" s="81">
        <v>9.91</v>
      </c>
      <c r="J245" s="81">
        <f>VLOOKUP(C245,Recipes!$A$2:$N$4,12,FALSE())</f>
        <v>5.0137397426368718E-2</v>
      </c>
      <c r="K245" s="81">
        <f t="shared" si="22"/>
        <v>9.7595878077208944</v>
      </c>
      <c r="L245" s="81">
        <f t="shared" si="23"/>
        <v>10.060412192279106</v>
      </c>
      <c r="M245" s="81" t="str">
        <f t="shared" si="25"/>
        <v>NG</v>
      </c>
      <c r="N245" s="117">
        <f t="shared" si="24"/>
        <v>1</v>
      </c>
      <c r="O245" s="81">
        <f t="shared" si="26"/>
        <v>4.1300000000000008</v>
      </c>
      <c r="P245" s="81">
        <f>IF(G245="","",ABS(O245-Components!$C$2))</f>
        <v>1.3766666666666709</v>
      </c>
      <c r="Q245" s="81">
        <f>IF(G245="","",ABS(O245-Components!$C$3))</f>
        <v>9.4000000000001194E-2</v>
      </c>
      <c r="R245" s="81">
        <f>IF(G245="","",ABS(O245-Components!$C$4))</f>
        <v>3.1366666666666676</v>
      </c>
      <c r="S245" s="81">
        <f>IF(G245="","",ABS(O245-Components!$C$5))</f>
        <v>0.43266666666666964</v>
      </c>
      <c r="T245" s="81">
        <f>IF(G245="","",ABS(O245-Components!$C$6))</f>
        <v>2.9743333333333308</v>
      </c>
      <c r="U245" s="81">
        <f>IF(G245="","",ABS(O245-Components!$C$7))</f>
        <v>2.7556666666666709</v>
      </c>
      <c r="V245" s="81" t="str">
        <f>IF(F245="","",IF(M245="OK","NONE",INDEX({"S1","S2","W1","W2","N1","N2"},MATCH(MIN(P245:U245),P245:U245,0))))</f>
        <v>S2</v>
      </c>
      <c r="W245" s="117">
        <f t="shared" si="27"/>
        <v>1</v>
      </c>
      <c r="X245" s="119"/>
    </row>
    <row r="246" spans="1:24">
      <c r="A246" s="115">
        <v>244</v>
      </c>
      <c r="B246" s="116">
        <v>9</v>
      </c>
      <c r="C246" s="61" t="s">
        <v>130</v>
      </c>
      <c r="D246" s="61" t="s">
        <v>240</v>
      </c>
      <c r="E246" s="61" t="s">
        <v>102</v>
      </c>
      <c r="F246" s="52">
        <v>4.92</v>
      </c>
      <c r="G246" s="52">
        <f t="shared" si="21"/>
        <v>5.89</v>
      </c>
      <c r="H246" s="110"/>
      <c r="I246" s="81">
        <v>9.91</v>
      </c>
      <c r="J246" s="81">
        <f>VLOOKUP(C246,Recipes!$A$2:$N$4,12,FALSE())</f>
        <v>5.0137397426368718E-2</v>
      </c>
      <c r="K246" s="81">
        <f t="shared" si="22"/>
        <v>9.7595878077208944</v>
      </c>
      <c r="L246" s="81">
        <f t="shared" si="23"/>
        <v>10.060412192279106</v>
      </c>
      <c r="M246" s="81" t="str">
        <f t="shared" si="25"/>
        <v>NG</v>
      </c>
      <c r="N246" s="117">
        <f t="shared" si="24"/>
        <v>1</v>
      </c>
      <c r="O246" s="81">
        <f t="shared" si="26"/>
        <v>4.0200000000000005</v>
      </c>
      <c r="P246" s="81">
        <f>IF(G246="","",ABS(O246-Components!$C$2))</f>
        <v>1.2666666666666706</v>
      </c>
      <c r="Q246" s="81">
        <f>IF(G246="","",ABS(O246-Components!$C$3))</f>
        <v>1.5999999999999126E-2</v>
      </c>
      <c r="R246" s="81">
        <f>IF(G246="","",ABS(O246-Components!$C$4))</f>
        <v>3.0266666666666673</v>
      </c>
      <c r="S246" s="81">
        <f>IF(G246="","",ABS(O246-Components!$C$5))</f>
        <v>0.54266666666666996</v>
      </c>
      <c r="T246" s="81">
        <f>IF(G246="","",ABS(O246-Components!$C$6))</f>
        <v>2.8643333333333305</v>
      </c>
      <c r="U246" s="81">
        <f>IF(G246="","",ABS(O246-Components!$C$7))</f>
        <v>2.6456666666666706</v>
      </c>
      <c r="V246" s="81" t="str">
        <f>IF(F246="","",IF(M246="OK","NONE",INDEX({"S1","S2","W1","W2","N1","N2"},MATCH(MIN(P246:U246),P246:U246,0))))</f>
        <v>S2</v>
      </c>
      <c r="W246" s="117">
        <f t="shared" si="27"/>
        <v>1</v>
      </c>
      <c r="X246" s="119"/>
    </row>
    <row r="247" spans="1:24">
      <c r="A247" s="115">
        <v>245</v>
      </c>
      <c r="B247" s="116">
        <v>9</v>
      </c>
      <c r="C247" s="61" t="s">
        <v>130</v>
      </c>
      <c r="D247" s="61" t="s">
        <v>240</v>
      </c>
      <c r="E247" s="61" t="s">
        <v>102</v>
      </c>
      <c r="F247" s="52">
        <v>4.87</v>
      </c>
      <c r="G247" s="52">
        <f t="shared" si="21"/>
        <v>5.84</v>
      </c>
      <c r="H247" s="110"/>
      <c r="I247" s="81">
        <v>9.91</v>
      </c>
      <c r="J247" s="81">
        <f>VLOOKUP(C247,Recipes!$A$2:$N$4,12,FALSE())</f>
        <v>5.0137397426368718E-2</v>
      </c>
      <c r="K247" s="81">
        <f t="shared" si="22"/>
        <v>9.7595878077208944</v>
      </c>
      <c r="L247" s="81">
        <f t="shared" si="23"/>
        <v>10.060412192279106</v>
      </c>
      <c r="M247" s="81" t="str">
        <f t="shared" si="25"/>
        <v>NG</v>
      </c>
      <c r="N247" s="117">
        <f t="shared" si="24"/>
        <v>1</v>
      </c>
      <c r="O247" s="81">
        <f t="shared" si="26"/>
        <v>4.07</v>
      </c>
      <c r="P247" s="81">
        <f>IF(G247="","",ABS(O247-Components!$C$2))</f>
        <v>1.3166666666666704</v>
      </c>
      <c r="Q247" s="81">
        <f>IF(G247="","",ABS(O247-Components!$C$3))</f>
        <v>3.4000000000000696E-2</v>
      </c>
      <c r="R247" s="81">
        <f>IF(G247="","",ABS(O247-Components!$C$4))</f>
        <v>3.0766666666666671</v>
      </c>
      <c r="S247" s="81">
        <f>IF(G247="","",ABS(O247-Components!$C$5))</f>
        <v>0.49266666666667014</v>
      </c>
      <c r="T247" s="81">
        <f>IF(G247="","",ABS(O247-Components!$C$6))</f>
        <v>2.9143333333333303</v>
      </c>
      <c r="U247" s="81">
        <f>IF(G247="","",ABS(O247-Components!$C$7))</f>
        <v>2.6956666666666704</v>
      </c>
      <c r="V247" s="81" t="str">
        <f>IF(F247="","",IF(M247="OK","NONE",INDEX({"S1","S2","W1","W2","N1","N2"},MATCH(MIN(P247:U247),P247:U247,0))))</f>
        <v>S2</v>
      </c>
      <c r="W247" s="117">
        <f t="shared" si="27"/>
        <v>1</v>
      </c>
      <c r="X247" s="119"/>
    </row>
    <row r="248" spans="1:24">
      <c r="A248" s="115">
        <v>246</v>
      </c>
      <c r="B248" s="116">
        <v>9</v>
      </c>
      <c r="C248" s="81" t="s">
        <v>130</v>
      </c>
      <c r="D248" s="111" t="s">
        <v>240</v>
      </c>
      <c r="E248" s="81" t="s">
        <v>102</v>
      </c>
      <c r="F248" s="52">
        <v>4.9400000000000004</v>
      </c>
      <c r="G248" s="52">
        <f t="shared" si="21"/>
        <v>5.91</v>
      </c>
      <c r="H248" s="110"/>
      <c r="I248" s="81">
        <v>9.91</v>
      </c>
      <c r="J248" s="81">
        <f>VLOOKUP(C248,Recipes!$A$2:$N$4,12,FALSE())</f>
        <v>5.0137397426368718E-2</v>
      </c>
      <c r="K248" s="81">
        <f t="shared" si="22"/>
        <v>9.7595878077208944</v>
      </c>
      <c r="L248" s="81">
        <f t="shared" si="23"/>
        <v>10.060412192279106</v>
      </c>
      <c r="M248" s="81" t="str">
        <f t="shared" si="25"/>
        <v>NG</v>
      </c>
      <c r="N248" s="117">
        <f t="shared" si="24"/>
        <v>1</v>
      </c>
      <c r="O248" s="81">
        <f t="shared" si="26"/>
        <v>4</v>
      </c>
      <c r="P248" s="81">
        <f>IF(G248="","",ABS(O248-Components!$C$2))</f>
        <v>1.2466666666666701</v>
      </c>
      <c r="Q248" s="81">
        <f>IF(G248="","",ABS(O248-Components!$C$3))</f>
        <v>3.5999999999999588E-2</v>
      </c>
      <c r="R248" s="81">
        <f>IF(G248="","",ABS(O248-Components!$C$4))</f>
        <v>3.0066666666666668</v>
      </c>
      <c r="S248" s="81">
        <f>IF(G248="","",ABS(O248-Components!$C$5))</f>
        <v>0.56266666666667042</v>
      </c>
      <c r="T248" s="81">
        <f>IF(G248="","",ABS(O248-Components!$C$6))</f>
        <v>2.84433333333333</v>
      </c>
      <c r="U248" s="81">
        <f>IF(G248="","",ABS(O248-Components!$C$7))</f>
        <v>2.6256666666666701</v>
      </c>
      <c r="V248" s="81" t="str">
        <f>IF(F248="","",IF(M248="OK","NONE",INDEX({"S1","S2","W1","W2","N1","N2"},MATCH(MIN(P248:U248),P248:U248,0))))</f>
        <v>S2</v>
      </c>
      <c r="W248" s="117">
        <f t="shared" si="27"/>
        <v>1</v>
      </c>
      <c r="X248" s="119"/>
    </row>
    <row r="249" spans="1:24">
      <c r="A249" s="115">
        <v>247</v>
      </c>
      <c r="B249" s="116">
        <v>9</v>
      </c>
      <c r="C249" s="81" t="s">
        <v>130</v>
      </c>
      <c r="D249" s="111" t="s">
        <v>240</v>
      </c>
      <c r="E249" s="81" t="s">
        <v>102</v>
      </c>
      <c r="F249" s="52">
        <v>4.8899999999999997</v>
      </c>
      <c r="G249" s="52">
        <f t="shared" si="21"/>
        <v>5.8599999999999994</v>
      </c>
      <c r="H249" s="110"/>
      <c r="I249" s="81">
        <v>9.91</v>
      </c>
      <c r="J249" s="81">
        <f>VLOOKUP(C249,Recipes!$A$2:$N$4,12,FALSE())</f>
        <v>5.0137397426368718E-2</v>
      </c>
      <c r="K249" s="81">
        <f t="shared" si="22"/>
        <v>9.7595878077208944</v>
      </c>
      <c r="L249" s="81">
        <f t="shared" si="23"/>
        <v>10.060412192279106</v>
      </c>
      <c r="M249" s="81" t="str">
        <f t="shared" si="25"/>
        <v>NG</v>
      </c>
      <c r="N249" s="117">
        <f t="shared" si="24"/>
        <v>1</v>
      </c>
      <c r="O249" s="81">
        <f t="shared" si="26"/>
        <v>4.0500000000000007</v>
      </c>
      <c r="P249" s="81">
        <f>IF(G249="","",ABS(O249-Components!$C$2))</f>
        <v>1.2966666666666709</v>
      </c>
      <c r="Q249" s="81">
        <f>IF(G249="","",ABS(O249-Components!$C$3))</f>
        <v>1.4000000000001123E-2</v>
      </c>
      <c r="R249" s="81">
        <f>IF(G249="","",ABS(O249-Components!$C$4))</f>
        <v>3.0566666666666675</v>
      </c>
      <c r="S249" s="81">
        <f>IF(G249="","",ABS(O249-Components!$C$5))</f>
        <v>0.51266666666666971</v>
      </c>
      <c r="T249" s="81">
        <f>IF(G249="","",ABS(O249-Components!$C$6))</f>
        <v>2.8943333333333308</v>
      </c>
      <c r="U249" s="81">
        <f>IF(G249="","",ABS(O249-Components!$C$7))</f>
        <v>2.6756666666666709</v>
      </c>
      <c r="V249" s="81" t="str">
        <f>IF(F249="","",IF(M249="OK","NONE",INDEX({"S1","S2","W1","W2","N1","N2"},MATCH(MIN(P249:U249),P249:U249,0))))</f>
        <v>S2</v>
      </c>
      <c r="W249" s="117">
        <f t="shared" si="27"/>
        <v>1</v>
      </c>
      <c r="X249" s="119"/>
    </row>
    <row r="250" spans="1:24">
      <c r="A250" s="115">
        <v>248</v>
      </c>
      <c r="B250" s="116">
        <v>9</v>
      </c>
      <c r="C250" s="81" t="s">
        <v>130</v>
      </c>
      <c r="D250" s="111" t="s">
        <v>240</v>
      </c>
      <c r="E250" s="81" t="s">
        <v>102</v>
      </c>
      <c r="F250" s="52">
        <v>4.8600000000000003</v>
      </c>
      <c r="G250" s="52">
        <f t="shared" si="21"/>
        <v>5.83</v>
      </c>
      <c r="H250" s="110"/>
      <c r="I250" s="81">
        <v>9.91</v>
      </c>
      <c r="J250" s="81">
        <f>VLOOKUP(C250,Recipes!$A$2:$N$4,12,FALSE())</f>
        <v>5.0137397426368718E-2</v>
      </c>
      <c r="K250" s="81">
        <f t="shared" si="22"/>
        <v>9.7595878077208944</v>
      </c>
      <c r="L250" s="81">
        <f t="shared" si="23"/>
        <v>10.060412192279106</v>
      </c>
      <c r="M250" s="81" t="str">
        <f t="shared" si="25"/>
        <v>NG</v>
      </c>
      <c r="N250" s="117">
        <f t="shared" si="24"/>
        <v>1</v>
      </c>
      <c r="O250" s="81">
        <f t="shared" si="26"/>
        <v>4.08</v>
      </c>
      <c r="P250" s="81">
        <f>IF(G250="","",ABS(O250-Components!$C$2))</f>
        <v>1.3266666666666702</v>
      </c>
      <c r="Q250" s="81">
        <f>IF(G250="","",ABS(O250-Components!$C$3))</f>
        <v>4.4000000000000483E-2</v>
      </c>
      <c r="R250" s="81">
        <f>IF(G250="","",ABS(O250-Components!$C$4))</f>
        <v>3.0866666666666669</v>
      </c>
      <c r="S250" s="81">
        <f>IF(G250="","",ABS(O250-Components!$C$5))</f>
        <v>0.48266666666667035</v>
      </c>
      <c r="T250" s="81">
        <f>IF(G250="","",ABS(O250-Components!$C$6))</f>
        <v>2.9243333333333301</v>
      </c>
      <c r="U250" s="81">
        <f>IF(G250="","",ABS(O250-Components!$C$7))</f>
        <v>2.7056666666666702</v>
      </c>
      <c r="V250" s="81" t="str">
        <f>IF(F250="","",IF(M250="OK","NONE",INDEX({"S1","S2","W1","W2","N1","N2"},MATCH(MIN(P250:U250),P250:U250,0))))</f>
        <v>S2</v>
      </c>
      <c r="W250" s="117">
        <f t="shared" si="27"/>
        <v>1</v>
      </c>
      <c r="X250" s="119"/>
    </row>
    <row r="251" spans="1:24">
      <c r="A251" s="115">
        <v>249</v>
      </c>
      <c r="B251" s="116">
        <v>9</v>
      </c>
      <c r="C251" s="61" t="s">
        <v>130</v>
      </c>
      <c r="D251" s="61" t="s">
        <v>240</v>
      </c>
      <c r="E251" s="61" t="s">
        <v>102</v>
      </c>
      <c r="F251" s="52">
        <v>4.97</v>
      </c>
      <c r="G251" s="52">
        <f t="shared" si="21"/>
        <v>5.9399999999999995</v>
      </c>
      <c r="H251" s="110"/>
      <c r="I251" s="81">
        <v>9.91</v>
      </c>
      <c r="J251" s="81">
        <f>VLOOKUP(C251,Recipes!$A$2:$N$4,12,FALSE())</f>
        <v>5.0137397426368718E-2</v>
      </c>
      <c r="K251" s="81">
        <f t="shared" si="22"/>
        <v>9.7595878077208944</v>
      </c>
      <c r="L251" s="81">
        <f t="shared" si="23"/>
        <v>10.060412192279106</v>
      </c>
      <c r="M251" s="81" t="str">
        <f t="shared" si="25"/>
        <v>NG</v>
      </c>
      <c r="N251" s="117">
        <f t="shared" si="24"/>
        <v>1</v>
      </c>
      <c r="O251" s="81">
        <f t="shared" si="26"/>
        <v>3.9700000000000006</v>
      </c>
      <c r="P251" s="81">
        <f>IF(G251="","",ABS(O251-Components!$C$2))</f>
        <v>1.2166666666666708</v>
      </c>
      <c r="Q251" s="81">
        <f>IF(G251="","",ABS(O251-Components!$C$3))</f>
        <v>6.5999999999998948E-2</v>
      </c>
      <c r="R251" s="81">
        <f>IF(G251="","",ABS(O251-Components!$C$4))</f>
        <v>2.9766666666666675</v>
      </c>
      <c r="S251" s="81">
        <f>IF(G251="","",ABS(O251-Components!$C$5))</f>
        <v>0.59266666666666978</v>
      </c>
      <c r="T251" s="81">
        <f>IF(G251="","",ABS(O251-Components!$C$6))</f>
        <v>2.8143333333333307</v>
      </c>
      <c r="U251" s="81">
        <f>IF(G251="","",ABS(O251-Components!$C$7))</f>
        <v>2.5956666666666708</v>
      </c>
      <c r="V251" s="81" t="str">
        <f>IF(F251="","",IF(M251="OK","NONE",INDEX({"S1","S2","W1","W2","N1","N2"},MATCH(MIN(P251:U251),P251:U251,0))))</f>
        <v>S2</v>
      </c>
      <c r="W251" s="117">
        <f t="shared" si="27"/>
        <v>1</v>
      </c>
      <c r="X251" s="119"/>
    </row>
    <row r="252" spans="1:24">
      <c r="A252" s="115">
        <v>250</v>
      </c>
      <c r="B252" s="116">
        <v>9</v>
      </c>
      <c r="C252" s="61" t="s">
        <v>130</v>
      </c>
      <c r="D252" s="61" t="s">
        <v>240</v>
      </c>
      <c r="E252" s="61" t="s">
        <v>102</v>
      </c>
      <c r="F252" s="52">
        <v>4.88</v>
      </c>
      <c r="G252" s="52">
        <f t="shared" si="21"/>
        <v>5.85</v>
      </c>
      <c r="H252" s="110"/>
      <c r="I252" s="81">
        <v>9.91</v>
      </c>
      <c r="J252" s="81">
        <f>VLOOKUP(C252,Recipes!$A$2:$N$4,12,FALSE())</f>
        <v>5.0137397426368718E-2</v>
      </c>
      <c r="K252" s="81">
        <f t="shared" si="22"/>
        <v>9.7595878077208944</v>
      </c>
      <c r="L252" s="81">
        <f t="shared" si="23"/>
        <v>10.060412192279106</v>
      </c>
      <c r="M252" s="81" t="str">
        <f t="shared" si="25"/>
        <v>NG</v>
      </c>
      <c r="N252" s="117">
        <f t="shared" si="24"/>
        <v>1</v>
      </c>
      <c r="O252" s="81">
        <f t="shared" si="26"/>
        <v>4.0600000000000005</v>
      </c>
      <c r="P252" s="81">
        <f>IF(G252="","",ABS(O252-Components!$C$2))</f>
        <v>1.3066666666666706</v>
      </c>
      <c r="Q252" s="81">
        <f>IF(G252="","",ABS(O252-Components!$C$3))</f>
        <v>2.4000000000000909E-2</v>
      </c>
      <c r="R252" s="81">
        <f>IF(G252="","",ABS(O252-Components!$C$4))</f>
        <v>3.0666666666666673</v>
      </c>
      <c r="S252" s="81">
        <f>IF(G252="","",ABS(O252-Components!$C$5))</f>
        <v>0.50266666666666993</v>
      </c>
      <c r="T252" s="81">
        <f>IF(G252="","",ABS(O252-Components!$C$6))</f>
        <v>2.9043333333333305</v>
      </c>
      <c r="U252" s="81">
        <f>IF(G252="","",ABS(O252-Components!$C$7))</f>
        <v>2.6856666666666706</v>
      </c>
      <c r="V252" s="81" t="str">
        <f>IF(F252="","",IF(M252="OK","NONE",INDEX({"S1","S2","W1","W2","N1","N2"},MATCH(MIN(P252:U252),P252:U252,0))))</f>
        <v>S2</v>
      </c>
      <c r="W252" s="117">
        <f t="shared" si="27"/>
        <v>1</v>
      </c>
      <c r="X252" s="119"/>
    </row>
    <row r="253" spans="1:24">
      <c r="A253" s="115">
        <v>251</v>
      </c>
      <c r="B253" s="116">
        <v>9</v>
      </c>
      <c r="C253" s="81" t="s">
        <v>130</v>
      </c>
      <c r="D253" s="111" t="s">
        <v>240</v>
      </c>
      <c r="E253" s="81" t="s">
        <v>102</v>
      </c>
      <c r="F253" s="52">
        <v>4.83</v>
      </c>
      <c r="G253" s="52">
        <f t="shared" si="21"/>
        <v>5.8</v>
      </c>
      <c r="H253" s="110"/>
      <c r="I253" s="81">
        <v>9.91</v>
      </c>
      <c r="J253" s="81">
        <f>VLOOKUP(C253,Recipes!$A$2:$N$4,12,FALSE())</f>
        <v>5.0137397426368718E-2</v>
      </c>
      <c r="K253" s="81">
        <f t="shared" si="22"/>
        <v>9.7595878077208944</v>
      </c>
      <c r="L253" s="81">
        <f t="shared" si="23"/>
        <v>10.060412192279106</v>
      </c>
      <c r="M253" s="81" t="str">
        <f t="shared" si="25"/>
        <v>NG</v>
      </c>
      <c r="N253" s="117">
        <f t="shared" si="24"/>
        <v>1</v>
      </c>
      <c r="O253" s="81">
        <f t="shared" si="26"/>
        <v>4.1100000000000003</v>
      </c>
      <c r="P253" s="81">
        <f>IF(G253="","",ABS(O253-Components!$C$2))</f>
        <v>1.3566666666666705</v>
      </c>
      <c r="Q253" s="81">
        <f>IF(G253="","",ABS(O253-Components!$C$3))</f>
        <v>7.4000000000000732E-2</v>
      </c>
      <c r="R253" s="81">
        <f>IF(G253="","",ABS(O253-Components!$C$4))</f>
        <v>3.1166666666666671</v>
      </c>
      <c r="S253" s="81">
        <f>IF(G253="","",ABS(O253-Components!$C$5))</f>
        <v>0.4526666666666701</v>
      </c>
      <c r="T253" s="81">
        <f>IF(G253="","",ABS(O253-Components!$C$6))</f>
        <v>2.9543333333333304</v>
      </c>
      <c r="U253" s="81">
        <f>IF(G253="","",ABS(O253-Components!$C$7))</f>
        <v>2.7356666666666705</v>
      </c>
      <c r="V253" s="81" t="str">
        <f>IF(F253="","",IF(M253="OK","NONE",INDEX({"S1","S2","W1","W2","N1","N2"},MATCH(MIN(P253:U253),P253:U253,0))))</f>
        <v>S2</v>
      </c>
      <c r="W253" s="117">
        <f t="shared" si="27"/>
        <v>1</v>
      </c>
      <c r="X253" s="119"/>
    </row>
    <row r="254" spans="1:24">
      <c r="A254" s="115">
        <v>252</v>
      </c>
      <c r="B254" s="116">
        <v>9</v>
      </c>
      <c r="C254" s="81" t="s">
        <v>130</v>
      </c>
      <c r="D254" s="111" t="s">
        <v>240</v>
      </c>
      <c r="E254" s="81" t="s">
        <v>102</v>
      </c>
      <c r="F254" s="52">
        <v>4.87</v>
      </c>
      <c r="G254" s="52">
        <f t="shared" si="21"/>
        <v>5.84</v>
      </c>
      <c r="H254" s="110"/>
      <c r="I254" s="81">
        <v>9.91</v>
      </c>
      <c r="J254" s="81">
        <f>VLOOKUP(C254,Recipes!$A$2:$N$4,12,FALSE())</f>
        <v>5.0137397426368718E-2</v>
      </c>
      <c r="K254" s="81">
        <f t="shared" si="22"/>
        <v>9.7595878077208944</v>
      </c>
      <c r="L254" s="81">
        <f t="shared" si="23"/>
        <v>10.060412192279106</v>
      </c>
      <c r="M254" s="81" t="str">
        <f t="shared" si="25"/>
        <v>NG</v>
      </c>
      <c r="N254" s="117">
        <f t="shared" si="24"/>
        <v>1</v>
      </c>
      <c r="O254" s="81">
        <f t="shared" si="26"/>
        <v>4.07</v>
      </c>
      <c r="P254" s="81">
        <f>IF(G254="","",ABS(O254-Components!$C$2))</f>
        <v>1.3166666666666704</v>
      </c>
      <c r="Q254" s="81">
        <f>IF(G254="","",ABS(O254-Components!$C$3))</f>
        <v>3.4000000000000696E-2</v>
      </c>
      <c r="R254" s="81">
        <f>IF(G254="","",ABS(O254-Components!$C$4))</f>
        <v>3.0766666666666671</v>
      </c>
      <c r="S254" s="81">
        <f>IF(G254="","",ABS(O254-Components!$C$5))</f>
        <v>0.49266666666667014</v>
      </c>
      <c r="T254" s="81">
        <f>IF(G254="","",ABS(O254-Components!$C$6))</f>
        <v>2.9143333333333303</v>
      </c>
      <c r="U254" s="81">
        <f>IF(G254="","",ABS(O254-Components!$C$7))</f>
        <v>2.6956666666666704</v>
      </c>
      <c r="V254" s="81" t="str">
        <f>IF(F254="","",IF(M254="OK","NONE",INDEX({"S1","S2","W1","W2","N1","N2"},MATCH(MIN(P254:U254),P254:U254,0))))</f>
        <v>S2</v>
      </c>
      <c r="W254" s="117">
        <f t="shared" si="27"/>
        <v>1</v>
      </c>
      <c r="X254" s="119"/>
    </row>
    <row r="255" spans="1:24">
      <c r="A255" s="115">
        <v>253</v>
      </c>
      <c r="B255" s="116">
        <v>9</v>
      </c>
      <c r="C255" s="81" t="s">
        <v>130</v>
      </c>
      <c r="D255" s="111" t="s">
        <v>240</v>
      </c>
      <c r="E255" s="81" t="s">
        <v>102</v>
      </c>
      <c r="F255" s="52">
        <v>4.93</v>
      </c>
      <c r="G255" s="52">
        <f t="shared" si="21"/>
        <v>5.8999999999999995</v>
      </c>
      <c r="H255" s="110"/>
      <c r="I255" s="81">
        <v>9.91</v>
      </c>
      <c r="J255" s="81">
        <f>VLOOKUP(C255,Recipes!$A$2:$N$4,12,FALSE())</f>
        <v>5.0137397426368718E-2</v>
      </c>
      <c r="K255" s="81">
        <f t="shared" si="22"/>
        <v>9.7595878077208944</v>
      </c>
      <c r="L255" s="81">
        <f t="shared" si="23"/>
        <v>10.060412192279106</v>
      </c>
      <c r="M255" s="81" t="str">
        <f t="shared" si="25"/>
        <v>NG</v>
      </c>
      <c r="N255" s="117">
        <f t="shared" si="24"/>
        <v>1</v>
      </c>
      <c r="O255" s="81">
        <f t="shared" si="26"/>
        <v>4.0100000000000007</v>
      </c>
      <c r="P255" s="81">
        <f>IF(G255="","",ABS(O255-Components!$C$2))</f>
        <v>1.2566666666666708</v>
      </c>
      <c r="Q255" s="81">
        <f>IF(G255="","",ABS(O255-Components!$C$3))</f>
        <v>2.5999999999998913E-2</v>
      </c>
      <c r="R255" s="81">
        <f>IF(G255="","",ABS(O255-Components!$C$4))</f>
        <v>3.0166666666666675</v>
      </c>
      <c r="S255" s="81">
        <f>IF(G255="","",ABS(O255-Components!$C$5))</f>
        <v>0.55266666666666975</v>
      </c>
      <c r="T255" s="81">
        <f>IF(G255="","",ABS(O255-Components!$C$6))</f>
        <v>2.8543333333333307</v>
      </c>
      <c r="U255" s="81">
        <f>IF(G255="","",ABS(O255-Components!$C$7))</f>
        <v>2.6356666666666708</v>
      </c>
      <c r="V255" s="81" t="str">
        <f>IF(F255="","",IF(M255="OK","NONE",INDEX({"S1","S2","W1","W2","N1","N2"},MATCH(MIN(P255:U255),P255:U255,0))))</f>
        <v>S2</v>
      </c>
      <c r="W255" s="117">
        <f t="shared" si="27"/>
        <v>1</v>
      </c>
      <c r="X255" s="119"/>
    </row>
    <row r="256" spans="1:24">
      <c r="A256" s="115">
        <v>254</v>
      </c>
      <c r="B256" s="116">
        <v>9</v>
      </c>
      <c r="C256" s="61" t="s">
        <v>130</v>
      </c>
      <c r="D256" s="61" t="s">
        <v>240</v>
      </c>
      <c r="E256" s="61" t="s">
        <v>102</v>
      </c>
      <c r="F256" s="52">
        <v>4.91</v>
      </c>
      <c r="G256" s="52">
        <f t="shared" si="21"/>
        <v>5.88</v>
      </c>
      <c r="H256" s="110"/>
      <c r="I256" s="81">
        <v>9.91</v>
      </c>
      <c r="J256" s="81">
        <f>VLOOKUP(C256,Recipes!$A$2:$N$4,12,FALSE())</f>
        <v>5.0137397426368718E-2</v>
      </c>
      <c r="K256" s="81">
        <f t="shared" si="22"/>
        <v>9.7595878077208944</v>
      </c>
      <c r="L256" s="81">
        <f t="shared" si="23"/>
        <v>10.060412192279106</v>
      </c>
      <c r="M256" s="81" t="str">
        <f t="shared" si="25"/>
        <v>NG</v>
      </c>
      <c r="N256" s="117">
        <f t="shared" si="24"/>
        <v>1</v>
      </c>
      <c r="O256" s="81">
        <f t="shared" si="26"/>
        <v>4.03</v>
      </c>
      <c r="P256" s="81">
        <f>IF(G256="","",ABS(O256-Components!$C$2))</f>
        <v>1.2766666666666704</v>
      </c>
      <c r="Q256" s="81">
        <f>IF(G256="","",ABS(O256-Components!$C$3))</f>
        <v>5.9999999999993392E-3</v>
      </c>
      <c r="R256" s="81">
        <f>IF(G256="","",ABS(O256-Components!$C$4))</f>
        <v>3.0366666666666671</v>
      </c>
      <c r="S256" s="81">
        <f>IF(G256="","",ABS(O256-Components!$C$5))</f>
        <v>0.53266666666667017</v>
      </c>
      <c r="T256" s="81">
        <f>IF(G256="","",ABS(O256-Components!$C$6))</f>
        <v>2.8743333333333303</v>
      </c>
      <c r="U256" s="81">
        <f>IF(G256="","",ABS(O256-Components!$C$7))</f>
        <v>2.6556666666666704</v>
      </c>
      <c r="V256" s="81" t="str">
        <f>IF(F256="","",IF(M256="OK","NONE",INDEX({"S1","S2","W1","W2","N1","N2"},MATCH(MIN(P256:U256),P256:U256,0))))</f>
        <v>S2</v>
      </c>
      <c r="W256" s="117">
        <f t="shared" si="27"/>
        <v>1</v>
      </c>
      <c r="X256" s="119"/>
    </row>
    <row r="257" spans="1:24">
      <c r="A257" s="115">
        <v>255</v>
      </c>
      <c r="B257" s="116">
        <v>9</v>
      </c>
      <c r="C257" s="61" t="s">
        <v>130</v>
      </c>
      <c r="D257" s="61" t="s">
        <v>240</v>
      </c>
      <c r="E257" s="61" t="s">
        <v>102</v>
      </c>
      <c r="F257" s="52">
        <v>4.88</v>
      </c>
      <c r="G257" s="52">
        <f t="shared" si="21"/>
        <v>5.85</v>
      </c>
      <c r="H257" s="110"/>
      <c r="I257" s="81">
        <v>9.91</v>
      </c>
      <c r="J257" s="81">
        <f>VLOOKUP(C257,Recipes!$A$2:$N$4,12,FALSE())</f>
        <v>5.0137397426368718E-2</v>
      </c>
      <c r="K257" s="81">
        <f t="shared" si="22"/>
        <v>9.7595878077208944</v>
      </c>
      <c r="L257" s="81">
        <f t="shared" si="23"/>
        <v>10.060412192279106</v>
      </c>
      <c r="M257" s="81" t="str">
        <f t="shared" si="25"/>
        <v>NG</v>
      </c>
      <c r="N257" s="117">
        <f t="shared" si="24"/>
        <v>1</v>
      </c>
      <c r="O257" s="81">
        <f t="shared" si="26"/>
        <v>4.0600000000000005</v>
      </c>
      <c r="P257" s="81">
        <f>IF(G257="","",ABS(O257-Components!$C$2))</f>
        <v>1.3066666666666706</v>
      </c>
      <c r="Q257" s="81">
        <f>IF(G257="","",ABS(O257-Components!$C$3))</f>
        <v>2.4000000000000909E-2</v>
      </c>
      <c r="R257" s="81">
        <f>IF(G257="","",ABS(O257-Components!$C$4))</f>
        <v>3.0666666666666673</v>
      </c>
      <c r="S257" s="81">
        <f>IF(G257="","",ABS(O257-Components!$C$5))</f>
        <v>0.50266666666666993</v>
      </c>
      <c r="T257" s="81">
        <f>IF(G257="","",ABS(O257-Components!$C$6))</f>
        <v>2.9043333333333305</v>
      </c>
      <c r="U257" s="81">
        <f>IF(G257="","",ABS(O257-Components!$C$7))</f>
        <v>2.6856666666666706</v>
      </c>
      <c r="V257" s="81" t="str">
        <f>IF(F257="","",IF(M257="OK","NONE",INDEX({"S1","S2","W1","W2","N1","N2"},MATCH(MIN(P257:U257),P257:U257,0))))</f>
        <v>S2</v>
      </c>
      <c r="W257" s="117">
        <f t="shared" si="27"/>
        <v>1</v>
      </c>
      <c r="X257" s="119"/>
    </row>
    <row r="258" spans="1:24">
      <c r="A258" s="115">
        <v>256</v>
      </c>
      <c r="B258" s="116">
        <v>9</v>
      </c>
      <c r="C258" s="81" t="s">
        <v>130</v>
      </c>
      <c r="D258" s="111" t="s">
        <v>240</v>
      </c>
      <c r="E258" s="81" t="s">
        <v>102</v>
      </c>
      <c r="F258" s="52">
        <v>4.87</v>
      </c>
      <c r="G258" s="52">
        <f t="shared" si="21"/>
        <v>5.84</v>
      </c>
      <c r="H258" s="110"/>
      <c r="I258" s="81">
        <v>9.91</v>
      </c>
      <c r="J258" s="81">
        <f>VLOOKUP(C258,Recipes!$A$2:$N$4,12,FALSE())</f>
        <v>5.0137397426368718E-2</v>
      </c>
      <c r="K258" s="81">
        <f t="shared" si="22"/>
        <v>9.7595878077208944</v>
      </c>
      <c r="L258" s="81">
        <f t="shared" si="23"/>
        <v>10.060412192279106</v>
      </c>
      <c r="M258" s="81" t="str">
        <f t="shared" si="25"/>
        <v>NG</v>
      </c>
      <c r="N258" s="117">
        <f t="shared" si="24"/>
        <v>1</v>
      </c>
      <c r="O258" s="81">
        <f t="shared" si="26"/>
        <v>4.07</v>
      </c>
      <c r="P258" s="81">
        <f>IF(G258="","",ABS(O258-Components!$C$2))</f>
        <v>1.3166666666666704</v>
      </c>
      <c r="Q258" s="81">
        <f>IF(G258="","",ABS(O258-Components!$C$3))</f>
        <v>3.4000000000000696E-2</v>
      </c>
      <c r="R258" s="81">
        <f>IF(G258="","",ABS(O258-Components!$C$4))</f>
        <v>3.0766666666666671</v>
      </c>
      <c r="S258" s="81">
        <f>IF(G258="","",ABS(O258-Components!$C$5))</f>
        <v>0.49266666666667014</v>
      </c>
      <c r="T258" s="81">
        <f>IF(G258="","",ABS(O258-Components!$C$6))</f>
        <v>2.9143333333333303</v>
      </c>
      <c r="U258" s="81">
        <f>IF(G258="","",ABS(O258-Components!$C$7))</f>
        <v>2.6956666666666704</v>
      </c>
      <c r="V258" s="81" t="str">
        <f>IF(F258="","",IF(M258="OK","NONE",INDEX({"S1","S2","W1","W2","N1","N2"},MATCH(MIN(P258:U258),P258:U258,0))))</f>
        <v>S2</v>
      </c>
      <c r="W258" s="117">
        <f t="shared" si="27"/>
        <v>1</v>
      </c>
      <c r="X258" s="119"/>
    </row>
    <row r="259" spans="1:24">
      <c r="A259" s="115">
        <v>257</v>
      </c>
      <c r="B259" s="116">
        <v>9</v>
      </c>
      <c r="C259" s="81" t="s">
        <v>130</v>
      </c>
      <c r="D259" s="111" t="s">
        <v>240</v>
      </c>
      <c r="E259" s="81" t="s">
        <v>102</v>
      </c>
      <c r="F259" s="52">
        <v>4.91</v>
      </c>
      <c r="G259" s="52">
        <f t="shared" ref="G259:G322" si="28">0.97+F259</f>
        <v>5.88</v>
      </c>
      <c r="H259" s="110"/>
      <c r="I259" s="81">
        <v>9.91</v>
      </c>
      <c r="J259" s="81">
        <f>VLOOKUP(C259,Recipes!$A$2:$N$4,12,FALSE())</f>
        <v>5.0137397426368718E-2</v>
      </c>
      <c r="K259" s="81">
        <f t="shared" ref="K259:K322" si="29">I259-3*J259</f>
        <v>9.7595878077208944</v>
      </c>
      <c r="L259" s="81">
        <f t="shared" ref="L259:L322" si="30">I259+3*J259</f>
        <v>10.060412192279106</v>
      </c>
      <c r="M259" s="81" t="str">
        <f t="shared" si="25"/>
        <v>NG</v>
      </c>
      <c r="N259" s="117">
        <f t="shared" ref="N259:N322" si="31">IF(M259="","",IF(M259=D259,1,0))</f>
        <v>1</v>
      </c>
      <c r="O259" s="81">
        <f t="shared" si="26"/>
        <v>4.03</v>
      </c>
      <c r="P259" s="81">
        <f>IF(G259="","",ABS(O259-Components!$C$2))</f>
        <v>1.2766666666666704</v>
      </c>
      <c r="Q259" s="81">
        <f>IF(G259="","",ABS(O259-Components!$C$3))</f>
        <v>5.9999999999993392E-3</v>
      </c>
      <c r="R259" s="81">
        <f>IF(G259="","",ABS(O259-Components!$C$4))</f>
        <v>3.0366666666666671</v>
      </c>
      <c r="S259" s="81">
        <f>IF(G259="","",ABS(O259-Components!$C$5))</f>
        <v>0.53266666666667017</v>
      </c>
      <c r="T259" s="81">
        <f>IF(G259="","",ABS(O259-Components!$C$6))</f>
        <v>2.8743333333333303</v>
      </c>
      <c r="U259" s="81">
        <f>IF(G259="","",ABS(O259-Components!$C$7))</f>
        <v>2.6556666666666704</v>
      </c>
      <c r="V259" s="81" t="str">
        <f>IF(F259="","",IF(M259="OK","NONE",INDEX({"S1","S2","W1","W2","N1","N2"},MATCH(MIN(P259:U259),P259:U259,0))))</f>
        <v>S2</v>
      </c>
      <c r="W259" s="117">
        <f t="shared" si="27"/>
        <v>1</v>
      </c>
      <c r="X259" s="119"/>
    </row>
    <row r="260" spans="1:24">
      <c r="A260" s="115">
        <v>258</v>
      </c>
      <c r="B260" s="116">
        <v>9</v>
      </c>
      <c r="C260" s="81" t="s">
        <v>130</v>
      </c>
      <c r="D260" s="111" t="s">
        <v>240</v>
      </c>
      <c r="E260" s="81" t="s">
        <v>102</v>
      </c>
      <c r="F260" s="52">
        <v>4.67</v>
      </c>
      <c r="G260" s="52">
        <f t="shared" si="28"/>
        <v>5.64</v>
      </c>
      <c r="H260" s="110"/>
      <c r="I260" s="81">
        <v>9.91</v>
      </c>
      <c r="J260" s="81">
        <f>VLOOKUP(C260,Recipes!$A$2:$N$4,12,FALSE())</f>
        <v>5.0137397426368718E-2</v>
      </c>
      <c r="K260" s="81">
        <f t="shared" si="29"/>
        <v>9.7595878077208944</v>
      </c>
      <c r="L260" s="81">
        <f t="shared" si="30"/>
        <v>10.060412192279106</v>
      </c>
      <c r="M260" s="81" t="str">
        <f t="shared" ref="M260:M323" si="32">IF(G260="","",IF(AND(G260&gt;=K260,G260&lt;=L260),"OK","NG"))</f>
        <v>NG</v>
      </c>
      <c r="N260" s="117">
        <f t="shared" si="31"/>
        <v>1</v>
      </c>
      <c r="O260" s="81">
        <f t="shared" ref="O260:O323" si="33">IF(G260="","",I260-G260)</f>
        <v>4.2700000000000005</v>
      </c>
      <c r="P260" s="81">
        <f>IF(G260="","",ABS(O260-Components!$C$2))</f>
        <v>1.5166666666666706</v>
      </c>
      <c r="Q260" s="81">
        <f>IF(G260="","",ABS(O260-Components!$C$3))</f>
        <v>0.23400000000000087</v>
      </c>
      <c r="R260" s="81">
        <f>IF(G260="","",ABS(O260-Components!$C$4))</f>
        <v>3.2766666666666673</v>
      </c>
      <c r="S260" s="81">
        <f>IF(G260="","",ABS(O260-Components!$C$5))</f>
        <v>0.29266666666666996</v>
      </c>
      <c r="T260" s="81">
        <f>IF(G260="","",ABS(O260-Components!$C$6))</f>
        <v>3.1143333333333305</v>
      </c>
      <c r="U260" s="81">
        <f>IF(G260="","",ABS(O260-Components!$C$7))</f>
        <v>2.8956666666666706</v>
      </c>
      <c r="V260" s="81" t="str">
        <f>IF(F260="","",IF(M260="OK","NONE",INDEX({"S1","S2","W1","W2","N1","N2"},MATCH(MIN(P260:U260),P260:U260,0))))</f>
        <v>S2</v>
      </c>
      <c r="W260" s="117">
        <f t="shared" ref="W260:W323" si="34">IF(G260="","",IF(V260=E260,1,0))</f>
        <v>1</v>
      </c>
      <c r="X260" s="119"/>
    </row>
    <row r="261" spans="1:24">
      <c r="A261" s="115">
        <v>259</v>
      </c>
      <c r="B261" s="116">
        <v>9</v>
      </c>
      <c r="C261" s="61" t="s">
        <v>130</v>
      </c>
      <c r="D261" s="61" t="s">
        <v>240</v>
      </c>
      <c r="E261" s="61" t="s">
        <v>102</v>
      </c>
      <c r="F261" s="52">
        <v>4.8600000000000003</v>
      </c>
      <c r="G261" s="52">
        <f t="shared" si="28"/>
        <v>5.83</v>
      </c>
      <c r="H261" s="110"/>
      <c r="I261" s="81">
        <v>9.91</v>
      </c>
      <c r="J261" s="81">
        <f>VLOOKUP(C261,Recipes!$A$2:$N$4,12,FALSE())</f>
        <v>5.0137397426368718E-2</v>
      </c>
      <c r="K261" s="81">
        <f t="shared" si="29"/>
        <v>9.7595878077208944</v>
      </c>
      <c r="L261" s="81">
        <f t="shared" si="30"/>
        <v>10.060412192279106</v>
      </c>
      <c r="M261" s="81" t="str">
        <f t="shared" si="32"/>
        <v>NG</v>
      </c>
      <c r="N261" s="117">
        <f t="shared" si="31"/>
        <v>1</v>
      </c>
      <c r="O261" s="81">
        <f t="shared" si="33"/>
        <v>4.08</v>
      </c>
      <c r="P261" s="81">
        <f>IF(G261="","",ABS(O261-Components!$C$2))</f>
        <v>1.3266666666666702</v>
      </c>
      <c r="Q261" s="81">
        <f>IF(G261="","",ABS(O261-Components!$C$3))</f>
        <v>4.4000000000000483E-2</v>
      </c>
      <c r="R261" s="81">
        <f>IF(G261="","",ABS(O261-Components!$C$4))</f>
        <v>3.0866666666666669</v>
      </c>
      <c r="S261" s="81">
        <f>IF(G261="","",ABS(O261-Components!$C$5))</f>
        <v>0.48266666666667035</v>
      </c>
      <c r="T261" s="81">
        <f>IF(G261="","",ABS(O261-Components!$C$6))</f>
        <v>2.9243333333333301</v>
      </c>
      <c r="U261" s="81">
        <f>IF(G261="","",ABS(O261-Components!$C$7))</f>
        <v>2.7056666666666702</v>
      </c>
      <c r="V261" s="81" t="str">
        <f>IF(F261="","",IF(M261="OK","NONE",INDEX({"S1","S2","W1","W2","N1","N2"},MATCH(MIN(P261:U261),P261:U261,0))))</f>
        <v>S2</v>
      </c>
      <c r="W261" s="117">
        <f t="shared" si="34"/>
        <v>1</v>
      </c>
      <c r="X261" s="119"/>
    </row>
    <row r="262" spans="1:24">
      <c r="A262" s="115">
        <v>260</v>
      </c>
      <c r="B262" s="116">
        <v>9</v>
      </c>
      <c r="C262" s="61" t="s">
        <v>130</v>
      </c>
      <c r="D262" s="61" t="s">
        <v>240</v>
      </c>
      <c r="E262" s="61" t="s">
        <v>102</v>
      </c>
      <c r="F262" s="52">
        <v>4.75</v>
      </c>
      <c r="G262" s="52">
        <f t="shared" si="28"/>
        <v>5.72</v>
      </c>
      <c r="H262" s="110"/>
      <c r="I262" s="81">
        <v>9.91</v>
      </c>
      <c r="J262" s="81">
        <f>VLOOKUP(C262,Recipes!$A$2:$N$4,12,FALSE())</f>
        <v>5.0137397426368718E-2</v>
      </c>
      <c r="K262" s="81">
        <f t="shared" si="29"/>
        <v>9.7595878077208944</v>
      </c>
      <c r="L262" s="81">
        <f t="shared" si="30"/>
        <v>10.060412192279106</v>
      </c>
      <c r="M262" s="81" t="str">
        <f t="shared" si="32"/>
        <v>NG</v>
      </c>
      <c r="N262" s="117">
        <f t="shared" si="31"/>
        <v>1</v>
      </c>
      <c r="O262" s="81">
        <f t="shared" si="33"/>
        <v>4.1900000000000004</v>
      </c>
      <c r="P262" s="81">
        <f>IF(G262="","",ABS(O262-Components!$C$2))</f>
        <v>1.4366666666666705</v>
      </c>
      <c r="Q262" s="81">
        <f>IF(G262="","",ABS(O262-Components!$C$3))</f>
        <v>0.1540000000000008</v>
      </c>
      <c r="R262" s="81">
        <f>IF(G262="","",ABS(O262-Components!$C$4))</f>
        <v>3.1966666666666672</v>
      </c>
      <c r="S262" s="81">
        <f>IF(G262="","",ABS(O262-Components!$C$5))</f>
        <v>0.37266666666667003</v>
      </c>
      <c r="T262" s="81">
        <f>IF(G262="","",ABS(O262-Components!$C$6))</f>
        <v>3.0343333333333304</v>
      </c>
      <c r="U262" s="81">
        <f>IF(G262="","",ABS(O262-Components!$C$7))</f>
        <v>2.8156666666666705</v>
      </c>
      <c r="V262" s="81" t="str">
        <f>IF(F262="","",IF(M262="OK","NONE",INDEX({"S1","S2","W1","W2","N1","N2"},MATCH(MIN(P262:U262),P262:U262,0))))</f>
        <v>S2</v>
      </c>
      <c r="W262" s="117">
        <f t="shared" si="34"/>
        <v>1</v>
      </c>
      <c r="X262" s="119"/>
    </row>
    <row r="263" spans="1:24">
      <c r="A263" s="115">
        <v>261</v>
      </c>
      <c r="B263" s="116">
        <v>9</v>
      </c>
      <c r="C263" s="81" t="s">
        <v>130</v>
      </c>
      <c r="D263" s="111" t="s">
        <v>240</v>
      </c>
      <c r="E263" s="81" t="s">
        <v>102</v>
      </c>
      <c r="F263" s="52">
        <v>4.91</v>
      </c>
      <c r="G263" s="52">
        <f t="shared" si="28"/>
        <v>5.88</v>
      </c>
      <c r="H263" s="110"/>
      <c r="I263" s="81">
        <v>9.91</v>
      </c>
      <c r="J263" s="81">
        <f>VLOOKUP(C263,Recipes!$A$2:$N$4,12,FALSE())</f>
        <v>5.0137397426368718E-2</v>
      </c>
      <c r="K263" s="81">
        <f t="shared" si="29"/>
        <v>9.7595878077208944</v>
      </c>
      <c r="L263" s="81">
        <f t="shared" si="30"/>
        <v>10.060412192279106</v>
      </c>
      <c r="M263" s="81" t="str">
        <f t="shared" si="32"/>
        <v>NG</v>
      </c>
      <c r="N263" s="117">
        <f t="shared" si="31"/>
        <v>1</v>
      </c>
      <c r="O263" s="81">
        <f t="shared" si="33"/>
        <v>4.03</v>
      </c>
      <c r="P263" s="81">
        <f>IF(G263="","",ABS(O263-Components!$C$2))</f>
        <v>1.2766666666666704</v>
      </c>
      <c r="Q263" s="81">
        <f>IF(G263="","",ABS(O263-Components!$C$3))</f>
        <v>5.9999999999993392E-3</v>
      </c>
      <c r="R263" s="81">
        <f>IF(G263="","",ABS(O263-Components!$C$4))</f>
        <v>3.0366666666666671</v>
      </c>
      <c r="S263" s="81">
        <f>IF(G263="","",ABS(O263-Components!$C$5))</f>
        <v>0.53266666666667017</v>
      </c>
      <c r="T263" s="81">
        <f>IF(G263="","",ABS(O263-Components!$C$6))</f>
        <v>2.8743333333333303</v>
      </c>
      <c r="U263" s="81">
        <f>IF(G263="","",ABS(O263-Components!$C$7))</f>
        <v>2.6556666666666704</v>
      </c>
      <c r="V263" s="81" t="str">
        <f>IF(F263="","",IF(M263="OK","NONE",INDEX({"S1","S2","W1","W2","N1","N2"},MATCH(MIN(P263:U263),P263:U263,0))))</f>
        <v>S2</v>
      </c>
      <c r="W263" s="117">
        <f t="shared" si="34"/>
        <v>1</v>
      </c>
      <c r="X263" s="119"/>
    </row>
    <row r="264" spans="1:24">
      <c r="A264" s="115">
        <v>262</v>
      </c>
      <c r="B264" s="116">
        <v>9</v>
      </c>
      <c r="C264" s="81" t="s">
        <v>130</v>
      </c>
      <c r="D264" s="111" t="s">
        <v>240</v>
      </c>
      <c r="E264" s="81" t="s">
        <v>102</v>
      </c>
      <c r="F264" s="52">
        <v>4.82</v>
      </c>
      <c r="G264" s="52">
        <f t="shared" si="28"/>
        <v>5.79</v>
      </c>
      <c r="H264" s="110"/>
      <c r="I264" s="81">
        <v>9.91</v>
      </c>
      <c r="J264" s="81">
        <f>VLOOKUP(C264,Recipes!$A$2:$N$4,12,FALSE())</f>
        <v>5.0137397426368718E-2</v>
      </c>
      <c r="K264" s="81">
        <f t="shared" si="29"/>
        <v>9.7595878077208944</v>
      </c>
      <c r="L264" s="81">
        <f t="shared" si="30"/>
        <v>10.060412192279106</v>
      </c>
      <c r="M264" s="81" t="str">
        <f t="shared" si="32"/>
        <v>NG</v>
      </c>
      <c r="N264" s="117">
        <f t="shared" si="31"/>
        <v>1</v>
      </c>
      <c r="O264" s="81">
        <f t="shared" si="33"/>
        <v>4.12</v>
      </c>
      <c r="P264" s="81">
        <f>IF(G264="","",ABS(O264-Components!$C$2))</f>
        <v>1.3666666666666702</v>
      </c>
      <c r="Q264" s="81">
        <f>IF(G264="","",ABS(O264-Components!$C$3))</f>
        <v>8.4000000000000519E-2</v>
      </c>
      <c r="R264" s="81">
        <f>IF(G264="","",ABS(O264-Components!$C$4))</f>
        <v>3.1266666666666669</v>
      </c>
      <c r="S264" s="81">
        <f>IF(G264="","",ABS(O264-Components!$C$5))</f>
        <v>0.44266666666667032</v>
      </c>
      <c r="T264" s="81">
        <f>IF(G264="","",ABS(O264-Components!$C$6))</f>
        <v>2.9643333333333302</v>
      </c>
      <c r="U264" s="81">
        <f>IF(G264="","",ABS(O264-Components!$C$7))</f>
        <v>2.7456666666666703</v>
      </c>
      <c r="V264" s="81" t="str">
        <f>IF(F264="","",IF(M264="OK","NONE",INDEX({"S1","S2","W1","W2","N1","N2"},MATCH(MIN(P264:U264),P264:U264,0))))</f>
        <v>S2</v>
      </c>
      <c r="W264" s="117">
        <f t="shared" si="34"/>
        <v>1</v>
      </c>
      <c r="X264" s="119"/>
    </row>
    <row r="265" spans="1:24">
      <c r="A265" s="115">
        <v>263</v>
      </c>
      <c r="B265" s="116">
        <v>9</v>
      </c>
      <c r="C265" s="81" t="s">
        <v>130</v>
      </c>
      <c r="D265" s="111" t="s">
        <v>240</v>
      </c>
      <c r="E265" s="81" t="s">
        <v>102</v>
      </c>
      <c r="F265" s="52">
        <v>4.83</v>
      </c>
      <c r="G265" s="52">
        <f t="shared" si="28"/>
        <v>5.8</v>
      </c>
      <c r="H265" s="110"/>
      <c r="I265" s="81">
        <v>9.91</v>
      </c>
      <c r="J265" s="81">
        <f>VLOOKUP(C265,Recipes!$A$2:$N$4,12,FALSE())</f>
        <v>5.0137397426368718E-2</v>
      </c>
      <c r="K265" s="81">
        <f t="shared" si="29"/>
        <v>9.7595878077208944</v>
      </c>
      <c r="L265" s="81">
        <f t="shared" si="30"/>
        <v>10.060412192279106</v>
      </c>
      <c r="M265" s="81" t="str">
        <f t="shared" si="32"/>
        <v>NG</v>
      </c>
      <c r="N265" s="117">
        <f t="shared" si="31"/>
        <v>1</v>
      </c>
      <c r="O265" s="81">
        <f t="shared" si="33"/>
        <v>4.1100000000000003</v>
      </c>
      <c r="P265" s="81">
        <f>IF(G265="","",ABS(O265-Components!$C$2))</f>
        <v>1.3566666666666705</v>
      </c>
      <c r="Q265" s="81">
        <f>IF(G265="","",ABS(O265-Components!$C$3))</f>
        <v>7.4000000000000732E-2</v>
      </c>
      <c r="R265" s="81">
        <f>IF(G265="","",ABS(O265-Components!$C$4))</f>
        <v>3.1166666666666671</v>
      </c>
      <c r="S265" s="81">
        <f>IF(G265="","",ABS(O265-Components!$C$5))</f>
        <v>0.4526666666666701</v>
      </c>
      <c r="T265" s="81">
        <f>IF(G265="","",ABS(O265-Components!$C$6))</f>
        <v>2.9543333333333304</v>
      </c>
      <c r="U265" s="81">
        <f>IF(G265="","",ABS(O265-Components!$C$7))</f>
        <v>2.7356666666666705</v>
      </c>
      <c r="V265" s="81" t="str">
        <f>IF(F265="","",IF(M265="OK","NONE",INDEX({"S1","S2","W1","W2","N1","N2"},MATCH(MIN(P265:U265),P265:U265,0))))</f>
        <v>S2</v>
      </c>
      <c r="W265" s="117">
        <f t="shared" si="34"/>
        <v>1</v>
      </c>
      <c r="X265" s="119"/>
    </row>
    <row r="266" spans="1:24">
      <c r="A266" s="115">
        <v>264</v>
      </c>
      <c r="B266" s="116">
        <v>9</v>
      </c>
      <c r="C266" s="61" t="s">
        <v>130</v>
      </c>
      <c r="D266" s="61" t="s">
        <v>240</v>
      </c>
      <c r="E266" s="61" t="s">
        <v>102</v>
      </c>
      <c r="F266" s="52">
        <v>4.78</v>
      </c>
      <c r="G266" s="52">
        <f t="shared" si="28"/>
        <v>5.75</v>
      </c>
      <c r="H266" s="110"/>
      <c r="I266" s="81">
        <v>9.91</v>
      </c>
      <c r="J266" s="81">
        <f>VLOOKUP(C266,Recipes!$A$2:$N$4,12,FALSE())</f>
        <v>5.0137397426368718E-2</v>
      </c>
      <c r="K266" s="81">
        <f t="shared" si="29"/>
        <v>9.7595878077208944</v>
      </c>
      <c r="L266" s="81">
        <f t="shared" si="30"/>
        <v>10.060412192279106</v>
      </c>
      <c r="M266" s="81" t="str">
        <f t="shared" si="32"/>
        <v>NG</v>
      </c>
      <c r="N266" s="117">
        <f t="shared" si="31"/>
        <v>1</v>
      </c>
      <c r="O266" s="81">
        <f t="shared" si="33"/>
        <v>4.16</v>
      </c>
      <c r="P266" s="81">
        <f>IF(G266="","",ABS(O266-Components!$C$2))</f>
        <v>1.4066666666666703</v>
      </c>
      <c r="Q266" s="81">
        <f>IF(G266="","",ABS(O266-Components!$C$3))</f>
        <v>0.12400000000000055</v>
      </c>
      <c r="R266" s="81">
        <f>IF(G266="","",ABS(O266-Components!$C$4))</f>
        <v>3.166666666666667</v>
      </c>
      <c r="S266" s="81">
        <f>IF(G266="","",ABS(O266-Components!$C$5))</f>
        <v>0.40266666666667028</v>
      </c>
      <c r="T266" s="81">
        <f>IF(G266="","",ABS(O266-Components!$C$6))</f>
        <v>3.0043333333333302</v>
      </c>
      <c r="U266" s="81">
        <f>IF(G266="","",ABS(O266-Components!$C$7))</f>
        <v>2.7856666666666703</v>
      </c>
      <c r="V266" s="81" t="str">
        <f>IF(F266="","",IF(M266="OK","NONE",INDEX({"S1","S2","W1","W2","N1","N2"},MATCH(MIN(P266:U266),P266:U266,0))))</f>
        <v>S2</v>
      </c>
      <c r="W266" s="117">
        <f t="shared" si="34"/>
        <v>1</v>
      </c>
      <c r="X266" s="119"/>
    </row>
    <row r="267" spans="1:24">
      <c r="A267" s="115">
        <v>265</v>
      </c>
      <c r="B267" s="116">
        <v>9</v>
      </c>
      <c r="C267" s="61" t="s">
        <v>130</v>
      </c>
      <c r="D267" s="61" t="s">
        <v>240</v>
      </c>
      <c r="E267" s="61" t="s">
        <v>102</v>
      </c>
      <c r="F267" s="52">
        <v>4.88</v>
      </c>
      <c r="G267" s="52">
        <f t="shared" si="28"/>
        <v>5.85</v>
      </c>
      <c r="H267" s="110"/>
      <c r="I267" s="81">
        <v>9.91</v>
      </c>
      <c r="J267" s="81">
        <f>VLOOKUP(C267,Recipes!$A$2:$N$4,12,FALSE())</f>
        <v>5.0137397426368718E-2</v>
      </c>
      <c r="K267" s="81">
        <f t="shared" si="29"/>
        <v>9.7595878077208944</v>
      </c>
      <c r="L267" s="81">
        <f t="shared" si="30"/>
        <v>10.060412192279106</v>
      </c>
      <c r="M267" s="81" t="str">
        <f t="shared" si="32"/>
        <v>NG</v>
      </c>
      <c r="N267" s="117">
        <f t="shared" si="31"/>
        <v>1</v>
      </c>
      <c r="O267" s="81">
        <f t="shared" si="33"/>
        <v>4.0600000000000005</v>
      </c>
      <c r="P267" s="81">
        <f>IF(G267="","",ABS(O267-Components!$C$2))</f>
        <v>1.3066666666666706</v>
      </c>
      <c r="Q267" s="81">
        <f>IF(G267="","",ABS(O267-Components!$C$3))</f>
        <v>2.4000000000000909E-2</v>
      </c>
      <c r="R267" s="81">
        <f>IF(G267="","",ABS(O267-Components!$C$4))</f>
        <v>3.0666666666666673</v>
      </c>
      <c r="S267" s="81">
        <f>IF(G267="","",ABS(O267-Components!$C$5))</f>
        <v>0.50266666666666993</v>
      </c>
      <c r="T267" s="81">
        <f>IF(G267="","",ABS(O267-Components!$C$6))</f>
        <v>2.9043333333333305</v>
      </c>
      <c r="U267" s="81">
        <f>IF(G267="","",ABS(O267-Components!$C$7))</f>
        <v>2.6856666666666706</v>
      </c>
      <c r="V267" s="81" t="str">
        <f>IF(F267="","",IF(M267="OK","NONE",INDEX({"S1","S2","W1","W2","N1","N2"},MATCH(MIN(P267:U267),P267:U267,0))))</f>
        <v>S2</v>
      </c>
      <c r="W267" s="117">
        <f t="shared" si="34"/>
        <v>1</v>
      </c>
      <c r="X267" s="119"/>
    </row>
    <row r="268" spans="1:24">
      <c r="A268" s="115">
        <v>266</v>
      </c>
      <c r="B268" s="116">
        <v>9</v>
      </c>
      <c r="C268" s="81" t="s">
        <v>130</v>
      </c>
      <c r="D268" s="111" t="s">
        <v>240</v>
      </c>
      <c r="E268" s="81" t="s">
        <v>102</v>
      </c>
      <c r="F268" s="52">
        <v>4.91</v>
      </c>
      <c r="G268" s="52">
        <f t="shared" si="28"/>
        <v>5.88</v>
      </c>
      <c r="H268" s="110"/>
      <c r="I268" s="81">
        <v>9.91</v>
      </c>
      <c r="J268" s="81">
        <f>VLOOKUP(C268,Recipes!$A$2:$N$4,12,FALSE())</f>
        <v>5.0137397426368718E-2</v>
      </c>
      <c r="K268" s="81">
        <f t="shared" si="29"/>
        <v>9.7595878077208944</v>
      </c>
      <c r="L268" s="81">
        <f t="shared" si="30"/>
        <v>10.060412192279106</v>
      </c>
      <c r="M268" s="81" t="str">
        <f t="shared" si="32"/>
        <v>NG</v>
      </c>
      <c r="N268" s="117">
        <f t="shared" si="31"/>
        <v>1</v>
      </c>
      <c r="O268" s="81">
        <f t="shared" si="33"/>
        <v>4.03</v>
      </c>
      <c r="P268" s="81">
        <f>IF(G268="","",ABS(O268-Components!$C$2))</f>
        <v>1.2766666666666704</v>
      </c>
      <c r="Q268" s="81">
        <f>IF(G268="","",ABS(O268-Components!$C$3))</f>
        <v>5.9999999999993392E-3</v>
      </c>
      <c r="R268" s="81">
        <f>IF(G268="","",ABS(O268-Components!$C$4))</f>
        <v>3.0366666666666671</v>
      </c>
      <c r="S268" s="81">
        <f>IF(G268="","",ABS(O268-Components!$C$5))</f>
        <v>0.53266666666667017</v>
      </c>
      <c r="T268" s="81">
        <f>IF(G268="","",ABS(O268-Components!$C$6))</f>
        <v>2.8743333333333303</v>
      </c>
      <c r="U268" s="81">
        <f>IF(G268="","",ABS(O268-Components!$C$7))</f>
        <v>2.6556666666666704</v>
      </c>
      <c r="V268" s="81" t="str">
        <f>IF(F268="","",IF(M268="OK","NONE",INDEX({"S1","S2","W1","W2","N1","N2"},MATCH(MIN(P268:U268),P268:U268,0))))</f>
        <v>S2</v>
      </c>
      <c r="W268" s="117">
        <f t="shared" si="34"/>
        <v>1</v>
      </c>
      <c r="X268" s="119"/>
    </row>
    <row r="269" spans="1:24">
      <c r="A269" s="115">
        <v>267</v>
      </c>
      <c r="B269" s="116">
        <v>9</v>
      </c>
      <c r="C269" s="81" t="s">
        <v>130</v>
      </c>
      <c r="D269" s="111" t="s">
        <v>240</v>
      </c>
      <c r="E269" s="81" t="s">
        <v>102</v>
      </c>
      <c r="F269" s="52">
        <v>4.8899999999999997</v>
      </c>
      <c r="G269" s="52">
        <f t="shared" si="28"/>
        <v>5.8599999999999994</v>
      </c>
      <c r="H269" s="110"/>
      <c r="I269" s="81">
        <v>9.91</v>
      </c>
      <c r="J269" s="81">
        <f>VLOOKUP(C269,Recipes!$A$2:$N$4,12,FALSE())</f>
        <v>5.0137397426368718E-2</v>
      </c>
      <c r="K269" s="81">
        <f t="shared" si="29"/>
        <v>9.7595878077208944</v>
      </c>
      <c r="L269" s="81">
        <f t="shared" si="30"/>
        <v>10.060412192279106</v>
      </c>
      <c r="M269" s="81" t="str">
        <f t="shared" si="32"/>
        <v>NG</v>
      </c>
      <c r="N269" s="117">
        <f t="shared" si="31"/>
        <v>1</v>
      </c>
      <c r="O269" s="81">
        <f t="shared" si="33"/>
        <v>4.0500000000000007</v>
      </c>
      <c r="P269" s="81">
        <f>IF(G269="","",ABS(O269-Components!$C$2))</f>
        <v>1.2966666666666709</v>
      </c>
      <c r="Q269" s="81">
        <f>IF(G269="","",ABS(O269-Components!$C$3))</f>
        <v>1.4000000000001123E-2</v>
      </c>
      <c r="R269" s="81">
        <f>IF(G269="","",ABS(O269-Components!$C$4))</f>
        <v>3.0566666666666675</v>
      </c>
      <c r="S269" s="81">
        <f>IF(G269="","",ABS(O269-Components!$C$5))</f>
        <v>0.51266666666666971</v>
      </c>
      <c r="T269" s="81">
        <f>IF(G269="","",ABS(O269-Components!$C$6))</f>
        <v>2.8943333333333308</v>
      </c>
      <c r="U269" s="81">
        <f>IF(G269="","",ABS(O269-Components!$C$7))</f>
        <v>2.6756666666666709</v>
      </c>
      <c r="V269" s="81" t="str">
        <f>IF(F269="","",IF(M269="OK","NONE",INDEX({"S1","S2","W1","W2","N1","N2"},MATCH(MIN(P269:U269),P269:U269,0))))</f>
        <v>S2</v>
      </c>
      <c r="W269" s="117">
        <f t="shared" si="34"/>
        <v>1</v>
      </c>
      <c r="X269" s="119"/>
    </row>
    <row r="270" spans="1:24">
      <c r="A270" s="115">
        <v>268</v>
      </c>
      <c r="B270" s="116">
        <v>9</v>
      </c>
      <c r="C270" s="81" t="s">
        <v>130</v>
      </c>
      <c r="D270" s="111" t="s">
        <v>240</v>
      </c>
      <c r="E270" s="81" t="s">
        <v>102</v>
      </c>
      <c r="F270" s="52">
        <v>4.8899999999999997</v>
      </c>
      <c r="G270" s="52">
        <f t="shared" si="28"/>
        <v>5.8599999999999994</v>
      </c>
      <c r="H270" s="110"/>
      <c r="I270" s="81">
        <v>9.91</v>
      </c>
      <c r="J270" s="81">
        <f>VLOOKUP(C270,Recipes!$A$2:$N$4,12,FALSE())</f>
        <v>5.0137397426368718E-2</v>
      </c>
      <c r="K270" s="81">
        <f t="shared" si="29"/>
        <v>9.7595878077208944</v>
      </c>
      <c r="L270" s="81">
        <f t="shared" si="30"/>
        <v>10.060412192279106</v>
      </c>
      <c r="M270" s="81" t="str">
        <f t="shared" si="32"/>
        <v>NG</v>
      </c>
      <c r="N270" s="117">
        <f t="shared" si="31"/>
        <v>1</v>
      </c>
      <c r="O270" s="81">
        <f t="shared" si="33"/>
        <v>4.0500000000000007</v>
      </c>
      <c r="P270" s="81">
        <f>IF(G270="","",ABS(O270-Components!$C$2))</f>
        <v>1.2966666666666709</v>
      </c>
      <c r="Q270" s="81">
        <f>IF(G270="","",ABS(O270-Components!$C$3))</f>
        <v>1.4000000000001123E-2</v>
      </c>
      <c r="R270" s="81">
        <f>IF(G270="","",ABS(O270-Components!$C$4))</f>
        <v>3.0566666666666675</v>
      </c>
      <c r="S270" s="81">
        <f>IF(G270="","",ABS(O270-Components!$C$5))</f>
        <v>0.51266666666666971</v>
      </c>
      <c r="T270" s="81">
        <f>IF(G270="","",ABS(O270-Components!$C$6))</f>
        <v>2.8943333333333308</v>
      </c>
      <c r="U270" s="81">
        <f>IF(G270="","",ABS(O270-Components!$C$7))</f>
        <v>2.6756666666666709</v>
      </c>
      <c r="V270" s="81" t="str">
        <f>IF(F270="","",IF(M270="OK","NONE",INDEX({"S1","S2","W1","W2","N1","N2"},MATCH(MIN(P270:U270),P270:U270,0))))</f>
        <v>S2</v>
      </c>
      <c r="W270" s="117">
        <f t="shared" si="34"/>
        <v>1</v>
      </c>
      <c r="X270" s="119"/>
    </row>
    <row r="271" spans="1:24">
      <c r="A271" s="115">
        <v>269</v>
      </c>
      <c r="B271" s="116">
        <v>9</v>
      </c>
      <c r="C271" s="61" t="s">
        <v>130</v>
      </c>
      <c r="D271" s="61" t="s">
        <v>240</v>
      </c>
      <c r="E271" s="61" t="s">
        <v>102</v>
      </c>
      <c r="F271" s="52">
        <v>4.9000000000000004</v>
      </c>
      <c r="G271" s="52">
        <f t="shared" si="28"/>
        <v>5.87</v>
      </c>
      <c r="H271" s="110"/>
      <c r="I271" s="81">
        <v>9.91</v>
      </c>
      <c r="J271" s="81">
        <f>VLOOKUP(C271,Recipes!$A$2:$N$4,12,FALSE())</f>
        <v>5.0137397426368718E-2</v>
      </c>
      <c r="K271" s="81">
        <f t="shared" si="29"/>
        <v>9.7595878077208944</v>
      </c>
      <c r="L271" s="81">
        <f t="shared" si="30"/>
        <v>10.060412192279106</v>
      </c>
      <c r="M271" s="81" t="str">
        <f t="shared" si="32"/>
        <v>NG</v>
      </c>
      <c r="N271" s="117">
        <f t="shared" si="31"/>
        <v>1</v>
      </c>
      <c r="O271" s="81">
        <f t="shared" si="33"/>
        <v>4.04</v>
      </c>
      <c r="P271" s="81">
        <f>IF(G271="","",ABS(O271-Components!$C$2))</f>
        <v>1.2866666666666702</v>
      </c>
      <c r="Q271" s="81">
        <f>IF(G271="","",ABS(O271-Components!$C$3))</f>
        <v>4.0000000000004476E-3</v>
      </c>
      <c r="R271" s="81">
        <f>IF(G271="","",ABS(O271-Components!$C$4))</f>
        <v>3.0466666666666669</v>
      </c>
      <c r="S271" s="81">
        <f>IF(G271="","",ABS(O271-Components!$C$5))</f>
        <v>0.52266666666667039</v>
      </c>
      <c r="T271" s="81">
        <f>IF(G271="","",ABS(O271-Components!$C$6))</f>
        <v>2.8843333333333301</v>
      </c>
      <c r="U271" s="81">
        <f>IF(G271="","",ABS(O271-Components!$C$7))</f>
        <v>2.6656666666666702</v>
      </c>
      <c r="V271" s="81" t="str">
        <f>IF(F271="","",IF(M271="OK","NONE",INDEX({"S1","S2","W1","W2","N1","N2"},MATCH(MIN(P271:U271),P271:U271,0))))</f>
        <v>S2</v>
      </c>
      <c r="W271" s="117">
        <f t="shared" si="34"/>
        <v>1</v>
      </c>
      <c r="X271" s="119"/>
    </row>
    <row r="272" spans="1:24">
      <c r="A272" s="115">
        <v>270</v>
      </c>
      <c r="B272" s="116">
        <v>9</v>
      </c>
      <c r="C272" s="61" t="s">
        <v>130</v>
      </c>
      <c r="D272" s="61" t="s">
        <v>240</v>
      </c>
      <c r="E272" s="61" t="s">
        <v>102</v>
      </c>
      <c r="F272" s="52">
        <v>4.91</v>
      </c>
      <c r="G272" s="52">
        <f t="shared" si="28"/>
        <v>5.88</v>
      </c>
      <c r="H272" s="110"/>
      <c r="I272" s="81">
        <v>9.91</v>
      </c>
      <c r="J272" s="81">
        <f>VLOOKUP(C272,Recipes!$A$2:$N$4,12,FALSE())</f>
        <v>5.0137397426368718E-2</v>
      </c>
      <c r="K272" s="81">
        <f t="shared" si="29"/>
        <v>9.7595878077208944</v>
      </c>
      <c r="L272" s="81">
        <f t="shared" si="30"/>
        <v>10.060412192279106</v>
      </c>
      <c r="M272" s="81" t="str">
        <f t="shared" si="32"/>
        <v>NG</v>
      </c>
      <c r="N272" s="117">
        <f t="shared" si="31"/>
        <v>1</v>
      </c>
      <c r="O272" s="81">
        <f t="shared" si="33"/>
        <v>4.03</v>
      </c>
      <c r="P272" s="81">
        <f>IF(G272="","",ABS(O272-Components!$C$2))</f>
        <v>1.2766666666666704</v>
      </c>
      <c r="Q272" s="81">
        <f>IF(G272="","",ABS(O272-Components!$C$3))</f>
        <v>5.9999999999993392E-3</v>
      </c>
      <c r="R272" s="81">
        <f>IF(G272="","",ABS(O272-Components!$C$4))</f>
        <v>3.0366666666666671</v>
      </c>
      <c r="S272" s="81">
        <f>IF(G272="","",ABS(O272-Components!$C$5))</f>
        <v>0.53266666666667017</v>
      </c>
      <c r="T272" s="81">
        <f>IF(G272="","",ABS(O272-Components!$C$6))</f>
        <v>2.8743333333333303</v>
      </c>
      <c r="U272" s="81">
        <f>IF(G272="","",ABS(O272-Components!$C$7))</f>
        <v>2.6556666666666704</v>
      </c>
      <c r="V272" s="81" t="str">
        <f>IF(F272="","",IF(M272="OK","NONE",INDEX({"S1","S2","W1","W2","N1","N2"},MATCH(MIN(P272:U272),P272:U272,0))))</f>
        <v>S2</v>
      </c>
      <c r="W272" s="117">
        <f t="shared" si="34"/>
        <v>1</v>
      </c>
      <c r="X272" s="119"/>
    </row>
    <row r="273" spans="1:24">
      <c r="A273" s="115">
        <v>271</v>
      </c>
      <c r="B273" s="116">
        <v>10</v>
      </c>
      <c r="C273" s="81" t="s">
        <v>132</v>
      </c>
      <c r="D273" s="109" t="s">
        <v>238</v>
      </c>
      <c r="E273" s="81" t="s">
        <v>239</v>
      </c>
      <c r="F273" s="52">
        <v>8.65</v>
      </c>
      <c r="G273" s="52">
        <f t="shared" si="28"/>
        <v>9.620000000000001</v>
      </c>
      <c r="H273" s="110"/>
      <c r="I273" s="81">
        <v>9.61</v>
      </c>
      <c r="J273" s="81">
        <f>VLOOKUP(C273,Recipes!$A$2:$N$4,12,FALSE())</f>
        <v>6.1509461004819709E-2</v>
      </c>
      <c r="K273" s="81">
        <f t="shared" si="29"/>
        <v>9.4254716169855399</v>
      </c>
      <c r="L273" s="81">
        <f t="shared" si="30"/>
        <v>9.7945283830144589</v>
      </c>
      <c r="M273" s="81" t="str">
        <f t="shared" si="32"/>
        <v>OK</v>
      </c>
      <c r="N273" s="117">
        <f t="shared" si="31"/>
        <v>1</v>
      </c>
      <c r="O273" s="81">
        <f t="shared" si="33"/>
        <v>-1.0000000000001563E-2</v>
      </c>
      <c r="P273" s="81">
        <f>IF(G273="","",ABS(O273-Components!$C$2))</f>
        <v>2.7633333333333314</v>
      </c>
      <c r="Q273" s="81">
        <f>IF(G273="","",ABS(O273-Components!$C$3))</f>
        <v>4.0460000000000012</v>
      </c>
      <c r="R273" s="81">
        <f>IF(G273="","",ABS(O273-Components!$C$4))</f>
        <v>1.0033333333333345</v>
      </c>
      <c r="S273" s="81">
        <f>IF(G273="","",ABS(O273-Components!$C$5))</f>
        <v>4.572666666666672</v>
      </c>
      <c r="T273" s="81">
        <f>IF(G273="","",ABS(O273-Components!$C$6))</f>
        <v>1.1656666666666715</v>
      </c>
      <c r="U273" s="81">
        <f>IF(G273="","",ABS(O273-Components!$C$7))</f>
        <v>1.3843333333333316</v>
      </c>
      <c r="V273" s="81" t="str">
        <f>IF(F273="","",IF(M273="OK","NONE",INDEX({"S1","S2","W1","W2","N1","N2"},MATCH(MIN(P273:U273),P273:U273,0))))</f>
        <v>NONE</v>
      </c>
      <c r="W273" s="117">
        <f t="shared" si="34"/>
        <v>1</v>
      </c>
      <c r="X273" s="119"/>
    </row>
    <row r="274" spans="1:24">
      <c r="A274" s="115">
        <v>272</v>
      </c>
      <c r="B274" s="116">
        <v>10</v>
      </c>
      <c r="C274" s="81" t="s">
        <v>132</v>
      </c>
      <c r="D274" s="109" t="s">
        <v>238</v>
      </c>
      <c r="E274" s="81" t="s">
        <v>239</v>
      </c>
      <c r="F274" s="52">
        <v>8.5299999999999994</v>
      </c>
      <c r="G274" s="52">
        <f t="shared" si="28"/>
        <v>9.5</v>
      </c>
      <c r="H274" s="110"/>
      <c r="I274" s="81">
        <v>9.61</v>
      </c>
      <c r="J274" s="81">
        <f>VLOOKUP(C274,Recipes!$A$2:$N$4,12,FALSE())</f>
        <v>6.1509461004819709E-2</v>
      </c>
      <c r="K274" s="81">
        <f t="shared" si="29"/>
        <v>9.4254716169855399</v>
      </c>
      <c r="L274" s="81">
        <f t="shared" si="30"/>
        <v>9.7945283830144589</v>
      </c>
      <c r="M274" s="81" t="str">
        <f t="shared" si="32"/>
        <v>OK</v>
      </c>
      <c r="N274" s="117">
        <f t="shared" si="31"/>
        <v>1</v>
      </c>
      <c r="O274" s="81">
        <f t="shared" si="33"/>
        <v>0.10999999999999943</v>
      </c>
      <c r="P274" s="81">
        <f>IF(G274="","",ABS(O274-Components!$C$2))</f>
        <v>2.6433333333333304</v>
      </c>
      <c r="Q274" s="81">
        <f>IF(G274="","",ABS(O274-Components!$C$3))</f>
        <v>3.9260000000000002</v>
      </c>
      <c r="R274" s="81">
        <f>IF(G274="","",ABS(O274-Components!$C$4))</f>
        <v>0.88333333333333353</v>
      </c>
      <c r="S274" s="81">
        <f>IF(G274="","",ABS(O274-Components!$C$5))</f>
        <v>4.452666666666671</v>
      </c>
      <c r="T274" s="81">
        <f>IF(G274="","",ABS(O274-Components!$C$6))</f>
        <v>1.0456666666666705</v>
      </c>
      <c r="U274" s="81">
        <f>IF(G274="","",ABS(O274-Components!$C$7))</f>
        <v>1.2643333333333306</v>
      </c>
      <c r="V274" s="81" t="str">
        <f>IF(F274="","",IF(M274="OK","NONE",INDEX({"S1","S2","W1","W2","N1","N2"},MATCH(MIN(P274:U274),P274:U274,0))))</f>
        <v>NONE</v>
      </c>
      <c r="W274" s="117">
        <f t="shared" si="34"/>
        <v>1</v>
      </c>
      <c r="X274" s="119"/>
    </row>
    <row r="275" spans="1:24">
      <c r="A275" s="115">
        <v>273</v>
      </c>
      <c r="B275" s="116">
        <v>10</v>
      </c>
      <c r="C275" s="81" t="s">
        <v>132</v>
      </c>
      <c r="D275" s="109" t="s">
        <v>238</v>
      </c>
      <c r="E275" s="81" t="s">
        <v>239</v>
      </c>
      <c r="F275" s="52">
        <v>8.58</v>
      </c>
      <c r="G275" s="52">
        <f t="shared" si="28"/>
        <v>9.5500000000000007</v>
      </c>
      <c r="H275" s="110"/>
      <c r="I275" s="81">
        <v>9.61</v>
      </c>
      <c r="J275" s="81">
        <f>VLOOKUP(C275,Recipes!$A$2:$N$4,12,FALSE())</f>
        <v>6.1509461004819709E-2</v>
      </c>
      <c r="K275" s="81">
        <f t="shared" si="29"/>
        <v>9.4254716169855399</v>
      </c>
      <c r="L275" s="81">
        <f t="shared" si="30"/>
        <v>9.7945283830144589</v>
      </c>
      <c r="M275" s="81" t="str">
        <f t="shared" si="32"/>
        <v>OK</v>
      </c>
      <c r="N275" s="117">
        <f t="shared" si="31"/>
        <v>1</v>
      </c>
      <c r="O275" s="81">
        <f t="shared" si="33"/>
        <v>5.9999999999998721E-2</v>
      </c>
      <c r="P275" s="81">
        <f>IF(G275="","",ABS(O275-Components!$C$2))</f>
        <v>2.6933333333333311</v>
      </c>
      <c r="Q275" s="81">
        <f>IF(G275="","",ABS(O275-Components!$C$3))</f>
        <v>3.9760000000000009</v>
      </c>
      <c r="R275" s="81">
        <f>IF(G275="","",ABS(O275-Components!$C$4))</f>
        <v>0.93333333333333424</v>
      </c>
      <c r="S275" s="81">
        <f>IF(G275="","",ABS(O275-Components!$C$5))</f>
        <v>4.5026666666666717</v>
      </c>
      <c r="T275" s="81">
        <f>IF(G275="","",ABS(O275-Components!$C$6))</f>
        <v>1.0956666666666712</v>
      </c>
      <c r="U275" s="81">
        <f>IF(G275="","",ABS(O275-Components!$C$7))</f>
        <v>1.3143333333333314</v>
      </c>
      <c r="V275" s="81" t="str">
        <f>IF(F275="","",IF(M275="OK","NONE",INDEX({"S1","S2","W1","W2","N1","N2"},MATCH(MIN(P275:U275),P275:U275,0))))</f>
        <v>NONE</v>
      </c>
      <c r="W275" s="117">
        <f t="shared" si="34"/>
        <v>1</v>
      </c>
      <c r="X275" s="119"/>
    </row>
    <row r="276" spans="1:24">
      <c r="A276" s="115">
        <v>274</v>
      </c>
      <c r="B276" s="116">
        <v>10</v>
      </c>
      <c r="C276" s="81" t="s">
        <v>132</v>
      </c>
      <c r="D276" s="109" t="s">
        <v>238</v>
      </c>
      <c r="E276" s="81" t="s">
        <v>239</v>
      </c>
      <c r="F276" s="52">
        <v>8.66</v>
      </c>
      <c r="G276" s="52">
        <f t="shared" si="28"/>
        <v>9.6300000000000008</v>
      </c>
      <c r="H276" s="110"/>
      <c r="I276" s="81">
        <v>9.61</v>
      </c>
      <c r="J276" s="81">
        <f>VLOOKUP(C276,Recipes!$A$2:$N$4,12,FALSE())</f>
        <v>6.1509461004819709E-2</v>
      </c>
      <c r="K276" s="81">
        <f t="shared" si="29"/>
        <v>9.4254716169855399</v>
      </c>
      <c r="L276" s="81">
        <f t="shared" si="30"/>
        <v>9.7945283830144589</v>
      </c>
      <c r="M276" s="81" t="str">
        <f t="shared" si="32"/>
        <v>OK</v>
      </c>
      <c r="N276" s="117">
        <f t="shared" si="31"/>
        <v>1</v>
      </c>
      <c r="O276" s="81">
        <f t="shared" si="33"/>
        <v>-2.000000000000135E-2</v>
      </c>
      <c r="P276" s="81">
        <f>IF(G276="","",ABS(O276-Components!$C$2))</f>
        <v>2.7733333333333312</v>
      </c>
      <c r="Q276" s="81">
        <f>IF(G276="","",ABS(O276-Components!$C$3))</f>
        <v>4.0560000000000009</v>
      </c>
      <c r="R276" s="81">
        <f>IF(G276="","",ABS(O276-Components!$C$4))</f>
        <v>1.0133333333333343</v>
      </c>
      <c r="S276" s="81">
        <f>IF(G276="","",ABS(O276-Components!$C$5))</f>
        <v>4.5826666666666718</v>
      </c>
      <c r="T276" s="81">
        <f>IF(G276="","",ABS(O276-Components!$C$6))</f>
        <v>1.1756666666666713</v>
      </c>
      <c r="U276" s="81">
        <f>IF(G276="","",ABS(O276-Components!$C$7))</f>
        <v>1.3943333333333314</v>
      </c>
      <c r="V276" s="81" t="str">
        <f>IF(F276="","",IF(M276="OK","NONE",INDEX({"S1","S2","W1","W2","N1","N2"},MATCH(MIN(P276:U276),P276:U276,0))))</f>
        <v>NONE</v>
      </c>
      <c r="W276" s="117">
        <f t="shared" si="34"/>
        <v>1</v>
      </c>
      <c r="X276" s="119"/>
    </row>
    <row r="277" spans="1:24">
      <c r="A277" s="115">
        <v>275</v>
      </c>
      <c r="B277" s="116">
        <v>10</v>
      </c>
      <c r="C277" s="81" t="s">
        <v>132</v>
      </c>
      <c r="D277" s="109" t="s">
        <v>238</v>
      </c>
      <c r="E277" s="81" t="s">
        <v>239</v>
      </c>
      <c r="F277" s="52">
        <v>8.57</v>
      </c>
      <c r="G277" s="52">
        <f t="shared" si="28"/>
        <v>9.5400000000000009</v>
      </c>
      <c r="H277" s="110"/>
      <c r="I277" s="81">
        <v>9.61</v>
      </c>
      <c r="J277" s="81">
        <f>VLOOKUP(C277,Recipes!$A$2:$N$4,12,FALSE())</f>
        <v>6.1509461004819709E-2</v>
      </c>
      <c r="K277" s="81">
        <f t="shared" si="29"/>
        <v>9.4254716169855399</v>
      </c>
      <c r="L277" s="81">
        <f t="shared" si="30"/>
        <v>9.7945283830144589</v>
      </c>
      <c r="M277" s="81" t="str">
        <f t="shared" si="32"/>
        <v>OK</v>
      </c>
      <c r="N277" s="117">
        <f t="shared" si="31"/>
        <v>1</v>
      </c>
      <c r="O277" s="81">
        <f t="shared" si="33"/>
        <v>6.9999999999998508E-2</v>
      </c>
      <c r="P277" s="81">
        <f>IF(G277="","",ABS(O277-Components!$C$2))</f>
        <v>2.6833333333333313</v>
      </c>
      <c r="Q277" s="81">
        <f>IF(G277="","",ABS(O277-Components!$C$3))</f>
        <v>3.9660000000000011</v>
      </c>
      <c r="R277" s="81">
        <f>IF(G277="","",ABS(O277-Components!$C$4))</f>
        <v>0.92333333333333445</v>
      </c>
      <c r="S277" s="81">
        <f>IF(G277="","",ABS(O277-Components!$C$5))</f>
        <v>4.4926666666666719</v>
      </c>
      <c r="T277" s="81">
        <f>IF(G277="","",ABS(O277-Components!$C$6))</f>
        <v>1.0856666666666714</v>
      </c>
      <c r="U277" s="81">
        <f>IF(G277="","",ABS(O277-Components!$C$7))</f>
        <v>1.3043333333333316</v>
      </c>
      <c r="V277" s="81" t="str">
        <f>IF(F277="","",IF(M277="OK","NONE",INDEX({"S1","S2","W1","W2","N1","N2"},MATCH(MIN(P277:U277),P277:U277,0))))</f>
        <v>NONE</v>
      </c>
      <c r="W277" s="117">
        <f t="shared" si="34"/>
        <v>1</v>
      </c>
      <c r="X277" s="119"/>
    </row>
    <row r="278" spans="1:24">
      <c r="A278" s="115">
        <v>276</v>
      </c>
      <c r="B278" s="116">
        <v>10</v>
      </c>
      <c r="C278" s="81" t="s">
        <v>132</v>
      </c>
      <c r="D278" s="109" t="s">
        <v>238</v>
      </c>
      <c r="E278" s="81" t="s">
        <v>239</v>
      </c>
      <c r="F278" s="52">
        <v>8.6</v>
      </c>
      <c r="G278" s="52">
        <f t="shared" si="28"/>
        <v>9.57</v>
      </c>
      <c r="H278" s="110"/>
      <c r="I278" s="81">
        <v>9.61</v>
      </c>
      <c r="J278" s="81">
        <f>VLOOKUP(C278,Recipes!$A$2:$N$4,12,FALSE())</f>
        <v>6.1509461004819709E-2</v>
      </c>
      <c r="K278" s="81">
        <f t="shared" si="29"/>
        <v>9.4254716169855399</v>
      </c>
      <c r="L278" s="81">
        <f t="shared" si="30"/>
        <v>9.7945283830144589</v>
      </c>
      <c r="M278" s="81" t="str">
        <f t="shared" si="32"/>
        <v>OK</v>
      </c>
      <c r="N278" s="117">
        <f t="shared" si="31"/>
        <v>1</v>
      </c>
      <c r="O278" s="81">
        <f t="shared" si="33"/>
        <v>3.9999999999999147E-2</v>
      </c>
      <c r="P278" s="81">
        <f>IF(G278="","",ABS(O278-Components!$C$2))</f>
        <v>2.7133333333333307</v>
      </c>
      <c r="Q278" s="81">
        <f>IF(G278="","",ABS(O278-Components!$C$3))</f>
        <v>3.9960000000000004</v>
      </c>
      <c r="R278" s="81">
        <f>IF(G278="","",ABS(O278-Components!$C$4))</f>
        <v>0.95333333333333381</v>
      </c>
      <c r="S278" s="81">
        <f>IF(G278="","",ABS(O278-Components!$C$5))</f>
        <v>4.5226666666666713</v>
      </c>
      <c r="T278" s="81">
        <f>IF(G278="","",ABS(O278-Components!$C$6))</f>
        <v>1.1156666666666708</v>
      </c>
      <c r="U278" s="81">
        <f>IF(G278="","",ABS(O278-Components!$C$7))</f>
        <v>1.3343333333333309</v>
      </c>
      <c r="V278" s="81" t="str">
        <f>IF(F278="","",IF(M278="OK","NONE",INDEX({"S1","S2","W1","W2","N1","N2"},MATCH(MIN(P278:U278),P278:U278,0))))</f>
        <v>NONE</v>
      </c>
      <c r="W278" s="117">
        <f t="shared" si="34"/>
        <v>1</v>
      </c>
      <c r="X278" s="119"/>
    </row>
    <row r="279" spans="1:24">
      <c r="A279" s="115">
        <v>277</v>
      </c>
      <c r="B279" s="116">
        <v>10</v>
      </c>
      <c r="C279" s="81" t="s">
        <v>132</v>
      </c>
      <c r="D279" s="109" t="s">
        <v>238</v>
      </c>
      <c r="E279" s="81" t="s">
        <v>239</v>
      </c>
      <c r="F279" s="52">
        <v>8.65</v>
      </c>
      <c r="G279" s="52">
        <f t="shared" si="28"/>
        <v>9.620000000000001</v>
      </c>
      <c r="H279" s="110"/>
      <c r="I279" s="81">
        <v>9.61</v>
      </c>
      <c r="J279" s="81">
        <f>VLOOKUP(C279,Recipes!$A$2:$N$4,12,FALSE())</f>
        <v>6.1509461004819709E-2</v>
      </c>
      <c r="K279" s="81">
        <f t="shared" si="29"/>
        <v>9.4254716169855399</v>
      </c>
      <c r="L279" s="81">
        <f t="shared" si="30"/>
        <v>9.7945283830144589</v>
      </c>
      <c r="M279" s="81" t="str">
        <f t="shared" si="32"/>
        <v>OK</v>
      </c>
      <c r="N279" s="117">
        <f t="shared" si="31"/>
        <v>1</v>
      </c>
      <c r="O279" s="81">
        <f t="shared" si="33"/>
        <v>-1.0000000000001563E-2</v>
      </c>
      <c r="P279" s="81">
        <f>IF(G279="","",ABS(O279-Components!$C$2))</f>
        <v>2.7633333333333314</v>
      </c>
      <c r="Q279" s="81">
        <f>IF(G279="","",ABS(O279-Components!$C$3))</f>
        <v>4.0460000000000012</v>
      </c>
      <c r="R279" s="81">
        <f>IF(G279="","",ABS(O279-Components!$C$4))</f>
        <v>1.0033333333333345</v>
      </c>
      <c r="S279" s="81">
        <f>IF(G279="","",ABS(O279-Components!$C$5))</f>
        <v>4.572666666666672</v>
      </c>
      <c r="T279" s="81">
        <f>IF(G279="","",ABS(O279-Components!$C$6))</f>
        <v>1.1656666666666715</v>
      </c>
      <c r="U279" s="81">
        <f>IF(G279="","",ABS(O279-Components!$C$7))</f>
        <v>1.3843333333333316</v>
      </c>
      <c r="V279" s="81" t="str">
        <f>IF(F279="","",IF(M279="OK","NONE",INDEX({"S1","S2","W1","W2","N1","N2"},MATCH(MIN(P279:U279),P279:U279,0))))</f>
        <v>NONE</v>
      </c>
      <c r="W279" s="117">
        <f t="shared" si="34"/>
        <v>1</v>
      </c>
      <c r="X279" s="119"/>
    </row>
    <row r="280" spans="1:24">
      <c r="A280" s="115">
        <v>278</v>
      </c>
      <c r="B280" s="116">
        <v>10</v>
      </c>
      <c r="C280" s="81" t="s">
        <v>132</v>
      </c>
      <c r="D280" s="109" t="s">
        <v>238</v>
      </c>
      <c r="E280" s="81" t="s">
        <v>239</v>
      </c>
      <c r="F280" s="52">
        <v>8.58</v>
      </c>
      <c r="G280" s="52">
        <f t="shared" si="28"/>
        <v>9.5500000000000007</v>
      </c>
      <c r="H280" s="110"/>
      <c r="I280" s="81">
        <v>9.61</v>
      </c>
      <c r="J280" s="81">
        <f>VLOOKUP(C280,Recipes!$A$2:$N$4,12,FALSE())</f>
        <v>6.1509461004819709E-2</v>
      </c>
      <c r="K280" s="81">
        <f t="shared" si="29"/>
        <v>9.4254716169855399</v>
      </c>
      <c r="L280" s="81">
        <f t="shared" si="30"/>
        <v>9.7945283830144589</v>
      </c>
      <c r="M280" s="81" t="str">
        <f t="shared" si="32"/>
        <v>OK</v>
      </c>
      <c r="N280" s="117">
        <f t="shared" si="31"/>
        <v>1</v>
      </c>
      <c r="O280" s="81">
        <f t="shared" si="33"/>
        <v>5.9999999999998721E-2</v>
      </c>
      <c r="P280" s="81">
        <f>IF(G280="","",ABS(O280-Components!$C$2))</f>
        <v>2.6933333333333311</v>
      </c>
      <c r="Q280" s="81">
        <f>IF(G280="","",ABS(O280-Components!$C$3))</f>
        <v>3.9760000000000009</v>
      </c>
      <c r="R280" s="81">
        <f>IF(G280="","",ABS(O280-Components!$C$4))</f>
        <v>0.93333333333333424</v>
      </c>
      <c r="S280" s="81">
        <f>IF(G280="","",ABS(O280-Components!$C$5))</f>
        <v>4.5026666666666717</v>
      </c>
      <c r="T280" s="81">
        <f>IF(G280="","",ABS(O280-Components!$C$6))</f>
        <v>1.0956666666666712</v>
      </c>
      <c r="U280" s="81">
        <f>IF(G280="","",ABS(O280-Components!$C$7))</f>
        <v>1.3143333333333314</v>
      </c>
      <c r="V280" s="81" t="str">
        <f>IF(F280="","",IF(M280="OK","NONE",INDEX({"S1","S2","W1","W2","N1","N2"},MATCH(MIN(P280:U280),P280:U280,0))))</f>
        <v>NONE</v>
      </c>
      <c r="W280" s="117">
        <f t="shared" si="34"/>
        <v>1</v>
      </c>
      <c r="X280" s="119"/>
    </row>
    <row r="281" spans="1:24">
      <c r="A281" s="115">
        <v>279</v>
      </c>
      <c r="B281" s="116">
        <v>10</v>
      </c>
      <c r="C281" s="81" t="s">
        <v>132</v>
      </c>
      <c r="D281" s="109" t="s">
        <v>238</v>
      </c>
      <c r="E281" s="81" t="s">
        <v>239</v>
      </c>
      <c r="F281" s="52">
        <v>8.58</v>
      </c>
      <c r="G281" s="52">
        <f t="shared" si="28"/>
        <v>9.5500000000000007</v>
      </c>
      <c r="H281" s="110"/>
      <c r="I281" s="81">
        <v>9.61</v>
      </c>
      <c r="J281" s="81">
        <f>VLOOKUP(C281,Recipes!$A$2:$N$4,12,FALSE())</f>
        <v>6.1509461004819709E-2</v>
      </c>
      <c r="K281" s="81">
        <f t="shared" si="29"/>
        <v>9.4254716169855399</v>
      </c>
      <c r="L281" s="81">
        <f t="shared" si="30"/>
        <v>9.7945283830144589</v>
      </c>
      <c r="M281" s="81" t="str">
        <f t="shared" si="32"/>
        <v>OK</v>
      </c>
      <c r="N281" s="117">
        <f t="shared" si="31"/>
        <v>1</v>
      </c>
      <c r="O281" s="81">
        <f t="shared" si="33"/>
        <v>5.9999999999998721E-2</v>
      </c>
      <c r="P281" s="81">
        <f>IF(G281="","",ABS(O281-Components!$C$2))</f>
        <v>2.6933333333333311</v>
      </c>
      <c r="Q281" s="81">
        <f>IF(G281="","",ABS(O281-Components!$C$3))</f>
        <v>3.9760000000000009</v>
      </c>
      <c r="R281" s="81">
        <f>IF(G281="","",ABS(O281-Components!$C$4))</f>
        <v>0.93333333333333424</v>
      </c>
      <c r="S281" s="81">
        <f>IF(G281="","",ABS(O281-Components!$C$5))</f>
        <v>4.5026666666666717</v>
      </c>
      <c r="T281" s="81">
        <f>IF(G281="","",ABS(O281-Components!$C$6))</f>
        <v>1.0956666666666712</v>
      </c>
      <c r="U281" s="81">
        <f>IF(G281="","",ABS(O281-Components!$C$7))</f>
        <v>1.3143333333333314</v>
      </c>
      <c r="V281" s="81" t="str">
        <f>IF(F281="","",IF(M281="OK","NONE",INDEX({"S1","S2","W1","W2","N1","N2"},MATCH(MIN(P281:U281),P281:U281,0))))</f>
        <v>NONE</v>
      </c>
      <c r="W281" s="117">
        <f t="shared" si="34"/>
        <v>1</v>
      </c>
      <c r="X281" s="119"/>
    </row>
    <row r="282" spans="1:24">
      <c r="A282" s="115">
        <v>280</v>
      </c>
      <c r="B282" s="116">
        <v>10</v>
      </c>
      <c r="C282" s="81" t="s">
        <v>132</v>
      </c>
      <c r="D282" s="109" t="s">
        <v>238</v>
      </c>
      <c r="E282" s="81" t="s">
        <v>239</v>
      </c>
      <c r="F282" s="52">
        <v>8.57</v>
      </c>
      <c r="G282" s="52">
        <f t="shared" si="28"/>
        <v>9.5400000000000009</v>
      </c>
      <c r="H282" s="110"/>
      <c r="I282" s="81">
        <v>9.61</v>
      </c>
      <c r="J282" s="81">
        <f>VLOOKUP(C282,Recipes!$A$2:$N$4,12,FALSE())</f>
        <v>6.1509461004819709E-2</v>
      </c>
      <c r="K282" s="81">
        <f t="shared" si="29"/>
        <v>9.4254716169855399</v>
      </c>
      <c r="L282" s="81">
        <f t="shared" si="30"/>
        <v>9.7945283830144589</v>
      </c>
      <c r="M282" s="81" t="str">
        <f t="shared" si="32"/>
        <v>OK</v>
      </c>
      <c r="N282" s="117">
        <f t="shared" si="31"/>
        <v>1</v>
      </c>
      <c r="O282" s="81">
        <f t="shared" si="33"/>
        <v>6.9999999999998508E-2</v>
      </c>
      <c r="P282" s="81">
        <f>IF(G282="","",ABS(O282-Components!$C$2))</f>
        <v>2.6833333333333313</v>
      </c>
      <c r="Q282" s="81">
        <f>IF(G282="","",ABS(O282-Components!$C$3))</f>
        <v>3.9660000000000011</v>
      </c>
      <c r="R282" s="81">
        <f>IF(G282="","",ABS(O282-Components!$C$4))</f>
        <v>0.92333333333333445</v>
      </c>
      <c r="S282" s="81">
        <f>IF(G282="","",ABS(O282-Components!$C$5))</f>
        <v>4.4926666666666719</v>
      </c>
      <c r="T282" s="81">
        <f>IF(G282="","",ABS(O282-Components!$C$6))</f>
        <v>1.0856666666666714</v>
      </c>
      <c r="U282" s="81">
        <f>IF(G282="","",ABS(O282-Components!$C$7))</f>
        <v>1.3043333333333316</v>
      </c>
      <c r="V282" s="81" t="str">
        <f>IF(F282="","",IF(M282="OK","NONE",INDEX({"S1","S2","W1","W2","N1","N2"},MATCH(MIN(P282:U282),P282:U282,0))))</f>
        <v>NONE</v>
      </c>
      <c r="W282" s="117">
        <f t="shared" si="34"/>
        <v>1</v>
      </c>
      <c r="X282" s="119"/>
    </row>
    <row r="283" spans="1:24">
      <c r="A283" s="115">
        <v>281</v>
      </c>
      <c r="B283" s="116">
        <v>10</v>
      </c>
      <c r="C283" s="81" t="s">
        <v>132</v>
      </c>
      <c r="D283" s="109" t="s">
        <v>238</v>
      </c>
      <c r="E283" s="81" t="s">
        <v>239</v>
      </c>
      <c r="F283" s="52">
        <v>8.5299999999999994</v>
      </c>
      <c r="G283" s="52">
        <f t="shared" si="28"/>
        <v>9.5</v>
      </c>
      <c r="H283" s="110"/>
      <c r="I283" s="81">
        <v>9.61</v>
      </c>
      <c r="J283" s="81">
        <f>VLOOKUP(C283,Recipes!$A$2:$N$4,12,FALSE())</f>
        <v>6.1509461004819709E-2</v>
      </c>
      <c r="K283" s="81">
        <f t="shared" si="29"/>
        <v>9.4254716169855399</v>
      </c>
      <c r="L283" s="81">
        <f t="shared" si="30"/>
        <v>9.7945283830144589</v>
      </c>
      <c r="M283" s="81" t="str">
        <f t="shared" si="32"/>
        <v>OK</v>
      </c>
      <c r="N283" s="117">
        <f t="shared" si="31"/>
        <v>1</v>
      </c>
      <c r="O283" s="81">
        <f t="shared" si="33"/>
        <v>0.10999999999999943</v>
      </c>
      <c r="P283" s="81">
        <f>IF(G283="","",ABS(O283-Components!$C$2))</f>
        <v>2.6433333333333304</v>
      </c>
      <c r="Q283" s="81">
        <f>IF(G283="","",ABS(O283-Components!$C$3))</f>
        <v>3.9260000000000002</v>
      </c>
      <c r="R283" s="81">
        <f>IF(G283="","",ABS(O283-Components!$C$4))</f>
        <v>0.88333333333333353</v>
      </c>
      <c r="S283" s="81">
        <f>IF(G283="","",ABS(O283-Components!$C$5))</f>
        <v>4.452666666666671</v>
      </c>
      <c r="T283" s="81">
        <f>IF(G283="","",ABS(O283-Components!$C$6))</f>
        <v>1.0456666666666705</v>
      </c>
      <c r="U283" s="81">
        <f>IF(G283="","",ABS(O283-Components!$C$7))</f>
        <v>1.2643333333333306</v>
      </c>
      <c r="V283" s="81" t="str">
        <f>IF(F283="","",IF(M283="OK","NONE",INDEX({"S1","S2","W1","W2","N1","N2"},MATCH(MIN(P283:U283),P283:U283,0))))</f>
        <v>NONE</v>
      </c>
      <c r="W283" s="117">
        <f t="shared" si="34"/>
        <v>1</v>
      </c>
      <c r="X283" s="119"/>
    </row>
    <row r="284" spans="1:24">
      <c r="A284" s="115">
        <v>282</v>
      </c>
      <c r="B284" s="116">
        <v>10</v>
      </c>
      <c r="C284" s="81" t="s">
        <v>132</v>
      </c>
      <c r="D284" s="109" t="s">
        <v>238</v>
      </c>
      <c r="E284" s="81" t="s">
        <v>239</v>
      </c>
      <c r="F284" s="52">
        <v>8.64</v>
      </c>
      <c r="G284" s="52">
        <f t="shared" si="28"/>
        <v>9.6100000000000012</v>
      </c>
      <c r="H284" s="110"/>
      <c r="I284" s="81">
        <v>9.61</v>
      </c>
      <c r="J284" s="81">
        <f>VLOOKUP(C284,Recipes!$A$2:$N$4,12,FALSE())</f>
        <v>6.1509461004819709E-2</v>
      </c>
      <c r="K284" s="81">
        <f t="shared" si="29"/>
        <v>9.4254716169855399</v>
      </c>
      <c r="L284" s="81">
        <f t="shared" si="30"/>
        <v>9.7945283830144589</v>
      </c>
      <c r="M284" s="81" t="str">
        <f t="shared" si="32"/>
        <v>OK</v>
      </c>
      <c r="N284" s="117">
        <f t="shared" si="31"/>
        <v>1</v>
      </c>
      <c r="O284" s="81">
        <f t="shared" si="33"/>
        <v>-1.7763568394002505E-15</v>
      </c>
      <c r="P284" s="81">
        <f>IF(G284="","",ABS(O284-Components!$C$2))</f>
        <v>2.7533333333333316</v>
      </c>
      <c r="Q284" s="81">
        <f>IF(G284="","",ABS(O284-Components!$C$3))</f>
        <v>4.0360000000000014</v>
      </c>
      <c r="R284" s="81">
        <f>IF(G284="","",ABS(O284-Components!$C$4))</f>
        <v>0.99333333333333473</v>
      </c>
      <c r="S284" s="81">
        <f>IF(G284="","",ABS(O284-Components!$C$5))</f>
        <v>4.5626666666666722</v>
      </c>
      <c r="T284" s="81">
        <f>IF(G284="","",ABS(O284-Components!$C$6))</f>
        <v>1.1556666666666717</v>
      </c>
      <c r="U284" s="81">
        <f>IF(G284="","",ABS(O284-Components!$C$7))</f>
        <v>1.3743333333333319</v>
      </c>
      <c r="V284" s="81" t="str">
        <f>IF(F284="","",IF(M284="OK","NONE",INDEX({"S1","S2","W1","W2","N1","N2"},MATCH(MIN(P284:U284),P284:U284,0))))</f>
        <v>NONE</v>
      </c>
      <c r="W284" s="117">
        <f t="shared" si="34"/>
        <v>1</v>
      </c>
      <c r="X284" s="119"/>
    </row>
    <row r="285" spans="1:24">
      <c r="A285" s="115">
        <v>283</v>
      </c>
      <c r="B285" s="116">
        <v>10</v>
      </c>
      <c r="C285" s="81" t="s">
        <v>132</v>
      </c>
      <c r="D285" s="109" t="s">
        <v>238</v>
      </c>
      <c r="E285" s="81" t="s">
        <v>239</v>
      </c>
      <c r="F285" s="52">
        <v>8.57</v>
      </c>
      <c r="G285" s="52">
        <f t="shared" si="28"/>
        <v>9.5400000000000009</v>
      </c>
      <c r="H285" s="110"/>
      <c r="I285" s="81">
        <v>9.61</v>
      </c>
      <c r="J285" s="81">
        <f>VLOOKUP(C285,Recipes!$A$2:$N$4,12,FALSE())</f>
        <v>6.1509461004819709E-2</v>
      </c>
      <c r="K285" s="81">
        <f t="shared" si="29"/>
        <v>9.4254716169855399</v>
      </c>
      <c r="L285" s="81">
        <f t="shared" si="30"/>
        <v>9.7945283830144589</v>
      </c>
      <c r="M285" s="81" t="str">
        <f t="shared" si="32"/>
        <v>OK</v>
      </c>
      <c r="N285" s="117">
        <f t="shared" si="31"/>
        <v>1</v>
      </c>
      <c r="O285" s="81">
        <f t="shared" si="33"/>
        <v>6.9999999999998508E-2</v>
      </c>
      <c r="P285" s="81">
        <f>IF(G285="","",ABS(O285-Components!$C$2))</f>
        <v>2.6833333333333313</v>
      </c>
      <c r="Q285" s="81">
        <f>IF(G285="","",ABS(O285-Components!$C$3))</f>
        <v>3.9660000000000011</v>
      </c>
      <c r="R285" s="81">
        <f>IF(G285="","",ABS(O285-Components!$C$4))</f>
        <v>0.92333333333333445</v>
      </c>
      <c r="S285" s="81">
        <f>IF(G285="","",ABS(O285-Components!$C$5))</f>
        <v>4.4926666666666719</v>
      </c>
      <c r="T285" s="81">
        <f>IF(G285="","",ABS(O285-Components!$C$6))</f>
        <v>1.0856666666666714</v>
      </c>
      <c r="U285" s="81">
        <f>IF(G285="","",ABS(O285-Components!$C$7))</f>
        <v>1.3043333333333316</v>
      </c>
      <c r="V285" s="81" t="str">
        <f>IF(F285="","",IF(M285="OK","NONE",INDEX({"S1","S2","W1","W2","N1","N2"},MATCH(MIN(P285:U285),P285:U285,0))))</f>
        <v>NONE</v>
      </c>
      <c r="W285" s="117">
        <f t="shared" si="34"/>
        <v>1</v>
      </c>
      <c r="X285" s="119"/>
    </row>
    <row r="286" spans="1:24">
      <c r="A286" s="115">
        <v>284</v>
      </c>
      <c r="B286" s="116">
        <v>10</v>
      </c>
      <c r="C286" s="81" t="s">
        <v>132</v>
      </c>
      <c r="D286" s="109" t="s">
        <v>238</v>
      </c>
      <c r="E286" s="81" t="s">
        <v>239</v>
      </c>
      <c r="F286" s="52">
        <v>8.58</v>
      </c>
      <c r="G286" s="52">
        <f t="shared" si="28"/>
        <v>9.5500000000000007</v>
      </c>
      <c r="H286" s="110"/>
      <c r="I286" s="81">
        <v>9.61</v>
      </c>
      <c r="J286" s="81">
        <f>VLOOKUP(C286,Recipes!$A$2:$N$4,12,FALSE())</f>
        <v>6.1509461004819709E-2</v>
      </c>
      <c r="K286" s="81">
        <f t="shared" si="29"/>
        <v>9.4254716169855399</v>
      </c>
      <c r="L286" s="81">
        <f t="shared" si="30"/>
        <v>9.7945283830144589</v>
      </c>
      <c r="M286" s="81" t="str">
        <f t="shared" si="32"/>
        <v>OK</v>
      </c>
      <c r="N286" s="117">
        <f t="shared" si="31"/>
        <v>1</v>
      </c>
      <c r="O286" s="81">
        <f t="shared" si="33"/>
        <v>5.9999999999998721E-2</v>
      </c>
      <c r="P286" s="81">
        <f>IF(G286="","",ABS(O286-Components!$C$2))</f>
        <v>2.6933333333333311</v>
      </c>
      <c r="Q286" s="81">
        <f>IF(G286="","",ABS(O286-Components!$C$3))</f>
        <v>3.9760000000000009</v>
      </c>
      <c r="R286" s="81">
        <f>IF(G286="","",ABS(O286-Components!$C$4))</f>
        <v>0.93333333333333424</v>
      </c>
      <c r="S286" s="81">
        <f>IF(G286="","",ABS(O286-Components!$C$5))</f>
        <v>4.5026666666666717</v>
      </c>
      <c r="T286" s="81">
        <f>IF(G286="","",ABS(O286-Components!$C$6))</f>
        <v>1.0956666666666712</v>
      </c>
      <c r="U286" s="81">
        <f>IF(G286="","",ABS(O286-Components!$C$7))</f>
        <v>1.3143333333333314</v>
      </c>
      <c r="V286" s="81" t="str">
        <f>IF(F286="","",IF(M286="OK","NONE",INDEX({"S1","S2","W1","W2","N1","N2"},MATCH(MIN(P286:U286),P286:U286,0))))</f>
        <v>NONE</v>
      </c>
      <c r="W286" s="117">
        <f t="shared" si="34"/>
        <v>1</v>
      </c>
      <c r="X286" s="119"/>
    </row>
    <row r="287" spans="1:24">
      <c r="A287" s="115">
        <v>285</v>
      </c>
      <c r="B287" s="116">
        <v>10</v>
      </c>
      <c r="C287" s="81" t="s">
        <v>132</v>
      </c>
      <c r="D287" s="109" t="s">
        <v>238</v>
      </c>
      <c r="E287" s="81" t="s">
        <v>239</v>
      </c>
      <c r="F287" s="52">
        <v>8.6300000000000008</v>
      </c>
      <c r="G287" s="52">
        <f t="shared" si="28"/>
        <v>9.6000000000000014</v>
      </c>
      <c r="H287" s="110"/>
      <c r="I287" s="81">
        <v>9.61</v>
      </c>
      <c r="J287" s="81">
        <f>VLOOKUP(C287,Recipes!$A$2:$N$4,12,FALSE())</f>
        <v>6.1509461004819709E-2</v>
      </c>
      <c r="K287" s="81">
        <f t="shared" si="29"/>
        <v>9.4254716169855399</v>
      </c>
      <c r="L287" s="81">
        <f t="shared" si="30"/>
        <v>9.7945283830144589</v>
      </c>
      <c r="M287" s="81" t="str">
        <f t="shared" si="32"/>
        <v>OK</v>
      </c>
      <c r="N287" s="117">
        <f t="shared" si="31"/>
        <v>1</v>
      </c>
      <c r="O287" s="81">
        <f t="shared" si="33"/>
        <v>9.9999999999980105E-3</v>
      </c>
      <c r="P287" s="81">
        <f>IF(G287="","",ABS(O287-Components!$C$2))</f>
        <v>2.7433333333333318</v>
      </c>
      <c r="Q287" s="81">
        <f>IF(G287="","",ABS(O287-Components!$C$3))</f>
        <v>4.0260000000000016</v>
      </c>
      <c r="R287" s="81">
        <f>IF(G287="","",ABS(O287-Components!$C$4))</f>
        <v>0.98333333333333495</v>
      </c>
      <c r="S287" s="81">
        <f>IF(G287="","",ABS(O287-Components!$C$5))</f>
        <v>4.5526666666666724</v>
      </c>
      <c r="T287" s="81">
        <f>IF(G287="","",ABS(O287-Components!$C$6))</f>
        <v>1.1456666666666719</v>
      </c>
      <c r="U287" s="81">
        <f>IF(G287="","",ABS(O287-Components!$C$7))</f>
        <v>1.3643333333333321</v>
      </c>
      <c r="V287" s="81" t="str">
        <f>IF(F287="","",IF(M287="OK","NONE",INDEX({"S1","S2","W1","W2","N1","N2"},MATCH(MIN(P287:U287),P287:U287,0))))</f>
        <v>NONE</v>
      </c>
      <c r="W287" s="117">
        <f t="shared" si="34"/>
        <v>1</v>
      </c>
      <c r="X287" s="119"/>
    </row>
    <row r="288" spans="1:24">
      <c r="A288" s="115">
        <v>286</v>
      </c>
      <c r="B288" s="116">
        <v>10</v>
      </c>
      <c r="C288" s="81" t="s">
        <v>132</v>
      </c>
      <c r="D288" s="109" t="s">
        <v>238</v>
      </c>
      <c r="E288" s="81" t="s">
        <v>239</v>
      </c>
      <c r="F288" s="52">
        <v>8.6</v>
      </c>
      <c r="G288" s="52">
        <f t="shared" si="28"/>
        <v>9.57</v>
      </c>
      <c r="H288" s="110"/>
      <c r="I288" s="81">
        <v>9.61</v>
      </c>
      <c r="J288" s="81">
        <f>VLOOKUP(C288,Recipes!$A$2:$N$4,12,FALSE())</f>
        <v>6.1509461004819709E-2</v>
      </c>
      <c r="K288" s="81">
        <f t="shared" si="29"/>
        <v>9.4254716169855399</v>
      </c>
      <c r="L288" s="81">
        <f t="shared" si="30"/>
        <v>9.7945283830144589</v>
      </c>
      <c r="M288" s="81" t="str">
        <f t="shared" si="32"/>
        <v>OK</v>
      </c>
      <c r="N288" s="117">
        <f t="shared" si="31"/>
        <v>1</v>
      </c>
      <c r="O288" s="81">
        <f t="shared" si="33"/>
        <v>3.9999999999999147E-2</v>
      </c>
      <c r="P288" s="81">
        <f>IF(G288="","",ABS(O288-Components!$C$2))</f>
        <v>2.7133333333333307</v>
      </c>
      <c r="Q288" s="81">
        <f>IF(G288="","",ABS(O288-Components!$C$3))</f>
        <v>3.9960000000000004</v>
      </c>
      <c r="R288" s="81">
        <f>IF(G288="","",ABS(O288-Components!$C$4))</f>
        <v>0.95333333333333381</v>
      </c>
      <c r="S288" s="81">
        <f>IF(G288="","",ABS(O288-Components!$C$5))</f>
        <v>4.5226666666666713</v>
      </c>
      <c r="T288" s="81">
        <f>IF(G288="","",ABS(O288-Components!$C$6))</f>
        <v>1.1156666666666708</v>
      </c>
      <c r="U288" s="81">
        <f>IF(G288="","",ABS(O288-Components!$C$7))</f>
        <v>1.3343333333333309</v>
      </c>
      <c r="V288" s="81" t="str">
        <f>IF(F288="","",IF(M288="OK","NONE",INDEX({"S1","S2","W1","W2","N1","N2"},MATCH(MIN(P288:U288),P288:U288,0))))</f>
        <v>NONE</v>
      </c>
      <c r="W288" s="117">
        <f t="shared" si="34"/>
        <v>1</v>
      </c>
      <c r="X288" s="119"/>
    </row>
    <row r="289" spans="1:24">
      <c r="A289" s="115">
        <v>287</v>
      </c>
      <c r="B289" s="116">
        <v>10</v>
      </c>
      <c r="C289" s="81" t="s">
        <v>132</v>
      </c>
      <c r="D289" s="109" t="s">
        <v>238</v>
      </c>
      <c r="E289" s="81" t="s">
        <v>239</v>
      </c>
      <c r="F289" s="52">
        <v>8.6199999999999992</v>
      </c>
      <c r="G289" s="52">
        <f t="shared" si="28"/>
        <v>9.59</v>
      </c>
      <c r="H289" s="110"/>
      <c r="I289" s="81">
        <v>9.61</v>
      </c>
      <c r="J289" s="81">
        <f>VLOOKUP(C289,Recipes!$A$2:$N$4,12,FALSE())</f>
        <v>6.1509461004819709E-2</v>
      </c>
      <c r="K289" s="81">
        <f t="shared" si="29"/>
        <v>9.4254716169855399</v>
      </c>
      <c r="L289" s="81">
        <f t="shared" si="30"/>
        <v>9.7945283830144589</v>
      </c>
      <c r="M289" s="81" t="str">
        <f t="shared" si="32"/>
        <v>OK</v>
      </c>
      <c r="N289" s="117">
        <f t="shared" si="31"/>
        <v>1</v>
      </c>
      <c r="O289" s="81">
        <f t="shared" si="33"/>
        <v>1.9999999999999574E-2</v>
      </c>
      <c r="P289" s="81">
        <f>IF(G289="","",ABS(O289-Components!$C$2))</f>
        <v>2.7333333333333303</v>
      </c>
      <c r="Q289" s="81">
        <f>IF(G289="","",ABS(O289-Components!$C$3))</f>
        <v>4.016</v>
      </c>
      <c r="R289" s="81">
        <f>IF(G289="","",ABS(O289-Components!$C$4))</f>
        <v>0.97333333333333338</v>
      </c>
      <c r="S289" s="81">
        <f>IF(G289="","",ABS(O289-Components!$C$5))</f>
        <v>4.5426666666666708</v>
      </c>
      <c r="T289" s="81">
        <f>IF(G289="","",ABS(O289-Components!$C$6))</f>
        <v>1.1356666666666704</v>
      </c>
      <c r="U289" s="81">
        <f>IF(G289="","",ABS(O289-Components!$C$7))</f>
        <v>1.3543333333333305</v>
      </c>
      <c r="V289" s="81" t="str">
        <f>IF(F289="","",IF(M289="OK","NONE",INDEX({"S1","S2","W1","W2","N1","N2"},MATCH(MIN(P289:U289),P289:U289,0))))</f>
        <v>NONE</v>
      </c>
      <c r="W289" s="117">
        <f t="shared" si="34"/>
        <v>1</v>
      </c>
      <c r="X289" s="119"/>
    </row>
    <row r="290" spans="1:24">
      <c r="A290" s="115">
        <v>288</v>
      </c>
      <c r="B290" s="116">
        <v>10</v>
      </c>
      <c r="C290" s="81" t="s">
        <v>132</v>
      </c>
      <c r="D290" s="109" t="s">
        <v>238</v>
      </c>
      <c r="E290" s="81" t="s">
        <v>239</v>
      </c>
      <c r="F290" s="52">
        <v>8.41</v>
      </c>
      <c r="G290" s="52">
        <f t="shared" si="28"/>
        <v>9.3800000000000008</v>
      </c>
      <c r="H290" s="110"/>
      <c r="I290" s="81">
        <v>9.61</v>
      </c>
      <c r="J290" s="81">
        <f>VLOOKUP(C290,Recipes!$A$2:$N$4,12,FALSE())</f>
        <v>6.1509461004819709E-2</v>
      </c>
      <c r="K290" s="81">
        <f t="shared" si="29"/>
        <v>9.4254716169855399</v>
      </c>
      <c r="L290" s="81">
        <f t="shared" si="30"/>
        <v>9.7945283830144589</v>
      </c>
      <c r="M290" s="81" t="str">
        <f t="shared" si="32"/>
        <v>NG</v>
      </c>
      <c r="N290" s="122">
        <f t="shared" si="31"/>
        <v>0</v>
      </c>
      <c r="O290" s="81">
        <f t="shared" si="33"/>
        <v>0.22999999999999865</v>
      </c>
      <c r="P290" s="81">
        <f>IF(G290="","",ABS(O290-Components!$C$2))</f>
        <v>2.5233333333333312</v>
      </c>
      <c r="Q290" s="81">
        <f>IF(G290="","",ABS(O290-Components!$C$3))</f>
        <v>3.8060000000000009</v>
      </c>
      <c r="R290" s="81">
        <f>IF(G290="","",ABS(O290-Components!$C$4))</f>
        <v>0.76333333333333431</v>
      </c>
      <c r="S290" s="81">
        <f>IF(G290="","",ABS(O290-Components!$C$5))</f>
        <v>4.3326666666666718</v>
      </c>
      <c r="T290" s="81">
        <f>IF(G290="","",ABS(O290-Components!$C$6))</f>
        <v>0.9256666666666713</v>
      </c>
      <c r="U290" s="81">
        <f>IF(G290="","",ABS(O290-Components!$C$7))</f>
        <v>1.1443333333333314</v>
      </c>
      <c r="V290" s="81" t="str">
        <f>IF(F290="","",IF(M290="OK","NONE",INDEX({"S1","S2","W1","W2","N1","N2"},MATCH(MIN(P290:U290),P290:U290,0))))</f>
        <v>W1</v>
      </c>
      <c r="W290" s="118">
        <f t="shared" si="34"/>
        <v>0</v>
      </c>
      <c r="X290" s="119"/>
    </row>
    <row r="291" spans="1:24">
      <c r="A291" s="115">
        <v>289</v>
      </c>
      <c r="B291" s="116">
        <v>10</v>
      </c>
      <c r="C291" s="81" t="s">
        <v>132</v>
      </c>
      <c r="D291" s="109" t="s">
        <v>238</v>
      </c>
      <c r="E291" s="81" t="s">
        <v>239</v>
      </c>
      <c r="F291" s="52">
        <v>8.61</v>
      </c>
      <c r="G291" s="52">
        <f t="shared" si="28"/>
        <v>9.58</v>
      </c>
      <c r="H291" s="110"/>
      <c r="I291" s="81">
        <v>9.61</v>
      </c>
      <c r="J291" s="81">
        <f>VLOOKUP(C291,Recipes!$A$2:$N$4,12,FALSE())</f>
        <v>6.1509461004819709E-2</v>
      </c>
      <c r="K291" s="81">
        <f t="shared" si="29"/>
        <v>9.4254716169855399</v>
      </c>
      <c r="L291" s="81">
        <f t="shared" si="30"/>
        <v>9.7945283830144589</v>
      </c>
      <c r="M291" s="81" t="str">
        <f t="shared" si="32"/>
        <v>OK</v>
      </c>
      <c r="N291" s="117">
        <f t="shared" si="31"/>
        <v>1</v>
      </c>
      <c r="O291" s="81">
        <f t="shared" si="33"/>
        <v>2.9999999999999361E-2</v>
      </c>
      <c r="P291" s="81">
        <f>IF(G291="","",ABS(O291-Components!$C$2))</f>
        <v>2.7233333333333305</v>
      </c>
      <c r="Q291" s="81">
        <f>IF(G291="","",ABS(O291-Components!$C$3))</f>
        <v>4.0060000000000002</v>
      </c>
      <c r="R291" s="81">
        <f>IF(G291="","",ABS(O291-Components!$C$4))</f>
        <v>0.9633333333333336</v>
      </c>
      <c r="S291" s="81">
        <f>IF(G291="","",ABS(O291-Components!$C$5))</f>
        <v>4.5326666666666711</v>
      </c>
      <c r="T291" s="81">
        <f>IF(G291="","",ABS(O291-Components!$C$6))</f>
        <v>1.1256666666666706</v>
      </c>
      <c r="U291" s="81">
        <f>IF(G291="","",ABS(O291-Components!$C$7))</f>
        <v>1.3443333333333307</v>
      </c>
      <c r="V291" s="81" t="str">
        <f>IF(F291="","",IF(M291="OK","NONE",INDEX({"S1","S2","W1","W2","N1","N2"},MATCH(MIN(P291:U291),P291:U291,0))))</f>
        <v>NONE</v>
      </c>
      <c r="W291" s="117">
        <f t="shared" si="34"/>
        <v>1</v>
      </c>
      <c r="X291" s="119"/>
    </row>
    <row r="292" spans="1:24">
      <c r="A292" s="115">
        <v>290</v>
      </c>
      <c r="B292" s="116">
        <v>10</v>
      </c>
      <c r="C292" s="81" t="s">
        <v>132</v>
      </c>
      <c r="D292" s="109" t="s">
        <v>238</v>
      </c>
      <c r="E292" s="81" t="s">
        <v>239</v>
      </c>
      <c r="F292" s="52">
        <v>8.61</v>
      </c>
      <c r="G292" s="52">
        <f t="shared" si="28"/>
        <v>9.58</v>
      </c>
      <c r="H292" s="110"/>
      <c r="I292" s="81">
        <v>9.61</v>
      </c>
      <c r="J292" s="81">
        <f>VLOOKUP(C292,Recipes!$A$2:$N$4,12,FALSE())</f>
        <v>6.1509461004819709E-2</v>
      </c>
      <c r="K292" s="81">
        <f t="shared" si="29"/>
        <v>9.4254716169855399</v>
      </c>
      <c r="L292" s="81">
        <f t="shared" si="30"/>
        <v>9.7945283830144589</v>
      </c>
      <c r="M292" s="81" t="str">
        <f t="shared" si="32"/>
        <v>OK</v>
      </c>
      <c r="N292" s="117">
        <f t="shared" si="31"/>
        <v>1</v>
      </c>
      <c r="O292" s="81">
        <f t="shared" si="33"/>
        <v>2.9999999999999361E-2</v>
      </c>
      <c r="P292" s="81">
        <f>IF(G292="","",ABS(O292-Components!$C$2))</f>
        <v>2.7233333333333305</v>
      </c>
      <c r="Q292" s="81">
        <f>IF(G292="","",ABS(O292-Components!$C$3))</f>
        <v>4.0060000000000002</v>
      </c>
      <c r="R292" s="81">
        <f>IF(G292="","",ABS(O292-Components!$C$4))</f>
        <v>0.9633333333333336</v>
      </c>
      <c r="S292" s="81">
        <f>IF(G292="","",ABS(O292-Components!$C$5))</f>
        <v>4.5326666666666711</v>
      </c>
      <c r="T292" s="81">
        <f>IF(G292="","",ABS(O292-Components!$C$6))</f>
        <v>1.1256666666666706</v>
      </c>
      <c r="U292" s="81">
        <f>IF(G292="","",ABS(O292-Components!$C$7))</f>
        <v>1.3443333333333307</v>
      </c>
      <c r="V292" s="81" t="str">
        <f>IF(F292="","",IF(M292="OK","NONE",INDEX({"S1","S2","W1","W2","N1","N2"},MATCH(MIN(P292:U292),P292:U292,0))))</f>
        <v>NONE</v>
      </c>
      <c r="W292" s="117">
        <f t="shared" si="34"/>
        <v>1</v>
      </c>
      <c r="X292" s="119"/>
    </row>
    <row r="293" spans="1:24">
      <c r="A293" s="115">
        <v>291</v>
      </c>
      <c r="B293" s="116">
        <v>10</v>
      </c>
      <c r="C293" s="81" t="s">
        <v>132</v>
      </c>
      <c r="D293" s="109" t="s">
        <v>238</v>
      </c>
      <c r="E293" s="81" t="s">
        <v>239</v>
      </c>
      <c r="F293" s="52">
        <v>8.5399999999999991</v>
      </c>
      <c r="G293" s="52">
        <f t="shared" si="28"/>
        <v>9.51</v>
      </c>
      <c r="H293" s="110"/>
      <c r="I293" s="81">
        <v>9.61</v>
      </c>
      <c r="J293" s="81">
        <f>VLOOKUP(C293,Recipes!$A$2:$N$4,12,FALSE())</f>
        <v>6.1509461004819709E-2</v>
      </c>
      <c r="K293" s="81">
        <f t="shared" si="29"/>
        <v>9.4254716169855399</v>
      </c>
      <c r="L293" s="81">
        <f t="shared" si="30"/>
        <v>9.7945283830144589</v>
      </c>
      <c r="M293" s="81" t="str">
        <f t="shared" si="32"/>
        <v>OK</v>
      </c>
      <c r="N293" s="117">
        <f t="shared" si="31"/>
        <v>1</v>
      </c>
      <c r="O293" s="81">
        <f t="shared" si="33"/>
        <v>9.9999999999999645E-2</v>
      </c>
      <c r="P293" s="81">
        <f>IF(G293="","",ABS(O293-Components!$C$2))</f>
        <v>2.6533333333333302</v>
      </c>
      <c r="Q293" s="81">
        <f>IF(G293="","",ABS(O293-Components!$C$3))</f>
        <v>3.9359999999999999</v>
      </c>
      <c r="R293" s="81">
        <f>IF(G293="","",ABS(O293-Components!$C$4))</f>
        <v>0.89333333333333331</v>
      </c>
      <c r="S293" s="81">
        <f>IF(G293="","",ABS(O293-Components!$C$5))</f>
        <v>4.4626666666666708</v>
      </c>
      <c r="T293" s="81">
        <f>IF(G293="","",ABS(O293-Components!$C$6))</f>
        <v>1.0556666666666703</v>
      </c>
      <c r="U293" s="81">
        <f>IF(G293="","",ABS(O293-Components!$C$7))</f>
        <v>1.2743333333333304</v>
      </c>
      <c r="V293" s="81" t="str">
        <f>IF(F293="","",IF(M293="OK","NONE",INDEX({"S1","S2","W1","W2","N1","N2"},MATCH(MIN(P293:U293),P293:U293,0))))</f>
        <v>NONE</v>
      </c>
      <c r="W293" s="117">
        <f t="shared" si="34"/>
        <v>1</v>
      </c>
      <c r="X293" s="119"/>
    </row>
    <row r="294" spans="1:24">
      <c r="A294" s="115">
        <v>292</v>
      </c>
      <c r="B294" s="116">
        <v>10</v>
      </c>
      <c r="C294" s="81" t="s">
        <v>132</v>
      </c>
      <c r="D294" s="109" t="s">
        <v>238</v>
      </c>
      <c r="E294" s="81" t="s">
        <v>239</v>
      </c>
      <c r="F294" s="52">
        <v>8.59</v>
      </c>
      <c r="G294" s="52">
        <f t="shared" si="28"/>
        <v>9.56</v>
      </c>
      <c r="H294" s="110"/>
      <c r="I294" s="81">
        <v>9.61</v>
      </c>
      <c r="J294" s="81">
        <f>VLOOKUP(C294,Recipes!$A$2:$N$4,12,FALSE())</f>
        <v>6.1509461004819709E-2</v>
      </c>
      <c r="K294" s="81">
        <f t="shared" si="29"/>
        <v>9.4254716169855399</v>
      </c>
      <c r="L294" s="81">
        <f t="shared" si="30"/>
        <v>9.7945283830144589</v>
      </c>
      <c r="M294" s="81" t="str">
        <f t="shared" si="32"/>
        <v>OK</v>
      </c>
      <c r="N294" s="117">
        <f t="shared" si="31"/>
        <v>1</v>
      </c>
      <c r="O294" s="81">
        <f t="shared" si="33"/>
        <v>4.9999999999998934E-2</v>
      </c>
      <c r="P294" s="81">
        <f>IF(G294="","",ABS(O294-Components!$C$2))</f>
        <v>2.7033333333333309</v>
      </c>
      <c r="Q294" s="81">
        <f>IF(G294="","",ABS(O294-Components!$C$3))</f>
        <v>3.9860000000000007</v>
      </c>
      <c r="R294" s="81">
        <f>IF(G294="","",ABS(O294-Components!$C$4))</f>
        <v>0.94333333333333402</v>
      </c>
      <c r="S294" s="81">
        <f>IF(G294="","",ABS(O294-Components!$C$5))</f>
        <v>4.5126666666666715</v>
      </c>
      <c r="T294" s="81">
        <f>IF(G294="","",ABS(O294-Components!$C$6))</f>
        <v>1.105666666666671</v>
      </c>
      <c r="U294" s="81">
        <f>IF(G294="","",ABS(O294-Components!$C$7))</f>
        <v>1.3243333333333311</v>
      </c>
      <c r="V294" s="81" t="str">
        <f>IF(F294="","",IF(M294="OK","NONE",INDEX({"S1","S2","W1","W2","N1","N2"},MATCH(MIN(P294:U294),P294:U294,0))))</f>
        <v>NONE</v>
      </c>
      <c r="W294" s="117">
        <f t="shared" si="34"/>
        <v>1</v>
      </c>
      <c r="X294" s="119"/>
    </row>
    <row r="295" spans="1:24">
      <c r="A295" s="115">
        <v>293</v>
      </c>
      <c r="B295" s="116">
        <v>10</v>
      </c>
      <c r="C295" s="81" t="s">
        <v>132</v>
      </c>
      <c r="D295" s="109" t="s">
        <v>238</v>
      </c>
      <c r="E295" s="81" t="s">
        <v>239</v>
      </c>
      <c r="F295" s="52">
        <v>8.64</v>
      </c>
      <c r="G295" s="52">
        <f t="shared" si="28"/>
        <v>9.6100000000000012</v>
      </c>
      <c r="H295" s="110"/>
      <c r="I295" s="81">
        <v>9.61</v>
      </c>
      <c r="J295" s="81">
        <f>VLOOKUP(C295,Recipes!$A$2:$N$4,12,FALSE())</f>
        <v>6.1509461004819709E-2</v>
      </c>
      <c r="K295" s="81">
        <f t="shared" si="29"/>
        <v>9.4254716169855399</v>
      </c>
      <c r="L295" s="81">
        <f t="shared" si="30"/>
        <v>9.7945283830144589</v>
      </c>
      <c r="M295" s="81" t="str">
        <f t="shared" si="32"/>
        <v>OK</v>
      </c>
      <c r="N295" s="117">
        <f t="shared" si="31"/>
        <v>1</v>
      </c>
      <c r="O295" s="81">
        <f t="shared" si="33"/>
        <v>-1.7763568394002505E-15</v>
      </c>
      <c r="P295" s="81">
        <f>IF(G295="","",ABS(O295-Components!$C$2))</f>
        <v>2.7533333333333316</v>
      </c>
      <c r="Q295" s="81">
        <f>IF(G295="","",ABS(O295-Components!$C$3))</f>
        <v>4.0360000000000014</v>
      </c>
      <c r="R295" s="81">
        <f>IF(G295="","",ABS(O295-Components!$C$4))</f>
        <v>0.99333333333333473</v>
      </c>
      <c r="S295" s="81">
        <f>IF(G295="","",ABS(O295-Components!$C$5))</f>
        <v>4.5626666666666722</v>
      </c>
      <c r="T295" s="81">
        <f>IF(G295="","",ABS(O295-Components!$C$6))</f>
        <v>1.1556666666666717</v>
      </c>
      <c r="U295" s="81">
        <f>IF(G295="","",ABS(O295-Components!$C$7))</f>
        <v>1.3743333333333319</v>
      </c>
      <c r="V295" s="81" t="str">
        <f>IF(F295="","",IF(M295="OK","NONE",INDEX({"S1","S2","W1","W2","N1","N2"},MATCH(MIN(P295:U295),P295:U295,0))))</f>
        <v>NONE</v>
      </c>
      <c r="W295" s="117">
        <f t="shared" si="34"/>
        <v>1</v>
      </c>
      <c r="X295" s="119"/>
    </row>
    <row r="296" spans="1:24">
      <c r="A296" s="115">
        <v>294</v>
      </c>
      <c r="B296" s="116">
        <v>10</v>
      </c>
      <c r="C296" s="81" t="s">
        <v>132</v>
      </c>
      <c r="D296" s="109" t="s">
        <v>238</v>
      </c>
      <c r="E296" s="81" t="s">
        <v>239</v>
      </c>
      <c r="F296" s="52">
        <v>8.64</v>
      </c>
      <c r="G296" s="52">
        <f t="shared" si="28"/>
        <v>9.6100000000000012</v>
      </c>
      <c r="H296" s="110"/>
      <c r="I296" s="81">
        <v>9.61</v>
      </c>
      <c r="J296" s="81">
        <f>VLOOKUP(C296,Recipes!$A$2:$N$4,12,FALSE())</f>
        <v>6.1509461004819709E-2</v>
      </c>
      <c r="K296" s="81">
        <f t="shared" si="29"/>
        <v>9.4254716169855399</v>
      </c>
      <c r="L296" s="81">
        <f t="shared" si="30"/>
        <v>9.7945283830144589</v>
      </c>
      <c r="M296" s="81" t="str">
        <f t="shared" si="32"/>
        <v>OK</v>
      </c>
      <c r="N296" s="117">
        <f t="shared" si="31"/>
        <v>1</v>
      </c>
      <c r="O296" s="81">
        <f t="shared" si="33"/>
        <v>-1.7763568394002505E-15</v>
      </c>
      <c r="P296" s="81">
        <f>IF(G296="","",ABS(O296-Components!$C$2))</f>
        <v>2.7533333333333316</v>
      </c>
      <c r="Q296" s="81">
        <f>IF(G296="","",ABS(O296-Components!$C$3))</f>
        <v>4.0360000000000014</v>
      </c>
      <c r="R296" s="81">
        <f>IF(G296="","",ABS(O296-Components!$C$4))</f>
        <v>0.99333333333333473</v>
      </c>
      <c r="S296" s="81">
        <f>IF(G296="","",ABS(O296-Components!$C$5))</f>
        <v>4.5626666666666722</v>
      </c>
      <c r="T296" s="81">
        <f>IF(G296="","",ABS(O296-Components!$C$6))</f>
        <v>1.1556666666666717</v>
      </c>
      <c r="U296" s="81">
        <f>IF(G296="","",ABS(O296-Components!$C$7))</f>
        <v>1.3743333333333319</v>
      </c>
      <c r="V296" s="81" t="str">
        <f>IF(F296="","",IF(M296="OK","NONE",INDEX({"S1","S2","W1","W2","N1","N2"},MATCH(MIN(P296:U296),P296:U296,0))))</f>
        <v>NONE</v>
      </c>
      <c r="W296" s="117">
        <f t="shared" si="34"/>
        <v>1</v>
      </c>
      <c r="X296" s="119"/>
    </row>
    <row r="297" spans="1:24">
      <c r="A297" s="115">
        <v>295</v>
      </c>
      <c r="B297" s="116">
        <v>10</v>
      </c>
      <c r="C297" s="81" t="s">
        <v>132</v>
      </c>
      <c r="D297" s="109" t="s">
        <v>238</v>
      </c>
      <c r="E297" s="81" t="s">
        <v>239</v>
      </c>
      <c r="F297" s="52">
        <v>8.68</v>
      </c>
      <c r="G297" s="52">
        <f t="shared" si="28"/>
        <v>9.65</v>
      </c>
      <c r="H297" s="110"/>
      <c r="I297" s="81">
        <v>9.61</v>
      </c>
      <c r="J297" s="81">
        <f>VLOOKUP(C297,Recipes!$A$2:$N$4,12,FALSE())</f>
        <v>6.1509461004819709E-2</v>
      </c>
      <c r="K297" s="81">
        <f t="shared" si="29"/>
        <v>9.4254716169855399</v>
      </c>
      <c r="L297" s="81">
        <f t="shared" si="30"/>
        <v>9.7945283830144589</v>
      </c>
      <c r="M297" s="81" t="str">
        <f t="shared" si="32"/>
        <v>OK</v>
      </c>
      <c r="N297" s="117">
        <f t="shared" si="31"/>
        <v>1</v>
      </c>
      <c r="O297" s="81">
        <f t="shared" si="33"/>
        <v>-4.0000000000000924E-2</v>
      </c>
      <c r="P297" s="81">
        <f>IF(G297="","",ABS(O297-Components!$C$2))</f>
        <v>2.7933333333333308</v>
      </c>
      <c r="Q297" s="81">
        <f>IF(G297="","",ABS(O297-Components!$C$3))</f>
        <v>4.0760000000000005</v>
      </c>
      <c r="R297" s="81">
        <f>IF(G297="","",ABS(O297-Components!$C$4))</f>
        <v>1.0333333333333339</v>
      </c>
      <c r="S297" s="81">
        <f>IF(G297="","",ABS(O297-Components!$C$5))</f>
        <v>4.6026666666666713</v>
      </c>
      <c r="T297" s="81">
        <f>IF(G297="","",ABS(O297-Components!$C$6))</f>
        <v>1.1956666666666709</v>
      </c>
      <c r="U297" s="81">
        <f>IF(G297="","",ABS(O297-Components!$C$7))</f>
        <v>1.414333333333331</v>
      </c>
      <c r="V297" s="81" t="str">
        <f>IF(F297="","",IF(M297="OK","NONE",INDEX({"S1","S2","W1","W2","N1","N2"},MATCH(MIN(P297:U297),P297:U297,0))))</f>
        <v>NONE</v>
      </c>
      <c r="W297" s="117">
        <f t="shared" si="34"/>
        <v>1</v>
      </c>
      <c r="X297" s="119"/>
    </row>
    <row r="298" spans="1:24">
      <c r="A298" s="115">
        <v>296</v>
      </c>
      <c r="B298" s="116">
        <v>10</v>
      </c>
      <c r="C298" s="81" t="s">
        <v>132</v>
      </c>
      <c r="D298" s="109" t="s">
        <v>238</v>
      </c>
      <c r="E298" s="81" t="s">
        <v>239</v>
      </c>
      <c r="F298" s="52">
        <v>8.66</v>
      </c>
      <c r="G298" s="52">
        <f t="shared" si="28"/>
        <v>9.6300000000000008</v>
      </c>
      <c r="H298" s="110"/>
      <c r="I298" s="81">
        <v>9.61</v>
      </c>
      <c r="J298" s="81">
        <f>VLOOKUP(C298,Recipes!$A$2:$N$4,12,FALSE())</f>
        <v>6.1509461004819709E-2</v>
      </c>
      <c r="K298" s="81">
        <f t="shared" si="29"/>
        <v>9.4254716169855399</v>
      </c>
      <c r="L298" s="81">
        <f t="shared" si="30"/>
        <v>9.7945283830144589</v>
      </c>
      <c r="M298" s="81" t="str">
        <f t="shared" si="32"/>
        <v>OK</v>
      </c>
      <c r="N298" s="117">
        <f t="shared" si="31"/>
        <v>1</v>
      </c>
      <c r="O298" s="81">
        <f t="shared" si="33"/>
        <v>-2.000000000000135E-2</v>
      </c>
      <c r="P298" s="81">
        <f>IF(G298="","",ABS(O298-Components!$C$2))</f>
        <v>2.7733333333333312</v>
      </c>
      <c r="Q298" s="81">
        <f>IF(G298="","",ABS(O298-Components!$C$3))</f>
        <v>4.0560000000000009</v>
      </c>
      <c r="R298" s="81">
        <f>IF(G298="","",ABS(O298-Components!$C$4))</f>
        <v>1.0133333333333343</v>
      </c>
      <c r="S298" s="81">
        <f>IF(G298="","",ABS(O298-Components!$C$5))</f>
        <v>4.5826666666666718</v>
      </c>
      <c r="T298" s="81">
        <f>IF(G298="","",ABS(O298-Components!$C$6))</f>
        <v>1.1756666666666713</v>
      </c>
      <c r="U298" s="81">
        <f>IF(G298="","",ABS(O298-Components!$C$7))</f>
        <v>1.3943333333333314</v>
      </c>
      <c r="V298" s="81" t="str">
        <f>IF(F298="","",IF(M298="OK","NONE",INDEX({"S1","S2","W1","W2","N1","N2"},MATCH(MIN(P298:U298),P298:U298,0))))</f>
        <v>NONE</v>
      </c>
      <c r="W298" s="117">
        <f t="shared" si="34"/>
        <v>1</v>
      </c>
      <c r="X298" s="119"/>
    </row>
    <row r="299" spans="1:24">
      <c r="A299" s="115">
        <v>297</v>
      </c>
      <c r="B299" s="116">
        <v>10</v>
      </c>
      <c r="C299" s="81" t="s">
        <v>132</v>
      </c>
      <c r="D299" s="109" t="s">
        <v>238</v>
      </c>
      <c r="E299" s="81" t="s">
        <v>239</v>
      </c>
      <c r="F299" s="52">
        <v>8.58</v>
      </c>
      <c r="G299" s="52">
        <f t="shared" si="28"/>
        <v>9.5500000000000007</v>
      </c>
      <c r="H299" s="110"/>
      <c r="I299" s="81">
        <v>9.61</v>
      </c>
      <c r="J299" s="81">
        <f>VLOOKUP(C299,Recipes!$A$2:$N$4,12,FALSE())</f>
        <v>6.1509461004819709E-2</v>
      </c>
      <c r="K299" s="81">
        <f t="shared" si="29"/>
        <v>9.4254716169855399</v>
      </c>
      <c r="L299" s="81">
        <f t="shared" si="30"/>
        <v>9.7945283830144589</v>
      </c>
      <c r="M299" s="81" t="str">
        <f t="shared" si="32"/>
        <v>OK</v>
      </c>
      <c r="N299" s="117">
        <f t="shared" si="31"/>
        <v>1</v>
      </c>
      <c r="O299" s="81">
        <f t="shared" si="33"/>
        <v>5.9999999999998721E-2</v>
      </c>
      <c r="P299" s="81">
        <f>IF(G299="","",ABS(O299-Components!$C$2))</f>
        <v>2.6933333333333311</v>
      </c>
      <c r="Q299" s="81">
        <f>IF(G299="","",ABS(O299-Components!$C$3))</f>
        <v>3.9760000000000009</v>
      </c>
      <c r="R299" s="81">
        <f>IF(G299="","",ABS(O299-Components!$C$4))</f>
        <v>0.93333333333333424</v>
      </c>
      <c r="S299" s="81">
        <f>IF(G299="","",ABS(O299-Components!$C$5))</f>
        <v>4.5026666666666717</v>
      </c>
      <c r="T299" s="81">
        <f>IF(G299="","",ABS(O299-Components!$C$6))</f>
        <v>1.0956666666666712</v>
      </c>
      <c r="U299" s="81">
        <f>IF(G299="","",ABS(O299-Components!$C$7))</f>
        <v>1.3143333333333314</v>
      </c>
      <c r="V299" s="81" t="str">
        <f>IF(F299="","",IF(M299="OK","NONE",INDEX({"S1","S2","W1","W2","N1","N2"},MATCH(MIN(P299:U299),P299:U299,0))))</f>
        <v>NONE</v>
      </c>
      <c r="W299" s="117">
        <f t="shared" si="34"/>
        <v>1</v>
      </c>
      <c r="X299" s="119"/>
    </row>
    <row r="300" spans="1:24">
      <c r="A300" s="115">
        <v>298</v>
      </c>
      <c r="B300" s="116">
        <v>10</v>
      </c>
      <c r="C300" s="81" t="s">
        <v>132</v>
      </c>
      <c r="D300" s="109" t="s">
        <v>238</v>
      </c>
      <c r="E300" s="81" t="s">
        <v>239</v>
      </c>
      <c r="F300" s="52">
        <v>8.6300000000000008</v>
      </c>
      <c r="G300" s="52">
        <f t="shared" si="28"/>
        <v>9.6000000000000014</v>
      </c>
      <c r="H300" s="110"/>
      <c r="I300" s="81">
        <v>9.61</v>
      </c>
      <c r="J300" s="81">
        <f>VLOOKUP(C300,Recipes!$A$2:$N$4,12,FALSE())</f>
        <v>6.1509461004819709E-2</v>
      </c>
      <c r="K300" s="81">
        <f t="shared" si="29"/>
        <v>9.4254716169855399</v>
      </c>
      <c r="L300" s="81">
        <f t="shared" si="30"/>
        <v>9.7945283830144589</v>
      </c>
      <c r="M300" s="81" t="str">
        <f t="shared" si="32"/>
        <v>OK</v>
      </c>
      <c r="N300" s="117">
        <f t="shared" si="31"/>
        <v>1</v>
      </c>
      <c r="O300" s="81">
        <f t="shared" si="33"/>
        <v>9.9999999999980105E-3</v>
      </c>
      <c r="P300" s="81">
        <f>IF(G300="","",ABS(O300-Components!$C$2))</f>
        <v>2.7433333333333318</v>
      </c>
      <c r="Q300" s="81">
        <f>IF(G300="","",ABS(O300-Components!$C$3))</f>
        <v>4.0260000000000016</v>
      </c>
      <c r="R300" s="81">
        <f>IF(G300="","",ABS(O300-Components!$C$4))</f>
        <v>0.98333333333333495</v>
      </c>
      <c r="S300" s="81">
        <f>IF(G300="","",ABS(O300-Components!$C$5))</f>
        <v>4.5526666666666724</v>
      </c>
      <c r="T300" s="81">
        <f>IF(G300="","",ABS(O300-Components!$C$6))</f>
        <v>1.1456666666666719</v>
      </c>
      <c r="U300" s="81">
        <f>IF(G300="","",ABS(O300-Components!$C$7))</f>
        <v>1.3643333333333321</v>
      </c>
      <c r="V300" s="81" t="str">
        <f>IF(F300="","",IF(M300="OK","NONE",INDEX({"S1","S2","W1","W2","N1","N2"},MATCH(MIN(P300:U300),P300:U300,0))))</f>
        <v>NONE</v>
      </c>
      <c r="W300" s="117">
        <f t="shared" si="34"/>
        <v>1</v>
      </c>
      <c r="X300" s="119"/>
    </row>
    <row r="301" spans="1:24">
      <c r="A301" s="115">
        <v>299</v>
      </c>
      <c r="B301" s="116">
        <v>10</v>
      </c>
      <c r="C301" s="61" t="s">
        <v>132</v>
      </c>
      <c r="D301" s="61" t="s">
        <v>238</v>
      </c>
      <c r="E301" s="61" t="s">
        <v>239</v>
      </c>
      <c r="F301" s="52">
        <v>8.6199999999999992</v>
      </c>
      <c r="G301" s="52">
        <f t="shared" si="28"/>
        <v>9.59</v>
      </c>
      <c r="H301" s="110"/>
      <c r="I301" s="81">
        <v>9.61</v>
      </c>
      <c r="J301" s="81">
        <f>VLOOKUP(C301,Recipes!$A$2:$N$4,12,FALSE())</f>
        <v>6.1509461004819709E-2</v>
      </c>
      <c r="K301" s="81">
        <f t="shared" si="29"/>
        <v>9.4254716169855399</v>
      </c>
      <c r="L301" s="81">
        <f t="shared" si="30"/>
        <v>9.7945283830144589</v>
      </c>
      <c r="M301" s="81" t="str">
        <f t="shared" si="32"/>
        <v>OK</v>
      </c>
      <c r="N301" s="117">
        <f t="shared" si="31"/>
        <v>1</v>
      </c>
      <c r="O301" s="81">
        <f t="shared" si="33"/>
        <v>1.9999999999999574E-2</v>
      </c>
      <c r="P301" s="81">
        <f>IF(G301="","",ABS(O301-Components!$C$2))</f>
        <v>2.7333333333333303</v>
      </c>
      <c r="Q301" s="81">
        <f>IF(G301="","",ABS(O301-Components!$C$3))</f>
        <v>4.016</v>
      </c>
      <c r="R301" s="81">
        <f>IF(G301="","",ABS(O301-Components!$C$4))</f>
        <v>0.97333333333333338</v>
      </c>
      <c r="S301" s="81">
        <f>IF(G301="","",ABS(O301-Components!$C$5))</f>
        <v>4.5426666666666708</v>
      </c>
      <c r="T301" s="81">
        <f>IF(G301="","",ABS(O301-Components!$C$6))</f>
        <v>1.1356666666666704</v>
      </c>
      <c r="U301" s="81">
        <f>IF(G301="","",ABS(O301-Components!$C$7))</f>
        <v>1.3543333333333305</v>
      </c>
      <c r="V301" s="81" t="str">
        <f>IF(F301="","",IF(M301="OK","NONE",INDEX({"S1","S2","W1","W2","N1","N2"},MATCH(MIN(P301:U301),P301:U301,0))))</f>
        <v>NONE</v>
      </c>
      <c r="W301" s="117">
        <f t="shared" si="34"/>
        <v>1</v>
      </c>
      <c r="X301" s="119"/>
    </row>
    <row r="302" spans="1:24">
      <c r="A302" s="115">
        <v>300</v>
      </c>
      <c r="B302" s="116">
        <v>10</v>
      </c>
      <c r="C302" s="61" t="s">
        <v>132</v>
      </c>
      <c r="D302" s="61" t="s">
        <v>238</v>
      </c>
      <c r="E302" s="61" t="s">
        <v>239</v>
      </c>
      <c r="F302" s="52">
        <v>8.58</v>
      </c>
      <c r="G302" s="52">
        <f t="shared" si="28"/>
        <v>9.5500000000000007</v>
      </c>
      <c r="H302" s="110"/>
      <c r="I302" s="81">
        <v>9.61</v>
      </c>
      <c r="J302" s="81">
        <f>VLOOKUP(C302,Recipes!$A$2:$N$4,12,FALSE())</f>
        <v>6.1509461004819709E-2</v>
      </c>
      <c r="K302" s="81">
        <f t="shared" si="29"/>
        <v>9.4254716169855399</v>
      </c>
      <c r="L302" s="81">
        <f t="shared" si="30"/>
        <v>9.7945283830144589</v>
      </c>
      <c r="M302" s="81" t="str">
        <f t="shared" si="32"/>
        <v>OK</v>
      </c>
      <c r="N302" s="117">
        <f t="shared" si="31"/>
        <v>1</v>
      </c>
      <c r="O302" s="81">
        <f t="shared" si="33"/>
        <v>5.9999999999998721E-2</v>
      </c>
      <c r="P302" s="81">
        <f>IF(G302="","",ABS(O302-Components!$C$2))</f>
        <v>2.6933333333333311</v>
      </c>
      <c r="Q302" s="81">
        <f>IF(G302="","",ABS(O302-Components!$C$3))</f>
        <v>3.9760000000000009</v>
      </c>
      <c r="R302" s="81">
        <f>IF(G302="","",ABS(O302-Components!$C$4))</f>
        <v>0.93333333333333424</v>
      </c>
      <c r="S302" s="81">
        <f>IF(G302="","",ABS(O302-Components!$C$5))</f>
        <v>4.5026666666666717</v>
      </c>
      <c r="T302" s="81">
        <f>IF(G302="","",ABS(O302-Components!$C$6))</f>
        <v>1.0956666666666712</v>
      </c>
      <c r="U302" s="81">
        <f>IF(G302="","",ABS(O302-Components!$C$7))</f>
        <v>1.3143333333333314</v>
      </c>
      <c r="V302" s="81" t="str">
        <f>IF(F302="","",IF(M302="OK","NONE",INDEX({"S1","S2","W1","W2","N1","N2"},MATCH(MIN(P302:U302),P302:U302,0))))</f>
        <v>NONE</v>
      </c>
      <c r="W302" s="117">
        <f t="shared" si="34"/>
        <v>1</v>
      </c>
      <c r="X302" s="119"/>
    </row>
    <row r="303" spans="1:24">
      <c r="A303" s="115">
        <v>301</v>
      </c>
      <c r="B303" s="116">
        <v>11</v>
      </c>
      <c r="C303" s="81" t="s">
        <v>132</v>
      </c>
      <c r="D303" s="111" t="s">
        <v>240</v>
      </c>
      <c r="E303" s="81" t="s">
        <v>99</v>
      </c>
      <c r="F303" s="52">
        <v>5.89</v>
      </c>
      <c r="G303" s="52">
        <f t="shared" si="28"/>
        <v>6.8599999999999994</v>
      </c>
      <c r="H303" s="110"/>
      <c r="I303" s="81">
        <v>9.61</v>
      </c>
      <c r="J303" s="81">
        <f>VLOOKUP(C303,Recipes!$A$2:$N$4,12,FALSE())</f>
        <v>6.1509461004819709E-2</v>
      </c>
      <c r="K303" s="81">
        <f t="shared" si="29"/>
        <v>9.4254716169855399</v>
      </c>
      <c r="L303" s="81">
        <f t="shared" si="30"/>
        <v>9.7945283830144589</v>
      </c>
      <c r="M303" s="81" t="str">
        <f t="shared" si="32"/>
        <v>NG</v>
      </c>
      <c r="N303" s="117">
        <f t="shared" si="31"/>
        <v>1</v>
      </c>
      <c r="O303" s="81">
        <f t="shared" si="33"/>
        <v>2.75</v>
      </c>
      <c r="P303" s="81">
        <f>IF(G303="","",ABS(O303-Components!$C$2))</f>
        <v>3.3333333333298576E-3</v>
      </c>
      <c r="Q303" s="81">
        <f>IF(G303="","",ABS(O303-Components!$C$3))</f>
        <v>1.2859999999999996</v>
      </c>
      <c r="R303" s="81">
        <f>IF(G303="","",ABS(O303-Components!$C$4))</f>
        <v>1.756666666666667</v>
      </c>
      <c r="S303" s="81">
        <f>IF(G303="","",ABS(O303-Components!$C$5))</f>
        <v>1.8126666666666704</v>
      </c>
      <c r="T303" s="81">
        <f>IF(G303="","",ABS(O303-Components!$C$6))</f>
        <v>1.59433333333333</v>
      </c>
      <c r="U303" s="81">
        <f>IF(G303="","",ABS(O303-Components!$C$7))</f>
        <v>1.3756666666666699</v>
      </c>
      <c r="V303" s="81" t="str">
        <f>IF(F303="","",IF(M303="OK","NONE",INDEX({"S1","S2","W1","W2","N1","N2"},MATCH(MIN(P303:U303),P303:U303,0))))</f>
        <v>S1</v>
      </c>
      <c r="W303" s="117">
        <f t="shared" si="34"/>
        <v>1</v>
      </c>
      <c r="X303" s="119"/>
    </row>
    <row r="304" spans="1:24">
      <c r="A304" s="115">
        <v>302</v>
      </c>
      <c r="B304" s="116">
        <v>11</v>
      </c>
      <c r="C304" s="81" t="s">
        <v>132</v>
      </c>
      <c r="D304" s="111" t="s">
        <v>240</v>
      </c>
      <c r="E304" s="81" t="s">
        <v>99</v>
      </c>
      <c r="F304" s="52">
        <v>5.89</v>
      </c>
      <c r="G304" s="52">
        <f t="shared" si="28"/>
        <v>6.8599999999999994</v>
      </c>
      <c r="H304" s="110"/>
      <c r="I304" s="81">
        <v>9.61</v>
      </c>
      <c r="J304" s="81">
        <f>VLOOKUP(C304,Recipes!$A$2:$N$4,12,FALSE())</f>
        <v>6.1509461004819709E-2</v>
      </c>
      <c r="K304" s="81">
        <f t="shared" si="29"/>
        <v>9.4254716169855399</v>
      </c>
      <c r="L304" s="81">
        <f t="shared" si="30"/>
        <v>9.7945283830144589</v>
      </c>
      <c r="M304" s="81" t="str">
        <f t="shared" si="32"/>
        <v>NG</v>
      </c>
      <c r="N304" s="117">
        <f t="shared" si="31"/>
        <v>1</v>
      </c>
      <c r="O304" s="81">
        <f t="shared" si="33"/>
        <v>2.75</v>
      </c>
      <c r="P304" s="81">
        <f>IF(G304="","",ABS(O304-Components!$C$2))</f>
        <v>3.3333333333298576E-3</v>
      </c>
      <c r="Q304" s="81">
        <f>IF(G304="","",ABS(O304-Components!$C$3))</f>
        <v>1.2859999999999996</v>
      </c>
      <c r="R304" s="81">
        <f>IF(G304="","",ABS(O304-Components!$C$4))</f>
        <v>1.756666666666667</v>
      </c>
      <c r="S304" s="81">
        <f>IF(G304="","",ABS(O304-Components!$C$5))</f>
        <v>1.8126666666666704</v>
      </c>
      <c r="T304" s="81">
        <f>IF(G304="","",ABS(O304-Components!$C$6))</f>
        <v>1.59433333333333</v>
      </c>
      <c r="U304" s="81">
        <f>IF(G304="","",ABS(O304-Components!$C$7))</f>
        <v>1.3756666666666699</v>
      </c>
      <c r="V304" s="81" t="str">
        <f>IF(F304="","",IF(M304="OK","NONE",INDEX({"S1","S2","W1","W2","N1","N2"},MATCH(MIN(P304:U304),P304:U304,0))))</f>
        <v>S1</v>
      </c>
      <c r="W304" s="117">
        <f t="shared" si="34"/>
        <v>1</v>
      </c>
      <c r="X304" s="119"/>
    </row>
    <row r="305" spans="1:24">
      <c r="A305" s="115">
        <v>303</v>
      </c>
      <c r="B305" s="116">
        <v>11</v>
      </c>
      <c r="C305" s="81" t="s">
        <v>132</v>
      </c>
      <c r="D305" s="111" t="s">
        <v>240</v>
      </c>
      <c r="E305" s="81" t="s">
        <v>99</v>
      </c>
      <c r="F305" s="52">
        <v>5.9</v>
      </c>
      <c r="G305" s="52">
        <f t="shared" si="28"/>
        <v>6.87</v>
      </c>
      <c r="H305" s="110"/>
      <c r="I305" s="81">
        <v>9.61</v>
      </c>
      <c r="J305" s="81">
        <f>VLOOKUP(C305,Recipes!$A$2:$N$4,12,FALSE())</f>
        <v>6.1509461004819709E-2</v>
      </c>
      <c r="K305" s="81">
        <f t="shared" si="29"/>
        <v>9.4254716169855399</v>
      </c>
      <c r="L305" s="81">
        <f t="shared" si="30"/>
        <v>9.7945283830144589</v>
      </c>
      <c r="M305" s="81" t="str">
        <f t="shared" si="32"/>
        <v>NG</v>
      </c>
      <c r="N305" s="117">
        <f t="shared" si="31"/>
        <v>1</v>
      </c>
      <c r="O305" s="81">
        <f t="shared" si="33"/>
        <v>2.7399999999999993</v>
      </c>
      <c r="P305" s="81">
        <f>IF(G305="","",ABS(O305-Components!$C$2))</f>
        <v>1.3333333333330533E-2</v>
      </c>
      <c r="Q305" s="81">
        <f>IF(G305="","",ABS(O305-Components!$C$3))</f>
        <v>1.2960000000000003</v>
      </c>
      <c r="R305" s="81">
        <f>IF(G305="","",ABS(O305-Components!$C$4))</f>
        <v>1.7466666666666664</v>
      </c>
      <c r="S305" s="81">
        <f>IF(G305="","",ABS(O305-Components!$C$5))</f>
        <v>1.8226666666666711</v>
      </c>
      <c r="T305" s="81">
        <f>IF(G305="","",ABS(O305-Components!$C$6))</f>
        <v>1.5843333333333294</v>
      </c>
      <c r="U305" s="81">
        <f>IF(G305="","",ABS(O305-Components!$C$7))</f>
        <v>1.3656666666666692</v>
      </c>
      <c r="V305" s="81" t="str">
        <f>IF(F305="","",IF(M305="OK","NONE",INDEX({"S1","S2","W1","W2","N1","N2"},MATCH(MIN(P305:U305),P305:U305,0))))</f>
        <v>S1</v>
      </c>
      <c r="W305" s="117">
        <f t="shared" si="34"/>
        <v>1</v>
      </c>
      <c r="X305" s="119"/>
    </row>
    <row r="306" spans="1:24">
      <c r="A306" s="115">
        <v>304</v>
      </c>
      <c r="B306" s="116">
        <v>11</v>
      </c>
      <c r="C306" s="81" t="s">
        <v>132</v>
      </c>
      <c r="D306" s="111" t="s">
        <v>240</v>
      </c>
      <c r="E306" s="81" t="s">
        <v>99</v>
      </c>
      <c r="F306" s="52">
        <v>5.88</v>
      </c>
      <c r="G306" s="52">
        <f t="shared" si="28"/>
        <v>6.85</v>
      </c>
      <c r="H306" s="110"/>
      <c r="I306" s="81">
        <v>9.61</v>
      </c>
      <c r="J306" s="81">
        <f>VLOOKUP(C306,Recipes!$A$2:$N$4,12,FALSE())</f>
        <v>6.1509461004819709E-2</v>
      </c>
      <c r="K306" s="81">
        <f t="shared" si="29"/>
        <v>9.4254716169855399</v>
      </c>
      <c r="L306" s="81">
        <f t="shared" si="30"/>
        <v>9.7945283830144589</v>
      </c>
      <c r="M306" s="81" t="str">
        <f t="shared" si="32"/>
        <v>NG</v>
      </c>
      <c r="N306" s="117">
        <f t="shared" si="31"/>
        <v>1</v>
      </c>
      <c r="O306" s="81">
        <f t="shared" si="33"/>
        <v>2.76</v>
      </c>
      <c r="P306" s="81">
        <f>IF(G306="","",ABS(O306-Components!$C$2))</f>
        <v>6.6666666666699292E-3</v>
      </c>
      <c r="Q306" s="81">
        <f>IF(G306="","",ABS(O306-Components!$C$3))</f>
        <v>1.2759999999999998</v>
      </c>
      <c r="R306" s="81">
        <f>IF(G306="","",ABS(O306-Components!$C$4))</f>
        <v>1.7666666666666668</v>
      </c>
      <c r="S306" s="81">
        <f>IF(G306="","",ABS(O306-Components!$C$5))</f>
        <v>1.8026666666666706</v>
      </c>
      <c r="T306" s="81">
        <f>IF(G306="","",ABS(O306-Components!$C$6))</f>
        <v>1.6043333333333298</v>
      </c>
      <c r="U306" s="81">
        <f>IF(G306="","",ABS(O306-Components!$C$7))</f>
        <v>1.3856666666666697</v>
      </c>
      <c r="V306" s="81" t="str">
        <f>IF(F306="","",IF(M306="OK","NONE",INDEX({"S1","S2","W1","W2","N1","N2"},MATCH(MIN(P306:U306),P306:U306,0))))</f>
        <v>S1</v>
      </c>
      <c r="W306" s="117">
        <f t="shared" si="34"/>
        <v>1</v>
      </c>
      <c r="X306" s="119"/>
    </row>
    <row r="307" spans="1:24">
      <c r="A307" s="115">
        <v>305</v>
      </c>
      <c r="B307" s="116">
        <v>11</v>
      </c>
      <c r="C307" s="81" t="s">
        <v>132</v>
      </c>
      <c r="D307" s="111" t="s">
        <v>240</v>
      </c>
      <c r="E307" s="81" t="s">
        <v>99</v>
      </c>
      <c r="F307" s="52">
        <v>5.91</v>
      </c>
      <c r="G307" s="52">
        <f t="shared" si="28"/>
        <v>6.88</v>
      </c>
      <c r="H307" s="110"/>
      <c r="I307" s="81">
        <v>9.61</v>
      </c>
      <c r="J307" s="81">
        <f>VLOOKUP(C307,Recipes!$A$2:$N$4,12,FALSE())</f>
        <v>6.1509461004819709E-2</v>
      </c>
      <c r="K307" s="81">
        <f t="shared" si="29"/>
        <v>9.4254716169855399</v>
      </c>
      <c r="L307" s="81">
        <f t="shared" si="30"/>
        <v>9.7945283830144589</v>
      </c>
      <c r="M307" s="81" t="str">
        <f t="shared" si="32"/>
        <v>NG</v>
      </c>
      <c r="N307" s="117">
        <f t="shared" si="31"/>
        <v>1</v>
      </c>
      <c r="O307" s="81">
        <f t="shared" si="33"/>
        <v>2.7299999999999995</v>
      </c>
      <c r="P307" s="81">
        <f>IF(G307="","",ABS(O307-Components!$C$2))</f>
        <v>2.3333333333330319E-2</v>
      </c>
      <c r="Q307" s="81">
        <f>IF(G307="","",ABS(O307-Components!$C$3))</f>
        <v>1.306</v>
      </c>
      <c r="R307" s="81">
        <f>IF(G307="","",ABS(O307-Components!$C$4))</f>
        <v>1.7366666666666666</v>
      </c>
      <c r="S307" s="81">
        <f>IF(G307="","",ABS(O307-Components!$C$5))</f>
        <v>1.8326666666666709</v>
      </c>
      <c r="T307" s="81">
        <f>IF(G307="","",ABS(O307-Components!$C$6))</f>
        <v>1.5743333333333296</v>
      </c>
      <c r="U307" s="81">
        <f>IF(G307="","",ABS(O307-Components!$C$7))</f>
        <v>1.3556666666666695</v>
      </c>
      <c r="V307" s="81" t="str">
        <f>IF(F307="","",IF(M307="OK","NONE",INDEX({"S1","S2","W1","W2","N1","N2"},MATCH(MIN(P307:U307),P307:U307,0))))</f>
        <v>S1</v>
      </c>
      <c r="W307" s="117">
        <f t="shared" si="34"/>
        <v>1</v>
      </c>
      <c r="X307" s="119"/>
    </row>
    <row r="308" spans="1:24">
      <c r="A308" s="115">
        <v>306</v>
      </c>
      <c r="B308" s="116">
        <v>11</v>
      </c>
      <c r="C308" s="81" t="s">
        <v>132</v>
      </c>
      <c r="D308" s="111" t="s">
        <v>240</v>
      </c>
      <c r="E308" s="81" t="s">
        <v>99</v>
      </c>
      <c r="F308" s="52">
        <v>5.86</v>
      </c>
      <c r="G308" s="52">
        <f t="shared" si="28"/>
        <v>6.83</v>
      </c>
      <c r="H308" s="110"/>
      <c r="I308" s="81">
        <v>9.61</v>
      </c>
      <c r="J308" s="81">
        <f>VLOOKUP(C308,Recipes!$A$2:$N$4,12,FALSE())</f>
        <v>6.1509461004819709E-2</v>
      </c>
      <c r="K308" s="81">
        <f t="shared" si="29"/>
        <v>9.4254716169855399</v>
      </c>
      <c r="L308" s="81">
        <f t="shared" si="30"/>
        <v>9.7945283830144589</v>
      </c>
      <c r="M308" s="81" t="str">
        <f t="shared" si="32"/>
        <v>NG</v>
      </c>
      <c r="N308" s="117">
        <f t="shared" si="31"/>
        <v>1</v>
      </c>
      <c r="O308" s="81">
        <f t="shared" si="33"/>
        <v>2.7799999999999994</v>
      </c>
      <c r="P308" s="81">
        <f>IF(G308="","",ABS(O308-Components!$C$2))</f>
        <v>2.6666666666669503E-2</v>
      </c>
      <c r="Q308" s="81">
        <f>IF(G308="","",ABS(O308-Components!$C$3))</f>
        <v>1.2560000000000002</v>
      </c>
      <c r="R308" s="81">
        <f>IF(G308="","",ABS(O308-Components!$C$4))</f>
        <v>1.7866666666666664</v>
      </c>
      <c r="S308" s="81">
        <f>IF(G308="","",ABS(O308-Components!$C$5))</f>
        <v>1.7826666666666711</v>
      </c>
      <c r="T308" s="81">
        <f>IF(G308="","",ABS(O308-Components!$C$6))</f>
        <v>1.6243333333333294</v>
      </c>
      <c r="U308" s="81">
        <f>IF(G308="","",ABS(O308-Components!$C$7))</f>
        <v>1.4056666666666693</v>
      </c>
      <c r="V308" s="81" t="str">
        <f>IF(F308="","",IF(M308="OK","NONE",INDEX({"S1","S2","W1","W2","N1","N2"},MATCH(MIN(P308:U308),P308:U308,0))))</f>
        <v>S1</v>
      </c>
      <c r="W308" s="117">
        <f t="shared" si="34"/>
        <v>1</v>
      </c>
      <c r="X308" s="119"/>
    </row>
    <row r="309" spans="1:24">
      <c r="A309" s="115">
        <v>307</v>
      </c>
      <c r="B309" s="116">
        <v>11</v>
      </c>
      <c r="C309" s="81" t="s">
        <v>132</v>
      </c>
      <c r="D309" s="111" t="s">
        <v>240</v>
      </c>
      <c r="E309" s="81" t="s">
        <v>99</v>
      </c>
      <c r="F309" s="52">
        <v>5.9</v>
      </c>
      <c r="G309" s="52">
        <f t="shared" si="28"/>
        <v>6.87</v>
      </c>
      <c r="H309" s="110"/>
      <c r="I309" s="81">
        <v>9.61</v>
      </c>
      <c r="J309" s="81">
        <f>VLOOKUP(C309,Recipes!$A$2:$N$4,12,FALSE())</f>
        <v>6.1509461004819709E-2</v>
      </c>
      <c r="K309" s="81">
        <f t="shared" si="29"/>
        <v>9.4254716169855399</v>
      </c>
      <c r="L309" s="81">
        <f t="shared" si="30"/>
        <v>9.7945283830144589</v>
      </c>
      <c r="M309" s="81" t="str">
        <f t="shared" si="32"/>
        <v>NG</v>
      </c>
      <c r="N309" s="117">
        <f t="shared" si="31"/>
        <v>1</v>
      </c>
      <c r="O309" s="81">
        <f t="shared" si="33"/>
        <v>2.7399999999999993</v>
      </c>
      <c r="P309" s="81">
        <f>IF(G309="","",ABS(O309-Components!$C$2))</f>
        <v>1.3333333333330533E-2</v>
      </c>
      <c r="Q309" s="81">
        <f>IF(G309="","",ABS(O309-Components!$C$3))</f>
        <v>1.2960000000000003</v>
      </c>
      <c r="R309" s="81">
        <f>IF(G309="","",ABS(O309-Components!$C$4))</f>
        <v>1.7466666666666664</v>
      </c>
      <c r="S309" s="81">
        <f>IF(G309="","",ABS(O309-Components!$C$5))</f>
        <v>1.8226666666666711</v>
      </c>
      <c r="T309" s="81">
        <f>IF(G309="","",ABS(O309-Components!$C$6))</f>
        <v>1.5843333333333294</v>
      </c>
      <c r="U309" s="81">
        <f>IF(G309="","",ABS(O309-Components!$C$7))</f>
        <v>1.3656666666666692</v>
      </c>
      <c r="V309" s="81" t="str">
        <f>IF(F309="","",IF(M309="OK","NONE",INDEX({"S1","S2","W1","W2","N1","N2"},MATCH(MIN(P309:U309),P309:U309,0))))</f>
        <v>S1</v>
      </c>
      <c r="W309" s="117">
        <f t="shared" si="34"/>
        <v>1</v>
      </c>
      <c r="X309" s="119"/>
    </row>
    <row r="310" spans="1:24">
      <c r="A310" s="115">
        <v>308</v>
      </c>
      <c r="B310" s="116">
        <v>11</v>
      </c>
      <c r="C310" s="81" t="s">
        <v>132</v>
      </c>
      <c r="D310" s="111" t="s">
        <v>240</v>
      </c>
      <c r="E310" s="81" t="s">
        <v>99</v>
      </c>
      <c r="F310" s="52">
        <v>5.8</v>
      </c>
      <c r="G310" s="52">
        <f t="shared" si="28"/>
        <v>6.77</v>
      </c>
      <c r="H310" s="110"/>
      <c r="I310" s="81">
        <v>9.61</v>
      </c>
      <c r="J310" s="81">
        <f>VLOOKUP(C310,Recipes!$A$2:$N$4,12,FALSE())</f>
        <v>6.1509461004819709E-2</v>
      </c>
      <c r="K310" s="81">
        <f t="shared" si="29"/>
        <v>9.4254716169855399</v>
      </c>
      <c r="L310" s="81">
        <f t="shared" si="30"/>
        <v>9.7945283830144589</v>
      </c>
      <c r="M310" s="81" t="str">
        <f t="shared" si="32"/>
        <v>NG</v>
      </c>
      <c r="N310" s="117">
        <f t="shared" si="31"/>
        <v>1</v>
      </c>
      <c r="O310" s="81">
        <f t="shared" si="33"/>
        <v>2.84</v>
      </c>
      <c r="P310" s="81">
        <f>IF(G310="","",ABS(O310-Components!$C$2))</f>
        <v>8.666666666667E-2</v>
      </c>
      <c r="Q310" s="81">
        <f>IF(G310="","",ABS(O310-Components!$C$3))</f>
        <v>1.1959999999999997</v>
      </c>
      <c r="R310" s="81">
        <f>IF(G310="","",ABS(O310-Components!$C$4))</f>
        <v>1.8466666666666669</v>
      </c>
      <c r="S310" s="81">
        <f>IF(G310="","",ABS(O310-Components!$C$5))</f>
        <v>1.7226666666666706</v>
      </c>
      <c r="T310" s="81">
        <f>IF(G310="","",ABS(O310-Components!$C$6))</f>
        <v>1.6843333333333299</v>
      </c>
      <c r="U310" s="81">
        <f>IF(G310="","",ABS(O310-Components!$C$7))</f>
        <v>1.4656666666666698</v>
      </c>
      <c r="V310" s="81" t="str">
        <f>IF(F310="","",IF(M310="OK","NONE",INDEX({"S1","S2","W1","W2","N1","N2"},MATCH(MIN(P310:U310),P310:U310,0))))</f>
        <v>S1</v>
      </c>
      <c r="W310" s="117">
        <f t="shared" si="34"/>
        <v>1</v>
      </c>
      <c r="X310" s="119"/>
    </row>
    <row r="311" spans="1:24">
      <c r="A311" s="115">
        <v>309</v>
      </c>
      <c r="B311" s="116">
        <v>11</v>
      </c>
      <c r="C311" s="81" t="s">
        <v>132</v>
      </c>
      <c r="D311" s="111" t="s">
        <v>240</v>
      </c>
      <c r="E311" s="81" t="s">
        <v>99</v>
      </c>
      <c r="F311" s="52">
        <v>5.94</v>
      </c>
      <c r="G311" s="52">
        <f t="shared" si="28"/>
        <v>6.91</v>
      </c>
      <c r="H311" s="110"/>
      <c r="I311" s="81">
        <v>9.61</v>
      </c>
      <c r="J311" s="81">
        <f>VLOOKUP(C311,Recipes!$A$2:$N$4,12,FALSE())</f>
        <v>6.1509461004819709E-2</v>
      </c>
      <c r="K311" s="81">
        <f t="shared" si="29"/>
        <v>9.4254716169855399</v>
      </c>
      <c r="L311" s="81">
        <f t="shared" si="30"/>
        <v>9.7945283830144589</v>
      </c>
      <c r="M311" s="81" t="str">
        <f t="shared" si="32"/>
        <v>NG</v>
      </c>
      <c r="N311" s="117">
        <f t="shared" si="31"/>
        <v>1</v>
      </c>
      <c r="O311" s="81">
        <f t="shared" si="33"/>
        <v>2.6999999999999993</v>
      </c>
      <c r="P311" s="81">
        <f>IF(G311="","",ABS(O311-Components!$C$2))</f>
        <v>5.3333333333330568E-2</v>
      </c>
      <c r="Q311" s="81">
        <f>IF(G311="","",ABS(O311-Components!$C$3))</f>
        <v>1.3360000000000003</v>
      </c>
      <c r="R311" s="81">
        <f>IF(G311="","",ABS(O311-Components!$C$4))</f>
        <v>1.7066666666666663</v>
      </c>
      <c r="S311" s="81">
        <f>IF(G311="","",ABS(O311-Components!$C$5))</f>
        <v>1.8626666666666711</v>
      </c>
      <c r="T311" s="81">
        <f>IF(G311="","",ABS(O311-Components!$C$6))</f>
        <v>1.5443333333333293</v>
      </c>
      <c r="U311" s="81">
        <f>IF(G311="","",ABS(O311-Components!$C$7))</f>
        <v>1.3256666666666692</v>
      </c>
      <c r="V311" s="81" t="str">
        <f>IF(F311="","",IF(M311="OK","NONE",INDEX({"S1","S2","W1","W2","N1","N2"},MATCH(MIN(P311:U311),P311:U311,0))))</f>
        <v>S1</v>
      </c>
      <c r="W311" s="117">
        <f t="shared" si="34"/>
        <v>1</v>
      </c>
      <c r="X311" s="119"/>
    </row>
    <row r="312" spans="1:24">
      <c r="A312" s="115">
        <v>310</v>
      </c>
      <c r="B312" s="116">
        <v>11</v>
      </c>
      <c r="C312" s="81" t="s">
        <v>132</v>
      </c>
      <c r="D312" s="111" t="s">
        <v>240</v>
      </c>
      <c r="E312" s="81" t="s">
        <v>99</v>
      </c>
      <c r="F312" s="52">
        <v>5.94</v>
      </c>
      <c r="G312" s="52">
        <f t="shared" si="28"/>
        <v>6.91</v>
      </c>
      <c r="H312" s="110"/>
      <c r="I312" s="81">
        <v>9.61</v>
      </c>
      <c r="J312" s="81">
        <f>VLOOKUP(C312,Recipes!$A$2:$N$4,12,FALSE())</f>
        <v>6.1509461004819709E-2</v>
      </c>
      <c r="K312" s="81">
        <f t="shared" si="29"/>
        <v>9.4254716169855399</v>
      </c>
      <c r="L312" s="81">
        <f t="shared" si="30"/>
        <v>9.7945283830144589</v>
      </c>
      <c r="M312" s="81" t="str">
        <f t="shared" si="32"/>
        <v>NG</v>
      </c>
      <c r="N312" s="117">
        <f t="shared" si="31"/>
        <v>1</v>
      </c>
      <c r="O312" s="81">
        <f t="shared" si="33"/>
        <v>2.6999999999999993</v>
      </c>
      <c r="P312" s="81">
        <f>IF(G312="","",ABS(O312-Components!$C$2))</f>
        <v>5.3333333333330568E-2</v>
      </c>
      <c r="Q312" s="81">
        <f>IF(G312="","",ABS(O312-Components!$C$3))</f>
        <v>1.3360000000000003</v>
      </c>
      <c r="R312" s="81">
        <f>IF(G312="","",ABS(O312-Components!$C$4))</f>
        <v>1.7066666666666663</v>
      </c>
      <c r="S312" s="81">
        <f>IF(G312="","",ABS(O312-Components!$C$5))</f>
        <v>1.8626666666666711</v>
      </c>
      <c r="T312" s="81">
        <f>IF(G312="","",ABS(O312-Components!$C$6))</f>
        <v>1.5443333333333293</v>
      </c>
      <c r="U312" s="81">
        <f>IF(G312="","",ABS(O312-Components!$C$7))</f>
        <v>1.3256666666666692</v>
      </c>
      <c r="V312" s="81" t="str">
        <f>IF(F312="","",IF(M312="OK","NONE",INDEX({"S1","S2","W1","W2","N1","N2"},MATCH(MIN(P312:U312),P312:U312,0))))</f>
        <v>S1</v>
      </c>
      <c r="W312" s="117">
        <f t="shared" si="34"/>
        <v>1</v>
      </c>
      <c r="X312" s="119"/>
    </row>
    <row r="313" spans="1:24">
      <c r="A313" s="115">
        <v>311</v>
      </c>
      <c r="B313" s="116">
        <v>11</v>
      </c>
      <c r="C313" s="81" t="s">
        <v>132</v>
      </c>
      <c r="D313" s="111" t="s">
        <v>240</v>
      </c>
      <c r="E313" s="81" t="s">
        <v>99</v>
      </c>
      <c r="F313" s="52">
        <v>5.87</v>
      </c>
      <c r="G313" s="52">
        <f t="shared" si="28"/>
        <v>6.84</v>
      </c>
      <c r="H313" s="110"/>
      <c r="I313" s="81">
        <v>9.61</v>
      </c>
      <c r="J313" s="81">
        <f>VLOOKUP(C313,Recipes!$A$2:$N$4,12,FALSE())</f>
        <v>6.1509461004819709E-2</v>
      </c>
      <c r="K313" s="81">
        <f t="shared" si="29"/>
        <v>9.4254716169855399</v>
      </c>
      <c r="L313" s="81">
        <f t="shared" si="30"/>
        <v>9.7945283830144589</v>
      </c>
      <c r="M313" s="81" t="str">
        <f t="shared" si="32"/>
        <v>NG</v>
      </c>
      <c r="N313" s="117">
        <f t="shared" si="31"/>
        <v>1</v>
      </c>
      <c r="O313" s="81">
        <f t="shared" si="33"/>
        <v>2.7699999999999996</v>
      </c>
      <c r="P313" s="81">
        <f>IF(G313="","",ABS(O313-Components!$C$2))</f>
        <v>1.6666666666669716E-2</v>
      </c>
      <c r="Q313" s="81">
        <f>IF(G313="","",ABS(O313-Components!$C$3))</f>
        <v>1.266</v>
      </c>
      <c r="R313" s="81">
        <f>IF(G313="","",ABS(O313-Components!$C$4))</f>
        <v>1.7766666666666666</v>
      </c>
      <c r="S313" s="81">
        <f>IF(G313="","",ABS(O313-Components!$C$5))</f>
        <v>1.7926666666666708</v>
      </c>
      <c r="T313" s="81">
        <f>IF(G313="","",ABS(O313-Components!$C$6))</f>
        <v>1.6143333333333296</v>
      </c>
      <c r="U313" s="81">
        <f>IF(G313="","",ABS(O313-Components!$C$7))</f>
        <v>1.3956666666666695</v>
      </c>
      <c r="V313" s="81" t="str">
        <f>IF(F313="","",IF(M313="OK","NONE",INDEX({"S1","S2","W1","W2","N1","N2"},MATCH(MIN(P313:U313),P313:U313,0))))</f>
        <v>S1</v>
      </c>
      <c r="W313" s="117">
        <f t="shared" si="34"/>
        <v>1</v>
      </c>
      <c r="X313" s="119"/>
    </row>
    <row r="314" spans="1:24">
      <c r="A314" s="115">
        <v>312</v>
      </c>
      <c r="B314" s="116">
        <v>11</v>
      </c>
      <c r="C314" s="81" t="s">
        <v>132</v>
      </c>
      <c r="D314" s="111" t="s">
        <v>240</v>
      </c>
      <c r="E314" s="81" t="s">
        <v>99</v>
      </c>
      <c r="F314" s="52">
        <v>5.88</v>
      </c>
      <c r="G314" s="52">
        <f t="shared" si="28"/>
        <v>6.85</v>
      </c>
      <c r="H314" s="110"/>
      <c r="I314" s="81">
        <v>9.61</v>
      </c>
      <c r="J314" s="81">
        <f>VLOOKUP(C314,Recipes!$A$2:$N$4,12,FALSE())</f>
        <v>6.1509461004819709E-2</v>
      </c>
      <c r="K314" s="81">
        <f t="shared" si="29"/>
        <v>9.4254716169855399</v>
      </c>
      <c r="L314" s="81">
        <f t="shared" si="30"/>
        <v>9.7945283830144589</v>
      </c>
      <c r="M314" s="81" t="str">
        <f t="shared" si="32"/>
        <v>NG</v>
      </c>
      <c r="N314" s="117">
        <f t="shared" si="31"/>
        <v>1</v>
      </c>
      <c r="O314" s="81">
        <f t="shared" si="33"/>
        <v>2.76</v>
      </c>
      <c r="P314" s="81">
        <f>IF(G314="","",ABS(O314-Components!$C$2))</f>
        <v>6.6666666666699292E-3</v>
      </c>
      <c r="Q314" s="81">
        <f>IF(G314="","",ABS(O314-Components!$C$3))</f>
        <v>1.2759999999999998</v>
      </c>
      <c r="R314" s="81">
        <f>IF(G314="","",ABS(O314-Components!$C$4))</f>
        <v>1.7666666666666668</v>
      </c>
      <c r="S314" s="81">
        <f>IF(G314="","",ABS(O314-Components!$C$5))</f>
        <v>1.8026666666666706</v>
      </c>
      <c r="T314" s="81">
        <f>IF(G314="","",ABS(O314-Components!$C$6))</f>
        <v>1.6043333333333298</v>
      </c>
      <c r="U314" s="81">
        <f>IF(G314="","",ABS(O314-Components!$C$7))</f>
        <v>1.3856666666666697</v>
      </c>
      <c r="V314" s="81" t="str">
        <f>IF(F314="","",IF(M314="OK","NONE",INDEX({"S1","S2","W1","W2","N1","N2"},MATCH(MIN(P314:U314),P314:U314,0))))</f>
        <v>S1</v>
      </c>
      <c r="W314" s="117">
        <f t="shared" si="34"/>
        <v>1</v>
      </c>
      <c r="X314" s="119"/>
    </row>
    <row r="315" spans="1:24">
      <c r="A315" s="115">
        <v>313</v>
      </c>
      <c r="B315" s="116">
        <v>11</v>
      </c>
      <c r="C315" s="81" t="s">
        <v>132</v>
      </c>
      <c r="D315" s="111" t="s">
        <v>240</v>
      </c>
      <c r="E315" s="81" t="s">
        <v>99</v>
      </c>
      <c r="F315" s="52">
        <v>5.87</v>
      </c>
      <c r="G315" s="52">
        <f t="shared" si="28"/>
        <v>6.84</v>
      </c>
      <c r="H315" s="110"/>
      <c r="I315" s="81">
        <v>9.61</v>
      </c>
      <c r="J315" s="81">
        <f>VLOOKUP(C315,Recipes!$A$2:$N$4,12,FALSE())</f>
        <v>6.1509461004819709E-2</v>
      </c>
      <c r="K315" s="81">
        <f t="shared" si="29"/>
        <v>9.4254716169855399</v>
      </c>
      <c r="L315" s="81">
        <f t="shared" si="30"/>
        <v>9.7945283830144589</v>
      </c>
      <c r="M315" s="81" t="str">
        <f t="shared" si="32"/>
        <v>NG</v>
      </c>
      <c r="N315" s="117">
        <f t="shared" si="31"/>
        <v>1</v>
      </c>
      <c r="O315" s="81">
        <f t="shared" si="33"/>
        <v>2.7699999999999996</v>
      </c>
      <c r="P315" s="81">
        <f>IF(G315="","",ABS(O315-Components!$C$2))</f>
        <v>1.6666666666669716E-2</v>
      </c>
      <c r="Q315" s="81">
        <f>IF(G315="","",ABS(O315-Components!$C$3))</f>
        <v>1.266</v>
      </c>
      <c r="R315" s="81">
        <f>IF(G315="","",ABS(O315-Components!$C$4))</f>
        <v>1.7766666666666666</v>
      </c>
      <c r="S315" s="81">
        <f>IF(G315="","",ABS(O315-Components!$C$5))</f>
        <v>1.7926666666666708</v>
      </c>
      <c r="T315" s="81">
        <f>IF(G315="","",ABS(O315-Components!$C$6))</f>
        <v>1.6143333333333296</v>
      </c>
      <c r="U315" s="81">
        <f>IF(G315="","",ABS(O315-Components!$C$7))</f>
        <v>1.3956666666666695</v>
      </c>
      <c r="V315" s="81" t="str">
        <f>IF(F315="","",IF(M315="OK","NONE",INDEX({"S1","S2","W1","W2","N1","N2"},MATCH(MIN(P315:U315),P315:U315,0))))</f>
        <v>S1</v>
      </c>
      <c r="W315" s="117">
        <f t="shared" si="34"/>
        <v>1</v>
      </c>
      <c r="X315" s="119"/>
    </row>
    <row r="316" spans="1:24">
      <c r="A316" s="115">
        <v>314</v>
      </c>
      <c r="B316" s="116">
        <v>11</v>
      </c>
      <c r="C316" s="81" t="s">
        <v>132</v>
      </c>
      <c r="D316" s="111" t="s">
        <v>240</v>
      </c>
      <c r="E316" s="81" t="s">
        <v>99</v>
      </c>
      <c r="F316" s="52">
        <v>5.87</v>
      </c>
      <c r="G316" s="52">
        <f t="shared" si="28"/>
        <v>6.84</v>
      </c>
      <c r="H316" s="110"/>
      <c r="I316" s="81">
        <v>9.61</v>
      </c>
      <c r="J316" s="81">
        <f>VLOOKUP(C316,Recipes!$A$2:$N$4,12,FALSE())</f>
        <v>6.1509461004819709E-2</v>
      </c>
      <c r="K316" s="81">
        <f t="shared" si="29"/>
        <v>9.4254716169855399</v>
      </c>
      <c r="L316" s="81">
        <f t="shared" si="30"/>
        <v>9.7945283830144589</v>
      </c>
      <c r="M316" s="81" t="str">
        <f t="shared" si="32"/>
        <v>NG</v>
      </c>
      <c r="N316" s="117">
        <f t="shared" si="31"/>
        <v>1</v>
      </c>
      <c r="O316" s="81">
        <f t="shared" si="33"/>
        <v>2.7699999999999996</v>
      </c>
      <c r="P316" s="81">
        <f>IF(G316="","",ABS(O316-Components!$C$2))</f>
        <v>1.6666666666669716E-2</v>
      </c>
      <c r="Q316" s="81">
        <f>IF(G316="","",ABS(O316-Components!$C$3))</f>
        <v>1.266</v>
      </c>
      <c r="R316" s="81">
        <f>IF(G316="","",ABS(O316-Components!$C$4))</f>
        <v>1.7766666666666666</v>
      </c>
      <c r="S316" s="81">
        <f>IF(G316="","",ABS(O316-Components!$C$5))</f>
        <v>1.7926666666666708</v>
      </c>
      <c r="T316" s="81">
        <f>IF(G316="","",ABS(O316-Components!$C$6))</f>
        <v>1.6143333333333296</v>
      </c>
      <c r="U316" s="81">
        <f>IF(G316="","",ABS(O316-Components!$C$7))</f>
        <v>1.3956666666666695</v>
      </c>
      <c r="V316" s="81" t="str">
        <f>IF(F316="","",IF(M316="OK","NONE",INDEX({"S1","S2","W1","W2","N1","N2"},MATCH(MIN(P316:U316),P316:U316,0))))</f>
        <v>S1</v>
      </c>
      <c r="W316" s="117">
        <f t="shared" si="34"/>
        <v>1</v>
      </c>
      <c r="X316" s="119"/>
    </row>
    <row r="317" spans="1:24">
      <c r="A317" s="115">
        <v>315</v>
      </c>
      <c r="B317" s="116">
        <v>11</v>
      </c>
      <c r="C317" s="81" t="s">
        <v>132</v>
      </c>
      <c r="D317" s="111" t="s">
        <v>240</v>
      </c>
      <c r="E317" s="81" t="s">
        <v>99</v>
      </c>
      <c r="F317" s="52">
        <v>5.82</v>
      </c>
      <c r="G317" s="52">
        <f t="shared" si="28"/>
        <v>6.79</v>
      </c>
      <c r="H317" s="110"/>
      <c r="I317" s="81">
        <v>9.61</v>
      </c>
      <c r="J317" s="81">
        <f>VLOOKUP(C317,Recipes!$A$2:$N$4,12,FALSE())</f>
        <v>6.1509461004819709E-2</v>
      </c>
      <c r="K317" s="81">
        <f t="shared" si="29"/>
        <v>9.4254716169855399</v>
      </c>
      <c r="L317" s="81">
        <f t="shared" si="30"/>
        <v>9.7945283830144589</v>
      </c>
      <c r="M317" s="81" t="str">
        <f t="shared" si="32"/>
        <v>NG</v>
      </c>
      <c r="N317" s="117">
        <f t="shared" si="31"/>
        <v>1</v>
      </c>
      <c r="O317" s="81">
        <f t="shared" si="33"/>
        <v>2.8199999999999994</v>
      </c>
      <c r="P317" s="81">
        <f>IF(G317="","",ABS(O317-Components!$C$2))</f>
        <v>6.6666666666669538E-2</v>
      </c>
      <c r="Q317" s="81">
        <f>IF(G317="","",ABS(O317-Components!$C$3))</f>
        <v>1.2160000000000002</v>
      </c>
      <c r="R317" s="81">
        <f>IF(G317="","",ABS(O317-Components!$C$4))</f>
        <v>1.8266666666666664</v>
      </c>
      <c r="S317" s="81">
        <f>IF(G317="","",ABS(O317-Components!$C$5))</f>
        <v>1.742666666666671</v>
      </c>
      <c r="T317" s="81">
        <f>IF(G317="","",ABS(O317-Components!$C$6))</f>
        <v>1.6643333333333294</v>
      </c>
      <c r="U317" s="81">
        <f>IF(G317="","",ABS(O317-Components!$C$7))</f>
        <v>1.4456666666666693</v>
      </c>
      <c r="V317" s="81" t="str">
        <f>IF(F317="","",IF(M317="OK","NONE",INDEX({"S1","S2","W1","W2","N1","N2"},MATCH(MIN(P317:U317),P317:U317,0))))</f>
        <v>S1</v>
      </c>
      <c r="W317" s="117">
        <f t="shared" si="34"/>
        <v>1</v>
      </c>
      <c r="X317" s="119"/>
    </row>
    <row r="318" spans="1:24">
      <c r="A318" s="115">
        <v>316</v>
      </c>
      <c r="B318" s="116">
        <v>11</v>
      </c>
      <c r="C318" s="81" t="s">
        <v>132</v>
      </c>
      <c r="D318" s="111" t="s">
        <v>240</v>
      </c>
      <c r="E318" s="81" t="s">
        <v>99</v>
      </c>
      <c r="F318" s="52">
        <v>5.92</v>
      </c>
      <c r="G318" s="52">
        <f t="shared" si="28"/>
        <v>6.89</v>
      </c>
      <c r="H318" s="110"/>
      <c r="I318" s="81">
        <v>9.61</v>
      </c>
      <c r="J318" s="81">
        <f>VLOOKUP(C318,Recipes!$A$2:$N$4,12,FALSE())</f>
        <v>6.1509461004819709E-2</v>
      </c>
      <c r="K318" s="81">
        <f t="shared" si="29"/>
        <v>9.4254716169855399</v>
      </c>
      <c r="L318" s="81">
        <f t="shared" si="30"/>
        <v>9.7945283830144589</v>
      </c>
      <c r="M318" s="81" t="str">
        <f t="shared" si="32"/>
        <v>NG</v>
      </c>
      <c r="N318" s="117">
        <f t="shared" si="31"/>
        <v>1</v>
      </c>
      <c r="O318" s="81">
        <f t="shared" si="33"/>
        <v>2.7199999999999998</v>
      </c>
      <c r="P318" s="81">
        <f>IF(G318="","",ABS(O318-Components!$C$2))</f>
        <v>3.3333333333330106E-2</v>
      </c>
      <c r="Q318" s="81">
        <f>IF(G318="","",ABS(O318-Components!$C$3))</f>
        <v>1.3159999999999998</v>
      </c>
      <c r="R318" s="81">
        <f>IF(G318="","",ABS(O318-Components!$C$4))</f>
        <v>1.7266666666666668</v>
      </c>
      <c r="S318" s="81">
        <f>IF(G318="","",ABS(O318-Components!$C$5))</f>
        <v>1.8426666666666707</v>
      </c>
      <c r="T318" s="81">
        <f>IF(G318="","",ABS(O318-Components!$C$6))</f>
        <v>1.5643333333333298</v>
      </c>
      <c r="U318" s="81">
        <f>IF(G318="","",ABS(O318-Components!$C$7))</f>
        <v>1.3456666666666697</v>
      </c>
      <c r="V318" s="81" t="str">
        <f>IF(F318="","",IF(M318="OK","NONE",INDEX({"S1","S2","W1","W2","N1","N2"},MATCH(MIN(P318:U318),P318:U318,0))))</f>
        <v>S1</v>
      </c>
      <c r="W318" s="117">
        <f t="shared" si="34"/>
        <v>1</v>
      </c>
      <c r="X318" s="119"/>
    </row>
    <row r="319" spans="1:24">
      <c r="A319" s="115">
        <v>317</v>
      </c>
      <c r="B319" s="116">
        <v>11</v>
      </c>
      <c r="C319" s="81" t="s">
        <v>132</v>
      </c>
      <c r="D319" s="111" t="s">
        <v>240</v>
      </c>
      <c r="E319" s="81" t="s">
        <v>99</v>
      </c>
      <c r="F319" s="52">
        <v>5.84</v>
      </c>
      <c r="G319" s="52">
        <f t="shared" si="28"/>
        <v>6.81</v>
      </c>
      <c r="H319" s="110"/>
      <c r="I319" s="81">
        <v>9.61</v>
      </c>
      <c r="J319" s="81">
        <f>VLOOKUP(C319,Recipes!$A$2:$N$4,12,FALSE())</f>
        <v>6.1509461004819709E-2</v>
      </c>
      <c r="K319" s="81">
        <f t="shared" si="29"/>
        <v>9.4254716169855399</v>
      </c>
      <c r="L319" s="81">
        <f t="shared" si="30"/>
        <v>9.7945283830144589</v>
      </c>
      <c r="M319" s="81" t="str">
        <f t="shared" si="32"/>
        <v>NG</v>
      </c>
      <c r="N319" s="117">
        <f t="shared" si="31"/>
        <v>1</v>
      </c>
      <c r="O319" s="81">
        <f t="shared" si="33"/>
        <v>2.8</v>
      </c>
      <c r="P319" s="81">
        <f>IF(G319="","",ABS(O319-Components!$C$2))</f>
        <v>4.6666666666669965E-2</v>
      </c>
      <c r="Q319" s="81">
        <f>IF(G319="","",ABS(O319-Components!$C$3))</f>
        <v>1.2359999999999998</v>
      </c>
      <c r="R319" s="81">
        <f>IF(G319="","",ABS(O319-Components!$C$4))</f>
        <v>1.8066666666666669</v>
      </c>
      <c r="S319" s="81">
        <f>IF(G319="","",ABS(O319-Components!$C$5))</f>
        <v>1.7626666666666706</v>
      </c>
      <c r="T319" s="81">
        <f>IF(G319="","",ABS(O319-Components!$C$6))</f>
        <v>1.6443333333333299</v>
      </c>
      <c r="U319" s="81">
        <f>IF(G319="","",ABS(O319-Components!$C$7))</f>
        <v>1.4256666666666697</v>
      </c>
      <c r="V319" s="81" t="str">
        <f>IF(F319="","",IF(M319="OK","NONE",INDEX({"S1","S2","W1","W2","N1","N2"},MATCH(MIN(P319:U319),P319:U319,0))))</f>
        <v>S1</v>
      </c>
      <c r="W319" s="117">
        <f t="shared" si="34"/>
        <v>1</v>
      </c>
      <c r="X319" s="119"/>
    </row>
    <row r="320" spans="1:24">
      <c r="A320" s="115">
        <v>318</v>
      </c>
      <c r="B320" s="116">
        <v>11</v>
      </c>
      <c r="C320" s="81" t="s">
        <v>132</v>
      </c>
      <c r="D320" s="111" t="s">
        <v>240</v>
      </c>
      <c r="E320" s="81" t="s">
        <v>99</v>
      </c>
      <c r="F320" s="52">
        <v>5.92</v>
      </c>
      <c r="G320" s="52">
        <f t="shared" si="28"/>
        <v>6.89</v>
      </c>
      <c r="H320" s="110"/>
      <c r="I320" s="81">
        <v>9.61</v>
      </c>
      <c r="J320" s="81">
        <f>VLOOKUP(C320,Recipes!$A$2:$N$4,12,FALSE())</f>
        <v>6.1509461004819709E-2</v>
      </c>
      <c r="K320" s="81">
        <f t="shared" si="29"/>
        <v>9.4254716169855399</v>
      </c>
      <c r="L320" s="81">
        <f t="shared" si="30"/>
        <v>9.7945283830144589</v>
      </c>
      <c r="M320" s="81" t="str">
        <f t="shared" si="32"/>
        <v>NG</v>
      </c>
      <c r="N320" s="117">
        <f t="shared" si="31"/>
        <v>1</v>
      </c>
      <c r="O320" s="81">
        <f t="shared" si="33"/>
        <v>2.7199999999999998</v>
      </c>
      <c r="P320" s="81">
        <f>IF(G320="","",ABS(O320-Components!$C$2))</f>
        <v>3.3333333333330106E-2</v>
      </c>
      <c r="Q320" s="81">
        <f>IF(G320="","",ABS(O320-Components!$C$3))</f>
        <v>1.3159999999999998</v>
      </c>
      <c r="R320" s="81">
        <f>IF(G320="","",ABS(O320-Components!$C$4))</f>
        <v>1.7266666666666668</v>
      </c>
      <c r="S320" s="81">
        <f>IF(G320="","",ABS(O320-Components!$C$5))</f>
        <v>1.8426666666666707</v>
      </c>
      <c r="T320" s="81">
        <f>IF(G320="","",ABS(O320-Components!$C$6))</f>
        <v>1.5643333333333298</v>
      </c>
      <c r="U320" s="81">
        <f>IF(G320="","",ABS(O320-Components!$C$7))</f>
        <v>1.3456666666666697</v>
      </c>
      <c r="V320" s="81" t="str">
        <f>IF(F320="","",IF(M320="OK","NONE",INDEX({"S1","S2","W1","W2","N1","N2"},MATCH(MIN(P320:U320),P320:U320,0))))</f>
        <v>S1</v>
      </c>
      <c r="W320" s="117">
        <f t="shared" si="34"/>
        <v>1</v>
      </c>
      <c r="X320" s="119"/>
    </row>
    <row r="321" spans="1:24">
      <c r="A321" s="115">
        <v>319</v>
      </c>
      <c r="B321" s="116">
        <v>11</v>
      </c>
      <c r="C321" s="81" t="s">
        <v>132</v>
      </c>
      <c r="D321" s="111" t="s">
        <v>240</v>
      </c>
      <c r="E321" s="81" t="s">
        <v>99</v>
      </c>
      <c r="F321" s="52">
        <v>5.87</v>
      </c>
      <c r="G321" s="52">
        <f t="shared" si="28"/>
        <v>6.84</v>
      </c>
      <c r="H321" s="110"/>
      <c r="I321" s="81">
        <v>9.61</v>
      </c>
      <c r="J321" s="81">
        <f>VLOOKUP(C321,Recipes!$A$2:$N$4,12,FALSE())</f>
        <v>6.1509461004819709E-2</v>
      </c>
      <c r="K321" s="81">
        <f t="shared" si="29"/>
        <v>9.4254716169855399</v>
      </c>
      <c r="L321" s="81">
        <f t="shared" si="30"/>
        <v>9.7945283830144589</v>
      </c>
      <c r="M321" s="81" t="str">
        <f t="shared" si="32"/>
        <v>NG</v>
      </c>
      <c r="N321" s="117">
        <f t="shared" si="31"/>
        <v>1</v>
      </c>
      <c r="O321" s="81">
        <f t="shared" si="33"/>
        <v>2.7699999999999996</v>
      </c>
      <c r="P321" s="81">
        <f>IF(G321="","",ABS(O321-Components!$C$2))</f>
        <v>1.6666666666669716E-2</v>
      </c>
      <c r="Q321" s="81">
        <f>IF(G321="","",ABS(O321-Components!$C$3))</f>
        <v>1.266</v>
      </c>
      <c r="R321" s="81">
        <f>IF(G321="","",ABS(O321-Components!$C$4))</f>
        <v>1.7766666666666666</v>
      </c>
      <c r="S321" s="81">
        <f>IF(G321="","",ABS(O321-Components!$C$5))</f>
        <v>1.7926666666666708</v>
      </c>
      <c r="T321" s="81">
        <f>IF(G321="","",ABS(O321-Components!$C$6))</f>
        <v>1.6143333333333296</v>
      </c>
      <c r="U321" s="81">
        <f>IF(G321="","",ABS(O321-Components!$C$7))</f>
        <v>1.3956666666666695</v>
      </c>
      <c r="V321" s="81" t="str">
        <f>IF(F321="","",IF(M321="OK","NONE",INDEX({"S1","S2","W1","W2","N1","N2"},MATCH(MIN(P321:U321),P321:U321,0))))</f>
        <v>S1</v>
      </c>
      <c r="W321" s="117">
        <f t="shared" si="34"/>
        <v>1</v>
      </c>
      <c r="X321" s="119"/>
    </row>
    <row r="322" spans="1:24">
      <c r="A322" s="115">
        <v>320</v>
      </c>
      <c r="B322" s="116">
        <v>11</v>
      </c>
      <c r="C322" s="81" t="s">
        <v>132</v>
      </c>
      <c r="D322" s="111" t="s">
        <v>240</v>
      </c>
      <c r="E322" s="81" t="s">
        <v>99</v>
      </c>
      <c r="F322" s="52">
        <v>5.82</v>
      </c>
      <c r="G322" s="52">
        <f t="shared" si="28"/>
        <v>6.79</v>
      </c>
      <c r="H322" s="110"/>
      <c r="I322" s="81">
        <v>9.61</v>
      </c>
      <c r="J322" s="81">
        <f>VLOOKUP(C322,Recipes!$A$2:$N$4,12,FALSE())</f>
        <v>6.1509461004819709E-2</v>
      </c>
      <c r="K322" s="81">
        <f t="shared" si="29"/>
        <v>9.4254716169855399</v>
      </c>
      <c r="L322" s="81">
        <f t="shared" si="30"/>
        <v>9.7945283830144589</v>
      </c>
      <c r="M322" s="81" t="str">
        <f t="shared" si="32"/>
        <v>NG</v>
      </c>
      <c r="N322" s="117">
        <f t="shared" si="31"/>
        <v>1</v>
      </c>
      <c r="O322" s="81">
        <f t="shared" si="33"/>
        <v>2.8199999999999994</v>
      </c>
      <c r="P322" s="81">
        <f>IF(G322="","",ABS(O322-Components!$C$2))</f>
        <v>6.6666666666669538E-2</v>
      </c>
      <c r="Q322" s="81">
        <f>IF(G322="","",ABS(O322-Components!$C$3))</f>
        <v>1.2160000000000002</v>
      </c>
      <c r="R322" s="81">
        <f>IF(G322="","",ABS(O322-Components!$C$4))</f>
        <v>1.8266666666666664</v>
      </c>
      <c r="S322" s="81">
        <f>IF(G322="","",ABS(O322-Components!$C$5))</f>
        <v>1.742666666666671</v>
      </c>
      <c r="T322" s="81">
        <f>IF(G322="","",ABS(O322-Components!$C$6))</f>
        <v>1.6643333333333294</v>
      </c>
      <c r="U322" s="81">
        <f>IF(G322="","",ABS(O322-Components!$C$7))</f>
        <v>1.4456666666666693</v>
      </c>
      <c r="V322" s="81" t="str">
        <f>IF(F322="","",IF(M322="OK","NONE",INDEX({"S1","S2","W1","W2","N1","N2"},MATCH(MIN(P322:U322),P322:U322,0))))</f>
        <v>S1</v>
      </c>
      <c r="W322" s="117">
        <f t="shared" si="34"/>
        <v>1</v>
      </c>
      <c r="X322" s="119"/>
    </row>
    <row r="323" spans="1:24">
      <c r="A323" s="115">
        <v>321</v>
      </c>
      <c r="B323" s="116">
        <v>11</v>
      </c>
      <c r="C323" s="81" t="s">
        <v>132</v>
      </c>
      <c r="D323" s="111" t="s">
        <v>240</v>
      </c>
      <c r="E323" s="81" t="s">
        <v>99</v>
      </c>
      <c r="F323" s="52">
        <v>5.77</v>
      </c>
      <c r="G323" s="52">
        <f t="shared" ref="G323:G386" si="35">0.97+F323</f>
        <v>6.7399999999999993</v>
      </c>
      <c r="H323" s="110"/>
      <c r="I323" s="81">
        <v>9.61</v>
      </c>
      <c r="J323" s="81">
        <f>VLOOKUP(C323,Recipes!$A$2:$N$4,12,FALSE())</f>
        <v>6.1509461004819709E-2</v>
      </c>
      <c r="K323" s="81">
        <f t="shared" ref="K323:K386" si="36">I323-3*J323</f>
        <v>9.4254716169855399</v>
      </c>
      <c r="L323" s="81">
        <f t="shared" ref="L323:L386" si="37">I323+3*J323</f>
        <v>9.7945283830144589</v>
      </c>
      <c r="M323" s="81" t="str">
        <f t="shared" si="32"/>
        <v>NG</v>
      </c>
      <c r="N323" s="117">
        <f t="shared" ref="N323:N386" si="38">IF(M323="","",IF(M323=D323,1,0))</f>
        <v>1</v>
      </c>
      <c r="O323" s="81">
        <f t="shared" si="33"/>
        <v>2.87</v>
      </c>
      <c r="P323" s="81">
        <f>IF(G323="","",ABS(O323-Components!$C$2))</f>
        <v>0.11666666666667025</v>
      </c>
      <c r="Q323" s="81">
        <f>IF(G323="","",ABS(O323-Components!$C$3))</f>
        <v>1.1659999999999995</v>
      </c>
      <c r="R323" s="81">
        <f>IF(G323="","",ABS(O323-Components!$C$4))</f>
        <v>1.8766666666666671</v>
      </c>
      <c r="S323" s="81">
        <f>IF(G323="","",ABS(O323-Components!$C$5))</f>
        <v>1.6926666666666703</v>
      </c>
      <c r="T323" s="81">
        <f>IF(G323="","",ABS(O323-Components!$C$6))</f>
        <v>1.7143333333333302</v>
      </c>
      <c r="U323" s="81">
        <f>IF(G323="","",ABS(O323-Components!$C$7))</f>
        <v>1.49566666666667</v>
      </c>
      <c r="V323" s="81" t="str">
        <f>IF(F323="","",IF(M323="OK","NONE",INDEX({"S1","S2","W1","W2","N1","N2"},MATCH(MIN(P323:U323),P323:U323,0))))</f>
        <v>S1</v>
      </c>
      <c r="W323" s="117">
        <f t="shared" si="34"/>
        <v>1</v>
      </c>
      <c r="X323" s="119"/>
    </row>
    <row r="324" spans="1:24">
      <c r="A324" s="115">
        <v>322</v>
      </c>
      <c r="B324" s="116">
        <v>11</v>
      </c>
      <c r="C324" s="81" t="s">
        <v>132</v>
      </c>
      <c r="D324" s="111" t="s">
        <v>240</v>
      </c>
      <c r="E324" s="81" t="s">
        <v>99</v>
      </c>
      <c r="F324" s="52">
        <v>5.83</v>
      </c>
      <c r="G324" s="52">
        <f t="shared" si="35"/>
        <v>6.8</v>
      </c>
      <c r="H324" s="110"/>
      <c r="I324" s="81">
        <v>9.61</v>
      </c>
      <c r="J324" s="81">
        <f>VLOOKUP(C324,Recipes!$A$2:$N$4,12,FALSE())</f>
        <v>6.1509461004819709E-2</v>
      </c>
      <c r="K324" s="81">
        <f t="shared" si="36"/>
        <v>9.4254716169855399</v>
      </c>
      <c r="L324" s="81">
        <f t="shared" si="37"/>
        <v>9.7945283830144589</v>
      </c>
      <c r="M324" s="81" t="str">
        <f t="shared" ref="M324:M387" si="39">IF(G324="","",IF(AND(G324&gt;=K324,G324&lt;=L324),"OK","NG"))</f>
        <v>NG</v>
      </c>
      <c r="N324" s="117">
        <f t="shared" si="38"/>
        <v>1</v>
      </c>
      <c r="O324" s="81">
        <f t="shared" ref="O324:O387" si="40">IF(G324="","",I324-G324)</f>
        <v>2.8099999999999996</v>
      </c>
      <c r="P324" s="81">
        <f>IF(G324="","",ABS(O324-Components!$C$2))</f>
        <v>5.6666666666669752E-2</v>
      </c>
      <c r="Q324" s="81">
        <f>IF(G324="","",ABS(O324-Components!$C$3))</f>
        <v>1.226</v>
      </c>
      <c r="R324" s="81">
        <f>IF(G324="","",ABS(O324-Components!$C$4))</f>
        <v>1.8166666666666667</v>
      </c>
      <c r="S324" s="81">
        <f>IF(G324="","",ABS(O324-Components!$C$5))</f>
        <v>1.7526666666666708</v>
      </c>
      <c r="T324" s="81">
        <f>IF(G324="","",ABS(O324-Components!$C$6))</f>
        <v>1.6543333333333297</v>
      </c>
      <c r="U324" s="81">
        <f>IF(G324="","",ABS(O324-Components!$C$7))</f>
        <v>1.4356666666666695</v>
      </c>
      <c r="V324" s="81" t="str">
        <f>IF(F324="","",IF(M324="OK","NONE",INDEX({"S1","S2","W1","W2","N1","N2"},MATCH(MIN(P324:U324),P324:U324,0))))</f>
        <v>S1</v>
      </c>
      <c r="W324" s="117">
        <f t="shared" ref="W324:W387" si="41">IF(G324="","",IF(V324=E324,1,0))</f>
        <v>1</v>
      </c>
      <c r="X324" s="119"/>
    </row>
    <row r="325" spans="1:24">
      <c r="A325" s="115">
        <v>323</v>
      </c>
      <c r="B325" s="116">
        <v>11</v>
      </c>
      <c r="C325" s="81" t="s">
        <v>132</v>
      </c>
      <c r="D325" s="111" t="s">
        <v>240</v>
      </c>
      <c r="E325" s="81" t="s">
        <v>99</v>
      </c>
      <c r="F325" s="52">
        <v>5.85</v>
      </c>
      <c r="G325" s="52">
        <f t="shared" si="35"/>
        <v>6.8199999999999994</v>
      </c>
      <c r="H325" s="110"/>
      <c r="I325" s="81">
        <v>9.61</v>
      </c>
      <c r="J325" s="81">
        <f>VLOOKUP(C325,Recipes!$A$2:$N$4,12,FALSE())</f>
        <v>6.1509461004819709E-2</v>
      </c>
      <c r="K325" s="81">
        <f t="shared" si="36"/>
        <v>9.4254716169855399</v>
      </c>
      <c r="L325" s="81">
        <f t="shared" si="37"/>
        <v>9.7945283830144589</v>
      </c>
      <c r="M325" s="81" t="str">
        <f t="shared" si="39"/>
        <v>NG</v>
      </c>
      <c r="N325" s="117">
        <f t="shared" si="38"/>
        <v>1</v>
      </c>
      <c r="O325" s="81">
        <f t="shared" si="40"/>
        <v>2.79</v>
      </c>
      <c r="P325" s="81">
        <f>IF(G325="","",ABS(O325-Components!$C$2))</f>
        <v>3.6666666666670178E-2</v>
      </c>
      <c r="Q325" s="81">
        <f>IF(G325="","",ABS(O325-Components!$C$3))</f>
        <v>1.2459999999999996</v>
      </c>
      <c r="R325" s="81">
        <f>IF(G325="","",ABS(O325-Components!$C$4))</f>
        <v>1.7966666666666671</v>
      </c>
      <c r="S325" s="81">
        <f>IF(G325="","",ABS(O325-Components!$C$5))</f>
        <v>1.7726666666666704</v>
      </c>
      <c r="T325" s="81">
        <f>IF(G325="","",ABS(O325-Components!$C$6))</f>
        <v>1.6343333333333301</v>
      </c>
      <c r="U325" s="81">
        <f>IF(G325="","",ABS(O325-Components!$C$7))</f>
        <v>1.41566666666667</v>
      </c>
      <c r="V325" s="81" t="str">
        <f>IF(F325="","",IF(M325="OK","NONE",INDEX({"S1","S2","W1","W2","N1","N2"},MATCH(MIN(P325:U325),P325:U325,0))))</f>
        <v>S1</v>
      </c>
      <c r="W325" s="117">
        <f t="shared" si="41"/>
        <v>1</v>
      </c>
      <c r="X325" s="119"/>
    </row>
    <row r="326" spans="1:24">
      <c r="A326" s="115">
        <v>324</v>
      </c>
      <c r="B326" s="116">
        <v>11</v>
      </c>
      <c r="C326" s="81" t="s">
        <v>132</v>
      </c>
      <c r="D326" s="111" t="s">
        <v>240</v>
      </c>
      <c r="E326" s="81" t="s">
        <v>99</v>
      </c>
      <c r="F326" s="52">
        <v>5.86</v>
      </c>
      <c r="G326" s="52">
        <f t="shared" si="35"/>
        <v>6.83</v>
      </c>
      <c r="H326" s="110"/>
      <c r="I326" s="81">
        <v>9.61</v>
      </c>
      <c r="J326" s="81">
        <f>VLOOKUP(C326,Recipes!$A$2:$N$4,12,FALSE())</f>
        <v>6.1509461004819709E-2</v>
      </c>
      <c r="K326" s="81">
        <f t="shared" si="36"/>
        <v>9.4254716169855399</v>
      </c>
      <c r="L326" s="81">
        <f t="shared" si="37"/>
        <v>9.7945283830144589</v>
      </c>
      <c r="M326" s="81" t="str">
        <f t="shared" si="39"/>
        <v>NG</v>
      </c>
      <c r="N326" s="117">
        <f t="shared" si="38"/>
        <v>1</v>
      </c>
      <c r="O326" s="81">
        <f t="shared" si="40"/>
        <v>2.7799999999999994</v>
      </c>
      <c r="P326" s="81">
        <f>IF(G326="","",ABS(O326-Components!$C$2))</f>
        <v>2.6666666666669503E-2</v>
      </c>
      <c r="Q326" s="81">
        <f>IF(G326="","",ABS(O326-Components!$C$3))</f>
        <v>1.2560000000000002</v>
      </c>
      <c r="R326" s="81">
        <f>IF(G326="","",ABS(O326-Components!$C$4))</f>
        <v>1.7866666666666664</v>
      </c>
      <c r="S326" s="81">
        <f>IF(G326="","",ABS(O326-Components!$C$5))</f>
        <v>1.7826666666666711</v>
      </c>
      <c r="T326" s="81">
        <f>IF(G326="","",ABS(O326-Components!$C$6))</f>
        <v>1.6243333333333294</v>
      </c>
      <c r="U326" s="81">
        <f>IF(G326="","",ABS(O326-Components!$C$7))</f>
        <v>1.4056666666666693</v>
      </c>
      <c r="V326" s="81" t="str">
        <f>IF(F326="","",IF(M326="OK","NONE",INDEX({"S1","S2","W1","W2","N1","N2"},MATCH(MIN(P326:U326),P326:U326,0))))</f>
        <v>S1</v>
      </c>
      <c r="W326" s="117">
        <f t="shared" si="41"/>
        <v>1</v>
      </c>
      <c r="X326" s="119"/>
    </row>
    <row r="327" spans="1:24">
      <c r="A327" s="115">
        <v>325</v>
      </c>
      <c r="B327" s="116">
        <v>11</v>
      </c>
      <c r="C327" s="81" t="s">
        <v>132</v>
      </c>
      <c r="D327" s="111" t="s">
        <v>240</v>
      </c>
      <c r="E327" s="81" t="s">
        <v>99</v>
      </c>
      <c r="F327" s="52">
        <v>5.87</v>
      </c>
      <c r="G327" s="52">
        <f t="shared" si="35"/>
        <v>6.84</v>
      </c>
      <c r="H327" s="110"/>
      <c r="I327" s="81">
        <v>9.61</v>
      </c>
      <c r="J327" s="81">
        <f>VLOOKUP(C327,Recipes!$A$2:$N$4,12,FALSE())</f>
        <v>6.1509461004819709E-2</v>
      </c>
      <c r="K327" s="81">
        <f t="shared" si="36"/>
        <v>9.4254716169855399</v>
      </c>
      <c r="L327" s="81">
        <f t="shared" si="37"/>
        <v>9.7945283830144589</v>
      </c>
      <c r="M327" s="81" t="str">
        <f t="shared" si="39"/>
        <v>NG</v>
      </c>
      <c r="N327" s="117">
        <f t="shared" si="38"/>
        <v>1</v>
      </c>
      <c r="O327" s="81">
        <f t="shared" si="40"/>
        <v>2.7699999999999996</v>
      </c>
      <c r="P327" s="81">
        <f>IF(G327="","",ABS(O327-Components!$C$2))</f>
        <v>1.6666666666669716E-2</v>
      </c>
      <c r="Q327" s="81">
        <f>IF(G327="","",ABS(O327-Components!$C$3))</f>
        <v>1.266</v>
      </c>
      <c r="R327" s="81">
        <f>IF(G327="","",ABS(O327-Components!$C$4))</f>
        <v>1.7766666666666666</v>
      </c>
      <c r="S327" s="81">
        <f>IF(G327="","",ABS(O327-Components!$C$5))</f>
        <v>1.7926666666666708</v>
      </c>
      <c r="T327" s="81">
        <f>IF(G327="","",ABS(O327-Components!$C$6))</f>
        <v>1.6143333333333296</v>
      </c>
      <c r="U327" s="81">
        <f>IF(G327="","",ABS(O327-Components!$C$7))</f>
        <v>1.3956666666666695</v>
      </c>
      <c r="V327" s="81" t="str">
        <f>IF(F327="","",IF(M327="OK","NONE",INDEX({"S1","S2","W1","W2","N1","N2"},MATCH(MIN(P327:U327),P327:U327,0))))</f>
        <v>S1</v>
      </c>
      <c r="W327" s="117">
        <f t="shared" si="41"/>
        <v>1</v>
      </c>
      <c r="X327" s="119"/>
    </row>
    <row r="328" spans="1:24">
      <c r="A328" s="115">
        <v>326</v>
      </c>
      <c r="B328" s="116">
        <v>11</v>
      </c>
      <c r="C328" s="81" t="s">
        <v>132</v>
      </c>
      <c r="D328" s="111" t="s">
        <v>240</v>
      </c>
      <c r="E328" s="81" t="s">
        <v>99</v>
      </c>
      <c r="F328" s="52">
        <v>5.81</v>
      </c>
      <c r="G328" s="52">
        <f t="shared" si="35"/>
        <v>6.7799999999999994</v>
      </c>
      <c r="H328" s="110"/>
      <c r="I328" s="81">
        <v>9.61</v>
      </c>
      <c r="J328" s="81">
        <f>VLOOKUP(C328,Recipes!$A$2:$N$4,12,FALSE())</f>
        <v>6.1509461004819709E-2</v>
      </c>
      <c r="K328" s="81">
        <f t="shared" si="36"/>
        <v>9.4254716169855399</v>
      </c>
      <c r="L328" s="81">
        <f t="shared" si="37"/>
        <v>9.7945283830144589</v>
      </c>
      <c r="M328" s="81" t="str">
        <f t="shared" si="39"/>
        <v>NG</v>
      </c>
      <c r="N328" s="117">
        <f t="shared" si="38"/>
        <v>1</v>
      </c>
      <c r="O328" s="81">
        <f t="shared" si="40"/>
        <v>2.83</v>
      </c>
      <c r="P328" s="81">
        <f>IF(G328="","",ABS(O328-Components!$C$2))</f>
        <v>7.6666666666670213E-2</v>
      </c>
      <c r="Q328" s="81">
        <f>IF(G328="","",ABS(O328-Components!$C$3))</f>
        <v>1.2059999999999995</v>
      </c>
      <c r="R328" s="81">
        <f>IF(G328="","",ABS(O328-Components!$C$4))</f>
        <v>1.8366666666666671</v>
      </c>
      <c r="S328" s="81">
        <f>IF(G328="","",ABS(O328-Components!$C$5))</f>
        <v>1.7326666666666704</v>
      </c>
      <c r="T328" s="81">
        <f>IF(G328="","",ABS(O328-Components!$C$6))</f>
        <v>1.6743333333333301</v>
      </c>
      <c r="U328" s="81">
        <f>IF(G328="","",ABS(O328-Components!$C$7))</f>
        <v>1.45566666666667</v>
      </c>
      <c r="V328" s="81" t="str">
        <f>IF(F328="","",IF(M328="OK","NONE",INDEX({"S1","S2","W1","W2","N1","N2"},MATCH(MIN(P328:U328),P328:U328,0))))</f>
        <v>S1</v>
      </c>
      <c r="W328" s="117">
        <f t="shared" si="41"/>
        <v>1</v>
      </c>
      <c r="X328" s="119"/>
    </row>
    <row r="329" spans="1:24">
      <c r="A329" s="115">
        <v>327</v>
      </c>
      <c r="B329" s="116">
        <v>11</v>
      </c>
      <c r="C329" s="81" t="s">
        <v>132</v>
      </c>
      <c r="D329" s="111" t="s">
        <v>240</v>
      </c>
      <c r="E329" s="81" t="s">
        <v>99</v>
      </c>
      <c r="F329" s="52">
        <v>5.83</v>
      </c>
      <c r="G329" s="52">
        <f t="shared" si="35"/>
        <v>6.8</v>
      </c>
      <c r="H329" s="110"/>
      <c r="I329" s="81">
        <v>9.61</v>
      </c>
      <c r="J329" s="81">
        <f>VLOOKUP(C329,Recipes!$A$2:$N$4,12,FALSE())</f>
        <v>6.1509461004819709E-2</v>
      </c>
      <c r="K329" s="81">
        <f t="shared" si="36"/>
        <v>9.4254716169855399</v>
      </c>
      <c r="L329" s="81">
        <f t="shared" si="37"/>
        <v>9.7945283830144589</v>
      </c>
      <c r="M329" s="81" t="str">
        <f t="shared" si="39"/>
        <v>NG</v>
      </c>
      <c r="N329" s="117">
        <f t="shared" si="38"/>
        <v>1</v>
      </c>
      <c r="O329" s="81">
        <f t="shared" si="40"/>
        <v>2.8099999999999996</v>
      </c>
      <c r="P329" s="81">
        <f>IF(G329="","",ABS(O329-Components!$C$2))</f>
        <v>5.6666666666669752E-2</v>
      </c>
      <c r="Q329" s="81">
        <f>IF(G329="","",ABS(O329-Components!$C$3))</f>
        <v>1.226</v>
      </c>
      <c r="R329" s="81">
        <f>IF(G329="","",ABS(O329-Components!$C$4))</f>
        <v>1.8166666666666667</v>
      </c>
      <c r="S329" s="81">
        <f>IF(G329="","",ABS(O329-Components!$C$5))</f>
        <v>1.7526666666666708</v>
      </c>
      <c r="T329" s="81">
        <f>IF(G329="","",ABS(O329-Components!$C$6))</f>
        <v>1.6543333333333297</v>
      </c>
      <c r="U329" s="81">
        <f>IF(G329="","",ABS(O329-Components!$C$7))</f>
        <v>1.4356666666666695</v>
      </c>
      <c r="V329" s="81" t="str">
        <f>IF(F329="","",IF(M329="OK","NONE",INDEX({"S1","S2","W1","W2","N1","N2"},MATCH(MIN(P329:U329),P329:U329,0))))</f>
        <v>S1</v>
      </c>
      <c r="W329" s="117">
        <f t="shared" si="41"/>
        <v>1</v>
      </c>
      <c r="X329" s="119"/>
    </row>
    <row r="330" spans="1:24">
      <c r="A330" s="115">
        <v>328</v>
      </c>
      <c r="B330" s="116">
        <v>11</v>
      </c>
      <c r="C330" s="81" t="s">
        <v>132</v>
      </c>
      <c r="D330" s="111" t="s">
        <v>240</v>
      </c>
      <c r="E330" s="81" t="s">
        <v>99</v>
      </c>
      <c r="F330" s="52">
        <v>5.87</v>
      </c>
      <c r="G330" s="52">
        <f t="shared" si="35"/>
        <v>6.84</v>
      </c>
      <c r="H330" s="110"/>
      <c r="I330" s="81">
        <v>9.61</v>
      </c>
      <c r="J330" s="81">
        <f>VLOOKUP(C330,Recipes!$A$2:$N$4,12,FALSE())</f>
        <v>6.1509461004819709E-2</v>
      </c>
      <c r="K330" s="81">
        <f t="shared" si="36"/>
        <v>9.4254716169855399</v>
      </c>
      <c r="L330" s="81">
        <f t="shared" si="37"/>
        <v>9.7945283830144589</v>
      </c>
      <c r="M330" s="81" t="str">
        <f t="shared" si="39"/>
        <v>NG</v>
      </c>
      <c r="N330" s="117">
        <f t="shared" si="38"/>
        <v>1</v>
      </c>
      <c r="O330" s="81">
        <f t="shared" si="40"/>
        <v>2.7699999999999996</v>
      </c>
      <c r="P330" s="81">
        <f>IF(G330="","",ABS(O330-Components!$C$2))</f>
        <v>1.6666666666669716E-2</v>
      </c>
      <c r="Q330" s="81">
        <f>IF(G330="","",ABS(O330-Components!$C$3))</f>
        <v>1.266</v>
      </c>
      <c r="R330" s="81">
        <f>IF(G330="","",ABS(O330-Components!$C$4))</f>
        <v>1.7766666666666666</v>
      </c>
      <c r="S330" s="81">
        <f>IF(G330="","",ABS(O330-Components!$C$5))</f>
        <v>1.7926666666666708</v>
      </c>
      <c r="T330" s="81">
        <f>IF(G330="","",ABS(O330-Components!$C$6))</f>
        <v>1.6143333333333296</v>
      </c>
      <c r="U330" s="81">
        <f>IF(G330="","",ABS(O330-Components!$C$7))</f>
        <v>1.3956666666666695</v>
      </c>
      <c r="V330" s="81" t="str">
        <f>IF(F330="","",IF(M330="OK","NONE",INDEX({"S1","S2","W1","W2","N1","N2"},MATCH(MIN(P330:U330),P330:U330,0))))</f>
        <v>S1</v>
      </c>
      <c r="W330" s="117">
        <f t="shared" si="41"/>
        <v>1</v>
      </c>
      <c r="X330" s="119"/>
    </row>
    <row r="331" spans="1:24">
      <c r="A331" s="115">
        <v>329</v>
      </c>
      <c r="B331" s="116">
        <v>11</v>
      </c>
      <c r="C331" s="81" t="s">
        <v>132</v>
      </c>
      <c r="D331" s="111" t="s">
        <v>240</v>
      </c>
      <c r="E331" s="81" t="s">
        <v>99</v>
      </c>
      <c r="F331" s="52">
        <v>5.8</v>
      </c>
      <c r="G331" s="52">
        <f t="shared" si="35"/>
        <v>6.77</v>
      </c>
      <c r="H331" s="110"/>
      <c r="I331" s="81">
        <v>9.61</v>
      </c>
      <c r="J331" s="81">
        <f>VLOOKUP(C331,Recipes!$A$2:$N$4,12,FALSE())</f>
        <v>6.1509461004819709E-2</v>
      </c>
      <c r="K331" s="81">
        <f t="shared" si="36"/>
        <v>9.4254716169855399</v>
      </c>
      <c r="L331" s="81">
        <f t="shared" si="37"/>
        <v>9.7945283830144589</v>
      </c>
      <c r="M331" s="81" t="str">
        <f t="shared" si="39"/>
        <v>NG</v>
      </c>
      <c r="N331" s="117">
        <f t="shared" si="38"/>
        <v>1</v>
      </c>
      <c r="O331" s="81">
        <f t="shared" si="40"/>
        <v>2.84</v>
      </c>
      <c r="P331" s="81">
        <f>IF(G331="","",ABS(O331-Components!$C$2))</f>
        <v>8.666666666667E-2</v>
      </c>
      <c r="Q331" s="81">
        <f>IF(G331="","",ABS(O331-Components!$C$3))</f>
        <v>1.1959999999999997</v>
      </c>
      <c r="R331" s="81">
        <f>IF(G331="","",ABS(O331-Components!$C$4))</f>
        <v>1.8466666666666669</v>
      </c>
      <c r="S331" s="81">
        <f>IF(G331="","",ABS(O331-Components!$C$5))</f>
        <v>1.7226666666666706</v>
      </c>
      <c r="T331" s="81">
        <f>IF(G331="","",ABS(O331-Components!$C$6))</f>
        <v>1.6843333333333299</v>
      </c>
      <c r="U331" s="81">
        <f>IF(G331="","",ABS(O331-Components!$C$7))</f>
        <v>1.4656666666666698</v>
      </c>
      <c r="V331" s="81" t="str">
        <f>IF(F331="","",IF(M331="OK","NONE",INDEX({"S1","S2","W1","W2","N1","N2"},MATCH(MIN(P331:U331),P331:U331,0))))</f>
        <v>S1</v>
      </c>
      <c r="W331" s="117">
        <f t="shared" si="41"/>
        <v>1</v>
      </c>
      <c r="X331" s="119"/>
    </row>
    <row r="332" spans="1:24">
      <c r="A332" s="115">
        <v>330</v>
      </c>
      <c r="B332" s="116">
        <v>11</v>
      </c>
      <c r="C332" s="81" t="s">
        <v>132</v>
      </c>
      <c r="D332" s="111" t="s">
        <v>240</v>
      </c>
      <c r="E332" s="81" t="s">
        <v>99</v>
      </c>
      <c r="F332" s="52">
        <v>5.86</v>
      </c>
      <c r="G332" s="52">
        <f t="shared" si="35"/>
        <v>6.83</v>
      </c>
      <c r="H332" s="110"/>
      <c r="I332" s="81">
        <v>9.61</v>
      </c>
      <c r="J332" s="81">
        <f>VLOOKUP(C332,Recipes!$A$2:$N$4,12,FALSE())</f>
        <v>6.1509461004819709E-2</v>
      </c>
      <c r="K332" s="81">
        <f t="shared" si="36"/>
        <v>9.4254716169855399</v>
      </c>
      <c r="L332" s="81">
        <f t="shared" si="37"/>
        <v>9.7945283830144589</v>
      </c>
      <c r="M332" s="81" t="str">
        <f t="shared" si="39"/>
        <v>NG</v>
      </c>
      <c r="N332" s="117">
        <f t="shared" si="38"/>
        <v>1</v>
      </c>
      <c r="O332" s="81">
        <f t="shared" si="40"/>
        <v>2.7799999999999994</v>
      </c>
      <c r="P332" s="81">
        <f>IF(G332="","",ABS(O332-Components!$C$2))</f>
        <v>2.6666666666669503E-2</v>
      </c>
      <c r="Q332" s="81">
        <f>IF(G332="","",ABS(O332-Components!$C$3))</f>
        <v>1.2560000000000002</v>
      </c>
      <c r="R332" s="81">
        <f>IF(G332="","",ABS(O332-Components!$C$4))</f>
        <v>1.7866666666666664</v>
      </c>
      <c r="S332" s="81">
        <f>IF(G332="","",ABS(O332-Components!$C$5))</f>
        <v>1.7826666666666711</v>
      </c>
      <c r="T332" s="81">
        <f>IF(G332="","",ABS(O332-Components!$C$6))</f>
        <v>1.6243333333333294</v>
      </c>
      <c r="U332" s="81">
        <f>IF(G332="","",ABS(O332-Components!$C$7))</f>
        <v>1.4056666666666693</v>
      </c>
      <c r="V332" s="81" t="str">
        <f>IF(F332="","",IF(M332="OK","NONE",INDEX({"S1","S2","W1","W2","N1","N2"},MATCH(MIN(P332:U332),P332:U332,0))))</f>
        <v>S1</v>
      </c>
      <c r="W332" s="117">
        <f t="shared" si="41"/>
        <v>1</v>
      </c>
      <c r="X332" s="119"/>
    </row>
    <row r="333" spans="1:24">
      <c r="A333" s="115">
        <v>331</v>
      </c>
      <c r="B333" s="116">
        <v>12</v>
      </c>
      <c r="C333" s="81" t="s">
        <v>132</v>
      </c>
      <c r="D333" s="111" t="s">
        <v>240</v>
      </c>
      <c r="E333" s="81" t="s">
        <v>104</v>
      </c>
      <c r="F333" s="52">
        <v>7.6</v>
      </c>
      <c r="G333" s="52">
        <f t="shared" si="35"/>
        <v>8.57</v>
      </c>
      <c r="H333" s="110"/>
      <c r="I333" s="81">
        <v>9.61</v>
      </c>
      <c r="J333" s="81">
        <f>VLOOKUP(C333,Recipes!$A$2:$N$4,12,FALSE())</f>
        <v>6.1509461004819709E-2</v>
      </c>
      <c r="K333" s="81">
        <f t="shared" si="36"/>
        <v>9.4254716169855399</v>
      </c>
      <c r="L333" s="81">
        <f t="shared" si="37"/>
        <v>9.7945283830144589</v>
      </c>
      <c r="M333" s="81" t="str">
        <f t="shared" si="39"/>
        <v>NG</v>
      </c>
      <c r="N333" s="117">
        <f t="shared" si="38"/>
        <v>1</v>
      </c>
      <c r="O333" s="81">
        <f t="shared" si="40"/>
        <v>1.0399999999999991</v>
      </c>
      <c r="P333" s="81">
        <f>IF(G333="","",ABS(O333-Components!$C$2))</f>
        <v>1.7133333333333307</v>
      </c>
      <c r="Q333" s="81">
        <f>IF(G333="","",ABS(O333-Components!$C$3))</f>
        <v>2.9960000000000004</v>
      </c>
      <c r="R333" s="81">
        <f>IF(G333="","",ABS(O333-Components!$C$4))</f>
        <v>4.666666666666619E-2</v>
      </c>
      <c r="S333" s="81">
        <f>IF(G333="","",ABS(O333-Components!$C$5))</f>
        <v>3.5226666666666713</v>
      </c>
      <c r="T333" s="81">
        <f>IF(G333="","",ABS(O333-Components!$C$6))</f>
        <v>0.1156666666666708</v>
      </c>
      <c r="U333" s="81">
        <f>IF(G333="","",ABS(O333-Components!$C$7))</f>
        <v>0.33433333333333093</v>
      </c>
      <c r="V333" s="81" t="str">
        <f>IF(F333="","",IF(M333="OK","NONE",INDEX({"S1","S2","W1","W2","N1","N2"},MATCH(MIN(P333:U333),P333:U333,0))))</f>
        <v>W1</v>
      </c>
      <c r="W333" s="117">
        <f t="shared" si="41"/>
        <v>1</v>
      </c>
      <c r="X333" s="119"/>
    </row>
    <row r="334" spans="1:24">
      <c r="A334" s="115">
        <v>332</v>
      </c>
      <c r="B334" s="116">
        <v>12</v>
      </c>
      <c r="C334" s="81" t="s">
        <v>132</v>
      </c>
      <c r="D334" s="111" t="s">
        <v>240</v>
      </c>
      <c r="E334" s="81" t="s">
        <v>104</v>
      </c>
      <c r="F334" s="52">
        <v>7.68</v>
      </c>
      <c r="G334" s="52">
        <f t="shared" si="35"/>
        <v>8.65</v>
      </c>
      <c r="H334" s="110"/>
      <c r="I334" s="81">
        <v>9.61</v>
      </c>
      <c r="J334" s="81">
        <f>VLOOKUP(C334,Recipes!$A$2:$N$4,12,FALSE())</f>
        <v>6.1509461004819709E-2</v>
      </c>
      <c r="K334" s="81">
        <f t="shared" si="36"/>
        <v>9.4254716169855399</v>
      </c>
      <c r="L334" s="81">
        <f t="shared" si="37"/>
        <v>9.7945283830144589</v>
      </c>
      <c r="M334" s="81" t="str">
        <f t="shared" si="39"/>
        <v>NG</v>
      </c>
      <c r="N334" s="117">
        <f t="shared" si="38"/>
        <v>1</v>
      </c>
      <c r="O334" s="81">
        <f t="shared" si="40"/>
        <v>0.95999999999999908</v>
      </c>
      <c r="P334" s="81">
        <f>IF(G334="","",ABS(O334-Components!$C$2))</f>
        <v>1.7933333333333308</v>
      </c>
      <c r="Q334" s="81">
        <f>IF(G334="","",ABS(O334-Components!$C$3))</f>
        <v>3.0760000000000005</v>
      </c>
      <c r="R334" s="81">
        <f>IF(G334="","",ABS(O334-Components!$C$4))</f>
        <v>3.3333333333333881E-2</v>
      </c>
      <c r="S334" s="81">
        <f>IF(G334="","",ABS(O334-Components!$C$5))</f>
        <v>3.6026666666666713</v>
      </c>
      <c r="T334" s="81">
        <f>IF(G334="","",ABS(O334-Components!$C$6))</f>
        <v>0.19566666666667087</v>
      </c>
      <c r="U334" s="81">
        <f>IF(G334="","",ABS(O334-Components!$C$7))</f>
        <v>0.414333333333331</v>
      </c>
      <c r="V334" s="81" t="str">
        <f>IF(F334="","",IF(M334="OK","NONE",INDEX({"S1","S2","W1","W2","N1","N2"},MATCH(MIN(P334:U334),P334:U334,0))))</f>
        <v>W1</v>
      </c>
      <c r="W334" s="117">
        <f t="shared" si="41"/>
        <v>1</v>
      </c>
      <c r="X334" s="119"/>
    </row>
    <row r="335" spans="1:24">
      <c r="A335" s="115">
        <v>333</v>
      </c>
      <c r="B335" s="116">
        <v>12</v>
      </c>
      <c r="C335" s="81" t="s">
        <v>132</v>
      </c>
      <c r="D335" s="111" t="s">
        <v>240</v>
      </c>
      <c r="E335" s="81" t="s">
        <v>104</v>
      </c>
      <c r="F335" s="52">
        <v>7.4</v>
      </c>
      <c r="G335" s="52">
        <f t="shared" si="35"/>
        <v>8.370000000000001</v>
      </c>
      <c r="H335" s="110"/>
      <c r="I335" s="81">
        <v>9.61</v>
      </c>
      <c r="J335" s="81">
        <f>VLOOKUP(C335,Recipes!$A$2:$N$4,12,FALSE())</f>
        <v>6.1509461004819709E-2</v>
      </c>
      <c r="K335" s="81">
        <f t="shared" si="36"/>
        <v>9.4254716169855399</v>
      </c>
      <c r="L335" s="81">
        <f t="shared" si="37"/>
        <v>9.7945283830144589</v>
      </c>
      <c r="M335" s="81" t="str">
        <f t="shared" si="39"/>
        <v>NG</v>
      </c>
      <c r="N335" s="117">
        <f t="shared" si="38"/>
        <v>1</v>
      </c>
      <c r="O335" s="81">
        <f t="shared" si="40"/>
        <v>1.2399999999999984</v>
      </c>
      <c r="P335" s="81">
        <f>IF(G335="","",ABS(O335-Components!$C$2))</f>
        <v>1.5133333333333314</v>
      </c>
      <c r="Q335" s="81">
        <f>IF(G335="","",ABS(O335-Components!$C$3))</f>
        <v>2.7960000000000012</v>
      </c>
      <c r="R335" s="81">
        <f>IF(G335="","",ABS(O335-Components!$C$4))</f>
        <v>0.24666666666666548</v>
      </c>
      <c r="S335" s="81">
        <f>IF(G335="","",ABS(O335-Components!$C$5))</f>
        <v>3.322666666666672</v>
      </c>
      <c r="T335" s="81">
        <f>IF(G335="","",ABS(O335-Components!$C$6))</f>
        <v>8.4333333333328486E-2</v>
      </c>
      <c r="U335" s="81">
        <f>IF(G335="","",ABS(O335-Components!$C$7))</f>
        <v>0.13433333333333164</v>
      </c>
      <c r="V335" s="81" t="str">
        <f>IF(F335="","",IF(M335="OK","NONE",INDEX({"S1","S2","W1","W2","N1","N2"},MATCH(MIN(P335:U335),P335:U335,0))))</f>
        <v>N1</v>
      </c>
      <c r="W335" s="118">
        <f t="shared" si="41"/>
        <v>0</v>
      </c>
      <c r="X335" s="119"/>
    </row>
    <row r="336" spans="1:24">
      <c r="A336" s="115">
        <v>334</v>
      </c>
      <c r="B336" s="116">
        <v>12</v>
      </c>
      <c r="C336" s="81" t="s">
        <v>132</v>
      </c>
      <c r="D336" s="111" t="s">
        <v>240</v>
      </c>
      <c r="E336" s="81" t="s">
        <v>104</v>
      </c>
      <c r="F336" s="52">
        <v>7.59</v>
      </c>
      <c r="G336" s="52">
        <f t="shared" si="35"/>
        <v>8.56</v>
      </c>
      <c r="H336" s="110"/>
      <c r="I336" s="81">
        <v>9.61</v>
      </c>
      <c r="J336" s="81">
        <f>VLOOKUP(C336,Recipes!$A$2:$N$4,12,FALSE())</f>
        <v>6.1509461004819709E-2</v>
      </c>
      <c r="K336" s="81">
        <f t="shared" si="36"/>
        <v>9.4254716169855399</v>
      </c>
      <c r="L336" s="81">
        <f t="shared" si="37"/>
        <v>9.7945283830144589</v>
      </c>
      <c r="M336" s="81" t="str">
        <f t="shared" si="39"/>
        <v>NG</v>
      </c>
      <c r="N336" s="117">
        <f t="shared" si="38"/>
        <v>1</v>
      </c>
      <c r="O336" s="81">
        <f t="shared" si="40"/>
        <v>1.0499999999999989</v>
      </c>
      <c r="P336" s="81">
        <f>IF(G336="","",ABS(O336-Components!$C$2))</f>
        <v>1.7033333333333309</v>
      </c>
      <c r="Q336" s="81">
        <f>IF(G336="","",ABS(O336-Components!$C$3))</f>
        <v>2.9860000000000007</v>
      </c>
      <c r="R336" s="81">
        <f>IF(G336="","",ABS(O336-Components!$C$4))</f>
        <v>5.6666666666665977E-2</v>
      </c>
      <c r="S336" s="81">
        <f>IF(G336="","",ABS(O336-Components!$C$5))</f>
        <v>3.5126666666666715</v>
      </c>
      <c r="T336" s="81">
        <f>IF(G336="","",ABS(O336-Components!$C$6))</f>
        <v>0.10566666666667102</v>
      </c>
      <c r="U336" s="81">
        <f>IF(G336="","",ABS(O336-Components!$C$7))</f>
        <v>0.32433333333333114</v>
      </c>
      <c r="V336" s="81" t="str">
        <f>IF(F336="","",IF(M336="OK","NONE",INDEX({"S1","S2","W1","W2","N1","N2"},MATCH(MIN(P336:U336),P336:U336,0))))</f>
        <v>W1</v>
      </c>
      <c r="W336" s="117">
        <f t="shared" si="41"/>
        <v>1</v>
      </c>
      <c r="X336" s="119"/>
    </row>
    <row r="337" spans="1:24">
      <c r="A337" s="115">
        <v>335</v>
      </c>
      <c r="B337" s="116">
        <v>12</v>
      </c>
      <c r="C337" s="81" t="s">
        <v>132</v>
      </c>
      <c r="D337" s="111" t="s">
        <v>240</v>
      </c>
      <c r="E337" s="81" t="s">
        <v>104</v>
      </c>
      <c r="F337" s="52">
        <v>7.53</v>
      </c>
      <c r="G337" s="52">
        <f t="shared" si="35"/>
        <v>8.5</v>
      </c>
      <c r="H337" s="110"/>
      <c r="I337" s="81">
        <v>9.61</v>
      </c>
      <c r="J337" s="81">
        <f>VLOOKUP(C337,Recipes!$A$2:$N$4,12,FALSE())</f>
        <v>6.1509461004819709E-2</v>
      </c>
      <c r="K337" s="81">
        <f t="shared" si="36"/>
        <v>9.4254716169855399</v>
      </c>
      <c r="L337" s="81">
        <f t="shared" si="37"/>
        <v>9.7945283830144589</v>
      </c>
      <c r="M337" s="81" t="str">
        <f t="shared" si="39"/>
        <v>NG</v>
      </c>
      <c r="N337" s="117">
        <f t="shared" si="38"/>
        <v>1</v>
      </c>
      <c r="O337" s="81">
        <f t="shared" si="40"/>
        <v>1.1099999999999994</v>
      </c>
      <c r="P337" s="81">
        <f>IF(G337="","",ABS(O337-Components!$C$2))</f>
        <v>1.6433333333333304</v>
      </c>
      <c r="Q337" s="81">
        <f>IF(G337="","",ABS(O337-Components!$C$3))</f>
        <v>2.9260000000000002</v>
      </c>
      <c r="R337" s="81">
        <f>IF(G337="","",ABS(O337-Components!$C$4))</f>
        <v>0.11666666666666647</v>
      </c>
      <c r="S337" s="81">
        <f>IF(G337="","",ABS(O337-Components!$C$5))</f>
        <v>3.452666666666671</v>
      </c>
      <c r="T337" s="81">
        <f>IF(G337="","",ABS(O337-Components!$C$6))</f>
        <v>4.5666666666670519E-2</v>
      </c>
      <c r="U337" s="81">
        <f>IF(G337="","",ABS(O337-Components!$C$7))</f>
        <v>0.26433333333333064</v>
      </c>
      <c r="V337" s="81" t="str">
        <f>IF(F337="","",IF(M337="OK","NONE",INDEX({"S1","S2","W1","W2","N1","N2"},MATCH(MIN(P337:U337),P337:U337,0))))</f>
        <v>N1</v>
      </c>
      <c r="W337" s="118">
        <f t="shared" si="41"/>
        <v>0</v>
      </c>
      <c r="X337" s="119"/>
    </row>
    <row r="338" spans="1:24">
      <c r="A338" s="115">
        <v>336</v>
      </c>
      <c r="B338" s="116">
        <v>12</v>
      </c>
      <c r="C338" s="81" t="s">
        <v>132</v>
      </c>
      <c r="D338" s="111" t="s">
        <v>240</v>
      </c>
      <c r="E338" s="81" t="s">
        <v>104</v>
      </c>
      <c r="F338" s="52">
        <v>7.53</v>
      </c>
      <c r="G338" s="52">
        <f t="shared" si="35"/>
        <v>8.5</v>
      </c>
      <c r="H338" s="110"/>
      <c r="I338" s="81">
        <v>9.61</v>
      </c>
      <c r="J338" s="81">
        <f>VLOOKUP(C338,Recipes!$A$2:$N$4,12,FALSE())</f>
        <v>6.1509461004819709E-2</v>
      </c>
      <c r="K338" s="81">
        <f t="shared" si="36"/>
        <v>9.4254716169855399</v>
      </c>
      <c r="L338" s="81">
        <f t="shared" si="37"/>
        <v>9.7945283830144589</v>
      </c>
      <c r="M338" s="81" t="str">
        <f t="shared" si="39"/>
        <v>NG</v>
      </c>
      <c r="N338" s="117">
        <f t="shared" si="38"/>
        <v>1</v>
      </c>
      <c r="O338" s="81">
        <f t="shared" si="40"/>
        <v>1.1099999999999994</v>
      </c>
      <c r="P338" s="81">
        <f>IF(G338="","",ABS(O338-Components!$C$2))</f>
        <v>1.6433333333333304</v>
      </c>
      <c r="Q338" s="81">
        <f>IF(G338="","",ABS(O338-Components!$C$3))</f>
        <v>2.9260000000000002</v>
      </c>
      <c r="R338" s="81">
        <f>IF(G338="","",ABS(O338-Components!$C$4))</f>
        <v>0.11666666666666647</v>
      </c>
      <c r="S338" s="81">
        <f>IF(G338="","",ABS(O338-Components!$C$5))</f>
        <v>3.452666666666671</v>
      </c>
      <c r="T338" s="81">
        <f>IF(G338="","",ABS(O338-Components!$C$6))</f>
        <v>4.5666666666670519E-2</v>
      </c>
      <c r="U338" s="81">
        <f>IF(G338="","",ABS(O338-Components!$C$7))</f>
        <v>0.26433333333333064</v>
      </c>
      <c r="V338" s="81" t="str">
        <f>IF(F338="","",IF(M338="OK","NONE",INDEX({"S1","S2","W1","W2","N1","N2"},MATCH(MIN(P338:U338),P338:U338,0))))</f>
        <v>N1</v>
      </c>
      <c r="W338" s="118">
        <f t="shared" si="41"/>
        <v>0</v>
      </c>
      <c r="X338" s="119"/>
    </row>
    <row r="339" spans="1:24">
      <c r="A339" s="115">
        <v>337</v>
      </c>
      <c r="B339" s="116">
        <v>12</v>
      </c>
      <c r="C339" s="81" t="s">
        <v>132</v>
      </c>
      <c r="D339" s="111" t="s">
        <v>240</v>
      </c>
      <c r="E339" s="81" t="s">
        <v>104</v>
      </c>
      <c r="F339" s="52">
        <v>7.63</v>
      </c>
      <c r="G339" s="52">
        <f t="shared" si="35"/>
        <v>8.6</v>
      </c>
      <c r="H339" s="110"/>
      <c r="I339" s="81">
        <v>9.61</v>
      </c>
      <c r="J339" s="81">
        <f>VLOOKUP(C339,Recipes!$A$2:$N$4,12,FALSE())</f>
        <v>6.1509461004819709E-2</v>
      </c>
      <c r="K339" s="81">
        <f t="shared" si="36"/>
        <v>9.4254716169855399</v>
      </c>
      <c r="L339" s="81">
        <f t="shared" si="37"/>
        <v>9.7945283830144589</v>
      </c>
      <c r="M339" s="81" t="str">
        <f t="shared" si="39"/>
        <v>NG</v>
      </c>
      <c r="N339" s="117">
        <f t="shared" si="38"/>
        <v>1</v>
      </c>
      <c r="O339" s="81">
        <f t="shared" si="40"/>
        <v>1.0099999999999998</v>
      </c>
      <c r="P339" s="81">
        <f>IF(G339="","",ABS(O339-Components!$C$2))</f>
        <v>1.7433333333333301</v>
      </c>
      <c r="Q339" s="81">
        <f>IF(G339="","",ABS(O339-Components!$C$3))</f>
        <v>3.0259999999999998</v>
      </c>
      <c r="R339" s="81">
        <f>IF(G339="","",ABS(O339-Components!$C$4))</f>
        <v>1.6666666666666829E-2</v>
      </c>
      <c r="S339" s="81">
        <f>IF(G339="","",ABS(O339-Components!$C$5))</f>
        <v>3.5526666666666706</v>
      </c>
      <c r="T339" s="81">
        <f>IF(G339="","",ABS(O339-Components!$C$6))</f>
        <v>0.14566666666667016</v>
      </c>
      <c r="U339" s="81">
        <f>IF(G339="","",ABS(O339-Components!$C$7))</f>
        <v>0.36433333333333029</v>
      </c>
      <c r="V339" s="81" t="str">
        <f>IF(F339="","",IF(M339="OK","NONE",INDEX({"S1","S2","W1","W2","N1","N2"},MATCH(MIN(P339:U339),P339:U339,0))))</f>
        <v>W1</v>
      </c>
      <c r="W339" s="117">
        <f t="shared" si="41"/>
        <v>1</v>
      </c>
      <c r="X339" s="119"/>
    </row>
    <row r="340" spans="1:24">
      <c r="A340" s="115">
        <v>338</v>
      </c>
      <c r="B340" s="116">
        <v>12</v>
      </c>
      <c r="C340" s="81" t="s">
        <v>132</v>
      </c>
      <c r="D340" s="111" t="s">
        <v>240</v>
      </c>
      <c r="E340" s="81" t="s">
        <v>104</v>
      </c>
      <c r="F340" s="52">
        <v>7.62</v>
      </c>
      <c r="G340" s="52">
        <f t="shared" si="35"/>
        <v>8.59</v>
      </c>
      <c r="H340" s="110"/>
      <c r="I340" s="81">
        <v>9.61</v>
      </c>
      <c r="J340" s="81">
        <f>VLOOKUP(C340,Recipes!$A$2:$N$4,12,FALSE())</f>
        <v>6.1509461004819709E-2</v>
      </c>
      <c r="K340" s="81">
        <f t="shared" si="36"/>
        <v>9.4254716169855399</v>
      </c>
      <c r="L340" s="81">
        <f t="shared" si="37"/>
        <v>9.7945283830144589</v>
      </c>
      <c r="M340" s="81" t="str">
        <f t="shared" si="39"/>
        <v>NG</v>
      </c>
      <c r="N340" s="117">
        <f t="shared" si="38"/>
        <v>1</v>
      </c>
      <c r="O340" s="81">
        <f t="shared" si="40"/>
        <v>1.0199999999999996</v>
      </c>
      <c r="P340" s="81">
        <f>IF(G340="","",ABS(O340-Components!$C$2))</f>
        <v>1.7333333333333303</v>
      </c>
      <c r="Q340" s="81">
        <f>IF(G340="","",ABS(O340-Components!$C$3))</f>
        <v>3.016</v>
      </c>
      <c r="R340" s="81">
        <f>IF(G340="","",ABS(O340-Components!$C$4))</f>
        <v>2.6666666666666616E-2</v>
      </c>
      <c r="S340" s="81">
        <f>IF(G340="","",ABS(O340-Components!$C$5))</f>
        <v>3.5426666666666708</v>
      </c>
      <c r="T340" s="81">
        <f>IF(G340="","",ABS(O340-Components!$C$6))</f>
        <v>0.13566666666667038</v>
      </c>
      <c r="U340" s="81">
        <f>IF(G340="","",ABS(O340-Components!$C$7))</f>
        <v>0.3543333333333305</v>
      </c>
      <c r="V340" s="81" t="str">
        <f>IF(F340="","",IF(M340="OK","NONE",INDEX({"S1","S2","W1","W2","N1","N2"},MATCH(MIN(P340:U340),P340:U340,0))))</f>
        <v>W1</v>
      </c>
      <c r="W340" s="117">
        <f t="shared" si="41"/>
        <v>1</v>
      </c>
      <c r="X340" s="119"/>
    </row>
    <row r="341" spans="1:24">
      <c r="A341" s="115">
        <v>339</v>
      </c>
      <c r="B341" s="116">
        <v>12</v>
      </c>
      <c r="C341" s="81" t="s">
        <v>132</v>
      </c>
      <c r="D341" s="111" t="s">
        <v>240</v>
      </c>
      <c r="E341" s="81" t="s">
        <v>104</v>
      </c>
      <c r="F341" s="52">
        <v>7.59</v>
      </c>
      <c r="G341" s="52">
        <f t="shared" si="35"/>
        <v>8.56</v>
      </c>
      <c r="H341" s="110"/>
      <c r="I341" s="81">
        <v>9.61</v>
      </c>
      <c r="J341" s="81">
        <f>VLOOKUP(C341,Recipes!$A$2:$N$4,12,FALSE())</f>
        <v>6.1509461004819709E-2</v>
      </c>
      <c r="K341" s="81">
        <f t="shared" si="36"/>
        <v>9.4254716169855399</v>
      </c>
      <c r="L341" s="81">
        <f t="shared" si="37"/>
        <v>9.7945283830144589</v>
      </c>
      <c r="M341" s="81" t="str">
        <f t="shared" si="39"/>
        <v>NG</v>
      </c>
      <c r="N341" s="117">
        <f t="shared" si="38"/>
        <v>1</v>
      </c>
      <c r="O341" s="81">
        <f t="shared" si="40"/>
        <v>1.0499999999999989</v>
      </c>
      <c r="P341" s="81">
        <f>IF(G341="","",ABS(O341-Components!$C$2))</f>
        <v>1.7033333333333309</v>
      </c>
      <c r="Q341" s="81">
        <f>IF(G341="","",ABS(O341-Components!$C$3))</f>
        <v>2.9860000000000007</v>
      </c>
      <c r="R341" s="81">
        <f>IF(G341="","",ABS(O341-Components!$C$4))</f>
        <v>5.6666666666665977E-2</v>
      </c>
      <c r="S341" s="81">
        <f>IF(G341="","",ABS(O341-Components!$C$5))</f>
        <v>3.5126666666666715</v>
      </c>
      <c r="T341" s="81">
        <f>IF(G341="","",ABS(O341-Components!$C$6))</f>
        <v>0.10566666666667102</v>
      </c>
      <c r="U341" s="81">
        <f>IF(G341="","",ABS(O341-Components!$C$7))</f>
        <v>0.32433333333333114</v>
      </c>
      <c r="V341" s="81" t="str">
        <f>IF(F341="","",IF(M341="OK","NONE",INDEX({"S1","S2","W1","W2","N1","N2"},MATCH(MIN(P341:U341),P341:U341,0))))</f>
        <v>W1</v>
      </c>
      <c r="W341" s="117">
        <f t="shared" si="41"/>
        <v>1</v>
      </c>
      <c r="X341" s="119"/>
    </row>
    <row r="342" spans="1:24">
      <c r="A342" s="115">
        <v>340</v>
      </c>
      <c r="B342" s="116">
        <v>12</v>
      </c>
      <c r="C342" s="81" t="s">
        <v>132</v>
      </c>
      <c r="D342" s="111" t="s">
        <v>240</v>
      </c>
      <c r="E342" s="81" t="s">
        <v>104</v>
      </c>
      <c r="F342" s="52">
        <v>7.64</v>
      </c>
      <c r="G342" s="52">
        <f t="shared" si="35"/>
        <v>8.61</v>
      </c>
      <c r="H342" s="110"/>
      <c r="I342" s="81">
        <v>9.61</v>
      </c>
      <c r="J342" s="81">
        <f>VLOOKUP(C342,Recipes!$A$2:$N$4,12,FALSE())</f>
        <v>6.1509461004819709E-2</v>
      </c>
      <c r="K342" s="81">
        <f t="shared" si="36"/>
        <v>9.4254716169855399</v>
      </c>
      <c r="L342" s="81">
        <f t="shared" si="37"/>
        <v>9.7945283830144589</v>
      </c>
      <c r="M342" s="81" t="str">
        <f t="shared" si="39"/>
        <v>NG</v>
      </c>
      <c r="N342" s="117">
        <f t="shared" si="38"/>
        <v>1</v>
      </c>
      <c r="O342" s="81">
        <f t="shared" si="40"/>
        <v>1</v>
      </c>
      <c r="P342" s="81">
        <f>IF(G342="","",ABS(O342-Components!$C$2))</f>
        <v>1.7533333333333299</v>
      </c>
      <c r="Q342" s="81">
        <f>IF(G342="","",ABS(O342-Components!$C$3))</f>
        <v>3.0359999999999996</v>
      </c>
      <c r="R342" s="81">
        <f>IF(G342="","",ABS(O342-Components!$C$4))</f>
        <v>6.6666666666670427E-3</v>
      </c>
      <c r="S342" s="81">
        <f>IF(G342="","",ABS(O342-Components!$C$5))</f>
        <v>3.5626666666666704</v>
      </c>
      <c r="T342" s="81">
        <f>IF(G342="","",ABS(O342-Components!$C$6))</f>
        <v>0.15566666666666995</v>
      </c>
      <c r="U342" s="81">
        <f>IF(G342="","",ABS(O342-Components!$C$7))</f>
        <v>0.37433333333333008</v>
      </c>
      <c r="V342" s="81" t="str">
        <f>IF(F342="","",IF(M342="OK","NONE",INDEX({"S1","S2","W1","W2","N1","N2"},MATCH(MIN(P342:U342),P342:U342,0))))</f>
        <v>W1</v>
      </c>
      <c r="W342" s="117">
        <f t="shared" si="41"/>
        <v>1</v>
      </c>
      <c r="X342" s="119"/>
    </row>
    <row r="343" spans="1:24">
      <c r="A343" s="115">
        <v>341</v>
      </c>
      <c r="B343" s="116">
        <v>12</v>
      </c>
      <c r="C343" s="81" t="s">
        <v>132</v>
      </c>
      <c r="D343" s="111" t="s">
        <v>240</v>
      </c>
      <c r="E343" s="81" t="s">
        <v>104</v>
      </c>
      <c r="F343" s="52">
        <v>7.65</v>
      </c>
      <c r="G343" s="52">
        <f t="shared" si="35"/>
        <v>8.620000000000001</v>
      </c>
      <c r="H343" s="110"/>
      <c r="I343" s="81">
        <v>9.61</v>
      </c>
      <c r="J343" s="81">
        <f>VLOOKUP(C343,Recipes!$A$2:$N$4,12,FALSE())</f>
        <v>6.1509461004819709E-2</v>
      </c>
      <c r="K343" s="81">
        <f t="shared" si="36"/>
        <v>9.4254716169855399</v>
      </c>
      <c r="L343" s="81">
        <f t="shared" si="37"/>
        <v>9.7945283830144589</v>
      </c>
      <c r="M343" s="81" t="str">
        <f t="shared" si="39"/>
        <v>NG</v>
      </c>
      <c r="N343" s="117">
        <f t="shared" si="38"/>
        <v>1</v>
      </c>
      <c r="O343" s="81">
        <f t="shared" si="40"/>
        <v>0.98999999999999844</v>
      </c>
      <c r="P343" s="81">
        <f>IF(G343="","",ABS(O343-Components!$C$2))</f>
        <v>1.7633333333333314</v>
      </c>
      <c r="Q343" s="81">
        <f>IF(G343="","",ABS(O343-Components!$C$3))</f>
        <v>3.0460000000000012</v>
      </c>
      <c r="R343" s="81">
        <f>IF(G343="","",ABS(O343-Components!$C$4))</f>
        <v>3.3333333333345205E-3</v>
      </c>
      <c r="S343" s="81">
        <f>IF(G343="","",ABS(O343-Components!$C$5))</f>
        <v>3.572666666666672</v>
      </c>
      <c r="T343" s="81">
        <f>IF(G343="","",ABS(O343-Components!$C$6))</f>
        <v>0.16566666666667151</v>
      </c>
      <c r="U343" s="81">
        <f>IF(G343="","",ABS(O343-Components!$C$7))</f>
        <v>0.38433333333333164</v>
      </c>
      <c r="V343" s="81" t="str">
        <f>IF(F343="","",IF(M343="OK","NONE",INDEX({"S1","S2","W1","W2","N1","N2"},MATCH(MIN(P343:U343),P343:U343,0))))</f>
        <v>W1</v>
      </c>
      <c r="W343" s="117">
        <f t="shared" si="41"/>
        <v>1</v>
      </c>
      <c r="X343" s="119"/>
    </row>
    <row r="344" spans="1:24">
      <c r="A344" s="115">
        <v>342</v>
      </c>
      <c r="B344" s="116">
        <v>12</v>
      </c>
      <c r="C344" s="81" t="s">
        <v>132</v>
      </c>
      <c r="D344" s="111" t="s">
        <v>240</v>
      </c>
      <c r="E344" s="81" t="s">
        <v>104</v>
      </c>
      <c r="F344" s="52">
        <v>7.6</v>
      </c>
      <c r="G344" s="52">
        <f t="shared" si="35"/>
        <v>8.57</v>
      </c>
      <c r="H344" s="110"/>
      <c r="I344" s="81">
        <v>9.61</v>
      </c>
      <c r="J344" s="81">
        <f>VLOOKUP(C344,Recipes!$A$2:$N$4,12,FALSE())</f>
        <v>6.1509461004819709E-2</v>
      </c>
      <c r="K344" s="81">
        <f t="shared" si="36"/>
        <v>9.4254716169855399</v>
      </c>
      <c r="L344" s="81">
        <f t="shared" si="37"/>
        <v>9.7945283830144589</v>
      </c>
      <c r="M344" s="81" t="str">
        <f t="shared" si="39"/>
        <v>NG</v>
      </c>
      <c r="N344" s="117">
        <f t="shared" si="38"/>
        <v>1</v>
      </c>
      <c r="O344" s="81">
        <f t="shared" si="40"/>
        <v>1.0399999999999991</v>
      </c>
      <c r="P344" s="81">
        <f>IF(G344="","",ABS(O344-Components!$C$2))</f>
        <v>1.7133333333333307</v>
      </c>
      <c r="Q344" s="81">
        <f>IF(G344="","",ABS(O344-Components!$C$3))</f>
        <v>2.9960000000000004</v>
      </c>
      <c r="R344" s="81">
        <f>IF(G344="","",ABS(O344-Components!$C$4))</f>
        <v>4.666666666666619E-2</v>
      </c>
      <c r="S344" s="81">
        <f>IF(G344="","",ABS(O344-Components!$C$5))</f>
        <v>3.5226666666666713</v>
      </c>
      <c r="T344" s="81">
        <f>IF(G344="","",ABS(O344-Components!$C$6))</f>
        <v>0.1156666666666708</v>
      </c>
      <c r="U344" s="81">
        <f>IF(G344="","",ABS(O344-Components!$C$7))</f>
        <v>0.33433333333333093</v>
      </c>
      <c r="V344" s="81" t="str">
        <f>IF(F344="","",IF(M344="OK","NONE",INDEX({"S1","S2","W1","W2","N1","N2"},MATCH(MIN(P344:U344),P344:U344,0))))</f>
        <v>W1</v>
      </c>
      <c r="W344" s="117">
        <f t="shared" si="41"/>
        <v>1</v>
      </c>
      <c r="X344" s="119"/>
    </row>
    <row r="345" spans="1:24">
      <c r="A345" s="115">
        <v>343</v>
      </c>
      <c r="B345" s="116">
        <v>12</v>
      </c>
      <c r="C345" s="81" t="s">
        <v>132</v>
      </c>
      <c r="D345" s="111" t="s">
        <v>240</v>
      </c>
      <c r="E345" s="81" t="s">
        <v>104</v>
      </c>
      <c r="F345" s="52">
        <v>7.6</v>
      </c>
      <c r="G345" s="52">
        <f t="shared" si="35"/>
        <v>8.57</v>
      </c>
      <c r="H345" s="110"/>
      <c r="I345" s="81">
        <v>9.61</v>
      </c>
      <c r="J345" s="81">
        <f>VLOOKUP(C345,Recipes!$A$2:$N$4,12,FALSE())</f>
        <v>6.1509461004819709E-2</v>
      </c>
      <c r="K345" s="81">
        <f t="shared" si="36"/>
        <v>9.4254716169855399</v>
      </c>
      <c r="L345" s="81">
        <f t="shared" si="37"/>
        <v>9.7945283830144589</v>
      </c>
      <c r="M345" s="81" t="str">
        <f t="shared" si="39"/>
        <v>NG</v>
      </c>
      <c r="N345" s="117">
        <f t="shared" si="38"/>
        <v>1</v>
      </c>
      <c r="O345" s="81">
        <f t="shared" si="40"/>
        <v>1.0399999999999991</v>
      </c>
      <c r="P345" s="81">
        <f>IF(G345="","",ABS(O345-Components!$C$2))</f>
        <v>1.7133333333333307</v>
      </c>
      <c r="Q345" s="81">
        <f>IF(G345="","",ABS(O345-Components!$C$3))</f>
        <v>2.9960000000000004</v>
      </c>
      <c r="R345" s="81">
        <f>IF(G345="","",ABS(O345-Components!$C$4))</f>
        <v>4.666666666666619E-2</v>
      </c>
      <c r="S345" s="81">
        <f>IF(G345="","",ABS(O345-Components!$C$5))</f>
        <v>3.5226666666666713</v>
      </c>
      <c r="T345" s="81">
        <f>IF(G345="","",ABS(O345-Components!$C$6))</f>
        <v>0.1156666666666708</v>
      </c>
      <c r="U345" s="81">
        <f>IF(G345="","",ABS(O345-Components!$C$7))</f>
        <v>0.33433333333333093</v>
      </c>
      <c r="V345" s="81" t="str">
        <f>IF(F345="","",IF(M345="OK","NONE",INDEX({"S1","S2","W1","W2","N1","N2"},MATCH(MIN(P345:U345),P345:U345,0))))</f>
        <v>W1</v>
      </c>
      <c r="W345" s="117">
        <f t="shared" si="41"/>
        <v>1</v>
      </c>
      <c r="X345" s="119"/>
    </row>
    <row r="346" spans="1:24">
      <c r="A346" s="115">
        <v>344</v>
      </c>
      <c r="B346" s="116">
        <v>12</v>
      </c>
      <c r="C346" s="81" t="s">
        <v>132</v>
      </c>
      <c r="D346" s="111" t="s">
        <v>240</v>
      </c>
      <c r="E346" s="81" t="s">
        <v>104</v>
      </c>
      <c r="F346" s="52">
        <v>7.59</v>
      </c>
      <c r="G346" s="52">
        <f t="shared" si="35"/>
        <v>8.56</v>
      </c>
      <c r="H346" s="110"/>
      <c r="I346" s="81">
        <v>9.61</v>
      </c>
      <c r="J346" s="81">
        <f>VLOOKUP(C346,Recipes!$A$2:$N$4,12,FALSE())</f>
        <v>6.1509461004819709E-2</v>
      </c>
      <c r="K346" s="81">
        <f t="shared" si="36"/>
        <v>9.4254716169855399</v>
      </c>
      <c r="L346" s="81">
        <f t="shared" si="37"/>
        <v>9.7945283830144589</v>
      </c>
      <c r="M346" s="81" t="str">
        <f t="shared" si="39"/>
        <v>NG</v>
      </c>
      <c r="N346" s="117">
        <f t="shared" si="38"/>
        <v>1</v>
      </c>
      <c r="O346" s="81">
        <f t="shared" si="40"/>
        <v>1.0499999999999989</v>
      </c>
      <c r="P346" s="81">
        <f>IF(G346="","",ABS(O346-Components!$C$2))</f>
        <v>1.7033333333333309</v>
      </c>
      <c r="Q346" s="81">
        <f>IF(G346="","",ABS(O346-Components!$C$3))</f>
        <v>2.9860000000000007</v>
      </c>
      <c r="R346" s="81">
        <f>IF(G346="","",ABS(O346-Components!$C$4))</f>
        <v>5.6666666666665977E-2</v>
      </c>
      <c r="S346" s="81">
        <f>IF(G346="","",ABS(O346-Components!$C$5))</f>
        <v>3.5126666666666715</v>
      </c>
      <c r="T346" s="81">
        <f>IF(G346="","",ABS(O346-Components!$C$6))</f>
        <v>0.10566666666667102</v>
      </c>
      <c r="U346" s="81">
        <f>IF(G346="","",ABS(O346-Components!$C$7))</f>
        <v>0.32433333333333114</v>
      </c>
      <c r="V346" s="81" t="str">
        <f>IF(F346="","",IF(M346="OK","NONE",INDEX({"S1","S2","W1","W2","N1","N2"},MATCH(MIN(P346:U346),P346:U346,0))))</f>
        <v>W1</v>
      </c>
      <c r="W346" s="117">
        <f t="shared" si="41"/>
        <v>1</v>
      </c>
      <c r="X346" s="119"/>
    </row>
    <row r="347" spans="1:24">
      <c r="A347" s="115">
        <v>345</v>
      </c>
      <c r="B347" s="116">
        <v>12</v>
      </c>
      <c r="C347" s="81" t="s">
        <v>132</v>
      </c>
      <c r="D347" s="111" t="s">
        <v>240</v>
      </c>
      <c r="E347" s="81" t="s">
        <v>104</v>
      </c>
      <c r="F347" s="52">
        <v>7.63</v>
      </c>
      <c r="G347" s="52">
        <f t="shared" si="35"/>
        <v>8.6</v>
      </c>
      <c r="H347" s="110"/>
      <c r="I347" s="81">
        <v>9.61</v>
      </c>
      <c r="J347" s="81">
        <f>VLOOKUP(C347,Recipes!$A$2:$N$4,12,FALSE())</f>
        <v>6.1509461004819709E-2</v>
      </c>
      <c r="K347" s="81">
        <f t="shared" si="36"/>
        <v>9.4254716169855399</v>
      </c>
      <c r="L347" s="81">
        <f t="shared" si="37"/>
        <v>9.7945283830144589</v>
      </c>
      <c r="M347" s="81" t="str">
        <f t="shared" si="39"/>
        <v>NG</v>
      </c>
      <c r="N347" s="117">
        <f t="shared" si="38"/>
        <v>1</v>
      </c>
      <c r="O347" s="81">
        <f t="shared" si="40"/>
        <v>1.0099999999999998</v>
      </c>
      <c r="P347" s="81">
        <f>IF(G347="","",ABS(O347-Components!$C$2))</f>
        <v>1.7433333333333301</v>
      </c>
      <c r="Q347" s="81">
        <f>IF(G347="","",ABS(O347-Components!$C$3))</f>
        <v>3.0259999999999998</v>
      </c>
      <c r="R347" s="81">
        <f>IF(G347="","",ABS(O347-Components!$C$4))</f>
        <v>1.6666666666666829E-2</v>
      </c>
      <c r="S347" s="81">
        <f>IF(G347="","",ABS(O347-Components!$C$5))</f>
        <v>3.5526666666666706</v>
      </c>
      <c r="T347" s="81">
        <f>IF(G347="","",ABS(O347-Components!$C$6))</f>
        <v>0.14566666666667016</v>
      </c>
      <c r="U347" s="81">
        <f>IF(G347="","",ABS(O347-Components!$C$7))</f>
        <v>0.36433333333333029</v>
      </c>
      <c r="V347" s="81" t="str">
        <f>IF(F347="","",IF(M347="OK","NONE",INDEX({"S1","S2","W1","W2","N1","N2"},MATCH(MIN(P347:U347),P347:U347,0))))</f>
        <v>W1</v>
      </c>
      <c r="W347" s="117">
        <f t="shared" si="41"/>
        <v>1</v>
      </c>
      <c r="X347" s="119"/>
    </row>
    <row r="348" spans="1:24">
      <c r="A348" s="115">
        <v>346</v>
      </c>
      <c r="B348" s="116">
        <v>12</v>
      </c>
      <c r="C348" s="81" t="s">
        <v>132</v>
      </c>
      <c r="D348" s="111" t="s">
        <v>240</v>
      </c>
      <c r="E348" s="81" t="s">
        <v>104</v>
      </c>
      <c r="F348" s="52">
        <v>7.6</v>
      </c>
      <c r="G348" s="52">
        <f t="shared" si="35"/>
        <v>8.57</v>
      </c>
      <c r="H348" s="110"/>
      <c r="I348" s="81">
        <v>9.61</v>
      </c>
      <c r="J348" s="81">
        <f>VLOOKUP(C348,Recipes!$A$2:$N$4,12,FALSE())</f>
        <v>6.1509461004819709E-2</v>
      </c>
      <c r="K348" s="81">
        <f t="shared" si="36"/>
        <v>9.4254716169855399</v>
      </c>
      <c r="L348" s="81">
        <f t="shared" si="37"/>
        <v>9.7945283830144589</v>
      </c>
      <c r="M348" s="81" t="str">
        <f t="shared" si="39"/>
        <v>NG</v>
      </c>
      <c r="N348" s="117">
        <f t="shared" si="38"/>
        <v>1</v>
      </c>
      <c r="O348" s="81">
        <f t="shared" si="40"/>
        <v>1.0399999999999991</v>
      </c>
      <c r="P348" s="81">
        <f>IF(G348="","",ABS(O348-Components!$C$2))</f>
        <v>1.7133333333333307</v>
      </c>
      <c r="Q348" s="81">
        <f>IF(G348="","",ABS(O348-Components!$C$3))</f>
        <v>2.9960000000000004</v>
      </c>
      <c r="R348" s="81">
        <f>IF(G348="","",ABS(O348-Components!$C$4))</f>
        <v>4.666666666666619E-2</v>
      </c>
      <c r="S348" s="81">
        <f>IF(G348="","",ABS(O348-Components!$C$5))</f>
        <v>3.5226666666666713</v>
      </c>
      <c r="T348" s="81">
        <f>IF(G348="","",ABS(O348-Components!$C$6))</f>
        <v>0.1156666666666708</v>
      </c>
      <c r="U348" s="81">
        <f>IF(G348="","",ABS(O348-Components!$C$7))</f>
        <v>0.33433333333333093</v>
      </c>
      <c r="V348" s="81" t="str">
        <f>IF(F348="","",IF(M348="OK","NONE",INDEX({"S1","S2","W1","W2","N1","N2"},MATCH(MIN(P348:U348),P348:U348,0))))</f>
        <v>W1</v>
      </c>
      <c r="W348" s="117">
        <f t="shared" si="41"/>
        <v>1</v>
      </c>
      <c r="X348" s="119"/>
    </row>
    <row r="349" spans="1:24">
      <c r="A349" s="115">
        <v>347</v>
      </c>
      <c r="B349" s="116">
        <v>12</v>
      </c>
      <c r="C349" s="81" t="s">
        <v>132</v>
      </c>
      <c r="D349" s="111" t="s">
        <v>240</v>
      </c>
      <c r="E349" s="81" t="s">
        <v>104</v>
      </c>
      <c r="F349" s="52">
        <v>7.56</v>
      </c>
      <c r="G349" s="52">
        <f t="shared" si="35"/>
        <v>8.5299999999999994</v>
      </c>
      <c r="H349" s="110"/>
      <c r="I349" s="81">
        <v>9.61</v>
      </c>
      <c r="J349" s="81">
        <f>VLOOKUP(C349,Recipes!$A$2:$N$4,12,FALSE())</f>
        <v>6.1509461004819709E-2</v>
      </c>
      <c r="K349" s="81">
        <f t="shared" si="36"/>
        <v>9.4254716169855399</v>
      </c>
      <c r="L349" s="81">
        <f t="shared" si="37"/>
        <v>9.7945283830144589</v>
      </c>
      <c r="M349" s="81" t="str">
        <f t="shared" si="39"/>
        <v>NG</v>
      </c>
      <c r="N349" s="117">
        <f t="shared" si="38"/>
        <v>1</v>
      </c>
      <c r="O349" s="81">
        <f t="shared" si="40"/>
        <v>1.08</v>
      </c>
      <c r="P349" s="81">
        <f>IF(G349="","",ABS(O349-Components!$C$2))</f>
        <v>1.6733333333333298</v>
      </c>
      <c r="Q349" s="81">
        <f>IF(G349="","",ABS(O349-Components!$C$3))</f>
        <v>2.9559999999999995</v>
      </c>
      <c r="R349" s="81">
        <f>IF(G349="","",ABS(O349-Components!$C$4))</f>
        <v>8.6666666666667114E-2</v>
      </c>
      <c r="S349" s="81">
        <f>IF(G349="","",ABS(O349-Components!$C$5))</f>
        <v>3.4826666666666704</v>
      </c>
      <c r="T349" s="81">
        <f>IF(G349="","",ABS(O349-Components!$C$6))</f>
        <v>7.566666666666988E-2</v>
      </c>
      <c r="U349" s="81">
        <f>IF(G349="","",ABS(O349-Components!$C$7))</f>
        <v>0.29433333333333001</v>
      </c>
      <c r="V349" s="81" t="str">
        <f>IF(F349="","",IF(M349="OK","NONE",INDEX({"S1","S2","W1","W2","N1","N2"},MATCH(MIN(P349:U349),P349:U349,0))))</f>
        <v>N1</v>
      </c>
      <c r="W349" s="118">
        <f t="shared" si="41"/>
        <v>0</v>
      </c>
      <c r="X349" s="119"/>
    </row>
    <row r="350" spans="1:24">
      <c r="A350" s="115">
        <v>348</v>
      </c>
      <c r="B350" s="116">
        <v>12</v>
      </c>
      <c r="C350" s="81" t="s">
        <v>132</v>
      </c>
      <c r="D350" s="111" t="s">
        <v>240</v>
      </c>
      <c r="E350" s="81" t="s">
        <v>104</v>
      </c>
      <c r="F350" s="52">
        <v>7.63</v>
      </c>
      <c r="G350" s="52">
        <f t="shared" si="35"/>
        <v>8.6</v>
      </c>
      <c r="H350" s="110"/>
      <c r="I350" s="81">
        <v>9.61</v>
      </c>
      <c r="J350" s="81">
        <f>VLOOKUP(C350,Recipes!$A$2:$N$4,12,FALSE())</f>
        <v>6.1509461004819709E-2</v>
      </c>
      <c r="K350" s="81">
        <f t="shared" si="36"/>
        <v>9.4254716169855399</v>
      </c>
      <c r="L350" s="81">
        <f t="shared" si="37"/>
        <v>9.7945283830144589</v>
      </c>
      <c r="M350" s="81" t="str">
        <f t="shared" si="39"/>
        <v>NG</v>
      </c>
      <c r="N350" s="117">
        <f t="shared" si="38"/>
        <v>1</v>
      </c>
      <c r="O350" s="81">
        <f t="shared" si="40"/>
        <v>1.0099999999999998</v>
      </c>
      <c r="P350" s="81">
        <f>IF(G350="","",ABS(O350-Components!$C$2))</f>
        <v>1.7433333333333301</v>
      </c>
      <c r="Q350" s="81">
        <f>IF(G350="","",ABS(O350-Components!$C$3))</f>
        <v>3.0259999999999998</v>
      </c>
      <c r="R350" s="81">
        <f>IF(G350="","",ABS(O350-Components!$C$4))</f>
        <v>1.6666666666666829E-2</v>
      </c>
      <c r="S350" s="81">
        <f>IF(G350="","",ABS(O350-Components!$C$5))</f>
        <v>3.5526666666666706</v>
      </c>
      <c r="T350" s="81">
        <f>IF(G350="","",ABS(O350-Components!$C$6))</f>
        <v>0.14566666666667016</v>
      </c>
      <c r="U350" s="81">
        <f>IF(G350="","",ABS(O350-Components!$C$7))</f>
        <v>0.36433333333333029</v>
      </c>
      <c r="V350" s="81" t="str">
        <f>IF(F350="","",IF(M350="OK","NONE",INDEX({"S1","S2","W1","W2","N1","N2"},MATCH(MIN(P350:U350),P350:U350,0))))</f>
        <v>W1</v>
      </c>
      <c r="W350" s="117">
        <f t="shared" si="41"/>
        <v>1</v>
      </c>
      <c r="X350" s="119"/>
    </row>
    <row r="351" spans="1:24">
      <c r="A351" s="115">
        <v>349</v>
      </c>
      <c r="B351" s="116">
        <v>12</v>
      </c>
      <c r="C351" s="81" t="s">
        <v>132</v>
      </c>
      <c r="D351" s="111" t="s">
        <v>240</v>
      </c>
      <c r="E351" s="81" t="s">
        <v>104</v>
      </c>
      <c r="F351" s="52">
        <v>7.6</v>
      </c>
      <c r="G351" s="52">
        <f t="shared" si="35"/>
        <v>8.57</v>
      </c>
      <c r="H351" s="110"/>
      <c r="I351" s="81">
        <v>9.61</v>
      </c>
      <c r="J351" s="81">
        <f>VLOOKUP(C351,Recipes!$A$2:$N$4,12,FALSE())</f>
        <v>6.1509461004819709E-2</v>
      </c>
      <c r="K351" s="81">
        <f t="shared" si="36"/>
        <v>9.4254716169855399</v>
      </c>
      <c r="L351" s="81">
        <f t="shared" si="37"/>
        <v>9.7945283830144589</v>
      </c>
      <c r="M351" s="81" t="str">
        <f t="shared" si="39"/>
        <v>NG</v>
      </c>
      <c r="N351" s="117">
        <f t="shared" si="38"/>
        <v>1</v>
      </c>
      <c r="O351" s="81">
        <f t="shared" si="40"/>
        <v>1.0399999999999991</v>
      </c>
      <c r="P351" s="81">
        <f>IF(G351="","",ABS(O351-Components!$C$2))</f>
        <v>1.7133333333333307</v>
      </c>
      <c r="Q351" s="81">
        <f>IF(G351="","",ABS(O351-Components!$C$3))</f>
        <v>2.9960000000000004</v>
      </c>
      <c r="R351" s="81">
        <f>IF(G351="","",ABS(O351-Components!$C$4))</f>
        <v>4.666666666666619E-2</v>
      </c>
      <c r="S351" s="81">
        <f>IF(G351="","",ABS(O351-Components!$C$5))</f>
        <v>3.5226666666666713</v>
      </c>
      <c r="T351" s="81">
        <f>IF(G351="","",ABS(O351-Components!$C$6))</f>
        <v>0.1156666666666708</v>
      </c>
      <c r="U351" s="81">
        <f>IF(G351="","",ABS(O351-Components!$C$7))</f>
        <v>0.33433333333333093</v>
      </c>
      <c r="V351" s="81" t="str">
        <f>IF(F351="","",IF(M351="OK","NONE",INDEX({"S1","S2","W1","W2","N1","N2"},MATCH(MIN(P351:U351),P351:U351,0))))</f>
        <v>W1</v>
      </c>
      <c r="W351" s="117">
        <f t="shared" si="41"/>
        <v>1</v>
      </c>
      <c r="X351" s="119"/>
    </row>
    <row r="352" spans="1:24">
      <c r="A352" s="115">
        <v>350</v>
      </c>
      <c r="B352" s="116">
        <v>12</v>
      </c>
      <c r="C352" s="81" t="s">
        <v>132</v>
      </c>
      <c r="D352" s="111" t="s">
        <v>240</v>
      </c>
      <c r="E352" s="81" t="s">
        <v>104</v>
      </c>
      <c r="F352" s="52">
        <v>7.58</v>
      </c>
      <c r="G352" s="52">
        <f t="shared" si="35"/>
        <v>8.5500000000000007</v>
      </c>
      <c r="H352" s="110"/>
      <c r="I352" s="81">
        <v>9.61</v>
      </c>
      <c r="J352" s="81">
        <f>VLOOKUP(C352,Recipes!$A$2:$N$4,12,FALSE())</f>
        <v>6.1509461004819709E-2</v>
      </c>
      <c r="K352" s="81">
        <f t="shared" si="36"/>
        <v>9.4254716169855399</v>
      </c>
      <c r="L352" s="81">
        <f t="shared" si="37"/>
        <v>9.7945283830144589</v>
      </c>
      <c r="M352" s="81" t="str">
        <f t="shared" si="39"/>
        <v>NG</v>
      </c>
      <c r="N352" s="117">
        <f t="shared" si="38"/>
        <v>1</v>
      </c>
      <c r="O352" s="81">
        <f t="shared" si="40"/>
        <v>1.0599999999999987</v>
      </c>
      <c r="P352" s="81">
        <f>IF(G352="","",ABS(O352-Components!$C$2))</f>
        <v>1.6933333333333311</v>
      </c>
      <c r="Q352" s="81">
        <f>IF(G352="","",ABS(O352-Components!$C$3))</f>
        <v>2.9760000000000009</v>
      </c>
      <c r="R352" s="81">
        <f>IF(G352="","",ABS(O352-Components!$C$4))</f>
        <v>6.6666666666665764E-2</v>
      </c>
      <c r="S352" s="81">
        <f>IF(G352="","",ABS(O352-Components!$C$5))</f>
        <v>3.5026666666666717</v>
      </c>
      <c r="T352" s="81">
        <f>IF(G352="","",ABS(O352-Components!$C$6))</f>
        <v>9.566666666667123E-2</v>
      </c>
      <c r="U352" s="81">
        <f>IF(G352="","",ABS(O352-Components!$C$7))</f>
        <v>0.31433333333333136</v>
      </c>
      <c r="V352" s="81" t="str">
        <f>IF(F352="","",IF(M352="OK","NONE",INDEX({"S1","S2","W1","W2","N1","N2"},MATCH(MIN(P352:U352),P352:U352,0))))</f>
        <v>W1</v>
      </c>
      <c r="W352" s="117">
        <f t="shared" si="41"/>
        <v>1</v>
      </c>
      <c r="X352" s="119"/>
    </row>
    <row r="353" spans="1:24">
      <c r="A353" s="115">
        <v>351</v>
      </c>
      <c r="B353" s="116">
        <v>12</v>
      </c>
      <c r="C353" s="81" t="s">
        <v>132</v>
      </c>
      <c r="D353" s="111" t="s">
        <v>240</v>
      </c>
      <c r="E353" s="81" t="s">
        <v>104</v>
      </c>
      <c r="F353" s="52">
        <v>7.61</v>
      </c>
      <c r="G353" s="52">
        <f t="shared" si="35"/>
        <v>8.58</v>
      </c>
      <c r="H353" s="110"/>
      <c r="I353" s="81">
        <v>9.61</v>
      </c>
      <c r="J353" s="81">
        <f>VLOOKUP(C353,Recipes!$A$2:$N$4,12,FALSE())</f>
        <v>6.1509461004819709E-2</v>
      </c>
      <c r="K353" s="81">
        <f t="shared" si="36"/>
        <v>9.4254716169855399</v>
      </c>
      <c r="L353" s="81">
        <f t="shared" si="37"/>
        <v>9.7945283830144589</v>
      </c>
      <c r="M353" s="81" t="str">
        <f t="shared" si="39"/>
        <v>NG</v>
      </c>
      <c r="N353" s="117">
        <f t="shared" si="38"/>
        <v>1</v>
      </c>
      <c r="O353" s="81">
        <f t="shared" si="40"/>
        <v>1.0299999999999994</v>
      </c>
      <c r="P353" s="81">
        <f>IF(G353="","",ABS(O353-Components!$C$2))</f>
        <v>1.7233333333333305</v>
      </c>
      <c r="Q353" s="81">
        <f>IF(G353="","",ABS(O353-Components!$C$3))</f>
        <v>3.0060000000000002</v>
      </c>
      <c r="R353" s="81">
        <f>IF(G353="","",ABS(O353-Components!$C$4))</f>
        <v>3.6666666666666403E-2</v>
      </c>
      <c r="S353" s="81">
        <f>IF(G353="","",ABS(O353-Components!$C$5))</f>
        <v>3.5326666666666711</v>
      </c>
      <c r="T353" s="81">
        <f>IF(G353="","",ABS(O353-Components!$C$6))</f>
        <v>0.12566666666667059</v>
      </c>
      <c r="U353" s="81">
        <f>IF(G353="","",ABS(O353-Components!$C$7))</f>
        <v>0.34433333333333072</v>
      </c>
      <c r="V353" s="81" t="str">
        <f>IF(F353="","",IF(M353="OK","NONE",INDEX({"S1","S2","W1","W2","N1","N2"},MATCH(MIN(P353:U353),P353:U353,0))))</f>
        <v>W1</v>
      </c>
      <c r="W353" s="117">
        <f t="shared" si="41"/>
        <v>1</v>
      </c>
      <c r="X353" s="119"/>
    </row>
    <row r="354" spans="1:24">
      <c r="A354" s="115">
        <v>352</v>
      </c>
      <c r="B354" s="116">
        <v>12</v>
      </c>
      <c r="C354" s="81" t="s">
        <v>132</v>
      </c>
      <c r="D354" s="111" t="s">
        <v>240</v>
      </c>
      <c r="E354" s="81" t="s">
        <v>104</v>
      </c>
      <c r="F354" s="52">
        <v>7.67</v>
      </c>
      <c r="G354" s="52">
        <f t="shared" si="35"/>
        <v>8.64</v>
      </c>
      <c r="H354" s="110"/>
      <c r="I354" s="81">
        <v>9.61</v>
      </c>
      <c r="J354" s="81">
        <f>VLOOKUP(C354,Recipes!$A$2:$N$4,12,FALSE())</f>
        <v>6.1509461004819709E-2</v>
      </c>
      <c r="K354" s="81">
        <f t="shared" si="36"/>
        <v>9.4254716169855399</v>
      </c>
      <c r="L354" s="81">
        <f t="shared" si="37"/>
        <v>9.7945283830144589</v>
      </c>
      <c r="M354" s="81" t="str">
        <f t="shared" si="39"/>
        <v>NG</v>
      </c>
      <c r="N354" s="117">
        <f t="shared" si="38"/>
        <v>1</v>
      </c>
      <c r="O354" s="81">
        <f t="shared" si="40"/>
        <v>0.96999999999999886</v>
      </c>
      <c r="P354" s="81">
        <f>IF(G354="","",ABS(O354-Components!$C$2))</f>
        <v>1.783333333333331</v>
      </c>
      <c r="Q354" s="81">
        <f>IF(G354="","",ABS(O354-Components!$C$3))</f>
        <v>3.0660000000000007</v>
      </c>
      <c r="R354" s="81">
        <f>IF(G354="","",ABS(O354-Components!$C$4))</f>
        <v>2.3333333333334094E-2</v>
      </c>
      <c r="S354" s="81">
        <f>IF(G354="","",ABS(O354-Components!$C$5))</f>
        <v>3.5926666666666716</v>
      </c>
      <c r="T354" s="81">
        <f>IF(G354="","",ABS(O354-Components!$C$6))</f>
        <v>0.18566666666667109</v>
      </c>
      <c r="U354" s="81">
        <f>IF(G354="","",ABS(O354-Components!$C$7))</f>
        <v>0.40433333333333121</v>
      </c>
      <c r="V354" s="81" t="str">
        <f>IF(F354="","",IF(M354="OK","NONE",INDEX({"S1","S2","W1","W2","N1","N2"},MATCH(MIN(P354:U354),P354:U354,0))))</f>
        <v>W1</v>
      </c>
      <c r="W354" s="117">
        <f t="shared" si="41"/>
        <v>1</v>
      </c>
      <c r="X354" s="119"/>
    </row>
    <row r="355" spans="1:24">
      <c r="A355" s="115">
        <v>353</v>
      </c>
      <c r="B355" s="116">
        <v>12</v>
      </c>
      <c r="C355" s="81" t="s">
        <v>132</v>
      </c>
      <c r="D355" s="111" t="s">
        <v>240</v>
      </c>
      <c r="E355" s="81" t="s">
        <v>104</v>
      </c>
      <c r="F355" s="52">
        <v>7.42</v>
      </c>
      <c r="G355" s="52">
        <f t="shared" si="35"/>
        <v>8.39</v>
      </c>
      <c r="H355" s="110"/>
      <c r="I355" s="81">
        <v>9.61</v>
      </c>
      <c r="J355" s="81">
        <f>VLOOKUP(C355,Recipes!$A$2:$N$4,12,FALSE())</f>
        <v>6.1509461004819709E-2</v>
      </c>
      <c r="K355" s="81">
        <f t="shared" si="36"/>
        <v>9.4254716169855399</v>
      </c>
      <c r="L355" s="81">
        <f t="shared" si="37"/>
        <v>9.7945283830144589</v>
      </c>
      <c r="M355" s="81" t="str">
        <f t="shared" si="39"/>
        <v>NG</v>
      </c>
      <c r="N355" s="117">
        <f t="shared" si="38"/>
        <v>1</v>
      </c>
      <c r="O355" s="81">
        <f t="shared" si="40"/>
        <v>1.2199999999999989</v>
      </c>
      <c r="P355" s="81">
        <f>IF(G355="","",ABS(O355-Components!$C$2))</f>
        <v>1.533333333333331</v>
      </c>
      <c r="Q355" s="81">
        <f>IF(G355="","",ABS(O355-Components!$C$3))</f>
        <v>2.8160000000000007</v>
      </c>
      <c r="R355" s="81">
        <f>IF(G355="","",ABS(O355-Components!$C$4))</f>
        <v>0.22666666666666591</v>
      </c>
      <c r="S355" s="81">
        <f>IF(G355="","",ABS(O355-Components!$C$5))</f>
        <v>3.3426666666666716</v>
      </c>
      <c r="T355" s="81">
        <f>IF(G355="","",ABS(O355-Components!$C$6))</f>
        <v>6.4333333333328913E-2</v>
      </c>
      <c r="U355" s="81">
        <f>IF(G355="","",ABS(O355-Components!$C$7))</f>
        <v>0.15433333333333121</v>
      </c>
      <c r="V355" s="81" t="str">
        <f>IF(F355="","",IF(M355="OK","NONE",INDEX({"S1","S2","W1","W2","N1","N2"},MATCH(MIN(P355:U355),P355:U355,0))))</f>
        <v>N1</v>
      </c>
      <c r="W355" s="118">
        <f t="shared" si="41"/>
        <v>0</v>
      </c>
      <c r="X355" s="119"/>
    </row>
    <row r="356" spans="1:24">
      <c r="A356" s="115">
        <v>354</v>
      </c>
      <c r="B356" s="116">
        <v>12</v>
      </c>
      <c r="C356" s="81" t="s">
        <v>132</v>
      </c>
      <c r="D356" s="111" t="s">
        <v>240</v>
      </c>
      <c r="E356" s="81" t="s">
        <v>104</v>
      </c>
      <c r="F356" s="52">
        <v>7.69</v>
      </c>
      <c r="G356" s="52">
        <f t="shared" si="35"/>
        <v>8.66</v>
      </c>
      <c r="H356" s="110"/>
      <c r="I356" s="81">
        <v>9.61</v>
      </c>
      <c r="J356" s="81">
        <f>VLOOKUP(C356,Recipes!$A$2:$N$4,12,FALSE())</f>
        <v>6.1509461004819709E-2</v>
      </c>
      <c r="K356" s="81">
        <f t="shared" si="36"/>
        <v>9.4254716169855399</v>
      </c>
      <c r="L356" s="81">
        <f t="shared" si="37"/>
        <v>9.7945283830144589</v>
      </c>
      <c r="M356" s="81" t="str">
        <f t="shared" si="39"/>
        <v>NG</v>
      </c>
      <c r="N356" s="117">
        <f t="shared" si="38"/>
        <v>1</v>
      </c>
      <c r="O356" s="81">
        <f t="shared" si="40"/>
        <v>0.94999999999999929</v>
      </c>
      <c r="P356" s="81">
        <f>IF(G356="","",ABS(O356-Components!$C$2))</f>
        <v>1.8033333333333306</v>
      </c>
      <c r="Q356" s="81">
        <f>IF(G356="","",ABS(O356-Components!$C$3))</f>
        <v>3.0860000000000003</v>
      </c>
      <c r="R356" s="81">
        <f>IF(G356="","",ABS(O356-Components!$C$4))</f>
        <v>4.3333333333333668E-2</v>
      </c>
      <c r="S356" s="81">
        <f>IF(G356="","",ABS(O356-Components!$C$5))</f>
        <v>3.6126666666666711</v>
      </c>
      <c r="T356" s="81">
        <f>IF(G356="","",ABS(O356-Components!$C$6))</f>
        <v>0.20566666666667066</v>
      </c>
      <c r="U356" s="81">
        <f>IF(G356="","",ABS(O356-Components!$C$7))</f>
        <v>0.42433333333333079</v>
      </c>
      <c r="V356" s="81" t="str">
        <f>IF(F356="","",IF(M356="OK","NONE",INDEX({"S1","S2","W1","W2","N1","N2"},MATCH(MIN(P356:U356),P356:U356,0))))</f>
        <v>W1</v>
      </c>
      <c r="W356" s="117">
        <f t="shared" si="41"/>
        <v>1</v>
      </c>
      <c r="X356" s="119"/>
    </row>
    <row r="357" spans="1:24">
      <c r="A357" s="115">
        <v>355</v>
      </c>
      <c r="B357" s="116">
        <v>12</v>
      </c>
      <c r="C357" s="81" t="s">
        <v>132</v>
      </c>
      <c r="D357" s="111" t="s">
        <v>240</v>
      </c>
      <c r="E357" s="81" t="s">
        <v>104</v>
      </c>
      <c r="F357" s="52">
        <v>7.63</v>
      </c>
      <c r="G357" s="52">
        <f t="shared" si="35"/>
        <v>8.6</v>
      </c>
      <c r="H357" s="110"/>
      <c r="I357" s="81">
        <v>9.61</v>
      </c>
      <c r="J357" s="81">
        <f>VLOOKUP(C357,Recipes!$A$2:$N$4,12,FALSE())</f>
        <v>6.1509461004819709E-2</v>
      </c>
      <c r="K357" s="81">
        <f t="shared" si="36"/>
        <v>9.4254716169855399</v>
      </c>
      <c r="L357" s="81">
        <f t="shared" si="37"/>
        <v>9.7945283830144589</v>
      </c>
      <c r="M357" s="81" t="str">
        <f t="shared" si="39"/>
        <v>NG</v>
      </c>
      <c r="N357" s="117">
        <f t="shared" si="38"/>
        <v>1</v>
      </c>
      <c r="O357" s="81">
        <f t="shared" si="40"/>
        <v>1.0099999999999998</v>
      </c>
      <c r="P357" s="81">
        <f>IF(G357="","",ABS(O357-Components!$C$2))</f>
        <v>1.7433333333333301</v>
      </c>
      <c r="Q357" s="81">
        <f>IF(G357="","",ABS(O357-Components!$C$3))</f>
        <v>3.0259999999999998</v>
      </c>
      <c r="R357" s="81">
        <f>IF(G357="","",ABS(O357-Components!$C$4))</f>
        <v>1.6666666666666829E-2</v>
      </c>
      <c r="S357" s="81">
        <f>IF(G357="","",ABS(O357-Components!$C$5))</f>
        <v>3.5526666666666706</v>
      </c>
      <c r="T357" s="81">
        <f>IF(G357="","",ABS(O357-Components!$C$6))</f>
        <v>0.14566666666667016</v>
      </c>
      <c r="U357" s="81">
        <f>IF(G357="","",ABS(O357-Components!$C$7))</f>
        <v>0.36433333333333029</v>
      </c>
      <c r="V357" s="81" t="str">
        <f>IF(F357="","",IF(M357="OK","NONE",INDEX({"S1","S2","W1","W2","N1","N2"},MATCH(MIN(P357:U357),P357:U357,0))))</f>
        <v>W1</v>
      </c>
      <c r="W357" s="117">
        <f t="shared" si="41"/>
        <v>1</v>
      </c>
      <c r="X357" s="119"/>
    </row>
    <row r="358" spans="1:24">
      <c r="A358" s="115">
        <v>356</v>
      </c>
      <c r="B358" s="116">
        <v>12</v>
      </c>
      <c r="C358" s="81" t="s">
        <v>132</v>
      </c>
      <c r="D358" s="111" t="s">
        <v>240</v>
      </c>
      <c r="E358" s="81" t="s">
        <v>104</v>
      </c>
      <c r="F358" s="52">
        <v>7.38</v>
      </c>
      <c r="G358" s="52">
        <f t="shared" si="35"/>
        <v>8.35</v>
      </c>
      <c r="H358" s="110"/>
      <c r="I358" s="81">
        <v>9.61</v>
      </c>
      <c r="J358" s="81">
        <f>VLOOKUP(C358,Recipes!$A$2:$N$4,12,FALSE())</f>
        <v>6.1509461004819709E-2</v>
      </c>
      <c r="K358" s="81">
        <f t="shared" si="36"/>
        <v>9.4254716169855399</v>
      </c>
      <c r="L358" s="81">
        <f t="shared" si="37"/>
        <v>9.7945283830144589</v>
      </c>
      <c r="M358" s="81" t="str">
        <f t="shared" si="39"/>
        <v>NG</v>
      </c>
      <c r="N358" s="117">
        <f t="shared" si="38"/>
        <v>1</v>
      </c>
      <c r="O358" s="81">
        <f t="shared" si="40"/>
        <v>1.2599999999999998</v>
      </c>
      <c r="P358" s="81">
        <f>IF(G358="","",ABS(O358-Components!$C$2))</f>
        <v>1.4933333333333301</v>
      </c>
      <c r="Q358" s="81">
        <f>IF(G358="","",ABS(O358-Components!$C$3))</f>
        <v>2.7759999999999998</v>
      </c>
      <c r="R358" s="81">
        <f>IF(G358="","",ABS(O358-Components!$C$4))</f>
        <v>0.26666666666666683</v>
      </c>
      <c r="S358" s="81">
        <f>IF(G358="","",ABS(O358-Components!$C$5))</f>
        <v>3.3026666666666706</v>
      </c>
      <c r="T358" s="81">
        <f>IF(G358="","",ABS(O358-Components!$C$6))</f>
        <v>0.10433333333332984</v>
      </c>
      <c r="U358" s="81">
        <f>IF(G358="","",ABS(O358-Components!$C$7))</f>
        <v>0.11433333333333029</v>
      </c>
      <c r="V358" s="81" t="str">
        <f>IF(F358="","",IF(M358="OK","NONE",INDEX({"S1","S2","W1","W2","N1","N2"},MATCH(MIN(P358:U358),P358:U358,0))))</f>
        <v>N1</v>
      </c>
      <c r="W358" s="118">
        <f t="shared" si="41"/>
        <v>0</v>
      </c>
      <c r="X358" s="119"/>
    </row>
    <row r="359" spans="1:24">
      <c r="A359" s="115">
        <v>357</v>
      </c>
      <c r="B359" s="116">
        <v>12</v>
      </c>
      <c r="C359" s="81" t="s">
        <v>132</v>
      </c>
      <c r="D359" s="111" t="s">
        <v>240</v>
      </c>
      <c r="E359" s="81" t="s">
        <v>104</v>
      </c>
      <c r="F359" s="52">
        <v>7.54</v>
      </c>
      <c r="G359" s="52">
        <f t="shared" si="35"/>
        <v>8.51</v>
      </c>
      <c r="H359" s="110"/>
      <c r="I359" s="81">
        <v>9.61</v>
      </c>
      <c r="J359" s="81">
        <f>VLOOKUP(C359,Recipes!$A$2:$N$4,12,FALSE())</f>
        <v>6.1509461004819709E-2</v>
      </c>
      <c r="K359" s="81">
        <f t="shared" si="36"/>
        <v>9.4254716169855399</v>
      </c>
      <c r="L359" s="81">
        <f t="shared" si="37"/>
        <v>9.7945283830144589</v>
      </c>
      <c r="M359" s="81" t="str">
        <f t="shared" si="39"/>
        <v>NG</v>
      </c>
      <c r="N359" s="117">
        <f t="shared" si="38"/>
        <v>1</v>
      </c>
      <c r="O359" s="81">
        <f t="shared" si="40"/>
        <v>1.0999999999999996</v>
      </c>
      <c r="P359" s="81">
        <f>IF(G359="","",ABS(O359-Components!$C$2))</f>
        <v>1.6533333333333302</v>
      </c>
      <c r="Q359" s="81">
        <f>IF(G359="","",ABS(O359-Components!$C$3))</f>
        <v>2.9359999999999999</v>
      </c>
      <c r="R359" s="81">
        <f>IF(G359="","",ABS(O359-Components!$C$4))</f>
        <v>0.10666666666666669</v>
      </c>
      <c r="S359" s="81">
        <f>IF(G359="","",ABS(O359-Components!$C$5))</f>
        <v>3.4626666666666708</v>
      </c>
      <c r="T359" s="81">
        <f>IF(G359="","",ABS(O359-Components!$C$6))</f>
        <v>5.5666666666670306E-2</v>
      </c>
      <c r="U359" s="81">
        <f>IF(G359="","",ABS(O359-Components!$C$7))</f>
        <v>0.27433333333333043</v>
      </c>
      <c r="V359" s="81" t="str">
        <f>IF(F359="","",IF(M359="OK","NONE",INDEX({"S1","S2","W1","W2","N1","N2"},MATCH(MIN(P359:U359),P359:U359,0))))</f>
        <v>N1</v>
      </c>
      <c r="W359" s="118">
        <f t="shared" si="41"/>
        <v>0</v>
      </c>
      <c r="X359" s="119"/>
    </row>
    <row r="360" spans="1:24">
      <c r="A360" s="115">
        <v>358</v>
      </c>
      <c r="B360" s="116">
        <v>12</v>
      </c>
      <c r="C360" s="81" t="s">
        <v>132</v>
      </c>
      <c r="D360" s="111" t="s">
        <v>240</v>
      </c>
      <c r="E360" s="81" t="s">
        <v>104</v>
      </c>
      <c r="F360" s="52">
        <v>7.65</v>
      </c>
      <c r="G360" s="52">
        <f t="shared" si="35"/>
        <v>8.620000000000001</v>
      </c>
      <c r="H360" s="110"/>
      <c r="I360" s="81">
        <v>9.61</v>
      </c>
      <c r="J360" s="81">
        <f>VLOOKUP(C360,Recipes!$A$2:$N$4,12,FALSE())</f>
        <v>6.1509461004819709E-2</v>
      </c>
      <c r="K360" s="81">
        <f t="shared" si="36"/>
        <v>9.4254716169855399</v>
      </c>
      <c r="L360" s="81">
        <f t="shared" si="37"/>
        <v>9.7945283830144589</v>
      </c>
      <c r="M360" s="81" t="str">
        <f t="shared" si="39"/>
        <v>NG</v>
      </c>
      <c r="N360" s="117">
        <f t="shared" si="38"/>
        <v>1</v>
      </c>
      <c r="O360" s="81">
        <f t="shared" si="40"/>
        <v>0.98999999999999844</v>
      </c>
      <c r="P360" s="81">
        <f>IF(G360="","",ABS(O360-Components!$C$2))</f>
        <v>1.7633333333333314</v>
      </c>
      <c r="Q360" s="81">
        <f>IF(G360="","",ABS(O360-Components!$C$3))</f>
        <v>3.0460000000000012</v>
      </c>
      <c r="R360" s="81">
        <f>IF(G360="","",ABS(O360-Components!$C$4))</f>
        <v>3.3333333333345205E-3</v>
      </c>
      <c r="S360" s="81">
        <f>IF(G360="","",ABS(O360-Components!$C$5))</f>
        <v>3.572666666666672</v>
      </c>
      <c r="T360" s="81">
        <f>IF(G360="","",ABS(O360-Components!$C$6))</f>
        <v>0.16566666666667151</v>
      </c>
      <c r="U360" s="81">
        <f>IF(G360="","",ABS(O360-Components!$C$7))</f>
        <v>0.38433333333333164</v>
      </c>
      <c r="V360" s="81" t="str">
        <f>IF(F360="","",IF(M360="OK","NONE",INDEX({"S1","S2","W1","W2","N1","N2"},MATCH(MIN(P360:U360),P360:U360,0))))</f>
        <v>W1</v>
      </c>
      <c r="W360" s="117">
        <f t="shared" si="41"/>
        <v>1</v>
      </c>
      <c r="X360" s="119"/>
    </row>
    <row r="361" spans="1:24">
      <c r="A361" s="115">
        <v>359</v>
      </c>
      <c r="B361" s="116">
        <v>12</v>
      </c>
      <c r="C361" s="81" t="s">
        <v>132</v>
      </c>
      <c r="D361" s="111" t="s">
        <v>240</v>
      </c>
      <c r="E361" s="81" t="s">
        <v>104</v>
      </c>
      <c r="F361" s="52">
        <v>7.34</v>
      </c>
      <c r="G361" s="52">
        <f t="shared" si="35"/>
        <v>8.31</v>
      </c>
      <c r="H361" s="110"/>
      <c r="I361" s="81">
        <v>9.61</v>
      </c>
      <c r="J361" s="81">
        <f>VLOOKUP(C361,Recipes!$A$2:$N$4,12,FALSE())</f>
        <v>6.1509461004819709E-2</v>
      </c>
      <c r="K361" s="81">
        <f t="shared" si="36"/>
        <v>9.4254716169855399</v>
      </c>
      <c r="L361" s="81">
        <f t="shared" si="37"/>
        <v>9.7945283830144589</v>
      </c>
      <c r="M361" s="81" t="str">
        <f t="shared" si="39"/>
        <v>NG</v>
      </c>
      <c r="N361" s="117">
        <f t="shared" si="38"/>
        <v>1</v>
      </c>
      <c r="O361" s="81">
        <f t="shared" si="40"/>
        <v>1.2999999999999989</v>
      </c>
      <c r="P361" s="81">
        <f>IF(G361="","",ABS(O361-Components!$C$2))</f>
        <v>1.4533333333333309</v>
      </c>
      <c r="Q361" s="81">
        <f>IF(G361="","",ABS(O361-Components!$C$3))</f>
        <v>2.7360000000000007</v>
      </c>
      <c r="R361" s="81">
        <f>IF(G361="","",ABS(O361-Components!$C$4))</f>
        <v>0.30666666666666598</v>
      </c>
      <c r="S361" s="81">
        <f>IF(G361="","",ABS(O361-Components!$C$5))</f>
        <v>3.2626666666666715</v>
      </c>
      <c r="T361" s="81">
        <f>IF(G361="","",ABS(O361-Components!$C$6))</f>
        <v>0.14433333333332898</v>
      </c>
      <c r="U361" s="81">
        <f>IF(G361="","",ABS(O361-Components!$C$7))</f>
        <v>7.4333333333331142E-2</v>
      </c>
      <c r="V361" s="81" t="str">
        <f>IF(F361="","",IF(M361="OK","NONE",INDEX({"S1","S2","W1","W2","N1","N2"},MATCH(MIN(P361:U361),P361:U361,0))))</f>
        <v>N2</v>
      </c>
      <c r="W361" s="118">
        <f t="shared" si="41"/>
        <v>0</v>
      </c>
      <c r="X361" s="119"/>
    </row>
    <row r="362" spans="1:24">
      <c r="A362" s="115">
        <v>360</v>
      </c>
      <c r="B362" s="116">
        <v>12</v>
      </c>
      <c r="C362" s="81" t="s">
        <v>132</v>
      </c>
      <c r="D362" s="111" t="s">
        <v>240</v>
      </c>
      <c r="E362" s="81" t="s">
        <v>104</v>
      </c>
      <c r="F362" s="52">
        <v>7.68</v>
      </c>
      <c r="G362" s="52">
        <f t="shared" si="35"/>
        <v>8.65</v>
      </c>
      <c r="H362" s="110"/>
      <c r="I362" s="81">
        <v>9.61</v>
      </c>
      <c r="J362" s="81">
        <f>VLOOKUP(C362,Recipes!$A$2:$N$4,12,FALSE())</f>
        <v>6.1509461004819709E-2</v>
      </c>
      <c r="K362" s="81">
        <f t="shared" si="36"/>
        <v>9.4254716169855399</v>
      </c>
      <c r="L362" s="81">
        <f t="shared" si="37"/>
        <v>9.7945283830144589</v>
      </c>
      <c r="M362" s="81" t="str">
        <f t="shared" si="39"/>
        <v>NG</v>
      </c>
      <c r="N362" s="117">
        <f t="shared" si="38"/>
        <v>1</v>
      </c>
      <c r="O362" s="81">
        <f t="shared" si="40"/>
        <v>0.95999999999999908</v>
      </c>
      <c r="P362" s="81">
        <f>IF(G362="","",ABS(O362-Components!$C$2))</f>
        <v>1.7933333333333308</v>
      </c>
      <c r="Q362" s="81">
        <f>IF(G362="","",ABS(O362-Components!$C$3))</f>
        <v>3.0760000000000005</v>
      </c>
      <c r="R362" s="81">
        <f>IF(G362="","",ABS(O362-Components!$C$4))</f>
        <v>3.3333333333333881E-2</v>
      </c>
      <c r="S362" s="81">
        <f>IF(G362="","",ABS(O362-Components!$C$5))</f>
        <v>3.6026666666666713</v>
      </c>
      <c r="T362" s="81">
        <f>IF(G362="","",ABS(O362-Components!$C$6))</f>
        <v>0.19566666666667087</v>
      </c>
      <c r="U362" s="81">
        <f>IF(G362="","",ABS(O362-Components!$C$7))</f>
        <v>0.414333333333331</v>
      </c>
      <c r="V362" s="81" t="str">
        <f>IF(F362="","",IF(M362="OK","NONE",INDEX({"S1","S2","W1","W2","N1","N2"},MATCH(MIN(P362:U362),P362:U362,0))))</f>
        <v>W1</v>
      </c>
      <c r="W362" s="117">
        <f t="shared" si="41"/>
        <v>1</v>
      </c>
      <c r="X362" s="119"/>
    </row>
    <row r="363" spans="1:24">
      <c r="A363" s="115">
        <v>361</v>
      </c>
      <c r="B363" s="116">
        <v>13</v>
      </c>
      <c r="C363" s="81" t="s">
        <v>132</v>
      </c>
      <c r="D363" s="111" t="s">
        <v>240</v>
      </c>
      <c r="E363" s="81" t="s">
        <v>110</v>
      </c>
      <c r="F363" s="52">
        <v>7.21</v>
      </c>
      <c r="G363" s="52">
        <f t="shared" si="35"/>
        <v>8.18</v>
      </c>
      <c r="H363" s="110"/>
      <c r="I363" s="81">
        <v>9.61</v>
      </c>
      <c r="J363" s="81">
        <f>VLOOKUP(C363,Recipes!$A$2:$N$4,12,FALSE())</f>
        <v>6.1509461004819709E-2</v>
      </c>
      <c r="K363" s="81">
        <f t="shared" si="36"/>
        <v>9.4254716169855399</v>
      </c>
      <c r="L363" s="81">
        <f t="shared" si="37"/>
        <v>9.7945283830144589</v>
      </c>
      <c r="M363" s="81" t="str">
        <f t="shared" si="39"/>
        <v>NG</v>
      </c>
      <c r="N363" s="117">
        <f t="shared" si="38"/>
        <v>1</v>
      </c>
      <c r="O363" s="81">
        <f t="shared" si="40"/>
        <v>1.4299999999999997</v>
      </c>
      <c r="P363" s="81">
        <f>IF(G363="","",ABS(O363-Components!$C$2))</f>
        <v>1.3233333333333301</v>
      </c>
      <c r="Q363" s="81">
        <f>IF(G363="","",ABS(O363-Components!$C$3))</f>
        <v>2.6059999999999999</v>
      </c>
      <c r="R363" s="81">
        <f>IF(G363="","",ABS(O363-Components!$C$4))</f>
        <v>0.43666666666666676</v>
      </c>
      <c r="S363" s="81">
        <f>IF(G363="","",ABS(O363-Components!$C$5))</f>
        <v>3.1326666666666707</v>
      </c>
      <c r="T363" s="81">
        <f>IF(G363="","",ABS(O363-Components!$C$6))</f>
        <v>0.27433333333332977</v>
      </c>
      <c r="U363" s="81">
        <f>IF(G363="","",ABS(O363-Components!$C$7))</f>
        <v>5.566666666666964E-2</v>
      </c>
      <c r="V363" s="81" t="str">
        <f>IF(F363="","",IF(M363="OK","NONE",INDEX({"S1","S2","W1","W2","N1","N2"},MATCH(MIN(P363:U363),P363:U363,0))))</f>
        <v>N2</v>
      </c>
      <c r="W363" s="117">
        <f t="shared" si="41"/>
        <v>1</v>
      </c>
      <c r="X363" s="119"/>
    </row>
    <row r="364" spans="1:24">
      <c r="A364" s="115">
        <v>362</v>
      </c>
      <c r="B364" s="116">
        <v>13</v>
      </c>
      <c r="C364" s="81" t="s">
        <v>132</v>
      </c>
      <c r="D364" s="111" t="s">
        <v>240</v>
      </c>
      <c r="E364" s="81" t="s">
        <v>110</v>
      </c>
      <c r="F364" s="52">
        <v>7.27</v>
      </c>
      <c r="G364" s="52">
        <f t="shared" si="35"/>
        <v>8.24</v>
      </c>
      <c r="H364" s="110"/>
      <c r="I364" s="81">
        <v>9.61</v>
      </c>
      <c r="J364" s="81">
        <f>VLOOKUP(C364,Recipes!$A$2:$N$4,12,FALSE())</f>
        <v>6.1509461004819709E-2</v>
      </c>
      <c r="K364" s="81">
        <f t="shared" si="36"/>
        <v>9.4254716169855399</v>
      </c>
      <c r="L364" s="81">
        <f t="shared" si="37"/>
        <v>9.7945283830144589</v>
      </c>
      <c r="M364" s="81" t="str">
        <f t="shared" si="39"/>
        <v>NG</v>
      </c>
      <c r="N364" s="117">
        <f t="shared" si="38"/>
        <v>1</v>
      </c>
      <c r="O364" s="81">
        <f t="shared" si="40"/>
        <v>1.3699999999999992</v>
      </c>
      <c r="P364" s="81">
        <f>IF(G364="","",ABS(O364-Components!$C$2))</f>
        <v>1.3833333333333306</v>
      </c>
      <c r="Q364" s="81">
        <f>IF(G364="","",ABS(O364-Components!$C$3))</f>
        <v>2.6660000000000004</v>
      </c>
      <c r="R364" s="81">
        <f>IF(G364="","",ABS(O364-Components!$C$4))</f>
        <v>0.37666666666666626</v>
      </c>
      <c r="S364" s="81">
        <f>IF(G364="","",ABS(O364-Components!$C$5))</f>
        <v>3.1926666666666712</v>
      </c>
      <c r="T364" s="81">
        <f>IF(G364="","",ABS(O364-Components!$C$6))</f>
        <v>0.21433333333332927</v>
      </c>
      <c r="U364" s="81">
        <f>IF(G364="","",ABS(O364-Components!$C$7))</f>
        <v>4.3333333333308577E-3</v>
      </c>
      <c r="V364" s="81" t="str">
        <f>IF(F364="","",IF(M364="OK","NONE",INDEX({"S1","S2","W1","W2","N1","N2"},MATCH(MIN(P364:U364),P364:U364,0))))</f>
        <v>N2</v>
      </c>
      <c r="W364" s="117">
        <f t="shared" si="41"/>
        <v>1</v>
      </c>
      <c r="X364" s="119"/>
    </row>
    <row r="365" spans="1:24">
      <c r="A365" s="115">
        <v>363</v>
      </c>
      <c r="B365" s="116">
        <v>13</v>
      </c>
      <c r="C365" s="81" t="s">
        <v>132</v>
      </c>
      <c r="D365" s="111" t="s">
        <v>240</v>
      </c>
      <c r="E365" s="81" t="s">
        <v>110</v>
      </c>
      <c r="F365" s="52">
        <v>7.3</v>
      </c>
      <c r="G365" s="52">
        <f t="shared" si="35"/>
        <v>8.27</v>
      </c>
      <c r="H365" s="110"/>
      <c r="I365" s="81">
        <v>9.61</v>
      </c>
      <c r="J365" s="81">
        <f>VLOOKUP(C365,Recipes!$A$2:$N$4,12,FALSE())</f>
        <v>6.1509461004819709E-2</v>
      </c>
      <c r="K365" s="81">
        <f t="shared" si="36"/>
        <v>9.4254716169855399</v>
      </c>
      <c r="L365" s="81">
        <f t="shared" si="37"/>
        <v>9.7945283830144589</v>
      </c>
      <c r="M365" s="81" t="str">
        <f t="shared" si="39"/>
        <v>NG</v>
      </c>
      <c r="N365" s="117">
        <f t="shared" si="38"/>
        <v>1</v>
      </c>
      <c r="O365" s="81">
        <f t="shared" si="40"/>
        <v>1.3399999999999999</v>
      </c>
      <c r="P365" s="81">
        <f>IF(G365="","",ABS(O365-Components!$C$2))</f>
        <v>1.41333333333333</v>
      </c>
      <c r="Q365" s="81">
        <f>IF(G365="","",ABS(O365-Components!$C$3))</f>
        <v>2.6959999999999997</v>
      </c>
      <c r="R365" s="81">
        <f>IF(G365="","",ABS(O365-Components!$C$4))</f>
        <v>0.3466666666666669</v>
      </c>
      <c r="S365" s="81">
        <f>IF(G365="","",ABS(O365-Components!$C$5))</f>
        <v>3.2226666666666706</v>
      </c>
      <c r="T365" s="81">
        <f>IF(G365="","",ABS(O365-Components!$C$6))</f>
        <v>0.18433333333332991</v>
      </c>
      <c r="U365" s="81">
        <f>IF(G365="","",ABS(O365-Components!$C$7))</f>
        <v>3.4333333333330218E-2</v>
      </c>
      <c r="V365" s="81" t="str">
        <f>IF(F365="","",IF(M365="OK","NONE",INDEX({"S1","S2","W1","W2","N1","N2"},MATCH(MIN(P365:U365),P365:U365,0))))</f>
        <v>N2</v>
      </c>
      <c r="W365" s="117">
        <f t="shared" si="41"/>
        <v>1</v>
      </c>
      <c r="X365" s="119"/>
    </row>
    <row r="366" spans="1:24">
      <c r="A366" s="115">
        <v>364</v>
      </c>
      <c r="B366" s="116">
        <v>13</v>
      </c>
      <c r="C366" s="81" t="s">
        <v>132</v>
      </c>
      <c r="D366" s="111" t="s">
        <v>240</v>
      </c>
      <c r="E366" s="81" t="s">
        <v>110</v>
      </c>
      <c r="F366" s="52">
        <v>7.31</v>
      </c>
      <c r="G366" s="52">
        <f t="shared" si="35"/>
        <v>8.2799999999999994</v>
      </c>
      <c r="H366" s="110"/>
      <c r="I366" s="81">
        <v>9.61</v>
      </c>
      <c r="J366" s="81">
        <f>VLOOKUP(C366,Recipes!$A$2:$N$4,12,FALSE())</f>
        <v>6.1509461004819709E-2</v>
      </c>
      <c r="K366" s="81">
        <f t="shared" si="36"/>
        <v>9.4254716169855399</v>
      </c>
      <c r="L366" s="81">
        <f t="shared" si="37"/>
        <v>9.7945283830144589</v>
      </c>
      <c r="M366" s="81" t="str">
        <f t="shared" si="39"/>
        <v>NG</v>
      </c>
      <c r="N366" s="117">
        <f t="shared" si="38"/>
        <v>1</v>
      </c>
      <c r="O366" s="81">
        <f t="shared" si="40"/>
        <v>1.33</v>
      </c>
      <c r="P366" s="81">
        <f>IF(G366="","",ABS(O366-Components!$C$2))</f>
        <v>1.4233333333333298</v>
      </c>
      <c r="Q366" s="81">
        <f>IF(G366="","",ABS(O366-Components!$C$3))</f>
        <v>2.7059999999999995</v>
      </c>
      <c r="R366" s="81">
        <f>IF(G366="","",ABS(O366-Components!$C$4))</f>
        <v>0.33666666666666711</v>
      </c>
      <c r="S366" s="81">
        <f>IF(G366="","",ABS(O366-Components!$C$5))</f>
        <v>3.2326666666666704</v>
      </c>
      <c r="T366" s="81">
        <f>IF(G366="","",ABS(O366-Components!$C$6))</f>
        <v>0.17433333333333012</v>
      </c>
      <c r="U366" s="81">
        <f>IF(G366="","",ABS(O366-Components!$C$7))</f>
        <v>4.4333333333330005E-2</v>
      </c>
      <c r="V366" s="81" t="str">
        <f>IF(F366="","",IF(M366="OK","NONE",INDEX({"S1","S2","W1","W2","N1","N2"},MATCH(MIN(P366:U366),P366:U366,0))))</f>
        <v>N2</v>
      </c>
      <c r="W366" s="117">
        <f t="shared" si="41"/>
        <v>1</v>
      </c>
      <c r="X366" s="119"/>
    </row>
    <row r="367" spans="1:24">
      <c r="A367" s="115">
        <v>365</v>
      </c>
      <c r="B367" s="116">
        <v>13</v>
      </c>
      <c r="C367" s="81" t="s">
        <v>132</v>
      </c>
      <c r="D367" s="111" t="s">
        <v>240</v>
      </c>
      <c r="E367" s="81" t="s">
        <v>110</v>
      </c>
      <c r="F367" s="52">
        <v>7.17</v>
      </c>
      <c r="G367" s="52">
        <f t="shared" si="35"/>
        <v>8.14</v>
      </c>
      <c r="H367" s="110"/>
      <c r="I367" s="81">
        <v>9.61</v>
      </c>
      <c r="J367" s="81">
        <f>VLOOKUP(C367,Recipes!$A$2:$N$4,12,FALSE())</f>
        <v>6.1509461004819709E-2</v>
      </c>
      <c r="K367" s="81">
        <f t="shared" si="36"/>
        <v>9.4254716169855399</v>
      </c>
      <c r="L367" s="81">
        <f t="shared" si="37"/>
        <v>9.7945283830144589</v>
      </c>
      <c r="M367" s="81" t="str">
        <f t="shared" si="39"/>
        <v>NG</v>
      </c>
      <c r="N367" s="117">
        <f t="shared" si="38"/>
        <v>1</v>
      </c>
      <c r="O367" s="81">
        <f t="shared" si="40"/>
        <v>1.4699999999999989</v>
      </c>
      <c r="P367" s="81">
        <f>IF(G367="","",ABS(O367-Components!$C$2))</f>
        <v>1.283333333333331</v>
      </c>
      <c r="Q367" s="81">
        <f>IF(G367="","",ABS(O367-Components!$C$3))</f>
        <v>2.5660000000000007</v>
      </c>
      <c r="R367" s="81">
        <f>IF(G367="","",ABS(O367-Components!$C$4))</f>
        <v>0.47666666666666591</v>
      </c>
      <c r="S367" s="81">
        <f>IF(G367="","",ABS(O367-Components!$C$5))</f>
        <v>3.0926666666666716</v>
      </c>
      <c r="T367" s="81">
        <f>IF(G367="","",ABS(O367-Components!$C$6))</f>
        <v>0.31433333333332891</v>
      </c>
      <c r="U367" s="81">
        <f>IF(G367="","",ABS(O367-Components!$C$7))</f>
        <v>9.5666666666668787E-2</v>
      </c>
      <c r="V367" s="81" t="str">
        <f>IF(F367="","",IF(M367="OK","NONE",INDEX({"S1","S2","W1","W2","N1","N2"},MATCH(MIN(P367:U367),P367:U367,0))))</f>
        <v>N2</v>
      </c>
      <c r="W367" s="117">
        <f t="shared" si="41"/>
        <v>1</v>
      </c>
      <c r="X367" s="119"/>
    </row>
    <row r="368" spans="1:24">
      <c r="A368" s="115">
        <v>366</v>
      </c>
      <c r="B368" s="116">
        <v>13</v>
      </c>
      <c r="C368" s="81" t="s">
        <v>132</v>
      </c>
      <c r="D368" s="111" t="s">
        <v>240</v>
      </c>
      <c r="E368" s="81" t="s">
        <v>110</v>
      </c>
      <c r="F368" s="52">
        <v>7.23</v>
      </c>
      <c r="G368" s="52">
        <f t="shared" si="35"/>
        <v>8.2000000000000011</v>
      </c>
      <c r="H368" s="110"/>
      <c r="I368" s="81">
        <v>9.61</v>
      </c>
      <c r="J368" s="81">
        <f>VLOOKUP(C368,Recipes!$A$2:$N$4,12,FALSE())</f>
        <v>6.1509461004819709E-2</v>
      </c>
      <c r="K368" s="81">
        <f t="shared" si="36"/>
        <v>9.4254716169855399</v>
      </c>
      <c r="L368" s="81">
        <f t="shared" si="37"/>
        <v>9.7945283830144589</v>
      </c>
      <c r="M368" s="81" t="str">
        <f t="shared" si="39"/>
        <v>NG</v>
      </c>
      <c r="N368" s="117">
        <f t="shared" si="38"/>
        <v>1</v>
      </c>
      <c r="O368" s="81">
        <f t="shared" si="40"/>
        <v>1.4099999999999984</v>
      </c>
      <c r="P368" s="81">
        <f>IF(G368="","",ABS(O368-Components!$C$2))</f>
        <v>1.3433333333333315</v>
      </c>
      <c r="Q368" s="81">
        <f>IF(G368="","",ABS(O368-Components!$C$3))</f>
        <v>2.6260000000000012</v>
      </c>
      <c r="R368" s="81">
        <f>IF(G368="","",ABS(O368-Components!$C$4))</f>
        <v>0.41666666666666541</v>
      </c>
      <c r="S368" s="81">
        <f>IF(G368="","",ABS(O368-Components!$C$5))</f>
        <v>3.1526666666666721</v>
      </c>
      <c r="T368" s="81">
        <f>IF(G368="","",ABS(O368-Components!$C$6))</f>
        <v>0.25433333333332842</v>
      </c>
      <c r="U368" s="81">
        <f>IF(G368="","",ABS(O368-Components!$C$7))</f>
        <v>3.566666666666829E-2</v>
      </c>
      <c r="V368" s="81" t="str">
        <f>IF(F368="","",IF(M368="OK","NONE",INDEX({"S1","S2","W1","W2","N1","N2"},MATCH(MIN(P368:U368),P368:U368,0))))</f>
        <v>N2</v>
      </c>
      <c r="W368" s="117">
        <f t="shared" si="41"/>
        <v>1</v>
      </c>
      <c r="X368" s="119"/>
    </row>
    <row r="369" spans="1:24">
      <c r="A369" s="115">
        <v>367</v>
      </c>
      <c r="B369" s="116">
        <v>13</v>
      </c>
      <c r="C369" s="81" t="s">
        <v>132</v>
      </c>
      <c r="D369" s="111" t="s">
        <v>240</v>
      </c>
      <c r="E369" s="81" t="s">
        <v>110</v>
      </c>
      <c r="F369" s="52">
        <v>7.23</v>
      </c>
      <c r="G369" s="52">
        <f t="shared" si="35"/>
        <v>8.2000000000000011</v>
      </c>
      <c r="H369" s="110"/>
      <c r="I369" s="81">
        <v>9.61</v>
      </c>
      <c r="J369" s="81">
        <f>VLOOKUP(C369,Recipes!$A$2:$N$4,12,FALSE())</f>
        <v>6.1509461004819709E-2</v>
      </c>
      <c r="K369" s="81">
        <f t="shared" si="36"/>
        <v>9.4254716169855399</v>
      </c>
      <c r="L369" s="81">
        <f t="shared" si="37"/>
        <v>9.7945283830144589</v>
      </c>
      <c r="M369" s="81" t="str">
        <f t="shared" si="39"/>
        <v>NG</v>
      </c>
      <c r="N369" s="117">
        <f t="shared" si="38"/>
        <v>1</v>
      </c>
      <c r="O369" s="81">
        <f t="shared" si="40"/>
        <v>1.4099999999999984</v>
      </c>
      <c r="P369" s="81">
        <f>IF(G369="","",ABS(O369-Components!$C$2))</f>
        <v>1.3433333333333315</v>
      </c>
      <c r="Q369" s="81">
        <f>IF(G369="","",ABS(O369-Components!$C$3))</f>
        <v>2.6260000000000012</v>
      </c>
      <c r="R369" s="81">
        <f>IF(G369="","",ABS(O369-Components!$C$4))</f>
        <v>0.41666666666666541</v>
      </c>
      <c r="S369" s="81">
        <f>IF(G369="","",ABS(O369-Components!$C$5))</f>
        <v>3.1526666666666721</v>
      </c>
      <c r="T369" s="81">
        <f>IF(G369="","",ABS(O369-Components!$C$6))</f>
        <v>0.25433333333332842</v>
      </c>
      <c r="U369" s="81">
        <f>IF(G369="","",ABS(O369-Components!$C$7))</f>
        <v>3.566666666666829E-2</v>
      </c>
      <c r="V369" s="81" t="str">
        <f>IF(F369="","",IF(M369="OK","NONE",INDEX({"S1","S2","W1","W2","N1","N2"},MATCH(MIN(P369:U369),P369:U369,0))))</f>
        <v>N2</v>
      </c>
      <c r="W369" s="117">
        <f t="shared" si="41"/>
        <v>1</v>
      </c>
      <c r="X369" s="119"/>
    </row>
    <row r="370" spans="1:24">
      <c r="A370" s="115">
        <v>368</v>
      </c>
      <c r="B370" s="116">
        <v>13</v>
      </c>
      <c r="C370" s="81" t="s">
        <v>132</v>
      </c>
      <c r="D370" s="111" t="s">
        <v>240</v>
      </c>
      <c r="E370" s="81" t="s">
        <v>110</v>
      </c>
      <c r="F370" s="52">
        <v>7.3</v>
      </c>
      <c r="G370" s="52">
        <f t="shared" si="35"/>
        <v>8.27</v>
      </c>
      <c r="H370" s="110"/>
      <c r="I370" s="81">
        <v>9.61</v>
      </c>
      <c r="J370" s="81">
        <f>VLOOKUP(C370,Recipes!$A$2:$N$4,12,FALSE())</f>
        <v>6.1509461004819709E-2</v>
      </c>
      <c r="K370" s="81">
        <f t="shared" si="36"/>
        <v>9.4254716169855399</v>
      </c>
      <c r="L370" s="81">
        <f t="shared" si="37"/>
        <v>9.7945283830144589</v>
      </c>
      <c r="M370" s="81" t="str">
        <f t="shared" si="39"/>
        <v>NG</v>
      </c>
      <c r="N370" s="117">
        <f t="shared" si="38"/>
        <v>1</v>
      </c>
      <c r="O370" s="81">
        <f t="shared" si="40"/>
        <v>1.3399999999999999</v>
      </c>
      <c r="P370" s="81">
        <f>IF(G370="","",ABS(O370-Components!$C$2))</f>
        <v>1.41333333333333</v>
      </c>
      <c r="Q370" s="81">
        <f>IF(G370="","",ABS(O370-Components!$C$3))</f>
        <v>2.6959999999999997</v>
      </c>
      <c r="R370" s="81">
        <f>IF(G370="","",ABS(O370-Components!$C$4))</f>
        <v>0.3466666666666669</v>
      </c>
      <c r="S370" s="81">
        <f>IF(G370="","",ABS(O370-Components!$C$5))</f>
        <v>3.2226666666666706</v>
      </c>
      <c r="T370" s="81">
        <f>IF(G370="","",ABS(O370-Components!$C$6))</f>
        <v>0.18433333333332991</v>
      </c>
      <c r="U370" s="81">
        <f>IF(G370="","",ABS(O370-Components!$C$7))</f>
        <v>3.4333333333330218E-2</v>
      </c>
      <c r="V370" s="81" t="str">
        <f>IF(F370="","",IF(M370="OK","NONE",INDEX({"S1","S2","W1","W2","N1","N2"},MATCH(MIN(P370:U370),P370:U370,0))))</f>
        <v>N2</v>
      </c>
      <c r="W370" s="117">
        <f t="shared" si="41"/>
        <v>1</v>
      </c>
      <c r="X370" s="119"/>
    </row>
    <row r="371" spans="1:24">
      <c r="A371" s="115">
        <v>369</v>
      </c>
      <c r="B371" s="116">
        <v>13</v>
      </c>
      <c r="C371" s="81" t="s">
        <v>132</v>
      </c>
      <c r="D371" s="111" t="s">
        <v>240</v>
      </c>
      <c r="E371" s="81" t="s">
        <v>110</v>
      </c>
      <c r="F371" s="52">
        <v>7.25</v>
      </c>
      <c r="G371" s="52">
        <f t="shared" si="35"/>
        <v>8.2200000000000006</v>
      </c>
      <c r="H371" s="110"/>
      <c r="I371" s="81">
        <v>9.61</v>
      </c>
      <c r="J371" s="81">
        <f>VLOOKUP(C371,Recipes!$A$2:$N$4,12,FALSE())</f>
        <v>6.1509461004819709E-2</v>
      </c>
      <c r="K371" s="81">
        <f t="shared" si="36"/>
        <v>9.4254716169855399</v>
      </c>
      <c r="L371" s="81">
        <f t="shared" si="37"/>
        <v>9.7945283830144589</v>
      </c>
      <c r="M371" s="81" t="str">
        <f t="shared" si="39"/>
        <v>NG</v>
      </c>
      <c r="N371" s="117">
        <f t="shared" si="38"/>
        <v>1</v>
      </c>
      <c r="O371" s="81">
        <f t="shared" si="40"/>
        <v>1.3899999999999988</v>
      </c>
      <c r="P371" s="81">
        <f>IF(G371="","",ABS(O371-Components!$C$2))</f>
        <v>1.3633333333333311</v>
      </c>
      <c r="Q371" s="81">
        <f>IF(G371="","",ABS(O371-Components!$C$3))</f>
        <v>2.6460000000000008</v>
      </c>
      <c r="R371" s="81">
        <f>IF(G371="","",ABS(O371-Components!$C$4))</f>
        <v>0.39666666666666583</v>
      </c>
      <c r="S371" s="81">
        <f>IF(G371="","",ABS(O371-Components!$C$5))</f>
        <v>3.1726666666666716</v>
      </c>
      <c r="T371" s="81">
        <f>IF(G371="","",ABS(O371-Components!$C$6))</f>
        <v>0.23433333333332884</v>
      </c>
      <c r="U371" s="81">
        <f>IF(G371="","",ABS(O371-Components!$C$7))</f>
        <v>1.5666666666668716E-2</v>
      </c>
      <c r="V371" s="81" t="str">
        <f>IF(F371="","",IF(M371="OK","NONE",INDEX({"S1","S2","W1","W2","N1","N2"},MATCH(MIN(P371:U371),P371:U371,0))))</f>
        <v>N2</v>
      </c>
      <c r="W371" s="117">
        <f t="shared" si="41"/>
        <v>1</v>
      </c>
      <c r="X371" s="119"/>
    </row>
    <row r="372" spans="1:24">
      <c r="A372" s="115">
        <v>370</v>
      </c>
      <c r="B372" s="116">
        <v>13</v>
      </c>
      <c r="C372" s="81" t="s">
        <v>132</v>
      </c>
      <c r="D372" s="111" t="s">
        <v>240</v>
      </c>
      <c r="E372" s="81" t="s">
        <v>110</v>
      </c>
      <c r="F372" s="52">
        <v>7.25</v>
      </c>
      <c r="G372" s="52">
        <f t="shared" si="35"/>
        <v>8.2200000000000006</v>
      </c>
      <c r="H372" s="110"/>
      <c r="I372" s="81">
        <v>9.61</v>
      </c>
      <c r="J372" s="81">
        <f>VLOOKUP(C372,Recipes!$A$2:$N$4,12,FALSE())</f>
        <v>6.1509461004819709E-2</v>
      </c>
      <c r="K372" s="81">
        <f t="shared" si="36"/>
        <v>9.4254716169855399</v>
      </c>
      <c r="L372" s="81">
        <f t="shared" si="37"/>
        <v>9.7945283830144589</v>
      </c>
      <c r="M372" s="81" t="str">
        <f t="shared" si="39"/>
        <v>NG</v>
      </c>
      <c r="N372" s="117">
        <f t="shared" si="38"/>
        <v>1</v>
      </c>
      <c r="O372" s="81">
        <f t="shared" si="40"/>
        <v>1.3899999999999988</v>
      </c>
      <c r="P372" s="81">
        <f>IF(G372="","",ABS(O372-Components!$C$2))</f>
        <v>1.3633333333333311</v>
      </c>
      <c r="Q372" s="81">
        <f>IF(G372="","",ABS(O372-Components!$C$3))</f>
        <v>2.6460000000000008</v>
      </c>
      <c r="R372" s="81">
        <f>IF(G372="","",ABS(O372-Components!$C$4))</f>
        <v>0.39666666666666583</v>
      </c>
      <c r="S372" s="81">
        <f>IF(G372="","",ABS(O372-Components!$C$5))</f>
        <v>3.1726666666666716</v>
      </c>
      <c r="T372" s="81">
        <f>IF(G372="","",ABS(O372-Components!$C$6))</f>
        <v>0.23433333333332884</v>
      </c>
      <c r="U372" s="81">
        <f>IF(G372="","",ABS(O372-Components!$C$7))</f>
        <v>1.5666666666668716E-2</v>
      </c>
      <c r="V372" s="81" t="str">
        <f>IF(F372="","",IF(M372="OK","NONE",INDEX({"S1","S2","W1","W2","N1","N2"},MATCH(MIN(P372:U372),P372:U372,0))))</f>
        <v>N2</v>
      </c>
      <c r="W372" s="117">
        <f t="shared" si="41"/>
        <v>1</v>
      </c>
      <c r="X372" s="119"/>
    </row>
    <row r="373" spans="1:24">
      <c r="A373" s="115">
        <v>371</v>
      </c>
      <c r="B373" s="116">
        <v>13</v>
      </c>
      <c r="C373" s="81" t="s">
        <v>132</v>
      </c>
      <c r="D373" s="111" t="s">
        <v>240</v>
      </c>
      <c r="E373" s="81" t="s">
        <v>110</v>
      </c>
      <c r="F373" s="52">
        <v>7.19</v>
      </c>
      <c r="G373" s="52">
        <f t="shared" si="35"/>
        <v>8.16</v>
      </c>
      <c r="H373" s="110"/>
      <c r="I373" s="81">
        <v>9.61</v>
      </c>
      <c r="J373" s="81">
        <f>VLOOKUP(C373,Recipes!$A$2:$N$4,12,FALSE())</f>
        <v>6.1509461004819709E-2</v>
      </c>
      <c r="K373" s="81">
        <f t="shared" si="36"/>
        <v>9.4254716169855399</v>
      </c>
      <c r="L373" s="81">
        <f t="shared" si="37"/>
        <v>9.7945283830144589</v>
      </c>
      <c r="M373" s="81" t="str">
        <f t="shared" si="39"/>
        <v>NG</v>
      </c>
      <c r="N373" s="117">
        <f t="shared" si="38"/>
        <v>1</v>
      </c>
      <c r="O373" s="81">
        <f t="shared" si="40"/>
        <v>1.4499999999999993</v>
      </c>
      <c r="P373" s="81">
        <f>IF(G373="","",ABS(O373-Components!$C$2))</f>
        <v>1.3033333333333306</v>
      </c>
      <c r="Q373" s="81">
        <f>IF(G373="","",ABS(O373-Components!$C$3))</f>
        <v>2.5860000000000003</v>
      </c>
      <c r="R373" s="81">
        <f>IF(G373="","",ABS(O373-Components!$C$4))</f>
        <v>0.45666666666666633</v>
      </c>
      <c r="S373" s="81">
        <f>IF(G373="","",ABS(O373-Components!$C$5))</f>
        <v>3.1126666666666711</v>
      </c>
      <c r="T373" s="81">
        <f>IF(G373="","",ABS(O373-Components!$C$6))</f>
        <v>0.29433333333332934</v>
      </c>
      <c r="U373" s="81">
        <f>IF(G373="","",ABS(O373-Components!$C$7))</f>
        <v>7.5666666666669213E-2</v>
      </c>
      <c r="V373" s="81" t="str">
        <f>IF(F373="","",IF(M373="OK","NONE",INDEX({"S1","S2","W1","W2","N1","N2"},MATCH(MIN(P373:U373),P373:U373,0))))</f>
        <v>N2</v>
      </c>
      <c r="W373" s="117">
        <f t="shared" si="41"/>
        <v>1</v>
      </c>
      <c r="X373" s="119"/>
    </row>
    <row r="374" spans="1:24">
      <c r="A374" s="115">
        <v>372</v>
      </c>
      <c r="B374" s="116">
        <v>13</v>
      </c>
      <c r="C374" s="81" t="s">
        <v>132</v>
      </c>
      <c r="D374" s="111" t="s">
        <v>240</v>
      </c>
      <c r="E374" s="81" t="s">
        <v>110</v>
      </c>
      <c r="F374" s="52">
        <v>7.26</v>
      </c>
      <c r="G374" s="52">
        <f t="shared" si="35"/>
        <v>8.23</v>
      </c>
      <c r="H374" s="110"/>
      <c r="I374" s="81">
        <v>9.61</v>
      </c>
      <c r="J374" s="81">
        <f>VLOOKUP(C374,Recipes!$A$2:$N$4,12,FALSE())</f>
        <v>6.1509461004819709E-2</v>
      </c>
      <c r="K374" s="81">
        <f t="shared" si="36"/>
        <v>9.4254716169855399</v>
      </c>
      <c r="L374" s="81">
        <f t="shared" si="37"/>
        <v>9.7945283830144589</v>
      </c>
      <c r="M374" s="81" t="str">
        <f t="shared" si="39"/>
        <v>NG</v>
      </c>
      <c r="N374" s="117">
        <f t="shared" si="38"/>
        <v>1</v>
      </c>
      <c r="O374" s="81">
        <f t="shared" si="40"/>
        <v>1.379999999999999</v>
      </c>
      <c r="P374" s="81">
        <f>IF(G374="","",ABS(O374-Components!$C$2))</f>
        <v>1.3733333333333309</v>
      </c>
      <c r="Q374" s="81">
        <f>IF(G374="","",ABS(O374-Components!$C$3))</f>
        <v>2.6560000000000006</v>
      </c>
      <c r="R374" s="81">
        <f>IF(G374="","",ABS(O374-Components!$C$4))</f>
        <v>0.38666666666666605</v>
      </c>
      <c r="S374" s="81">
        <f>IF(G374="","",ABS(O374-Components!$C$5))</f>
        <v>3.1826666666666714</v>
      </c>
      <c r="T374" s="81">
        <f>IF(G374="","",ABS(O374-Components!$C$6))</f>
        <v>0.22433333333332905</v>
      </c>
      <c r="U374" s="81">
        <f>IF(G374="","",ABS(O374-Components!$C$7))</f>
        <v>5.6666666666689292E-3</v>
      </c>
      <c r="V374" s="81" t="str">
        <f>IF(F374="","",IF(M374="OK","NONE",INDEX({"S1","S2","W1","W2","N1","N2"},MATCH(MIN(P374:U374),P374:U374,0))))</f>
        <v>N2</v>
      </c>
      <c r="W374" s="117">
        <f t="shared" si="41"/>
        <v>1</v>
      </c>
      <c r="X374" s="119"/>
    </row>
    <row r="375" spans="1:24">
      <c r="A375" s="115">
        <v>373</v>
      </c>
      <c r="B375" s="116">
        <v>13</v>
      </c>
      <c r="C375" s="81" t="s">
        <v>132</v>
      </c>
      <c r="D375" s="111" t="s">
        <v>240</v>
      </c>
      <c r="E375" s="81" t="s">
        <v>110</v>
      </c>
      <c r="F375" s="52">
        <v>7.23</v>
      </c>
      <c r="G375" s="52">
        <f t="shared" si="35"/>
        <v>8.2000000000000011</v>
      </c>
      <c r="H375" s="110"/>
      <c r="I375" s="81">
        <v>9.61</v>
      </c>
      <c r="J375" s="81">
        <f>VLOOKUP(C375,Recipes!$A$2:$N$4,12,FALSE())</f>
        <v>6.1509461004819709E-2</v>
      </c>
      <c r="K375" s="81">
        <f t="shared" si="36"/>
        <v>9.4254716169855399</v>
      </c>
      <c r="L375" s="81">
        <f t="shared" si="37"/>
        <v>9.7945283830144589</v>
      </c>
      <c r="M375" s="81" t="str">
        <f t="shared" si="39"/>
        <v>NG</v>
      </c>
      <c r="N375" s="117">
        <f t="shared" si="38"/>
        <v>1</v>
      </c>
      <c r="O375" s="81">
        <f t="shared" si="40"/>
        <v>1.4099999999999984</v>
      </c>
      <c r="P375" s="81">
        <f>IF(G375="","",ABS(O375-Components!$C$2))</f>
        <v>1.3433333333333315</v>
      </c>
      <c r="Q375" s="81">
        <f>IF(G375="","",ABS(O375-Components!$C$3))</f>
        <v>2.6260000000000012</v>
      </c>
      <c r="R375" s="81">
        <f>IF(G375="","",ABS(O375-Components!$C$4))</f>
        <v>0.41666666666666541</v>
      </c>
      <c r="S375" s="81">
        <f>IF(G375="","",ABS(O375-Components!$C$5))</f>
        <v>3.1526666666666721</v>
      </c>
      <c r="T375" s="81">
        <f>IF(G375="","",ABS(O375-Components!$C$6))</f>
        <v>0.25433333333332842</v>
      </c>
      <c r="U375" s="81">
        <f>IF(G375="","",ABS(O375-Components!$C$7))</f>
        <v>3.566666666666829E-2</v>
      </c>
      <c r="V375" s="81" t="str">
        <f>IF(F375="","",IF(M375="OK","NONE",INDEX({"S1","S2","W1","W2","N1","N2"},MATCH(MIN(P375:U375),P375:U375,0))))</f>
        <v>N2</v>
      </c>
      <c r="W375" s="117">
        <f t="shared" si="41"/>
        <v>1</v>
      </c>
      <c r="X375" s="119"/>
    </row>
    <row r="376" spans="1:24">
      <c r="A376" s="115">
        <v>374</v>
      </c>
      <c r="B376" s="116">
        <v>13</v>
      </c>
      <c r="C376" s="81" t="s">
        <v>132</v>
      </c>
      <c r="D376" s="111" t="s">
        <v>240</v>
      </c>
      <c r="E376" s="81" t="s">
        <v>110</v>
      </c>
      <c r="F376" s="52">
        <v>7.06</v>
      </c>
      <c r="G376" s="52">
        <f t="shared" si="35"/>
        <v>8.0299999999999994</v>
      </c>
      <c r="H376" s="110"/>
      <c r="I376" s="81">
        <v>9.61</v>
      </c>
      <c r="J376" s="81">
        <f>VLOOKUP(C376,Recipes!$A$2:$N$4,12,FALSE())</f>
        <v>6.1509461004819709E-2</v>
      </c>
      <c r="K376" s="81">
        <f t="shared" si="36"/>
        <v>9.4254716169855399</v>
      </c>
      <c r="L376" s="81">
        <f t="shared" si="37"/>
        <v>9.7945283830144589</v>
      </c>
      <c r="M376" s="81" t="str">
        <f t="shared" si="39"/>
        <v>NG</v>
      </c>
      <c r="N376" s="117">
        <f t="shared" si="38"/>
        <v>1</v>
      </c>
      <c r="O376" s="81">
        <f t="shared" si="40"/>
        <v>1.58</v>
      </c>
      <c r="P376" s="81">
        <f>IF(G376="","",ABS(O376-Components!$C$2))</f>
        <v>1.1733333333333298</v>
      </c>
      <c r="Q376" s="81">
        <f>IF(G376="","",ABS(O376-Components!$C$3))</f>
        <v>2.4559999999999995</v>
      </c>
      <c r="R376" s="81">
        <f>IF(G376="","",ABS(O376-Components!$C$4))</f>
        <v>0.58666666666666711</v>
      </c>
      <c r="S376" s="81">
        <f>IF(G376="","",ABS(O376-Components!$C$5))</f>
        <v>2.9826666666666704</v>
      </c>
      <c r="T376" s="81">
        <f>IF(G376="","",ABS(O376-Components!$C$6))</f>
        <v>0.42433333333333012</v>
      </c>
      <c r="U376" s="81">
        <f>IF(G376="","",ABS(O376-Components!$C$7))</f>
        <v>0.20566666666666999</v>
      </c>
      <c r="V376" s="81" t="str">
        <f>IF(F376="","",IF(M376="OK","NONE",INDEX({"S1","S2","W1","W2","N1","N2"},MATCH(MIN(P376:U376),P376:U376,0))))</f>
        <v>N2</v>
      </c>
      <c r="W376" s="117">
        <f t="shared" si="41"/>
        <v>1</v>
      </c>
      <c r="X376" s="119"/>
    </row>
    <row r="377" spans="1:24">
      <c r="A377" s="115">
        <v>375</v>
      </c>
      <c r="B377" s="116">
        <v>13</v>
      </c>
      <c r="C377" s="81" t="s">
        <v>132</v>
      </c>
      <c r="D377" s="111" t="s">
        <v>240</v>
      </c>
      <c r="E377" s="81" t="s">
        <v>110</v>
      </c>
      <c r="F377" s="52">
        <v>7.2</v>
      </c>
      <c r="G377" s="52">
        <f t="shared" si="35"/>
        <v>8.17</v>
      </c>
      <c r="H377" s="110"/>
      <c r="I377" s="81">
        <v>9.61</v>
      </c>
      <c r="J377" s="81">
        <f>VLOOKUP(C377,Recipes!$A$2:$N$4,12,FALSE())</f>
        <v>6.1509461004819709E-2</v>
      </c>
      <c r="K377" s="81">
        <f t="shared" si="36"/>
        <v>9.4254716169855399</v>
      </c>
      <c r="L377" s="81">
        <f t="shared" si="37"/>
        <v>9.7945283830144589</v>
      </c>
      <c r="M377" s="81" t="str">
        <f t="shared" si="39"/>
        <v>NG</v>
      </c>
      <c r="N377" s="117">
        <f t="shared" si="38"/>
        <v>1</v>
      </c>
      <c r="O377" s="81">
        <f t="shared" si="40"/>
        <v>1.4399999999999995</v>
      </c>
      <c r="P377" s="81">
        <f>IF(G377="","",ABS(O377-Components!$C$2))</f>
        <v>1.3133333333333304</v>
      </c>
      <c r="Q377" s="81">
        <f>IF(G377="","",ABS(O377-Components!$C$3))</f>
        <v>2.5960000000000001</v>
      </c>
      <c r="R377" s="81">
        <f>IF(G377="","",ABS(O377-Components!$C$4))</f>
        <v>0.44666666666666655</v>
      </c>
      <c r="S377" s="81">
        <f>IF(G377="","",ABS(O377-Components!$C$5))</f>
        <v>3.1226666666666709</v>
      </c>
      <c r="T377" s="81">
        <f>IF(G377="","",ABS(O377-Components!$C$6))</f>
        <v>0.28433333333332955</v>
      </c>
      <c r="U377" s="81">
        <f>IF(G377="","",ABS(O377-Components!$C$7))</f>
        <v>6.5666666666669427E-2</v>
      </c>
      <c r="V377" s="81" t="str">
        <f>IF(F377="","",IF(M377="OK","NONE",INDEX({"S1","S2","W1","W2","N1","N2"},MATCH(MIN(P377:U377),P377:U377,0))))</f>
        <v>N2</v>
      </c>
      <c r="W377" s="117">
        <f t="shared" si="41"/>
        <v>1</v>
      </c>
      <c r="X377" s="119"/>
    </row>
    <row r="378" spans="1:24">
      <c r="A378" s="115">
        <v>376</v>
      </c>
      <c r="B378" s="116">
        <v>13</v>
      </c>
      <c r="C378" s="81" t="s">
        <v>132</v>
      </c>
      <c r="D378" s="111" t="s">
        <v>240</v>
      </c>
      <c r="E378" s="81" t="s">
        <v>110</v>
      </c>
      <c r="F378" s="52">
        <v>7.21</v>
      </c>
      <c r="G378" s="52">
        <f t="shared" si="35"/>
        <v>8.18</v>
      </c>
      <c r="H378" s="110"/>
      <c r="I378" s="81">
        <v>9.61</v>
      </c>
      <c r="J378" s="81">
        <f>VLOOKUP(C378,Recipes!$A$2:$N$4,12,FALSE())</f>
        <v>6.1509461004819709E-2</v>
      </c>
      <c r="K378" s="81">
        <f t="shared" si="36"/>
        <v>9.4254716169855399</v>
      </c>
      <c r="L378" s="81">
        <f t="shared" si="37"/>
        <v>9.7945283830144589</v>
      </c>
      <c r="M378" s="81" t="str">
        <f t="shared" si="39"/>
        <v>NG</v>
      </c>
      <c r="N378" s="117">
        <f t="shared" si="38"/>
        <v>1</v>
      </c>
      <c r="O378" s="81">
        <f t="shared" si="40"/>
        <v>1.4299999999999997</v>
      </c>
      <c r="P378" s="81">
        <f>IF(G378="","",ABS(O378-Components!$C$2))</f>
        <v>1.3233333333333301</v>
      </c>
      <c r="Q378" s="81">
        <f>IF(G378="","",ABS(O378-Components!$C$3))</f>
        <v>2.6059999999999999</v>
      </c>
      <c r="R378" s="81">
        <f>IF(G378="","",ABS(O378-Components!$C$4))</f>
        <v>0.43666666666666676</v>
      </c>
      <c r="S378" s="81">
        <f>IF(G378="","",ABS(O378-Components!$C$5))</f>
        <v>3.1326666666666707</v>
      </c>
      <c r="T378" s="81">
        <f>IF(G378="","",ABS(O378-Components!$C$6))</f>
        <v>0.27433333333332977</v>
      </c>
      <c r="U378" s="81">
        <f>IF(G378="","",ABS(O378-Components!$C$7))</f>
        <v>5.566666666666964E-2</v>
      </c>
      <c r="V378" s="81" t="str">
        <f>IF(F378="","",IF(M378="OK","NONE",INDEX({"S1","S2","W1","W2","N1","N2"},MATCH(MIN(P378:U378),P378:U378,0))))</f>
        <v>N2</v>
      </c>
      <c r="W378" s="117">
        <f t="shared" si="41"/>
        <v>1</v>
      </c>
      <c r="X378" s="119"/>
    </row>
    <row r="379" spans="1:24">
      <c r="A379" s="115">
        <v>377</v>
      </c>
      <c r="B379" s="116">
        <v>13</v>
      </c>
      <c r="C379" s="81" t="s">
        <v>132</v>
      </c>
      <c r="D379" s="111" t="s">
        <v>240</v>
      </c>
      <c r="E379" s="81" t="s">
        <v>110</v>
      </c>
      <c r="F379" s="52">
        <v>7.22</v>
      </c>
      <c r="G379" s="52">
        <f t="shared" si="35"/>
        <v>8.19</v>
      </c>
      <c r="H379" s="110"/>
      <c r="I379" s="81">
        <v>9.61</v>
      </c>
      <c r="J379" s="81">
        <f>VLOOKUP(C379,Recipes!$A$2:$N$4,12,FALSE())</f>
        <v>6.1509461004819709E-2</v>
      </c>
      <c r="K379" s="81">
        <f t="shared" si="36"/>
        <v>9.4254716169855399</v>
      </c>
      <c r="L379" s="81">
        <f t="shared" si="37"/>
        <v>9.7945283830144589</v>
      </c>
      <c r="M379" s="81" t="str">
        <f t="shared" si="39"/>
        <v>NG</v>
      </c>
      <c r="N379" s="117">
        <f t="shared" si="38"/>
        <v>1</v>
      </c>
      <c r="O379" s="81">
        <f t="shared" si="40"/>
        <v>1.42</v>
      </c>
      <c r="P379" s="81">
        <f>IF(G379="","",ABS(O379-Components!$C$2))</f>
        <v>1.3333333333333299</v>
      </c>
      <c r="Q379" s="81">
        <f>IF(G379="","",ABS(O379-Components!$C$3))</f>
        <v>2.6159999999999997</v>
      </c>
      <c r="R379" s="81">
        <f>IF(G379="","",ABS(O379-Components!$C$4))</f>
        <v>0.42666666666666697</v>
      </c>
      <c r="S379" s="81">
        <f>IF(G379="","",ABS(O379-Components!$C$5))</f>
        <v>3.1426666666666705</v>
      </c>
      <c r="T379" s="81">
        <f>IF(G379="","",ABS(O379-Components!$C$6))</f>
        <v>0.26433333333332998</v>
      </c>
      <c r="U379" s="81">
        <f>IF(G379="","",ABS(O379-Components!$C$7))</f>
        <v>4.5666666666669853E-2</v>
      </c>
      <c r="V379" s="81" t="str">
        <f>IF(F379="","",IF(M379="OK","NONE",INDEX({"S1","S2","W1","W2","N1","N2"},MATCH(MIN(P379:U379),P379:U379,0))))</f>
        <v>N2</v>
      </c>
      <c r="W379" s="117">
        <f t="shared" si="41"/>
        <v>1</v>
      </c>
      <c r="X379" s="119"/>
    </row>
    <row r="380" spans="1:24">
      <c r="A380" s="115">
        <v>378</v>
      </c>
      <c r="B380" s="116">
        <v>13</v>
      </c>
      <c r="C380" s="81" t="s">
        <v>132</v>
      </c>
      <c r="D380" s="111" t="s">
        <v>240</v>
      </c>
      <c r="E380" s="81" t="s">
        <v>110</v>
      </c>
      <c r="F380" s="52">
        <v>7.15</v>
      </c>
      <c r="G380" s="52">
        <f t="shared" si="35"/>
        <v>8.120000000000001</v>
      </c>
      <c r="H380" s="110"/>
      <c r="I380" s="81">
        <v>9.61</v>
      </c>
      <c r="J380" s="81">
        <f>VLOOKUP(C380,Recipes!$A$2:$N$4,12,FALSE())</f>
        <v>6.1509461004819709E-2</v>
      </c>
      <c r="K380" s="81">
        <f t="shared" si="36"/>
        <v>9.4254716169855399</v>
      </c>
      <c r="L380" s="81">
        <f t="shared" si="37"/>
        <v>9.7945283830144589</v>
      </c>
      <c r="M380" s="81" t="str">
        <f t="shared" si="39"/>
        <v>NG</v>
      </c>
      <c r="N380" s="117">
        <f t="shared" si="38"/>
        <v>1</v>
      </c>
      <c r="O380" s="81">
        <f t="shared" si="40"/>
        <v>1.4899999999999984</v>
      </c>
      <c r="P380" s="81">
        <f>IF(G380="","",ABS(O380-Components!$C$2))</f>
        <v>1.2633333333333314</v>
      </c>
      <c r="Q380" s="81">
        <f>IF(G380="","",ABS(O380-Components!$C$3))</f>
        <v>2.5460000000000012</v>
      </c>
      <c r="R380" s="81">
        <f>IF(G380="","",ABS(O380-Components!$C$4))</f>
        <v>0.49666666666666548</v>
      </c>
      <c r="S380" s="81">
        <f>IF(G380="","",ABS(O380-Components!$C$5))</f>
        <v>3.072666666666672</v>
      </c>
      <c r="T380" s="81">
        <f>IF(G380="","",ABS(O380-Components!$C$6))</f>
        <v>0.33433333333332849</v>
      </c>
      <c r="U380" s="81">
        <f>IF(G380="","",ABS(O380-Components!$C$7))</f>
        <v>0.11566666666666836</v>
      </c>
      <c r="V380" s="81" t="str">
        <f>IF(F380="","",IF(M380="OK","NONE",INDEX({"S1","S2","W1","W2","N1","N2"},MATCH(MIN(P380:U380),P380:U380,0))))</f>
        <v>N2</v>
      </c>
      <c r="W380" s="117">
        <f t="shared" si="41"/>
        <v>1</v>
      </c>
      <c r="X380" s="119"/>
    </row>
    <row r="381" spans="1:24">
      <c r="A381" s="115">
        <v>379</v>
      </c>
      <c r="B381" s="116">
        <v>13</v>
      </c>
      <c r="C381" s="81" t="s">
        <v>132</v>
      </c>
      <c r="D381" s="111" t="s">
        <v>240</v>
      </c>
      <c r="E381" s="81" t="s">
        <v>110</v>
      </c>
      <c r="F381" s="52">
        <v>7.28</v>
      </c>
      <c r="G381" s="52">
        <f t="shared" si="35"/>
        <v>8.25</v>
      </c>
      <c r="H381" s="110"/>
      <c r="I381" s="81">
        <v>9.61</v>
      </c>
      <c r="J381" s="81">
        <f>VLOOKUP(C381,Recipes!$A$2:$N$4,12,FALSE())</f>
        <v>6.1509461004819709E-2</v>
      </c>
      <c r="K381" s="81">
        <f t="shared" si="36"/>
        <v>9.4254716169855399</v>
      </c>
      <c r="L381" s="81">
        <f t="shared" si="37"/>
        <v>9.7945283830144589</v>
      </c>
      <c r="M381" s="81" t="str">
        <f t="shared" si="39"/>
        <v>NG</v>
      </c>
      <c r="N381" s="117">
        <f t="shared" si="38"/>
        <v>1</v>
      </c>
      <c r="O381" s="81">
        <f t="shared" si="40"/>
        <v>1.3599999999999994</v>
      </c>
      <c r="P381" s="81">
        <f>IF(G381="","",ABS(O381-Components!$C$2))</f>
        <v>1.3933333333333304</v>
      </c>
      <c r="Q381" s="81">
        <f>IF(G381="","",ABS(O381-Components!$C$3))</f>
        <v>2.6760000000000002</v>
      </c>
      <c r="R381" s="81">
        <f>IF(G381="","",ABS(O381-Components!$C$4))</f>
        <v>0.36666666666666647</v>
      </c>
      <c r="S381" s="81">
        <f>IF(G381="","",ABS(O381-Components!$C$5))</f>
        <v>3.202666666666671</v>
      </c>
      <c r="T381" s="81">
        <f>IF(G381="","",ABS(O381-Components!$C$6))</f>
        <v>0.20433333333332948</v>
      </c>
      <c r="U381" s="81">
        <f>IF(G381="","",ABS(O381-Components!$C$7))</f>
        <v>1.4333333333330645E-2</v>
      </c>
      <c r="V381" s="81" t="str">
        <f>IF(F381="","",IF(M381="OK","NONE",INDEX({"S1","S2","W1","W2","N1","N2"},MATCH(MIN(P381:U381),P381:U381,0))))</f>
        <v>N2</v>
      </c>
      <c r="W381" s="117">
        <f t="shared" si="41"/>
        <v>1</v>
      </c>
      <c r="X381" s="119"/>
    </row>
    <row r="382" spans="1:24">
      <c r="A382" s="115">
        <v>380</v>
      </c>
      <c r="B382" s="116">
        <v>13</v>
      </c>
      <c r="C382" s="81" t="s">
        <v>132</v>
      </c>
      <c r="D382" s="111" t="s">
        <v>240</v>
      </c>
      <c r="E382" s="81" t="s">
        <v>110</v>
      </c>
      <c r="F382" s="52">
        <v>7.23</v>
      </c>
      <c r="G382" s="52">
        <f t="shared" si="35"/>
        <v>8.2000000000000011</v>
      </c>
      <c r="H382" s="110"/>
      <c r="I382" s="81">
        <v>9.61</v>
      </c>
      <c r="J382" s="81">
        <f>VLOOKUP(C382,Recipes!$A$2:$N$4,12,FALSE())</f>
        <v>6.1509461004819709E-2</v>
      </c>
      <c r="K382" s="81">
        <f t="shared" si="36"/>
        <v>9.4254716169855399</v>
      </c>
      <c r="L382" s="81">
        <f t="shared" si="37"/>
        <v>9.7945283830144589</v>
      </c>
      <c r="M382" s="81" t="str">
        <f t="shared" si="39"/>
        <v>NG</v>
      </c>
      <c r="N382" s="117">
        <f t="shared" si="38"/>
        <v>1</v>
      </c>
      <c r="O382" s="81">
        <f t="shared" si="40"/>
        <v>1.4099999999999984</v>
      </c>
      <c r="P382" s="81">
        <f>IF(G382="","",ABS(O382-Components!$C$2))</f>
        <v>1.3433333333333315</v>
      </c>
      <c r="Q382" s="81">
        <f>IF(G382="","",ABS(O382-Components!$C$3))</f>
        <v>2.6260000000000012</v>
      </c>
      <c r="R382" s="81">
        <f>IF(G382="","",ABS(O382-Components!$C$4))</f>
        <v>0.41666666666666541</v>
      </c>
      <c r="S382" s="81">
        <f>IF(G382="","",ABS(O382-Components!$C$5))</f>
        <v>3.1526666666666721</v>
      </c>
      <c r="T382" s="81">
        <f>IF(G382="","",ABS(O382-Components!$C$6))</f>
        <v>0.25433333333332842</v>
      </c>
      <c r="U382" s="81">
        <f>IF(G382="","",ABS(O382-Components!$C$7))</f>
        <v>3.566666666666829E-2</v>
      </c>
      <c r="V382" s="81" t="str">
        <f>IF(F382="","",IF(M382="OK","NONE",INDEX({"S1","S2","W1","W2","N1","N2"},MATCH(MIN(P382:U382),P382:U382,0))))</f>
        <v>N2</v>
      </c>
      <c r="W382" s="117">
        <f t="shared" si="41"/>
        <v>1</v>
      </c>
      <c r="X382" s="119"/>
    </row>
    <row r="383" spans="1:24">
      <c r="A383" s="115">
        <v>381</v>
      </c>
      <c r="B383" s="116">
        <v>13</v>
      </c>
      <c r="C383" s="81" t="s">
        <v>132</v>
      </c>
      <c r="D383" s="111" t="s">
        <v>240</v>
      </c>
      <c r="E383" s="81" t="s">
        <v>110</v>
      </c>
      <c r="F383" s="52">
        <v>7.26</v>
      </c>
      <c r="G383" s="52">
        <f t="shared" si="35"/>
        <v>8.23</v>
      </c>
      <c r="H383" s="110"/>
      <c r="I383" s="81">
        <v>9.61</v>
      </c>
      <c r="J383" s="81">
        <f>VLOOKUP(C383,Recipes!$A$2:$N$4,12,FALSE())</f>
        <v>6.1509461004819709E-2</v>
      </c>
      <c r="K383" s="81">
        <f t="shared" si="36"/>
        <v>9.4254716169855399</v>
      </c>
      <c r="L383" s="81">
        <f t="shared" si="37"/>
        <v>9.7945283830144589</v>
      </c>
      <c r="M383" s="81" t="str">
        <f t="shared" si="39"/>
        <v>NG</v>
      </c>
      <c r="N383" s="117">
        <f t="shared" si="38"/>
        <v>1</v>
      </c>
      <c r="O383" s="81">
        <f t="shared" si="40"/>
        <v>1.379999999999999</v>
      </c>
      <c r="P383" s="81">
        <f>IF(G383="","",ABS(O383-Components!$C$2))</f>
        <v>1.3733333333333309</v>
      </c>
      <c r="Q383" s="81">
        <f>IF(G383="","",ABS(O383-Components!$C$3))</f>
        <v>2.6560000000000006</v>
      </c>
      <c r="R383" s="81">
        <f>IF(G383="","",ABS(O383-Components!$C$4))</f>
        <v>0.38666666666666605</v>
      </c>
      <c r="S383" s="81">
        <f>IF(G383="","",ABS(O383-Components!$C$5))</f>
        <v>3.1826666666666714</v>
      </c>
      <c r="T383" s="81">
        <f>IF(G383="","",ABS(O383-Components!$C$6))</f>
        <v>0.22433333333332905</v>
      </c>
      <c r="U383" s="81">
        <f>IF(G383="","",ABS(O383-Components!$C$7))</f>
        <v>5.6666666666689292E-3</v>
      </c>
      <c r="V383" s="81" t="str">
        <f>IF(F383="","",IF(M383="OK","NONE",INDEX({"S1","S2","W1","W2","N1","N2"},MATCH(MIN(P383:U383),P383:U383,0))))</f>
        <v>N2</v>
      </c>
      <c r="W383" s="117">
        <f t="shared" si="41"/>
        <v>1</v>
      </c>
      <c r="X383" s="119"/>
    </row>
    <row r="384" spans="1:24">
      <c r="A384" s="115">
        <v>382</v>
      </c>
      <c r="B384" s="116">
        <v>13</v>
      </c>
      <c r="C384" s="81" t="s">
        <v>132</v>
      </c>
      <c r="D384" s="111" t="s">
        <v>240</v>
      </c>
      <c r="E384" s="81" t="s">
        <v>110</v>
      </c>
      <c r="F384" s="52">
        <v>7.26</v>
      </c>
      <c r="G384" s="52">
        <f t="shared" si="35"/>
        <v>8.23</v>
      </c>
      <c r="H384" s="110"/>
      <c r="I384" s="81">
        <v>9.61</v>
      </c>
      <c r="J384" s="81">
        <f>VLOOKUP(C384,Recipes!$A$2:$N$4,12,FALSE())</f>
        <v>6.1509461004819709E-2</v>
      </c>
      <c r="K384" s="81">
        <f t="shared" si="36"/>
        <v>9.4254716169855399</v>
      </c>
      <c r="L384" s="81">
        <f t="shared" si="37"/>
        <v>9.7945283830144589</v>
      </c>
      <c r="M384" s="81" t="str">
        <f t="shared" si="39"/>
        <v>NG</v>
      </c>
      <c r="N384" s="117">
        <f t="shared" si="38"/>
        <v>1</v>
      </c>
      <c r="O384" s="81">
        <f t="shared" si="40"/>
        <v>1.379999999999999</v>
      </c>
      <c r="P384" s="81">
        <f>IF(G384="","",ABS(O384-Components!$C$2))</f>
        <v>1.3733333333333309</v>
      </c>
      <c r="Q384" s="81">
        <f>IF(G384="","",ABS(O384-Components!$C$3))</f>
        <v>2.6560000000000006</v>
      </c>
      <c r="R384" s="81">
        <f>IF(G384="","",ABS(O384-Components!$C$4))</f>
        <v>0.38666666666666605</v>
      </c>
      <c r="S384" s="81">
        <f>IF(G384="","",ABS(O384-Components!$C$5))</f>
        <v>3.1826666666666714</v>
      </c>
      <c r="T384" s="81">
        <f>IF(G384="","",ABS(O384-Components!$C$6))</f>
        <v>0.22433333333332905</v>
      </c>
      <c r="U384" s="81">
        <f>IF(G384="","",ABS(O384-Components!$C$7))</f>
        <v>5.6666666666689292E-3</v>
      </c>
      <c r="V384" s="81" t="str">
        <f>IF(F384="","",IF(M384="OK","NONE",INDEX({"S1","S2","W1","W2","N1","N2"},MATCH(MIN(P384:U384),P384:U384,0))))</f>
        <v>N2</v>
      </c>
      <c r="W384" s="117">
        <f t="shared" si="41"/>
        <v>1</v>
      </c>
      <c r="X384" s="119"/>
    </row>
    <row r="385" spans="1:24">
      <c r="A385" s="115">
        <v>383</v>
      </c>
      <c r="B385" s="116">
        <v>13</v>
      </c>
      <c r="C385" s="81" t="s">
        <v>132</v>
      </c>
      <c r="D385" s="111" t="s">
        <v>240</v>
      </c>
      <c r="E385" s="81" t="s">
        <v>110</v>
      </c>
      <c r="F385" s="52">
        <v>7.27</v>
      </c>
      <c r="G385" s="52">
        <f t="shared" si="35"/>
        <v>8.24</v>
      </c>
      <c r="H385" s="110"/>
      <c r="I385" s="81">
        <v>9.61</v>
      </c>
      <c r="J385" s="81">
        <f>VLOOKUP(C385,Recipes!$A$2:$N$4,12,FALSE())</f>
        <v>6.1509461004819709E-2</v>
      </c>
      <c r="K385" s="81">
        <f t="shared" si="36"/>
        <v>9.4254716169855399</v>
      </c>
      <c r="L385" s="81">
        <f t="shared" si="37"/>
        <v>9.7945283830144589</v>
      </c>
      <c r="M385" s="81" t="str">
        <f t="shared" si="39"/>
        <v>NG</v>
      </c>
      <c r="N385" s="117">
        <f t="shared" si="38"/>
        <v>1</v>
      </c>
      <c r="O385" s="81">
        <f t="shared" si="40"/>
        <v>1.3699999999999992</v>
      </c>
      <c r="P385" s="81">
        <f>IF(G385="","",ABS(O385-Components!$C$2))</f>
        <v>1.3833333333333306</v>
      </c>
      <c r="Q385" s="81">
        <f>IF(G385="","",ABS(O385-Components!$C$3))</f>
        <v>2.6660000000000004</v>
      </c>
      <c r="R385" s="81">
        <f>IF(G385="","",ABS(O385-Components!$C$4))</f>
        <v>0.37666666666666626</v>
      </c>
      <c r="S385" s="81">
        <f>IF(G385="","",ABS(O385-Components!$C$5))</f>
        <v>3.1926666666666712</v>
      </c>
      <c r="T385" s="81">
        <f>IF(G385="","",ABS(O385-Components!$C$6))</f>
        <v>0.21433333333332927</v>
      </c>
      <c r="U385" s="81">
        <f>IF(G385="","",ABS(O385-Components!$C$7))</f>
        <v>4.3333333333308577E-3</v>
      </c>
      <c r="V385" s="81" t="str">
        <f>IF(F385="","",IF(M385="OK","NONE",INDEX({"S1","S2","W1","W2","N1","N2"},MATCH(MIN(P385:U385),P385:U385,0))))</f>
        <v>N2</v>
      </c>
      <c r="W385" s="117">
        <f t="shared" si="41"/>
        <v>1</v>
      </c>
      <c r="X385" s="119"/>
    </row>
    <row r="386" spans="1:24">
      <c r="A386" s="115">
        <v>384</v>
      </c>
      <c r="B386" s="116">
        <v>13</v>
      </c>
      <c r="C386" s="81" t="s">
        <v>132</v>
      </c>
      <c r="D386" s="111" t="s">
        <v>240</v>
      </c>
      <c r="E386" s="81" t="s">
        <v>110</v>
      </c>
      <c r="F386" s="52">
        <v>7.14</v>
      </c>
      <c r="G386" s="52">
        <f t="shared" si="35"/>
        <v>8.11</v>
      </c>
      <c r="H386" s="110"/>
      <c r="I386" s="81">
        <v>9.61</v>
      </c>
      <c r="J386" s="81">
        <f>VLOOKUP(C386,Recipes!$A$2:$N$4,12,FALSE())</f>
        <v>6.1509461004819709E-2</v>
      </c>
      <c r="K386" s="81">
        <f t="shared" si="36"/>
        <v>9.4254716169855399</v>
      </c>
      <c r="L386" s="81">
        <f t="shared" si="37"/>
        <v>9.7945283830144589</v>
      </c>
      <c r="M386" s="81" t="str">
        <f t="shared" si="39"/>
        <v>NG</v>
      </c>
      <c r="N386" s="117">
        <f t="shared" si="38"/>
        <v>1</v>
      </c>
      <c r="O386" s="81">
        <f t="shared" si="40"/>
        <v>1.5</v>
      </c>
      <c r="P386" s="81">
        <f>IF(G386="","",ABS(O386-Components!$C$2))</f>
        <v>1.2533333333333299</v>
      </c>
      <c r="Q386" s="81">
        <f>IF(G386="","",ABS(O386-Components!$C$3))</f>
        <v>2.5359999999999996</v>
      </c>
      <c r="R386" s="81">
        <f>IF(G386="","",ABS(O386-Components!$C$4))</f>
        <v>0.50666666666666704</v>
      </c>
      <c r="S386" s="81">
        <f>IF(G386="","",ABS(O386-Components!$C$5))</f>
        <v>3.0626666666666704</v>
      </c>
      <c r="T386" s="81">
        <f>IF(G386="","",ABS(O386-Components!$C$6))</f>
        <v>0.34433333333333005</v>
      </c>
      <c r="U386" s="81">
        <f>IF(G386="","",ABS(O386-Components!$C$7))</f>
        <v>0.12566666666666992</v>
      </c>
      <c r="V386" s="81" t="str">
        <f>IF(F386="","",IF(M386="OK","NONE",INDEX({"S1","S2","W1","W2","N1","N2"},MATCH(MIN(P386:U386),P386:U386,0))))</f>
        <v>N2</v>
      </c>
      <c r="W386" s="117">
        <f t="shared" si="41"/>
        <v>1</v>
      </c>
      <c r="X386" s="119"/>
    </row>
    <row r="387" spans="1:24">
      <c r="A387" s="115">
        <v>385</v>
      </c>
      <c r="B387" s="116">
        <v>13</v>
      </c>
      <c r="C387" s="81" t="s">
        <v>132</v>
      </c>
      <c r="D387" s="111" t="s">
        <v>240</v>
      </c>
      <c r="E387" s="81" t="s">
        <v>110</v>
      </c>
      <c r="F387" s="52">
        <v>6.97</v>
      </c>
      <c r="G387" s="52">
        <f t="shared" ref="G387:G422" si="42">0.97+F387</f>
        <v>7.9399999999999995</v>
      </c>
      <c r="H387" s="110"/>
      <c r="I387" s="81">
        <v>9.61</v>
      </c>
      <c r="J387" s="81">
        <f>VLOOKUP(C387,Recipes!$A$2:$N$4,12,FALSE())</f>
        <v>6.1509461004819709E-2</v>
      </c>
      <c r="K387" s="81">
        <f t="shared" ref="K387:K422" si="43">I387-3*J387</f>
        <v>9.4254716169855399</v>
      </c>
      <c r="L387" s="81">
        <f t="shared" ref="L387:L422" si="44">I387+3*J387</f>
        <v>9.7945283830144589</v>
      </c>
      <c r="M387" s="81" t="str">
        <f t="shared" si="39"/>
        <v>NG</v>
      </c>
      <c r="N387" s="117">
        <f t="shared" ref="N387:N422" si="45">IF(M387="","",IF(M387=D387,1,0))</f>
        <v>1</v>
      </c>
      <c r="O387" s="81">
        <f t="shared" si="40"/>
        <v>1.67</v>
      </c>
      <c r="P387" s="81">
        <f>IF(G387="","",ABS(O387-Components!$C$2))</f>
        <v>1.0833333333333299</v>
      </c>
      <c r="Q387" s="81">
        <f>IF(G387="","",ABS(O387-Components!$C$3))</f>
        <v>2.3659999999999997</v>
      </c>
      <c r="R387" s="81">
        <f>IF(G387="","",ABS(O387-Components!$C$4))</f>
        <v>0.67666666666666697</v>
      </c>
      <c r="S387" s="81">
        <f>IF(G387="","",ABS(O387-Components!$C$5))</f>
        <v>2.8926666666666705</v>
      </c>
      <c r="T387" s="81">
        <f>IF(G387="","",ABS(O387-Components!$C$6))</f>
        <v>0.51433333333332998</v>
      </c>
      <c r="U387" s="81">
        <f>IF(G387="","",ABS(O387-Components!$C$7))</f>
        <v>0.29566666666666985</v>
      </c>
      <c r="V387" s="81" t="str">
        <f>IF(F387="","",IF(M387="OK","NONE",INDEX({"S1","S2","W1","W2","N1","N2"},MATCH(MIN(P387:U387),P387:U387,0))))</f>
        <v>N2</v>
      </c>
      <c r="W387" s="117">
        <f t="shared" si="41"/>
        <v>1</v>
      </c>
      <c r="X387" s="119"/>
    </row>
    <row r="388" spans="1:24">
      <c r="A388" s="115">
        <v>386</v>
      </c>
      <c r="B388" s="116">
        <v>13</v>
      </c>
      <c r="C388" s="81" t="s">
        <v>132</v>
      </c>
      <c r="D388" s="111" t="s">
        <v>240</v>
      </c>
      <c r="E388" s="81" t="s">
        <v>110</v>
      </c>
      <c r="F388" s="52">
        <v>7.29</v>
      </c>
      <c r="G388" s="52">
        <f t="shared" si="42"/>
        <v>8.26</v>
      </c>
      <c r="H388" s="110"/>
      <c r="I388" s="81">
        <v>9.61</v>
      </c>
      <c r="J388" s="81">
        <f>VLOOKUP(C388,Recipes!$A$2:$N$4,12,FALSE())</f>
        <v>6.1509461004819709E-2</v>
      </c>
      <c r="K388" s="81">
        <f t="shared" si="43"/>
        <v>9.4254716169855399</v>
      </c>
      <c r="L388" s="81">
        <f t="shared" si="44"/>
        <v>9.7945283830144589</v>
      </c>
      <c r="M388" s="81" t="str">
        <f t="shared" ref="M388:M422" si="46">IF(G388="","",IF(AND(G388&gt;=K388,G388&lt;=L388),"OK","NG"))</f>
        <v>NG</v>
      </c>
      <c r="N388" s="117">
        <f t="shared" si="45"/>
        <v>1</v>
      </c>
      <c r="O388" s="81">
        <f t="shared" ref="O388:O422" si="47">IF(G388="","",I388-G388)</f>
        <v>1.3499999999999996</v>
      </c>
      <c r="P388" s="81">
        <f>IF(G388="","",ABS(O388-Components!$C$2))</f>
        <v>1.4033333333333302</v>
      </c>
      <c r="Q388" s="81">
        <f>IF(G388="","",ABS(O388-Components!$C$3))</f>
        <v>2.6859999999999999</v>
      </c>
      <c r="R388" s="81">
        <f>IF(G388="","",ABS(O388-Components!$C$4))</f>
        <v>0.35666666666666669</v>
      </c>
      <c r="S388" s="81">
        <f>IF(G388="","",ABS(O388-Components!$C$5))</f>
        <v>3.2126666666666708</v>
      </c>
      <c r="T388" s="81">
        <f>IF(G388="","",ABS(O388-Components!$C$6))</f>
        <v>0.19433333333332969</v>
      </c>
      <c r="U388" s="81">
        <f>IF(G388="","",ABS(O388-Components!$C$7))</f>
        <v>2.4333333333330431E-2</v>
      </c>
      <c r="V388" s="81" t="str">
        <f>IF(F388="","",IF(M388="OK","NONE",INDEX({"S1","S2","W1","W2","N1","N2"},MATCH(MIN(P388:U388),P388:U388,0))))</f>
        <v>N2</v>
      </c>
      <c r="W388" s="117">
        <f t="shared" ref="W388:W422" si="48">IF(G388="","",IF(V388=E388,1,0))</f>
        <v>1</v>
      </c>
      <c r="X388" s="119"/>
    </row>
    <row r="389" spans="1:24">
      <c r="A389" s="115">
        <v>387</v>
      </c>
      <c r="B389" s="116">
        <v>13</v>
      </c>
      <c r="C389" s="81" t="s">
        <v>132</v>
      </c>
      <c r="D389" s="111" t="s">
        <v>240</v>
      </c>
      <c r="E389" s="81" t="s">
        <v>110</v>
      </c>
      <c r="F389" s="52">
        <v>7.16</v>
      </c>
      <c r="G389" s="52">
        <f t="shared" si="42"/>
        <v>8.1300000000000008</v>
      </c>
      <c r="H389" s="110"/>
      <c r="I389" s="81">
        <v>9.61</v>
      </c>
      <c r="J389" s="81">
        <f>VLOOKUP(C389,Recipes!$A$2:$N$4,12,FALSE())</f>
        <v>6.1509461004819709E-2</v>
      </c>
      <c r="K389" s="81">
        <f t="shared" si="43"/>
        <v>9.4254716169855399</v>
      </c>
      <c r="L389" s="81">
        <f t="shared" si="44"/>
        <v>9.7945283830144589</v>
      </c>
      <c r="M389" s="81" t="str">
        <f t="shared" si="46"/>
        <v>NG</v>
      </c>
      <c r="N389" s="117">
        <f t="shared" si="45"/>
        <v>1</v>
      </c>
      <c r="O389" s="81">
        <f t="shared" si="47"/>
        <v>1.4799999999999986</v>
      </c>
      <c r="P389" s="81">
        <f>IF(G389="","",ABS(O389-Components!$C$2))</f>
        <v>1.2733333333333312</v>
      </c>
      <c r="Q389" s="81">
        <f>IF(G389="","",ABS(O389-Components!$C$3))</f>
        <v>2.5560000000000009</v>
      </c>
      <c r="R389" s="81">
        <f>IF(G389="","",ABS(O389-Components!$C$4))</f>
        <v>0.48666666666666569</v>
      </c>
      <c r="S389" s="81">
        <f>IF(G389="","",ABS(O389-Components!$C$5))</f>
        <v>3.0826666666666718</v>
      </c>
      <c r="T389" s="81">
        <f>IF(G389="","",ABS(O389-Components!$C$6))</f>
        <v>0.3243333333333287</v>
      </c>
      <c r="U389" s="81">
        <f>IF(G389="","",ABS(O389-Components!$C$7))</f>
        <v>0.10566666666666857</v>
      </c>
      <c r="V389" s="81" t="str">
        <f>IF(F389="","",IF(M389="OK","NONE",INDEX({"S1","S2","W1","W2","N1","N2"},MATCH(MIN(P389:U389),P389:U389,0))))</f>
        <v>N2</v>
      </c>
      <c r="W389" s="117">
        <f t="shared" si="48"/>
        <v>1</v>
      </c>
      <c r="X389" s="119"/>
    </row>
    <row r="390" spans="1:24">
      <c r="A390" s="115">
        <v>388</v>
      </c>
      <c r="B390" s="116">
        <v>13</v>
      </c>
      <c r="C390" s="81" t="s">
        <v>132</v>
      </c>
      <c r="D390" s="111" t="s">
        <v>240</v>
      </c>
      <c r="E390" s="81" t="s">
        <v>110</v>
      </c>
      <c r="F390" s="52">
        <v>7.23</v>
      </c>
      <c r="G390" s="52">
        <f t="shared" si="42"/>
        <v>8.2000000000000011</v>
      </c>
      <c r="H390" s="110"/>
      <c r="I390" s="81">
        <v>9.61</v>
      </c>
      <c r="J390" s="81">
        <f>VLOOKUP(C390,Recipes!$A$2:$N$4,12,FALSE())</f>
        <v>6.1509461004819709E-2</v>
      </c>
      <c r="K390" s="81">
        <f t="shared" si="43"/>
        <v>9.4254716169855399</v>
      </c>
      <c r="L390" s="81">
        <f t="shared" si="44"/>
        <v>9.7945283830144589</v>
      </c>
      <c r="M390" s="81" t="str">
        <f t="shared" si="46"/>
        <v>NG</v>
      </c>
      <c r="N390" s="117">
        <f t="shared" si="45"/>
        <v>1</v>
      </c>
      <c r="O390" s="81">
        <f t="shared" si="47"/>
        <v>1.4099999999999984</v>
      </c>
      <c r="P390" s="81">
        <f>IF(G390="","",ABS(O390-Components!$C$2))</f>
        <v>1.3433333333333315</v>
      </c>
      <c r="Q390" s="81">
        <f>IF(G390="","",ABS(O390-Components!$C$3))</f>
        <v>2.6260000000000012</v>
      </c>
      <c r="R390" s="81">
        <f>IF(G390="","",ABS(O390-Components!$C$4))</f>
        <v>0.41666666666666541</v>
      </c>
      <c r="S390" s="81">
        <f>IF(G390="","",ABS(O390-Components!$C$5))</f>
        <v>3.1526666666666721</v>
      </c>
      <c r="T390" s="81">
        <f>IF(G390="","",ABS(O390-Components!$C$6))</f>
        <v>0.25433333333332842</v>
      </c>
      <c r="U390" s="81">
        <f>IF(G390="","",ABS(O390-Components!$C$7))</f>
        <v>3.566666666666829E-2</v>
      </c>
      <c r="V390" s="81" t="str">
        <f>IF(F390="","",IF(M390="OK","NONE",INDEX({"S1","S2","W1","W2","N1","N2"},MATCH(MIN(P390:U390),P390:U390,0))))</f>
        <v>N2</v>
      </c>
      <c r="W390" s="117">
        <f t="shared" si="48"/>
        <v>1</v>
      </c>
      <c r="X390" s="119"/>
    </row>
    <row r="391" spans="1:24">
      <c r="A391" s="115">
        <v>389</v>
      </c>
      <c r="B391" s="116">
        <v>13</v>
      </c>
      <c r="C391" s="61" t="s">
        <v>132</v>
      </c>
      <c r="D391" s="61" t="s">
        <v>240</v>
      </c>
      <c r="E391" s="61" t="s">
        <v>110</v>
      </c>
      <c r="F391" s="52">
        <v>7.25</v>
      </c>
      <c r="G391" s="52">
        <f t="shared" si="42"/>
        <v>8.2200000000000006</v>
      </c>
      <c r="H391" s="110"/>
      <c r="I391" s="81">
        <v>9.61</v>
      </c>
      <c r="J391" s="81">
        <f>VLOOKUP(C391,Recipes!$A$2:$N$4,12,FALSE())</f>
        <v>6.1509461004819709E-2</v>
      </c>
      <c r="K391" s="81">
        <f t="shared" si="43"/>
        <v>9.4254716169855399</v>
      </c>
      <c r="L391" s="81">
        <f t="shared" si="44"/>
        <v>9.7945283830144589</v>
      </c>
      <c r="M391" s="81" t="str">
        <f t="shared" si="46"/>
        <v>NG</v>
      </c>
      <c r="N391" s="117">
        <f t="shared" si="45"/>
        <v>1</v>
      </c>
      <c r="O391" s="81">
        <f t="shared" si="47"/>
        <v>1.3899999999999988</v>
      </c>
      <c r="P391" s="81">
        <f>IF(G391="","",ABS(O391-Components!$C$2))</f>
        <v>1.3633333333333311</v>
      </c>
      <c r="Q391" s="81">
        <f>IF(G391="","",ABS(O391-Components!$C$3))</f>
        <v>2.6460000000000008</v>
      </c>
      <c r="R391" s="81">
        <f>IF(G391="","",ABS(O391-Components!$C$4))</f>
        <v>0.39666666666666583</v>
      </c>
      <c r="S391" s="81">
        <f>IF(G391="","",ABS(O391-Components!$C$5))</f>
        <v>3.1726666666666716</v>
      </c>
      <c r="T391" s="81">
        <f>IF(G391="","",ABS(O391-Components!$C$6))</f>
        <v>0.23433333333332884</v>
      </c>
      <c r="U391" s="81">
        <f>IF(G391="","",ABS(O391-Components!$C$7))</f>
        <v>1.5666666666668716E-2</v>
      </c>
      <c r="V391" s="81" t="str">
        <f>IF(F391="","",IF(M391="OK","NONE",INDEX({"S1","S2","W1","W2","N1","N2"},MATCH(MIN(P391:U391),P391:U391,0))))</f>
        <v>N2</v>
      </c>
      <c r="W391" s="117">
        <f t="shared" si="48"/>
        <v>1</v>
      </c>
      <c r="X391" s="119"/>
    </row>
    <row r="392" spans="1:24">
      <c r="A392" s="115">
        <v>390</v>
      </c>
      <c r="B392" s="116">
        <v>13</v>
      </c>
      <c r="C392" s="61" t="s">
        <v>132</v>
      </c>
      <c r="D392" s="61" t="s">
        <v>240</v>
      </c>
      <c r="E392" s="61" t="s">
        <v>110</v>
      </c>
      <c r="F392" s="52">
        <v>7.2</v>
      </c>
      <c r="G392" s="52">
        <f t="shared" si="42"/>
        <v>8.17</v>
      </c>
      <c r="H392" s="110"/>
      <c r="I392" s="81">
        <v>9.61</v>
      </c>
      <c r="J392" s="81">
        <f>VLOOKUP(C392,Recipes!$A$2:$N$4,12,FALSE())</f>
        <v>6.1509461004819709E-2</v>
      </c>
      <c r="K392" s="81">
        <f t="shared" si="43"/>
        <v>9.4254716169855399</v>
      </c>
      <c r="L392" s="81">
        <f t="shared" si="44"/>
        <v>9.7945283830144589</v>
      </c>
      <c r="M392" s="81" t="str">
        <f t="shared" si="46"/>
        <v>NG</v>
      </c>
      <c r="N392" s="117">
        <f t="shared" si="45"/>
        <v>1</v>
      </c>
      <c r="O392" s="81">
        <f t="shared" si="47"/>
        <v>1.4399999999999995</v>
      </c>
      <c r="P392" s="81">
        <f>IF(G392="","",ABS(O392-Components!$C$2))</f>
        <v>1.3133333333333304</v>
      </c>
      <c r="Q392" s="81">
        <f>IF(G392="","",ABS(O392-Components!$C$3))</f>
        <v>2.5960000000000001</v>
      </c>
      <c r="R392" s="81">
        <f>IF(G392="","",ABS(O392-Components!$C$4))</f>
        <v>0.44666666666666655</v>
      </c>
      <c r="S392" s="81">
        <f>IF(G392="","",ABS(O392-Components!$C$5))</f>
        <v>3.1226666666666709</v>
      </c>
      <c r="T392" s="81">
        <f>IF(G392="","",ABS(O392-Components!$C$6))</f>
        <v>0.28433333333332955</v>
      </c>
      <c r="U392" s="81">
        <f>IF(G392="","",ABS(O392-Components!$C$7))</f>
        <v>6.5666666666669427E-2</v>
      </c>
      <c r="V392" s="81" t="str">
        <f>IF(F392="","",IF(M392="OK","NONE",INDEX({"S1","S2","W1","W2","N1","N2"},MATCH(MIN(P392:U392),P392:U392,0))))</f>
        <v>N2</v>
      </c>
      <c r="W392" s="117">
        <f t="shared" si="48"/>
        <v>1</v>
      </c>
      <c r="X392" s="119"/>
    </row>
    <row r="393" spans="1:24">
      <c r="A393" s="115">
        <v>391</v>
      </c>
      <c r="B393" s="116">
        <v>14</v>
      </c>
      <c r="C393" s="81" t="s">
        <v>132</v>
      </c>
      <c r="D393" s="111" t="s">
        <v>240</v>
      </c>
      <c r="E393" s="81" t="s">
        <v>108</v>
      </c>
      <c r="F393" s="52">
        <v>7.39</v>
      </c>
      <c r="G393" s="52">
        <f t="shared" si="42"/>
        <v>8.36</v>
      </c>
      <c r="H393" s="110"/>
      <c r="I393" s="81">
        <v>9.61</v>
      </c>
      <c r="J393" s="81">
        <f>VLOOKUP(C393,Recipes!$A$2:$N$4,12,FALSE())</f>
        <v>6.1509461004819709E-2</v>
      </c>
      <c r="K393" s="81">
        <f t="shared" si="43"/>
        <v>9.4254716169855399</v>
      </c>
      <c r="L393" s="81">
        <f t="shared" si="44"/>
        <v>9.7945283830144589</v>
      </c>
      <c r="M393" s="81" t="str">
        <f t="shared" si="46"/>
        <v>NG</v>
      </c>
      <c r="N393" s="117">
        <f t="shared" si="45"/>
        <v>1</v>
      </c>
      <c r="O393" s="81">
        <f t="shared" si="47"/>
        <v>1.25</v>
      </c>
      <c r="P393" s="81">
        <f>IF(G393="","",ABS(O393-Components!$C$2))</f>
        <v>1.5033333333333299</v>
      </c>
      <c r="Q393" s="81">
        <f>IF(G393="","",ABS(O393-Components!$C$3))</f>
        <v>2.7859999999999996</v>
      </c>
      <c r="R393" s="81">
        <f>IF(G393="","",ABS(O393-Components!$C$4))</f>
        <v>0.25666666666666704</v>
      </c>
      <c r="S393" s="81">
        <f>IF(G393="","",ABS(O393-Components!$C$5))</f>
        <v>3.3126666666666704</v>
      </c>
      <c r="T393" s="81">
        <f>IF(G393="","",ABS(O393-Components!$C$6))</f>
        <v>9.4333333333330049E-2</v>
      </c>
      <c r="U393" s="81">
        <f>IF(G393="","",ABS(O393-Components!$C$7))</f>
        <v>0.12433333333333008</v>
      </c>
      <c r="V393" s="81" t="str">
        <f>IF(F393="","",IF(M393="OK","NONE",INDEX({"S1","S2","W1","W2","N1","N2"},MATCH(MIN(P393:U393),P393:U393,0))))</f>
        <v>N1</v>
      </c>
      <c r="W393" s="117">
        <f t="shared" si="48"/>
        <v>1</v>
      </c>
      <c r="X393" s="119"/>
    </row>
    <row r="394" spans="1:24">
      <c r="A394" s="115">
        <v>392</v>
      </c>
      <c r="B394" s="116">
        <v>14</v>
      </c>
      <c r="C394" s="81" t="s">
        <v>132</v>
      </c>
      <c r="D394" s="111" t="s">
        <v>240</v>
      </c>
      <c r="E394" s="81" t="s">
        <v>108</v>
      </c>
      <c r="F394" s="52">
        <v>7.49</v>
      </c>
      <c r="G394" s="52">
        <f t="shared" si="42"/>
        <v>8.4600000000000009</v>
      </c>
      <c r="H394" s="110"/>
      <c r="I394" s="81">
        <v>9.61</v>
      </c>
      <c r="J394" s="81">
        <f>VLOOKUP(C394,Recipes!$A$2:$N$4,12,FALSE())</f>
        <v>6.1509461004819709E-2</v>
      </c>
      <c r="K394" s="81">
        <f t="shared" si="43"/>
        <v>9.4254716169855399</v>
      </c>
      <c r="L394" s="81">
        <f t="shared" si="44"/>
        <v>9.7945283830144589</v>
      </c>
      <c r="M394" s="81" t="str">
        <f t="shared" si="46"/>
        <v>NG</v>
      </c>
      <c r="N394" s="117">
        <f t="shared" si="45"/>
        <v>1</v>
      </c>
      <c r="O394" s="81">
        <f t="shared" si="47"/>
        <v>1.1499999999999986</v>
      </c>
      <c r="P394" s="81">
        <f>IF(G394="","",ABS(O394-Components!$C$2))</f>
        <v>1.6033333333333313</v>
      </c>
      <c r="Q394" s="81">
        <f>IF(G394="","",ABS(O394-Components!$C$3))</f>
        <v>2.886000000000001</v>
      </c>
      <c r="R394" s="81">
        <f>IF(G394="","",ABS(O394-Components!$C$4))</f>
        <v>0.15666666666666562</v>
      </c>
      <c r="S394" s="81">
        <f>IF(G394="","",ABS(O394-Components!$C$5))</f>
        <v>3.4126666666666718</v>
      </c>
      <c r="T394" s="81">
        <f>IF(G394="","",ABS(O394-Components!$C$6))</f>
        <v>5.6666666666713716E-3</v>
      </c>
      <c r="U394" s="81">
        <f>IF(G394="","",ABS(O394-Components!$C$7))</f>
        <v>0.2243333333333315</v>
      </c>
      <c r="V394" s="81" t="str">
        <f>IF(F394="","",IF(M394="OK","NONE",INDEX({"S1","S2","W1","W2","N1","N2"},MATCH(MIN(P394:U394),P394:U394,0))))</f>
        <v>N1</v>
      </c>
      <c r="W394" s="117">
        <f t="shared" si="48"/>
        <v>1</v>
      </c>
      <c r="X394" s="119"/>
    </row>
    <row r="395" spans="1:24">
      <c r="A395" s="115">
        <v>393</v>
      </c>
      <c r="B395" s="116">
        <v>14</v>
      </c>
      <c r="C395" s="81" t="s">
        <v>132</v>
      </c>
      <c r="D395" s="111" t="s">
        <v>240</v>
      </c>
      <c r="E395" s="81" t="s">
        <v>108</v>
      </c>
      <c r="F395" s="52">
        <v>7.43</v>
      </c>
      <c r="G395" s="52">
        <f t="shared" si="42"/>
        <v>8.4</v>
      </c>
      <c r="H395" s="110"/>
      <c r="I395" s="81">
        <v>9.61</v>
      </c>
      <c r="J395" s="81">
        <f>VLOOKUP(C395,Recipes!$A$2:$N$4,12,FALSE())</f>
        <v>6.1509461004819709E-2</v>
      </c>
      <c r="K395" s="81">
        <f t="shared" si="43"/>
        <v>9.4254716169855399</v>
      </c>
      <c r="L395" s="81">
        <f t="shared" si="44"/>
        <v>9.7945283830144589</v>
      </c>
      <c r="M395" s="81" t="str">
        <f t="shared" si="46"/>
        <v>NG</v>
      </c>
      <c r="N395" s="117">
        <f t="shared" si="45"/>
        <v>1</v>
      </c>
      <c r="O395" s="81">
        <f t="shared" si="47"/>
        <v>1.2099999999999991</v>
      </c>
      <c r="P395" s="81">
        <f>IF(G395="","",ABS(O395-Components!$C$2))</f>
        <v>1.5433333333333308</v>
      </c>
      <c r="Q395" s="81">
        <f>IF(G395="","",ABS(O395-Components!$C$3))</f>
        <v>2.8260000000000005</v>
      </c>
      <c r="R395" s="81">
        <f>IF(G395="","",ABS(O395-Components!$C$4))</f>
        <v>0.21666666666666612</v>
      </c>
      <c r="S395" s="81">
        <f>IF(G395="","",ABS(O395-Components!$C$5))</f>
        <v>3.3526666666666713</v>
      </c>
      <c r="T395" s="81">
        <f>IF(G395="","",ABS(O395-Components!$C$6))</f>
        <v>5.4333333333329126E-2</v>
      </c>
      <c r="U395" s="81">
        <f>IF(G395="","",ABS(O395-Components!$C$7))</f>
        <v>0.164333333333331</v>
      </c>
      <c r="V395" s="81" t="str">
        <f>IF(F395="","",IF(M395="OK","NONE",INDEX({"S1","S2","W1","W2","N1","N2"},MATCH(MIN(P395:U395),P395:U395,0))))</f>
        <v>N1</v>
      </c>
      <c r="W395" s="117">
        <f t="shared" si="48"/>
        <v>1</v>
      </c>
      <c r="X395" s="119"/>
    </row>
    <row r="396" spans="1:24">
      <c r="A396" s="115">
        <v>394</v>
      </c>
      <c r="B396" s="116">
        <v>14</v>
      </c>
      <c r="C396" s="81" t="s">
        <v>132</v>
      </c>
      <c r="D396" s="111" t="s">
        <v>240</v>
      </c>
      <c r="E396" s="81" t="s">
        <v>108</v>
      </c>
      <c r="F396" s="52">
        <v>7.39</v>
      </c>
      <c r="G396" s="52">
        <f t="shared" si="42"/>
        <v>8.36</v>
      </c>
      <c r="H396" s="110"/>
      <c r="I396" s="81">
        <v>9.61</v>
      </c>
      <c r="J396" s="81">
        <f>VLOOKUP(C396,Recipes!$A$2:$N$4,12,FALSE())</f>
        <v>6.1509461004819709E-2</v>
      </c>
      <c r="K396" s="81">
        <f t="shared" si="43"/>
        <v>9.4254716169855399</v>
      </c>
      <c r="L396" s="81">
        <f t="shared" si="44"/>
        <v>9.7945283830144589</v>
      </c>
      <c r="M396" s="81" t="str">
        <f t="shared" si="46"/>
        <v>NG</v>
      </c>
      <c r="N396" s="117">
        <f t="shared" si="45"/>
        <v>1</v>
      </c>
      <c r="O396" s="81">
        <f t="shared" si="47"/>
        <v>1.25</v>
      </c>
      <c r="P396" s="81">
        <f>IF(G396="","",ABS(O396-Components!$C$2))</f>
        <v>1.5033333333333299</v>
      </c>
      <c r="Q396" s="81">
        <f>IF(G396="","",ABS(O396-Components!$C$3))</f>
        <v>2.7859999999999996</v>
      </c>
      <c r="R396" s="81">
        <f>IF(G396="","",ABS(O396-Components!$C$4))</f>
        <v>0.25666666666666704</v>
      </c>
      <c r="S396" s="81">
        <f>IF(G396="","",ABS(O396-Components!$C$5))</f>
        <v>3.3126666666666704</v>
      </c>
      <c r="T396" s="81">
        <f>IF(G396="","",ABS(O396-Components!$C$6))</f>
        <v>9.4333333333330049E-2</v>
      </c>
      <c r="U396" s="81">
        <f>IF(G396="","",ABS(O396-Components!$C$7))</f>
        <v>0.12433333333333008</v>
      </c>
      <c r="V396" s="81" t="str">
        <f>IF(F396="","",IF(M396="OK","NONE",INDEX({"S1","S2","W1","W2","N1","N2"},MATCH(MIN(P396:U396),P396:U396,0))))</f>
        <v>N1</v>
      </c>
      <c r="W396" s="117">
        <f t="shared" si="48"/>
        <v>1</v>
      </c>
      <c r="X396" s="119"/>
    </row>
    <row r="397" spans="1:24">
      <c r="A397" s="115">
        <v>395</v>
      </c>
      <c r="B397" s="116">
        <v>14</v>
      </c>
      <c r="C397" s="81" t="s">
        <v>132</v>
      </c>
      <c r="D397" s="111" t="s">
        <v>240</v>
      </c>
      <c r="E397" s="81" t="s">
        <v>108</v>
      </c>
      <c r="F397" s="52">
        <v>7.49</v>
      </c>
      <c r="G397" s="52">
        <f t="shared" si="42"/>
        <v>8.4600000000000009</v>
      </c>
      <c r="H397" s="110"/>
      <c r="I397" s="81">
        <v>9.61</v>
      </c>
      <c r="J397" s="81">
        <f>VLOOKUP(C397,Recipes!$A$2:$N$4,12,FALSE())</f>
        <v>6.1509461004819709E-2</v>
      </c>
      <c r="K397" s="81">
        <f t="shared" si="43"/>
        <v>9.4254716169855399</v>
      </c>
      <c r="L397" s="81">
        <f t="shared" si="44"/>
        <v>9.7945283830144589</v>
      </c>
      <c r="M397" s="81" t="str">
        <f t="shared" si="46"/>
        <v>NG</v>
      </c>
      <c r="N397" s="117">
        <f t="shared" si="45"/>
        <v>1</v>
      </c>
      <c r="O397" s="81">
        <f t="shared" si="47"/>
        <v>1.1499999999999986</v>
      </c>
      <c r="P397" s="81">
        <f>IF(G397="","",ABS(O397-Components!$C$2))</f>
        <v>1.6033333333333313</v>
      </c>
      <c r="Q397" s="81">
        <f>IF(G397="","",ABS(O397-Components!$C$3))</f>
        <v>2.886000000000001</v>
      </c>
      <c r="R397" s="81">
        <f>IF(G397="","",ABS(O397-Components!$C$4))</f>
        <v>0.15666666666666562</v>
      </c>
      <c r="S397" s="81">
        <f>IF(G397="","",ABS(O397-Components!$C$5))</f>
        <v>3.4126666666666718</v>
      </c>
      <c r="T397" s="81">
        <f>IF(G397="","",ABS(O397-Components!$C$6))</f>
        <v>5.6666666666713716E-3</v>
      </c>
      <c r="U397" s="81">
        <f>IF(G397="","",ABS(O397-Components!$C$7))</f>
        <v>0.2243333333333315</v>
      </c>
      <c r="V397" s="81" t="str">
        <f>IF(F397="","",IF(M397="OK","NONE",INDEX({"S1","S2","W1","W2","N1","N2"},MATCH(MIN(P397:U397),P397:U397,0))))</f>
        <v>N1</v>
      </c>
      <c r="W397" s="117">
        <f t="shared" si="48"/>
        <v>1</v>
      </c>
      <c r="X397" s="119"/>
    </row>
    <row r="398" spans="1:24">
      <c r="A398" s="115">
        <v>396</v>
      </c>
      <c r="B398" s="116">
        <v>14</v>
      </c>
      <c r="C398" s="81" t="s">
        <v>132</v>
      </c>
      <c r="D398" s="111" t="s">
        <v>240</v>
      </c>
      <c r="E398" s="81" t="s">
        <v>108</v>
      </c>
      <c r="F398" s="52">
        <v>7.48</v>
      </c>
      <c r="G398" s="52">
        <f t="shared" si="42"/>
        <v>8.4500000000000011</v>
      </c>
      <c r="H398" s="110"/>
      <c r="I398" s="81">
        <v>9.61</v>
      </c>
      <c r="J398" s="81">
        <f>VLOOKUP(C398,Recipes!$A$2:$N$4,12,FALSE())</f>
        <v>6.1509461004819709E-2</v>
      </c>
      <c r="K398" s="81">
        <f t="shared" si="43"/>
        <v>9.4254716169855399</v>
      </c>
      <c r="L398" s="81">
        <f t="shared" si="44"/>
        <v>9.7945283830144589</v>
      </c>
      <c r="M398" s="81" t="str">
        <f t="shared" si="46"/>
        <v>NG</v>
      </c>
      <c r="N398" s="117">
        <f t="shared" si="45"/>
        <v>1</v>
      </c>
      <c r="O398" s="81">
        <f t="shared" si="47"/>
        <v>1.1599999999999984</v>
      </c>
      <c r="P398" s="81">
        <f>IF(G398="","",ABS(O398-Components!$C$2))</f>
        <v>1.5933333333333315</v>
      </c>
      <c r="Q398" s="81">
        <f>IF(G398="","",ABS(O398-Components!$C$3))</f>
        <v>2.8760000000000012</v>
      </c>
      <c r="R398" s="81">
        <f>IF(G398="","",ABS(O398-Components!$C$4))</f>
        <v>0.16666666666666541</v>
      </c>
      <c r="S398" s="81">
        <f>IF(G398="","",ABS(O398-Components!$C$5))</f>
        <v>3.4026666666666721</v>
      </c>
      <c r="T398" s="81">
        <f>IF(G398="","",ABS(O398-Components!$C$6))</f>
        <v>4.3333333333284152E-3</v>
      </c>
      <c r="U398" s="81">
        <f>IF(G398="","",ABS(O398-Components!$C$7))</f>
        <v>0.21433333333333171</v>
      </c>
      <c r="V398" s="81" t="str">
        <f>IF(F398="","",IF(M398="OK","NONE",INDEX({"S1","S2","W1","W2","N1","N2"},MATCH(MIN(P398:U398),P398:U398,0))))</f>
        <v>N1</v>
      </c>
      <c r="W398" s="117">
        <f t="shared" si="48"/>
        <v>1</v>
      </c>
      <c r="X398" s="119"/>
    </row>
    <row r="399" spans="1:24">
      <c r="A399" s="115">
        <v>397</v>
      </c>
      <c r="B399" s="116">
        <v>14</v>
      </c>
      <c r="C399" s="81" t="s">
        <v>132</v>
      </c>
      <c r="D399" s="111" t="s">
        <v>240</v>
      </c>
      <c r="E399" s="81" t="s">
        <v>108</v>
      </c>
      <c r="F399" s="52">
        <v>7.46</v>
      </c>
      <c r="G399" s="52">
        <f t="shared" si="42"/>
        <v>8.43</v>
      </c>
      <c r="H399" s="110"/>
      <c r="I399" s="81">
        <v>9.61</v>
      </c>
      <c r="J399" s="81">
        <f>VLOOKUP(C399,Recipes!$A$2:$N$4,12,FALSE())</f>
        <v>6.1509461004819709E-2</v>
      </c>
      <c r="K399" s="81">
        <f t="shared" si="43"/>
        <v>9.4254716169855399</v>
      </c>
      <c r="L399" s="81">
        <f t="shared" si="44"/>
        <v>9.7945283830144589</v>
      </c>
      <c r="M399" s="81" t="str">
        <f t="shared" si="46"/>
        <v>NG</v>
      </c>
      <c r="N399" s="117">
        <f t="shared" si="45"/>
        <v>1</v>
      </c>
      <c r="O399" s="81">
        <f t="shared" si="47"/>
        <v>1.1799999999999997</v>
      </c>
      <c r="P399" s="81">
        <f>IF(G399="","",ABS(O399-Components!$C$2))</f>
        <v>1.5733333333333301</v>
      </c>
      <c r="Q399" s="81">
        <f>IF(G399="","",ABS(O399-Components!$C$3))</f>
        <v>2.8559999999999999</v>
      </c>
      <c r="R399" s="81">
        <f>IF(G399="","",ABS(O399-Components!$C$4))</f>
        <v>0.18666666666666676</v>
      </c>
      <c r="S399" s="81">
        <f>IF(G399="","",ABS(O399-Components!$C$5))</f>
        <v>3.3826666666666707</v>
      </c>
      <c r="T399" s="81">
        <f>IF(G399="","",ABS(O399-Components!$C$6))</f>
        <v>2.4333333333329765E-2</v>
      </c>
      <c r="U399" s="81">
        <f>IF(G399="","",ABS(O399-Components!$C$7))</f>
        <v>0.19433333333333036</v>
      </c>
      <c r="V399" s="81" t="str">
        <f>IF(F399="","",IF(M399="OK","NONE",INDEX({"S1","S2","W1","W2","N1","N2"},MATCH(MIN(P399:U399),P399:U399,0))))</f>
        <v>N1</v>
      </c>
      <c r="W399" s="117">
        <f t="shared" si="48"/>
        <v>1</v>
      </c>
      <c r="X399" s="119"/>
    </row>
    <row r="400" spans="1:24">
      <c r="A400" s="115">
        <v>398</v>
      </c>
      <c r="B400" s="116">
        <v>14</v>
      </c>
      <c r="C400" s="81" t="s">
        <v>132</v>
      </c>
      <c r="D400" s="111" t="s">
        <v>240</v>
      </c>
      <c r="E400" s="81" t="s">
        <v>108</v>
      </c>
      <c r="F400" s="52">
        <v>7.48</v>
      </c>
      <c r="G400" s="52">
        <f t="shared" si="42"/>
        <v>8.4500000000000011</v>
      </c>
      <c r="H400" s="110"/>
      <c r="I400" s="81">
        <v>9.61</v>
      </c>
      <c r="J400" s="81">
        <f>VLOOKUP(C400,Recipes!$A$2:$N$4,12,FALSE())</f>
        <v>6.1509461004819709E-2</v>
      </c>
      <c r="K400" s="81">
        <f t="shared" si="43"/>
        <v>9.4254716169855399</v>
      </c>
      <c r="L400" s="81">
        <f t="shared" si="44"/>
        <v>9.7945283830144589</v>
      </c>
      <c r="M400" s="81" t="str">
        <f t="shared" si="46"/>
        <v>NG</v>
      </c>
      <c r="N400" s="117">
        <f t="shared" si="45"/>
        <v>1</v>
      </c>
      <c r="O400" s="81">
        <f t="shared" si="47"/>
        <v>1.1599999999999984</v>
      </c>
      <c r="P400" s="81">
        <f>IF(G400="","",ABS(O400-Components!$C$2))</f>
        <v>1.5933333333333315</v>
      </c>
      <c r="Q400" s="81">
        <f>IF(G400="","",ABS(O400-Components!$C$3))</f>
        <v>2.8760000000000012</v>
      </c>
      <c r="R400" s="81">
        <f>IF(G400="","",ABS(O400-Components!$C$4))</f>
        <v>0.16666666666666541</v>
      </c>
      <c r="S400" s="81">
        <f>IF(G400="","",ABS(O400-Components!$C$5))</f>
        <v>3.4026666666666721</v>
      </c>
      <c r="T400" s="81">
        <f>IF(G400="","",ABS(O400-Components!$C$6))</f>
        <v>4.3333333333284152E-3</v>
      </c>
      <c r="U400" s="81">
        <f>IF(G400="","",ABS(O400-Components!$C$7))</f>
        <v>0.21433333333333171</v>
      </c>
      <c r="V400" s="81" t="str">
        <f>IF(F400="","",IF(M400="OK","NONE",INDEX({"S1","S2","W1","W2","N1","N2"},MATCH(MIN(P400:U400),P400:U400,0))))</f>
        <v>N1</v>
      </c>
      <c r="W400" s="117">
        <f t="shared" si="48"/>
        <v>1</v>
      </c>
      <c r="X400" s="119"/>
    </row>
    <row r="401" spans="1:24">
      <c r="A401" s="115">
        <v>399</v>
      </c>
      <c r="B401" s="116">
        <v>14</v>
      </c>
      <c r="C401" s="81" t="s">
        <v>132</v>
      </c>
      <c r="D401" s="111" t="s">
        <v>240</v>
      </c>
      <c r="E401" s="81" t="s">
        <v>108</v>
      </c>
      <c r="F401" s="52">
        <v>7.45</v>
      </c>
      <c r="G401" s="52">
        <f t="shared" si="42"/>
        <v>8.42</v>
      </c>
      <c r="H401" s="110"/>
      <c r="I401" s="81">
        <v>9.61</v>
      </c>
      <c r="J401" s="81">
        <f>VLOOKUP(C401,Recipes!$A$2:$N$4,12,FALSE())</f>
        <v>6.1509461004819709E-2</v>
      </c>
      <c r="K401" s="81">
        <f t="shared" si="43"/>
        <v>9.4254716169855399</v>
      </c>
      <c r="L401" s="81">
        <f t="shared" si="44"/>
        <v>9.7945283830144589</v>
      </c>
      <c r="M401" s="81" t="str">
        <f t="shared" si="46"/>
        <v>NG</v>
      </c>
      <c r="N401" s="117">
        <f t="shared" si="45"/>
        <v>1</v>
      </c>
      <c r="O401" s="81">
        <f t="shared" si="47"/>
        <v>1.1899999999999995</v>
      </c>
      <c r="P401" s="81">
        <f>IF(G401="","",ABS(O401-Components!$C$2))</f>
        <v>1.5633333333333304</v>
      </c>
      <c r="Q401" s="81">
        <f>IF(G401="","",ABS(O401-Components!$C$3))</f>
        <v>2.8460000000000001</v>
      </c>
      <c r="R401" s="81">
        <f>IF(G401="","",ABS(O401-Components!$C$4))</f>
        <v>0.19666666666666655</v>
      </c>
      <c r="S401" s="81">
        <f>IF(G401="","",ABS(O401-Components!$C$5))</f>
        <v>3.3726666666666709</v>
      </c>
      <c r="T401" s="81">
        <f>IF(G401="","",ABS(O401-Components!$C$6))</f>
        <v>3.4333333333329552E-2</v>
      </c>
      <c r="U401" s="81">
        <f>IF(G401="","",ABS(O401-Components!$C$7))</f>
        <v>0.18433333333333057</v>
      </c>
      <c r="V401" s="81" t="str">
        <f>IF(F401="","",IF(M401="OK","NONE",INDEX({"S1","S2","W1","W2","N1","N2"},MATCH(MIN(P401:U401),P401:U401,0))))</f>
        <v>N1</v>
      </c>
      <c r="W401" s="117">
        <f t="shared" si="48"/>
        <v>1</v>
      </c>
      <c r="X401" s="119"/>
    </row>
    <row r="402" spans="1:24">
      <c r="A402" s="115">
        <v>400</v>
      </c>
      <c r="B402" s="116">
        <v>14</v>
      </c>
      <c r="C402" s="81" t="s">
        <v>132</v>
      </c>
      <c r="D402" s="111" t="s">
        <v>240</v>
      </c>
      <c r="E402" s="81" t="s">
        <v>108</v>
      </c>
      <c r="F402" s="52">
        <v>7.43</v>
      </c>
      <c r="G402" s="52">
        <f t="shared" si="42"/>
        <v>8.4</v>
      </c>
      <c r="H402" s="110"/>
      <c r="I402" s="81">
        <v>9.61</v>
      </c>
      <c r="J402" s="81">
        <f>VLOOKUP(C402,Recipes!$A$2:$N$4,12,FALSE())</f>
        <v>6.1509461004819709E-2</v>
      </c>
      <c r="K402" s="81">
        <f t="shared" si="43"/>
        <v>9.4254716169855399</v>
      </c>
      <c r="L402" s="81">
        <f t="shared" si="44"/>
        <v>9.7945283830144589</v>
      </c>
      <c r="M402" s="81" t="str">
        <f t="shared" si="46"/>
        <v>NG</v>
      </c>
      <c r="N402" s="117">
        <f t="shared" si="45"/>
        <v>1</v>
      </c>
      <c r="O402" s="81">
        <f t="shared" si="47"/>
        <v>1.2099999999999991</v>
      </c>
      <c r="P402" s="81">
        <f>IF(G402="","",ABS(O402-Components!$C$2))</f>
        <v>1.5433333333333308</v>
      </c>
      <c r="Q402" s="81">
        <f>IF(G402="","",ABS(O402-Components!$C$3))</f>
        <v>2.8260000000000005</v>
      </c>
      <c r="R402" s="81">
        <f>IF(G402="","",ABS(O402-Components!$C$4))</f>
        <v>0.21666666666666612</v>
      </c>
      <c r="S402" s="81">
        <f>IF(G402="","",ABS(O402-Components!$C$5))</f>
        <v>3.3526666666666713</v>
      </c>
      <c r="T402" s="81">
        <f>IF(G402="","",ABS(O402-Components!$C$6))</f>
        <v>5.4333333333329126E-2</v>
      </c>
      <c r="U402" s="81">
        <f>IF(G402="","",ABS(O402-Components!$C$7))</f>
        <v>0.164333333333331</v>
      </c>
      <c r="V402" s="81" t="str">
        <f>IF(F402="","",IF(M402="OK","NONE",INDEX({"S1","S2","W1","W2","N1","N2"},MATCH(MIN(P402:U402),P402:U402,0))))</f>
        <v>N1</v>
      </c>
      <c r="W402" s="117">
        <f t="shared" si="48"/>
        <v>1</v>
      </c>
      <c r="X402" s="119"/>
    </row>
    <row r="403" spans="1:24">
      <c r="A403" s="115">
        <v>401</v>
      </c>
      <c r="B403" s="116">
        <v>14</v>
      </c>
      <c r="C403" s="81" t="s">
        <v>132</v>
      </c>
      <c r="D403" s="111" t="s">
        <v>240</v>
      </c>
      <c r="E403" s="81" t="s">
        <v>108</v>
      </c>
      <c r="F403" s="52">
        <v>7.48</v>
      </c>
      <c r="G403" s="52">
        <f t="shared" si="42"/>
        <v>8.4500000000000011</v>
      </c>
      <c r="H403" s="110"/>
      <c r="I403" s="81">
        <v>9.61</v>
      </c>
      <c r="J403" s="81">
        <f>VLOOKUP(C403,Recipes!$A$2:$N$4,12,FALSE())</f>
        <v>6.1509461004819709E-2</v>
      </c>
      <c r="K403" s="81">
        <f t="shared" si="43"/>
        <v>9.4254716169855399</v>
      </c>
      <c r="L403" s="81">
        <f t="shared" si="44"/>
        <v>9.7945283830144589</v>
      </c>
      <c r="M403" s="81" t="str">
        <f t="shared" si="46"/>
        <v>NG</v>
      </c>
      <c r="N403" s="117">
        <f t="shared" si="45"/>
        <v>1</v>
      </c>
      <c r="O403" s="81">
        <f t="shared" si="47"/>
        <v>1.1599999999999984</v>
      </c>
      <c r="P403" s="81">
        <f>IF(G403="","",ABS(O403-Components!$C$2))</f>
        <v>1.5933333333333315</v>
      </c>
      <c r="Q403" s="81">
        <f>IF(G403="","",ABS(O403-Components!$C$3))</f>
        <v>2.8760000000000012</v>
      </c>
      <c r="R403" s="81">
        <f>IF(G403="","",ABS(O403-Components!$C$4))</f>
        <v>0.16666666666666541</v>
      </c>
      <c r="S403" s="81">
        <f>IF(G403="","",ABS(O403-Components!$C$5))</f>
        <v>3.4026666666666721</v>
      </c>
      <c r="T403" s="81">
        <f>IF(G403="","",ABS(O403-Components!$C$6))</f>
        <v>4.3333333333284152E-3</v>
      </c>
      <c r="U403" s="81">
        <f>IF(G403="","",ABS(O403-Components!$C$7))</f>
        <v>0.21433333333333171</v>
      </c>
      <c r="V403" s="81" t="str">
        <f>IF(F403="","",IF(M403="OK","NONE",INDEX({"S1","S2","W1","W2","N1","N2"},MATCH(MIN(P403:U403),P403:U403,0))))</f>
        <v>N1</v>
      </c>
      <c r="W403" s="117">
        <f t="shared" si="48"/>
        <v>1</v>
      </c>
      <c r="X403" s="119"/>
    </row>
    <row r="404" spans="1:24">
      <c r="A404" s="115">
        <v>402</v>
      </c>
      <c r="B404" s="116">
        <v>14</v>
      </c>
      <c r="C404" s="81" t="s">
        <v>132</v>
      </c>
      <c r="D404" s="111" t="s">
        <v>240</v>
      </c>
      <c r="E404" s="81" t="s">
        <v>108</v>
      </c>
      <c r="F404" s="52">
        <v>7.46</v>
      </c>
      <c r="G404" s="52">
        <f t="shared" si="42"/>
        <v>8.43</v>
      </c>
      <c r="H404" s="110"/>
      <c r="I404" s="81">
        <v>9.61</v>
      </c>
      <c r="J404" s="81">
        <f>VLOOKUP(C404,Recipes!$A$2:$N$4,12,FALSE())</f>
        <v>6.1509461004819709E-2</v>
      </c>
      <c r="K404" s="81">
        <f t="shared" si="43"/>
        <v>9.4254716169855399</v>
      </c>
      <c r="L404" s="81">
        <f t="shared" si="44"/>
        <v>9.7945283830144589</v>
      </c>
      <c r="M404" s="81" t="str">
        <f t="shared" si="46"/>
        <v>NG</v>
      </c>
      <c r="N404" s="117">
        <f t="shared" si="45"/>
        <v>1</v>
      </c>
      <c r="O404" s="81">
        <f t="shared" si="47"/>
        <v>1.1799999999999997</v>
      </c>
      <c r="P404" s="81">
        <f>IF(G404="","",ABS(O404-Components!$C$2))</f>
        <v>1.5733333333333301</v>
      </c>
      <c r="Q404" s="81">
        <f>IF(G404="","",ABS(O404-Components!$C$3))</f>
        <v>2.8559999999999999</v>
      </c>
      <c r="R404" s="81">
        <f>IF(G404="","",ABS(O404-Components!$C$4))</f>
        <v>0.18666666666666676</v>
      </c>
      <c r="S404" s="81">
        <f>IF(G404="","",ABS(O404-Components!$C$5))</f>
        <v>3.3826666666666707</v>
      </c>
      <c r="T404" s="81">
        <f>IF(G404="","",ABS(O404-Components!$C$6))</f>
        <v>2.4333333333329765E-2</v>
      </c>
      <c r="U404" s="81">
        <f>IF(G404="","",ABS(O404-Components!$C$7))</f>
        <v>0.19433333333333036</v>
      </c>
      <c r="V404" s="81" t="str">
        <f>IF(F404="","",IF(M404="OK","NONE",INDEX({"S1","S2","W1","W2","N1","N2"},MATCH(MIN(P404:U404),P404:U404,0))))</f>
        <v>N1</v>
      </c>
      <c r="W404" s="117">
        <f t="shared" si="48"/>
        <v>1</v>
      </c>
      <c r="X404" s="119"/>
    </row>
    <row r="405" spans="1:24">
      <c r="A405" s="115">
        <v>403</v>
      </c>
      <c r="B405" s="116">
        <v>14</v>
      </c>
      <c r="C405" s="81" t="s">
        <v>132</v>
      </c>
      <c r="D405" s="111" t="s">
        <v>240</v>
      </c>
      <c r="E405" s="81" t="s">
        <v>108</v>
      </c>
      <c r="F405" s="52">
        <v>7.47</v>
      </c>
      <c r="G405" s="52">
        <f t="shared" si="42"/>
        <v>8.44</v>
      </c>
      <c r="H405" s="110"/>
      <c r="I405" s="81">
        <v>9.61</v>
      </c>
      <c r="J405" s="81">
        <f>VLOOKUP(C405,Recipes!$A$2:$N$4,12,FALSE())</f>
        <v>6.1509461004819709E-2</v>
      </c>
      <c r="K405" s="81">
        <f t="shared" si="43"/>
        <v>9.4254716169855399</v>
      </c>
      <c r="L405" s="81">
        <f t="shared" si="44"/>
        <v>9.7945283830144589</v>
      </c>
      <c r="M405" s="81" t="str">
        <f t="shared" si="46"/>
        <v>NG</v>
      </c>
      <c r="N405" s="117">
        <f t="shared" si="45"/>
        <v>1</v>
      </c>
      <c r="O405" s="81">
        <f t="shared" si="47"/>
        <v>1.17</v>
      </c>
      <c r="P405" s="81">
        <f>IF(G405="","",ABS(O405-Components!$C$2))</f>
        <v>1.5833333333333299</v>
      </c>
      <c r="Q405" s="81">
        <f>IF(G405="","",ABS(O405-Components!$C$3))</f>
        <v>2.8659999999999997</v>
      </c>
      <c r="R405" s="81">
        <f>IF(G405="","",ABS(O405-Components!$C$4))</f>
        <v>0.17666666666666697</v>
      </c>
      <c r="S405" s="81">
        <f>IF(G405="","",ABS(O405-Components!$C$5))</f>
        <v>3.3926666666666705</v>
      </c>
      <c r="T405" s="81">
        <f>IF(G405="","",ABS(O405-Components!$C$6))</f>
        <v>1.4333333333329978E-2</v>
      </c>
      <c r="U405" s="81">
        <f>IF(G405="","",ABS(O405-Components!$C$7))</f>
        <v>0.20433333333333015</v>
      </c>
      <c r="V405" s="81" t="str">
        <f>IF(F405="","",IF(M405="OK","NONE",INDEX({"S1","S2","W1","W2","N1","N2"},MATCH(MIN(P405:U405),P405:U405,0))))</f>
        <v>N1</v>
      </c>
      <c r="W405" s="117">
        <f t="shared" si="48"/>
        <v>1</v>
      </c>
      <c r="X405" s="119"/>
    </row>
    <row r="406" spans="1:24">
      <c r="A406" s="115">
        <v>404</v>
      </c>
      <c r="B406" s="116">
        <v>14</v>
      </c>
      <c r="C406" s="81" t="s">
        <v>132</v>
      </c>
      <c r="D406" s="111" t="s">
        <v>240</v>
      </c>
      <c r="E406" s="81" t="s">
        <v>108</v>
      </c>
      <c r="F406" s="52">
        <v>7.3</v>
      </c>
      <c r="G406" s="52">
        <f t="shared" si="42"/>
        <v>8.27</v>
      </c>
      <c r="H406" s="110"/>
      <c r="I406" s="81">
        <v>9.61</v>
      </c>
      <c r="J406" s="81">
        <f>VLOOKUP(C406,Recipes!$A$2:$N$4,12,FALSE())</f>
        <v>6.1509461004819709E-2</v>
      </c>
      <c r="K406" s="81">
        <f t="shared" si="43"/>
        <v>9.4254716169855399</v>
      </c>
      <c r="L406" s="81">
        <f t="shared" si="44"/>
        <v>9.7945283830144589</v>
      </c>
      <c r="M406" s="81" t="str">
        <f t="shared" si="46"/>
        <v>NG</v>
      </c>
      <c r="N406" s="117">
        <f t="shared" si="45"/>
        <v>1</v>
      </c>
      <c r="O406" s="81">
        <f t="shared" si="47"/>
        <v>1.3399999999999999</v>
      </c>
      <c r="P406" s="81">
        <f>IF(G406="","",ABS(O406-Components!$C$2))</f>
        <v>1.41333333333333</v>
      </c>
      <c r="Q406" s="81">
        <f>IF(G406="","",ABS(O406-Components!$C$3))</f>
        <v>2.6959999999999997</v>
      </c>
      <c r="R406" s="81">
        <f>IF(G406="","",ABS(O406-Components!$C$4))</f>
        <v>0.3466666666666669</v>
      </c>
      <c r="S406" s="81">
        <f>IF(G406="","",ABS(O406-Components!$C$5))</f>
        <v>3.2226666666666706</v>
      </c>
      <c r="T406" s="81">
        <f>IF(G406="","",ABS(O406-Components!$C$6))</f>
        <v>0.18433333333332991</v>
      </c>
      <c r="U406" s="81">
        <f>IF(G406="","",ABS(O406-Components!$C$7))</f>
        <v>3.4333333333330218E-2</v>
      </c>
      <c r="V406" s="81" t="str">
        <f>IF(F406="","",IF(M406="OK","NONE",INDEX({"S1","S2","W1","W2","N1","N2"},MATCH(MIN(P406:U406),P406:U406,0))))</f>
        <v>N2</v>
      </c>
      <c r="W406" s="118">
        <f t="shared" si="48"/>
        <v>0</v>
      </c>
      <c r="X406" s="119"/>
    </row>
    <row r="407" spans="1:24">
      <c r="A407" s="115">
        <v>405</v>
      </c>
      <c r="B407" s="116">
        <v>14</v>
      </c>
      <c r="C407" s="81" t="s">
        <v>132</v>
      </c>
      <c r="D407" s="111" t="s">
        <v>240</v>
      </c>
      <c r="E407" s="81" t="s">
        <v>108</v>
      </c>
      <c r="F407" s="52">
        <v>7.44</v>
      </c>
      <c r="G407" s="52">
        <f t="shared" si="42"/>
        <v>8.41</v>
      </c>
      <c r="H407" s="110"/>
      <c r="I407" s="81">
        <v>9.61</v>
      </c>
      <c r="J407" s="81">
        <f>VLOOKUP(C407,Recipes!$A$2:$N$4,12,FALSE())</f>
        <v>6.1509461004819709E-2</v>
      </c>
      <c r="K407" s="81">
        <f t="shared" si="43"/>
        <v>9.4254716169855399</v>
      </c>
      <c r="L407" s="81">
        <f t="shared" si="44"/>
        <v>9.7945283830144589</v>
      </c>
      <c r="M407" s="81" t="str">
        <f t="shared" si="46"/>
        <v>NG</v>
      </c>
      <c r="N407" s="117">
        <f t="shared" si="45"/>
        <v>1</v>
      </c>
      <c r="O407" s="81">
        <f t="shared" si="47"/>
        <v>1.1999999999999993</v>
      </c>
      <c r="P407" s="81">
        <f>IF(G407="","",ABS(O407-Components!$C$2))</f>
        <v>1.5533333333333306</v>
      </c>
      <c r="Q407" s="81">
        <f>IF(G407="","",ABS(O407-Components!$C$3))</f>
        <v>2.8360000000000003</v>
      </c>
      <c r="R407" s="81">
        <f>IF(G407="","",ABS(O407-Components!$C$4))</f>
        <v>0.20666666666666633</v>
      </c>
      <c r="S407" s="81">
        <f>IF(G407="","",ABS(O407-Components!$C$5))</f>
        <v>3.3626666666666711</v>
      </c>
      <c r="T407" s="81">
        <f>IF(G407="","",ABS(O407-Components!$C$6))</f>
        <v>4.4333333333329339E-2</v>
      </c>
      <c r="U407" s="81">
        <f>IF(G407="","",ABS(O407-Components!$C$7))</f>
        <v>0.17433333333333079</v>
      </c>
      <c r="V407" s="81" t="str">
        <f>IF(F407="","",IF(M407="OK","NONE",INDEX({"S1","S2","W1","W2","N1","N2"},MATCH(MIN(P407:U407),P407:U407,0))))</f>
        <v>N1</v>
      </c>
      <c r="W407" s="117">
        <f t="shared" si="48"/>
        <v>1</v>
      </c>
      <c r="X407" s="119"/>
    </row>
    <row r="408" spans="1:24">
      <c r="A408" s="115">
        <v>406</v>
      </c>
      <c r="B408" s="116">
        <v>14</v>
      </c>
      <c r="C408" s="81" t="s">
        <v>132</v>
      </c>
      <c r="D408" s="111" t="s">
        <v>240</v>
      </c>
      <c r="E408" s="81" t="s">
        <v>108</v>
      </c>
      <c r="F408" s="52">
        <v>7.45</v>
      </c>
      <c r="G408" s="52">
        <f t="shared" si="42"/>
        <v>8.42</v>
      </c>
      <c r="H408" s="110"/>
      <c r="I408" s="81">
        <v>9.61</v>
      </c>
      <c r="J408" s="81">
        <f>VLOOKUP(C408,Recipes!$A$2:$N$4,12,FALSE())</f>
        <v>6.1509461004819709E-2</v>
      </c>
      <c r="K408" s="81">
        <f t="shared" si="43"/>
        <v>9.4254716169855399</v>
      </c>
      <c r="L408" s="81">
        <f t="shared" si="44"/>
        <v>9.7945283830144589</v>
      </c>
      <c r="M408" s="81" t="str">
        <f t="shared" si="46"/>
        <v>NG</v>
      </c>
      <c r="N408" s="117">
        <f t="shared" si="45"/>
        <v>1</v>
      </c>
      <c r="O408" s="81">
        <f t="shared" si="47"/>
        <v>1.1899999999999995</v>
      </c>
      <c r="P408" s="81">
        <f>IF(G408="","",ABS(O408-Components!$C$2))</f>
        <v>1.5633333333333304</v>
      </c>
      <c r="Q408" s="81">
        <f>IF(G408="","",ABS(O408-Components!$C$3))</f>
        <v>2.8460000000000001</v>
      </c>
      <c r="R408" s="81">
        <f>IF(G408="","",ABS(O408-Components!$C$4))</f>
        <v>0.19666666666666655</v>
      </c>
      <c r="S408" s="81">
        <f>IF(G408="","",ABS(O408-Components!$C$5))</f>
        <v>3.3726666666666709</v>
      </c>
      <c r="T408" s="81">
        <f>IF(G408="","",ABS(O408-Components!$C$6))</f>
        <v>3.4333333333329552E-2</v>
      </c>
      <c r="U408" s="81">
        <f>IF(G408="","",ABS(O408-Components!$C$7))</f>
        <v>0.18433333333333057</v>
      </c>
      <c r="V408" s="81" t="str">
        <f>IF(F408="","",IF(M408="OK","NONE",INDEX({"S1","S2","W1","W2","N1","N2"},MATCH(MIN(P408:U408),P408:U408,0))))</f>
        <v>N1</v>
      </c>
      <c r="W408" s="117">
        <f t="shared" si="48"/>
        <v>1</v>
      </c>
      <c r="X408" s="119"/>
    </row>
    <row r="409" spans="1:24">
      <c r="A409" s="115">
        <v>407</v>
      </c>
      <c r="B409" s="116">
        <v>14</v>
      </c>
      <c r="C409" s="81" t="s">
        <v>132</v>
      </c>
      <c r="D409" s="111" t="s">
        <v>240</v>
      </c>
      <c r="E409" s="81" t="s">
        <v>108</v>
      </c>
      <c r="F409" s="52">
        <v>7.45</v>
      </c>
      <c r="G409" s="52">
        <f t="shared" si="42"/>
        <v>8.42</v>
      </c>
      <c r="H409" s="110"/>
      <c r="I409" s="81">
        <v>9.61</v>
      </c>
      <c r="J409" s="81">
        <f>VLOOKUP(C409,Recipes!$A$2:$N$4,12,FALSE())</f>
        <v>6.1509461004819709E-2</v>
      </c>
      <c r="K409" s="81">
        <f t="shared" si="43"/>
        <v>9.4254716169855399</v>
      </c>
      <c r="L409" s="81">
        <f t="shared" si="44"/>
        <v>9.7945283830144589</v>
      </c>
      <c r="M409" s="81" t="str">
        <f t="shared" si="46"/>
        <v>NG</v>
      </c>
      <c r="N409" s="117">
        <f t="shared" si="45"/>
        <v>1</v>
      </c>
      <c r="O409" s="81">
        <f t="shared" si="47"/>
        <v>1.1899999999999995</v>
      </c>
      <c r="P409" s="81">
        <f>IF(G409="","",ABS(O409-Components!$C$2))</f>
        <v>1.5633333333333304</v>
      </c>
      <c r="Q409" s="81">
        <f>IF(G409="","",ABS(O409-Components!$C$3))</f>
        <v>2.8460000000000001</v>
      </c>
      <c r="R409" s="81">
        <f>IF(G409="","",ABS(O409-Components!$C$4))</f>
        <v>0.19666666666666655</v>
      </c>
      <c r="S409" s="81">
        <f>IF(G409="","",ABS(O409-Components!$C$5))</f>
        <v>3.3726666666666709</v>
      </c>
      <c r="T409" s="81">
        <f>IF(G409="","",ABS(O409-Components!$C$6))</f>
        <v>3.4333333333329552E-2</v>
      </c>
      <c r="U409" s="81">
        <f>IF(G409="","",ABS(O409-Components!$C$7))</f>
        <v>0.18433333333333057</v>
      </c>
      <c r="V409" s="81" t="str">
        <f>IF(F409="","",IF(M409="OK","NONE",INDEX({"S1","S2","W1","W2","N1","N2"},MATCH(MIN(P409:U409),P409:U409,0))))</f>
        <v>N1</v>
      </c>
      <c r="W409" s="117">
        <f t="shared" si="48"/>
        <v>1</v>
      </c>
      <c r="X409" s="119"/>
    </row>
    <row r="410" spans="1:24">
      <c r="A410" s="115">
        <v>408</v>
      </c>
      <c r="B410" s="116">
        <v>14</v>
      </c>
      <c r="C410" s="81" t="s">
        <v>132</v>
      </c>
      <c r="D410" s="111" t="s">
        <v>240</v>
      </c>
      <c r="E410" s="81" t="s">
        <v>108</v>
      </c>
      <c r="F410" s="52">
        <v>7.44</v>
      </c>
      <c r="G410" s="52">
        <f t="shared" si="42"/>
        <v>8.41</v>
      </c>
      <c r="H410" s="110"/>
      <c r="I410" s="81">
        <v>9.61</v>
      </c>
      <c r="J410" s="81">
        <f>VLOOKUP(C410,Recipes!$A$2:$N$4,12,FALSE())</f>
        <v>6.1509461004819709E-2</v>
      </c>
      <c r="K410" s="81">
        <f t="shared" si="43"/>
        <v>9.4254716169855399</v>
      </c>
      <c r="L410" s="81">
        <f t="shared" si="44"/>
        <v>9.7945283830144589</v>
      </c>
      <c r="M410" s="81" t="str">
        <f t="shared" si="46"/>
        <v>NG</v>
      </c>
      <c r="N410" s="117">
        <f t="shared" si="45"/>
        <v>1</v>
      </c>
      <c r="O410" s="81">
        <f t="shared" si="47"/>
        <v>1.1999999999999993</v>
      </c>
      <c r="P410" s="81">
        <f>IF(G410="","",ABS(O410-Components!$C$2))</f>
        <v>1.5533333333333306</v>
      </c>
      <c r="Q410" s="81">
        <f>IF(G410="","",ABS(O410-Components!$C$3))</f>
        <v>2.8360000000000003</v>
      </c>
      <c r="R410" s="81">
        <f>IF(G410="","",ABS(O410-Components!$C$4))</f>
        <v>0.20666666666666633</v>
      </c>
      <c r="S410" s="81">
        <f>IF(G410="","",ABS(O410-Components!$C$5))</f>
        <v>3.3626666666666711</v>
      </c>
      <c r="T410" s="81">
        <f>IF(G410="","",ABS(O410-Components!$C$6))</f>
        <v>4.4333333333329339E-2</v>
      </c>
      <c r="U410" s="81">
        <f>IF(G410="","",ABS(O410-Components!$C$7))</f>
        <v>0.17433333333333079</v>
      </c>
      <c r="V410" s="81" t="str">
        <f>IF(F410="","",IF(M410="OK","NONE",INDEX({"S1","S2","W1","W2","N1","N2"},MATCH(MIN(P410:U410),P410:U410,0))))</f>
        <v>N1</v>
      </c>
      <c r="W410" s="117">
        <f t="shared" si="48"/>
        <v>1</v>
      </c>
      <c r="X410" s="119"/>
    </row>
    <row r="411" spans="1:24">
      <c r="A411" s="115">
        <v>409</v>
      </c>
      <c r="B411" s="116">
        <v>14</v>
      </c>
      <c r="C411" s="81" t="s">
        <v>132</v>
      </c>
      <c r="D411" s="111" t="s">
        <v>240</v>
      </c>
      <c r="E411" s="81" t="s">
        <v>108</v>
      </c>
      <c r="F411" s="52">
        <v>7.47</v>
      </c>
      <c r="G411" s="52">
        <f t="shared" si="42"/>
        <v>8.44</v>
      </c>
      <c r="H411" s="110"/>
      <c r="I411" s="81">
        <v>9.61</v>
      </c>
      <c r="J411" s="81">
        <f>VLOOKUP(C411,Recipes!$A$2:$N$4,12,FALSE())</f>
        <v>6.1509461004819709E-2</v>
      </c>
      <c r="K411" s="81">
        <f t="shared" si="43"/>
        <v>9.4254716169855399</v>
      </c>
      <c r="L411" s="81">
        <f t="shared" si="44"/>
        <v>9.7945283830144589</v>
      </c>
      <c r="M411" s="81" t="str">
        <f t="shared" si="46"/>
        <v>NG</v>
      </c>
      <c r="N411" s="117">
        <f t="shared" si="45"/>
        <v>1</v>
      </c>
      <c r="O411" s="81">
        <f t="shared" si="47"/>
        <v>1.17</v>
      </c>
      <c r="P411" s="81">
        <f>IF(G411="","",ABS(O411-Components!$C$2))</f>
        <v>1.5833333333333299</v>
      </c>
      <c r="Q411" s="81">
        <f>IF(G411="","",ABS(O411-Components!$C$3))</f>
        <v>2.8659999999999997</v>
      </c>
      <c r="R411" s="81">
        <f>IF(G411="","",ABS(O411-Components!$C$4))</f>
        <v>0.17666666666666697</v>
      </c>
      <c r="S411" s="81">
        <f>IF(G411="","",ABS(O411-Components!$C$5))</f>
        <v>3.3926666666666705</v>
      </c>
      <c r="T411" s="81">
        <f>IF(G411="","",ABS(O411-Components!$C$6))</f>
        <v>1.4333333333329978E-2</v>
      </c>
      <c r="U411" s="81">
        <f>IF(G411="","",ABS(O411-Components!$C$7))</f>
        <v>0.20433333333333015</v>
      </c>
      <c r="V411" s="81" t="str">
        <f>IF(F411="","",IF(M411="OK","NONE",INDEX({"S1","S2","W1","W2","N1","N2"},MATCH(MIN(P411:U411),P411:U411,0))))</f>
        <v>N1</v>
      </c>
      <c r="W411" s="117">
        <f t="shared" si="48"/>
        <v>1</v>
      </c>
      <c r="X411" s="119"/>
    </row>
    <row r="412" spans="1:24">
      <c r="A412" s="115">
        <v>410</v>
      </c>
      <c r="B412" s="116">
        <v>14</v>
      </c>
      <c r="C412" s="81" t="s">
        <v>132</v>
      </c>
      <c r="D412" s="111" t="s">
        <v>240</v>
      </c>
      <c r="E412" s="81" t="s">
        <v>108</v>
      </c>
      <c r="F412" s="52">
        <v>7.38</v>
      </c>
      <c r="G412" s="52">
        <f t="shared" si="42"/>
        <v>8.35</v>
      </c>
      <c r="H412" s="110"/>
      <c r="I412" s="81">
        <v>9.61</v>
      </c>
      <c r="J412" s="81">
        <f>VLOOKUP(C412,Recipes!$A$2:$N$4,12,FALSE())</f>
        <v>6.1509461004819709E-2</v>
      </c>
      <c r="K412" s="81">
        <f t="shared" si="43"/>
        <v>9.4254716169855399</v>
      </c>
      <c r="L412" s="81">
        <f t="shared" si="44"/>
        <v>9.7945283830144589</v>
      </c>
      <c r="M412" s="81" t="str">
        <f t="shared" si="46"/>
        <v>NG</v>
      </c>
      <c r="N412" s="117">
        <f t="shared" si="45"/>
        <v>1</v>
      </c>
      <c r="O412" s="81">
        <f t="shared" si="47"/>
        <v>1.2599999999999998</v>
      </c>
      <c r="P412" s="81">
        <f>IF(G412="","",ABS(O412-Components!$C$2))</f>
        <v>1.4933333333333301</v>
      </c>
      <c r="Q412" s="81">
        <f>IF(G412="","",ABS(O412-Components!$C$3))</f>
        <v>2.7759999999999998</v>
      </c>
      <c r="R412" s="81">
        <f>IF(G412="","",ABS(O412-Components!$C$4))</f>
        <v>0.26666666666666683</v>
      </c>
      <c r="S412" s="81">
        <f>IF(G412="","",ABS(O412-Components!$C$5))</f>
        <v>3.3026666666666706</v>
      </c>
      <c r="T412" s="81">
        <f>IF(G412="","",ABS(O412-Components!$C$6))</f>
        <v>0.10433333333332984</v>
      </c>
      <c r="U412" s="81">
        <f>IF(G412="","",ABS(O412-Components!$C$7))</f>
        <v>0.11433333333333029</v>
      </c>
      <c r="V412" s="81" t="str">
        <f>IF(F412="","",IF(M412="OK","NONE",INDEX({"S1","S2","W1","W2","N1","N2"},MATCH(MIN(P412:U412),P412:U412,0))))</f>
        <v>N1</v>
      </c>
      <c r="W412" s="117">
        <f t="shared" si="48"/>
        <v>1</v>
      </c>
      <c r="X412" s="119"/>
    </row>
    <row r="413" spans="1:24">
      <c r="A413" s="115">
        <v>411</v>
      </c>
      <c r="B413" s="116">
        <v>14</v>
      </c>
      <c r="C413" s="81" t="s">
        <v>132</v>
      </c>
      <c r="D413" s="111" t="s">
        <v>240</v>
      </c>
      <c r="E413" s="81" t="s">
        <v>108</v>
      </c>
      <c r="F413" s="52">
        <v>7.45</v>
      </c>
      <c r="G413" s="52">
        <f t="shared" si="42"/>
        <v>8.42</v>
      </c>
      <c r="H413" s="110"/>
      <c r="I413" s="81">
        <v>9.61</v>
      </c>
      <c r="J413" s="81">
        <f>VLOOKUP(C413,Recipes!$A$2:$N$4,12,FALSE())</f>
        <v>6.1509461004819709E-2</v>
      </c>
      <c r="K413" s="81">
        <f t="shared" si="43"/>
        <v>9.4254716169855399</v>
      </c>
      <c r="L413" s="81">
        <f t="shared" si="44"/>
        <v>9.7945283830144589</v>
      </c>
      <c r="M413" s="81" t="str">
        <f t="shared" si="46"/>
        <v>NG</v>
      </c>
      <c r="N413" s="117">
        <f t="shared" si="45"/>
        <v>1</v>
      </c>
      <c r="O413" s="81">
        <f t="shared" si="47"/>
        <v>1.1899999999999995</v>
      </c>
      <c r="P413" s="81">
        <f>IF(G413="","",ABS(O413-Components!$C$2))</f>
        <v>1.5633333333333304</v>
      </c>
      <c r="Q413" s="81">
        <f>IF(G413="","",ABS(O413-Components!$C$3))</f>
        <v>2.8460000000000001</v>
      </c>
      <c r="R413" s="81">
        <f>IF(G413="","",ABS(O413-Components!$C$4))</f>
        <v>0.19666666666666655</v>
      </c>
      <c r="S413" s="81">
        <f>IF(G413="","",ABS(O413-Components!$C$5))</f>
        <v>3.3726666666666709</v>
      </c>
      <c r="T413" s="81">
        <f>IF(G413="","",ABS(O413-Components!$C$6))</f>
        <v>3.4333333333329552E-2</v>
      </c>
      <c r="U413" s="81">
        <f>IF(G413="","",ABS(O413-Components!$C$7))</f>
        <v>0.18433333333333057</v>
      </c>
      <c r="V413" s="81" t="str">
        <f>IF(F413="","",IF(M413="OK","NONE",INDEX({"S1","S2","W1","W2","N1","N2"},MATCH(MIN(P413:U413),P413:U413,0))))</f>
        <v>N1</v>
      </c>
      <c r="W413" s="117">
        <f t="shared" si="48"/>
        <v>1</v>
      </c>
      <c r="X413" s="119"/>
    </row>
    <row r="414" spans="1:24">
      <c r="A414" s="115">
        <v>412</v>
      </c>
      <c r="B414" s="116">
        <v>14</v>
      </c>
      <c r="C414" s="81" t="s">
        <v>132</v>
      </c>
      <c r="D414" s="111" t="s">
        <v>240</v>
      </c>
      <c r="E414" s="81" t="s">
        <v>108</v>
      </c>
      <c r="F414" s="52">
        <v>7.45</v>
      </c>
      <c r="G414" s="52">
        <f t="shared" si="42"/>
        <v>8.42</v>
      </c>
      <c r="H414" s="110"/>
      <c r="I414" s="81">
        <v>9.61</v>
      </c>
      <c r="J414" s="81">
        <f>VLOOKUP(C414,Recipes!$A$2:$N$4,12,FALSE())</f>
        <v>6.1509461004819709E-2</v>
      </c>
      <c r="K414" s="81">
        <f t="shared" si="43"/>
        <v>9.4254716169855399</v>
      </c>
      <c r="L414" s="81">
        <f t="shared" si="44"/>
        <v>9.7945283830144589</v>
      </c>
      <c r="M414" s="81" t="str">
        <f t="shared" si="46"/>
        <v>NG</v>
      </c>
      <c r="N414" s="117">
        <f t="shared" si="45"/>
        <v>1</v>
      </c>
      <c r="O414" s="81">
        <f t="shared" si="47"/>
        <v>1.1899999999999995</v>
      </c>
      <c r="P414" s="81">
        <f>IF(G414="","",ABS(O414-Components!$C$2))</f>
        <v>1.5633333333333304</v>
      </c>
      <c r="Q414" s="81">
        <f>IF(G414="","",ABS(O414-Components!$C$3))</f>
        <v>2.8460000000000001</v>
      </c>
      <c r="R414" s="81">
        <f>IF(G414="","",ABS(O414-Components!$C$4))</f>
        <v>0.19666666666666655</v>
      </c>
      <c r="S414" s="81">
        <f>IF(G414="","",ABS(O414-Components!$C$5))</f>
        <v>3.3726666666666709</v>
      </c>
      <c r="T414" s="81">
        <f>IF(G414="","",ABS(O414-Components!$C$6))</f>
        <v>3.4333333333329552E-2</v>
      </c>
      <c r="U414" s="81">
        <f>IF(G414="","",ABS(O414-Components!$C$7))</f>
        <v>0.18433333333333057</v>
      </c>
      <c r="V414" s="81" t="str">
        <f>IF(F414="","",IF(M414="OK","NONE",INDEX({"S1","S2","W1","W2","N1","N2"},MATCH(MIN(P414:U414),P414:U414,0))))</f>
        <v>N1</v>
      </c>
      <c r="W414" s="117">
        <f t="shared" si="48"/>
        <v>1</v>
      </c>
      <c r="X414" s="119"/>
    </row>
    <row r="415" spans="1:24">
      <c r="A415" s="115">
        <v>413</v>
      </c>
      <c r="B415" s="116">
        <v>14</v>
      </c>
      <c r="C415" s="81" t="s">
        <v>132</v>
      </c>
      <c r="D415" s="111" t="s">
        <v>240</v>
      </c>
      <c r="E415" s="81" t="s">
        <v>108</v>
      </c>
      <c r="F415" s="52">
        <v>7.45</v>
      </c>
      <c r="G415" s="52">
        <f t="shared" si="42"/>
        <v>8.42</v>
      </c>
      <c r="H415" s="110"/>
      <c r="I415" s="81">
        <v>9.61</v>
      </c>
      <c r="J415" s="81">
        <f>VLOOKUP(C415,Recipes!$A$2:$N$4,12,FALSE())</f>
        <v>6.1509461004819709E-2</v>
      </c>
      <c r="K415" s="81">
        <f t="shared" si="43"/>
        <v>9.4254716169855399</v>
      </c>
      <c r="L415" s="81">
        <f t="shared" si="44"/>
        <v>9.7945283830144589</v>
      </c>
      <c r="M415" s="81" t="str">
        <f t="shared" si="46"/>
        <v>NG</v>
      </c>
      <c r="N415" s="117">
        <f t="shared" si="45"/>
        <v>1</v>
      </c>
      <c r="O415" s="81">
        <f t="shared" si="47"/>
        <v>1.1899999999999995</v>
      </c>
      <c r="P415" s="81">
        <f>IF(G415="","",ABS(O415-Components!$C$2))</f>
        <v>1.5633333333333304</v>
      </c>
      <c r="Q415" s="81">
        <f>IF(G415="","",ABS(O415-Components!$C$3))</f>
        <v>2.8460000000000001</v>
      </c>
      <c r="R415" s="81">
        <f>IF(G415="","",ABS(O415-Components!$C$4))</f>
        <v>0.19666666666666655</v>
      </c>
      <c r="S415" s="81">
        <f>IF(G415="","",ABS(O415-Components!$C$5))</f>
        <v>3.3726666666666709</v>
      </c>
      <c r="T415" s="81">
        <f>IF(G415="","",ABS(O415-Components!$C$6))</f>
        <v>3.4333333333329552E-2</v>
      </c>
      <c r="U415" s="81">
        <f>IF(G415="","",ABS(O415-Components!$C$7))</f>
        <v>0.18433333333333057</v>
      </c>
      <c r="V415" s="81" t="str">
        <f>IF(F415="","",IF(M415="OK","NONE",INDEX({"S1","S2","W1","W2","N1","N2"},MATCH(MIN(P415:U415),P415:U415,0))))</f>
        <v>N1</v>
      </c>
      <c r="W415" s="117">
        <f t="shared" si="48"/>
        <v>1</v>
      </c>
      <c r="X415" s="119"/>
    </row>
    <row r="416" spans="1:24">
      <c r="A416" s="115">
        <v>414</v>
      </c>
      <c r="B416" s="116">
        <v>14</v>
      </c>
      <c r="C416" s="81" t="s">
        <v>132</v>
      </c>
      <c r="D416" s="111" t="s">
        <v>240</v>
      </c>
      <c r="E416" s="81" t="s">
        <v>108</v>
      </c>
      <c r="F416" s="52">
        <v>7.44</v>
      </c>
      <c r="G416" s="52">
        <f t="shared" si="42"/>
        <v>8.41</v>
      </c>
      <c r="H416" s="110"/>
      <c r="I416" s="81">
        <v>9.61</v>
      </c>
      <c r="J416" s="81">
        <f>VLOOKUP(C416,Recipes!$A$2:$N$4,12,FALSE())</f>
        <v>6.1509461004819709E-2</v>
      </c>
      <c r="K416" s="81">
        <f t="shared" si="43"/>
        <v>9.4254716169855399</v>
      </c>
      <c r="L416" s="81">
        <f t="shared" si="44"/>
        <v>9.7945283830144589</v>
      </c>
      <c r="M416" s="81" t="str">
        <f t="shared" si="46"/>
        <v>NG</v>
      </c>
      <c r="N416" s="117">
        <f t="shared" si="45"/>
        <v>1</v>
      </c>
      <c r="O416" s="81">
        <f t="shared" si="47"/>
        <v>1.1999999999999993</v>
      </c>
      <c r="P416" s="81">
        <f>IF(G416="","",ABS(O416-Components!$C$2))</f>
        <v>1.5533333333333306</v>
      </c>
      <c r="Q416" s="81">
        <f>IF(G416="","",ABS(O416-Components!$C$3))</f>
        <v>2.8360000000000003</v>
      </c>
      <c r="R416" s="81">
        <f>IF(G416="","",ABS(O416-Components!$C$4))</f>
        <v>0.20666666666666633</v>
      </c>
      <c r="S416" s="81">
        <f>IF(G416="","",ABS(O416-Components!$C$5))</f>
        <v>3.3626666666666711</v>
      </c>
      <c r="T416" s="81">
        <f>IF(G416="","",ABS(O416-Components!$C$6))</f>
        <v>4.4333333333329339E-2</v>
      </c>
      <c r="U416" s="81">
        <f>IF(G416="","",ABS(O416-Components!$C$7))</f>
        <v>0.17433333333333079</v>
      </c>
      <c r="V416" s="81" t="str">
        <f>IF(F416="","",IF(M416="OK","NONE",INDEX({"S1","S2","W1","W2","N1","N2"},MATCH(MIN(P416:U416),P416:U416,0))))</f>
        <v>N1</v>
      </c>
      <c r="W416" s="117">
        <f t="shared" si="48"/>
        <v>1</v>
      </c>
      <c r="X416" s="119"/>
    </row>
    <row r="417" spans="1:24">
      <c r="A417" s="115">
        <v>415</v>
      </c>
      <c r="B417" s="116">
        <v>14</v>
      </c>
      <c r="C417" s="81" t="s">
        <v>132</v>
      </c>
      <c r="D417" s="111" t="s">
        <v>240</v>
      </c>
      <c r="E417" s="81" t="s">
        <v>108</v>
      </c>
      <c r="F417" s="52">
        <v>7.45</v>
      </c>
      <c r="G417" s="52">
        <f t="shared" si="42"/>
        <v>8.42</v>
      </c>
      <c r="H417" s="110"/>
      <c r="I417" s="81">
        <v>9.61</v>
      </c>
      <c r="J417" s="81">
        <f>VLOOKUP(C417,Recipes!$A$2:$N$4,12,FALSE())</f>
        <v>6.1509461004819709E-2</v>
      </c>
      <c r="K417" s="81">
        <f t="shared" si="43"/>
        <v>9.4254716169855399</v>
      </c>
      <c r="L417" s="81">
        <f t="shared" si="44"/>
        <v>9.7945283830144589</v>
      </c>
      <c r="M417" s="81" t="str">
        <f t="shared" si="46"/>
        <v>NG</v>
      </c>
      <c r="N417" s="117">
        <f t="shared" si="45"/>
        <v>1</v>
      </c>
      <c r="O417" s="81">
        <f t="shared" si="47"/>
        <v>1.1899999999999995</v>
      </c>
      <c r="P417" s="81">
        <f>IF(G417="","",ABS(O417-Components!$C$2))</f>
        <v>1.5633333333333304</v>
      </c>
      <c r="Q417" s="81">
        <f>IF(G417="","",ABS(O417-Components!$C$3))</f>
        <v>2.8460000000000001</v>
      </c>
      <c r="R417" s="81">
        <f>IF(G417="","",ABS(O417-Components!$C$4))</f>
        <v>0.19666666666666655</v>
      </c>
      <c r="S417" s="81">
        <f>IF(G417="","",ABS(O417-Components!$C$5))</f>
        <v>3.3726666666666709</v>
      </c>
      <c r="T417" s="81">
        <f>IF(G417="","",ABS(O417-Components!$C$6))</f>
        <v>3.4333333333329552E-2</v>
      </c>
      <c r="U417" s="81">
        <f>IF(G417="","",ABS(O417-Components!$C$7))</f>
        <v>0.18433333333333057</v>
      </c>
      <c r="V417" s="81" t="str">
        <f>IF(F417="","",IF(M417="OK","NONE",INDEX({"S1","S2","W1","W2","N1","N2"},MATCH(MIN(P417:U417),P417:U417,0))))</f>
        <v>N1</v>
      </c>
      <c r="W417" s="117">
        <f t="shared" si="48"/>
        <v>1</v>
      </c>
      <c r="X417" s="119"/>
    </row>
    <row r="418" spans="1:24">
      <c r="A418" s="115">
        <v>416</v>
      </c>
      <c r="B418" s="116">
        <v>14</v>
      </c>
      <c r="C418" s="81" t="s">
        <v>132</v>
      </c>
      <c r="D418" s="111" t="s">
        <v>240</v>
      </c>
      <c r="E418" s="81" t="s">
        <v>108</v>
      </c>
      <c r="F418" s="52">
        <v>7.45</v>
      </c>
      <c r="G418" s="52">
        <f t="shared" si="42"/>
        <v>8.42</v>
      </c>
      <c r="H418" s="110"/>
      <c r="I418" s="81">
        <v>9.61</v>
      </c>
      <c r="J418" s="81">
        <f>VLOOKUP(C418,Recipes!$A$2:$N$4,12,FALSE())</f>
        <v>6.1509461004819709E-2</v>
      </c>
      <c r="K418" s="81">
        <f t="shared" si="43"/>
        <v>9.4254716169855399</v>
      </c>
      <c r="L418" s="81">
        <f t="shared" si="44"/>
        <v>9.7945283830144589</v>
      </c>
      <c r="M418" s="81" t="str">
        <f t="shared" si="46"/>
        <v>NG</v>
      </c>
      <c r="N418" s="117">
        <f t="shared" si="45"/>
        <v>1</v>
      </c>
      <c r="O418" s="81">
        <f t="shared" si="47"/>
        <v>1.1899999999999995</v>
      </c>
      <c r="P418" s="81">
        <f>IF(G418="","",ABS(O418-Components!$C$2))</f>
        <v>1.5633333333333304</v>
      </c>
      <c r="Q418" s="81">
        <f>IF(G418="","",ABS(O418-Components!$C$3))</f>
        <v>2.8460000000000001</v>
      </c>
      <c r="R418" s="81">
        <f>IF(G418="","",ABS(O418-Components!$C$4))</f>
        <v>0.19666666666666655</v>
      </c>
      <c r="S418" s="81">
        <f>IF(G418="","",ABS(O418-Components!$C$5))</f>
        <v>3.3726666666666709</v>
      </c>
      <c r="T418" s="81">
        <f>IF(G418="","",ABS(O418-Components!$C$6))</f>
        <v>3.4333333333329552E-2</v>
      </c>
      <c r="U418" s="81">
        <f>IF(G418="","",ABS(O418-Components!$C$7))</f>
        <v>0.18433333333333057</v>
      </c>
      <c r="V418" s="81" t="str">
        <f>IF(F418="","",IF(M418="OK","NONE",INDEX({"S1","S2","W1","W2","N1","N2"},MATCH(MIN(P418:U418),P418:U418,0))))</f>
        <v>N1</v>
      </c>
      <c r="W418" s="117">
        <f t="shared" si="48"/>
        <v>1</v>
      </c>
      <c r="X418" s="119"/>
    </row>
    <row r="419" spans="1:24">
      <c r="A419" s="115">
        <v>417</v>
      </c>
      <c r="B419" s="116">
        <v>14</v>
      </c>
      <c r="C419" s="61" t="s">
        <v>132</v>
      </c>
      <c r="D419" s="61" t="s">
        <v>240</v>
      </c>
      <c r="E419" s="61" t="s">
        <v>108</v>
      </c>
      <c r="F419" s="52">
        <v>7.44</v>
      </c>
      <c r="G419" s="52">
        <f t="shared" si="42"/>
        <v>8.41</v>
      </c>
      <c r="H419" s="110"/>
      <c r="I419" s="81">
        <v>9.61</v>
      </c>
      <c r="J419" s="81">
        <f>VLOOKUP(C419,Recipes!$A$2:$N$4,12,FALSE())</f>
        <v>6.1509461004819709E-2</v>
      </c>
      <c r="K419" s="81">
        <f t="shared" si="43"/>
        <v>9.4254716169855399</v>
      </c>
      <c r="L419" s="81">
        <f t="shared" si="44"/>
        <v>9.7945283830144589</v>
      </c>
      <c r="M419" s="81" t="str">
        <f t="shared" si="46"/>
        <v>NG</v>
      </c>
      <c r="N419" s="117">
        <f t="shared" si="45"/>
        <v>1</v>
      </c>
      <c r="O419" s="81">
        <f t="shared" si="47"/>
        <v>1.1999999999999993</v>
      </c>
      <c r="P419" s="81">
        <f>IF(G419="","",ABS(O419-Components!$C$2))</f>
        <v>1.5533333333333306</v>
      </c>
      <c r="Q419" s="81">
        <f>IF(G419="","",ABS(O419-Components!$C$3))</f>
        <v>2.8360000000000003</v>
      </c>
      <c r="R419" s="81">
        <f>IF(G419="","",ABS(O419-Components!$C$4))</f>
        <v>0.20666666666666633</v>
      </c>
      <c r="S419" s="81">
        <f>IF(G419="","",ABS(O419-Components!$C$5))</f>
        <v>3.3626666666666711</v>
      </c>
      <c r="T419" s="81">
        <f>IF(G419="","",ABS(O419-Components!$C$6))</f>
        <v>4.4333333333329339E-2</v>
      </c>
      <c r="U419" s="81">
        <f>IF(G419="","",ABS(O419-Components!$C$7))</f>
        <v>0.17433333333333079</v>
      </c>
      <c r="V419" s="81" t="str">
        <f>IF(F419="","",IF(M419="OK","NONE",INDEX({"S1","S2","W1","W2","N1","N2"},MATCH(MIN(P419:U419),P419:U419,0))))</f>
        <v>N1</v>
      </c>
      <c r="W419" s="117">
        <f t="shared" si="48"/>
        <v>1</v>
      </c>
      <c r="X419" s="119"/>
    </row>
    <row r="420" spans="1:24">
      <c r="A420" s="115">
        <v>418</v>
      </c>
      <c r="B420" s="116">
        <v>14</v>
      </c>
      <c r="C420" s="61" t="s">
        <v>132</v>
      </c>
      <c r="D420" s="61" t="s">
        <v>240</v>
      </c>
      <c r="E420" s="61" t="s">
        <v>108</v>
      </c>
      <c r="F420" s="52">
        <v>7.46</v>
      </c>
      <c r="G420" s="52">
        <f t="shared" si="42"/>
        <v>8.43</v>
      </c>
      <c r="H420" s="110"/>
      <c r="I420" s="81">
        <v>9.61</v>
      </c>
      <c r="J420" s="81">
        <f>VLOOKUP(C420,Recipes!$A$2:$N$4,12,FALSE())</f>
        <v>6.1509461004819709E-2</v>
      </c>
      <c r="K420" s="81">
        <f t="shared" si="43"/>
        <v>9.4254716169855399</v>
      </c>
      <c r="L420" s="81">
        <f t="shared" si="44"/>
        <v>9.7945283830144589</v>
      </c>
      <c r="M420" s="81" t="str">
        <f t="shared" si="46"/>
        <v>NG</v>
      </c>
      <c r="N420" s="117">
        <f t="shared" si="45"/>
        <v>1</v>
      </c>
      <c r="O420" s="81">
        <f t="shared" si="47"/>
        <v>1.1799999999999997</v>
      </c>
      <c r="P420" s="81">
        <f>IF(G420="","",ABS(O420-Components!$C$2))</f>
        <v>1.5733333333333301</v>
      </c>
      <c r="Q420" s="81">
        <f>IF(G420="","",ABS(O420-Components!$C$3))</f>
        <v>2.8559999999999999</v>
      </c>
      <c r="R420" s="81">
        <f>IF(G420="","",ABS(O420-Components!$C$4))</f>
        <v>0.18666666666666676</v>
      </c>
      <c r="S420" s="81">
        <f>IF(G420="","",ABS(O420-Components!$C$5))</f>
        <v>3.3826666666666707</v>
      </c>
      <c r="T420" s="81">
        <f>IF(G420="","",ABS(O420-Components!$C$6))</f>
        <v>2.4333333333329765E-2</v>
      </c>
      <c r="U420" s="81">
        <f>IF(G420="","",ABS(O420-Components!$C$7))</f>
        <v>0.19433333333333036</v>
      </c>
      <c r="V420" s="81" t="str">
        <f>IF(F420="","",IF(M420="OK","NONE",INDEX({"S1","S2","W1","W2","N1","N2"},MATCH(MIN(P420:U420),P420:U420,0))))</f>
        <v>N1</v>
      </c>
      <c r="W420" s="117">
        <f t="shared" si="48"/>
        <v>1</v>
      </c>
      <c r="X420" s="119"/>
    </row>
    <row r="421" spans="1:24">
      <c r="A421" s="115">
        <v>419</v>
      </c>
      <c r="B421" s="116">
        <v>14</v>
      </c>
      <c r="C421" s="81" t="s">
        <v>132</v>
      </c>
      <c r="D421" s="111" t="s">
        <v>240</v>
      </c>
      <c r="E421" s="81" t="s">
        <v>108</v>
      </c>
      <c r="F421" s="52">
        <v>7.25</v>
      </c>
      <c r="G421" s="52">
        <f t="shared" si="42"/>
        <v>8.2200000000000006</v>
      </c>
      <c r="H421" s="110"/>
      <c r="I421" s="81">
        <v>9.61</v>
      </c>
      <c r="J421" s="81">
        <f>VLOOKUP(C421,Recipes!$A$2:$N$4,12,FALSE())</f>
        <v>6.1509461004819709E-2</v>
      </c>
      <c r="K421" s="81">
        <f t="shared" si="43"/>
        <v>9.4254716169855399</v>
      </c>
      <c r="L421" s="81">
        <f t="shared" si="44"/>
        <v>9.7945283830144589</v>
      </c>
      <c r="M421" s="81" t="str">
        <f t="shared" si="46"/>
        <v>NG</v>
      </c>
      <c r="N421" s="117">
        <f t="shared" si="45"/>
        <v>1</v>
      </c>
      <c r="O421" s="81">
        <f t="shared" si="47"/>
        <v>1.3899999999999988</v>
      </c>
      <c r="P421" s="81">
        <f>IF(G421="","",ABS(O421-Components!$C$2))</f>
        <v>1.3633333333333311</v>
      </c>
      <c r="Q421" s="81">
        <f>IF(G421="","",ABS(O421-Components!$C$3))</f>
        <v>2.6460000000000008</v>
      </c>
      <c r="R421" s="81">
        <f>IF(G421="","",ABS(O421-Components!$C$4))</f>
        <v>0.39666666666666583</v>
      </c>
      <c r="S421" s="81">
        <f>IF(G421="","",ABS(O421-Components!$C$5))</f>
        <v>3.1726666666666716</v>
      </c>
      <c r="T421" s="81">
        <f>IF(G421="","",ABS(O421-Components!$C$6))</f>
        <v>0.23433333333332884</v>
      </c>
      <c r="U421" s="81">
        <f>IF(G421="","",ABS(O421-Components!$C$7))</f>
        <v>1.5666666666668716E-2</v>
      </c>
      <c r="V421" s="81" t="str">
        <f>IF(F421="","",IF(M421="OK","NONE",INDEX({"S1","S2","W1","W2","N1","N2"},MATCH(MIN(P421:U421),P421:U421,0))))</f>
        <v>N2</v>
      </c>
      <c r="W421" s="118">
        <f t="shared" si="48"/>
        <v>0</v>
      </c>
      <c r="X421" s="119"/>
    </row>
    <row r="422" spans="1:24">
      <c r="A422" s="115">
        <v>420</v>
      </c>
      <c r="B422" s="116">
        <v>14</v>
      </c>
      <c r="C422" s="61" t="s">
        <v>132</v>
      </c>
      <c r="D422" s="61" t="s">
        <v>240</v>
      </c>
      <c r="E422" s="61" t="s">
        <v>108</v>
      </c>
      <c r="F422" s="52">
        <v>7.47</v>
      </c>
      <c r="G422" s="52">
        <f t="shared" si="42"/>
        <v>8.44</v>
      </c>
      <c r="H422" s="113"/>
      <c r="I422" s="81">
        <v>9.61</v>
      </c>
      <c r="J422" s="81">
        <f>VLOOKUP(C422,Recipes!$A$2:$N$4,12,FALSE())</f>
        <v>6.1509461004819709E-2</v>
      </c>
      <c r="K422" s="81">
        <f t="shared" si="43"/>
        <v>9.4254716169855399</v>
      </c>
      <c r="L422" s="81">
        <f t="shared" si="44"/>
        <v>9.7945283830144589</v>
      </c>
      <c r="M422" s="81" t="str">
        <f t="shared" si="46"/>
        <v>NG</v>
      </c>
      <c r="N422" s="117">
        <f t="shared" si="45"/>
        <v>1</v>
      </c>
      <c r="O422" s="81">
        <f t="shared" si="47"/>
        <v>1.17</v>
      </c>
      <c r="P422" s="81">
        <f>IF(G422="","",ABS(O422-Components!$C$2))</f>
        <v>1.5833333333333299</v>
      </c>
      <c r="Q422" s="81">
        <f>IF(G422="","",ABS(O422-Components!$C$3))</f>
        <v>2.8659999999999997</v>
      </c>
      <c r="R422" s="81">
        <f>IF(G422="","",ABS(O422-Components!$C$4))</f>
        <v>0.17666666666666697</v>
      </c>
      <c r="S422" s="81">
        <f>IF(G422="","",ABS(O422-Components!$C$5))</f>
        <v>3.3926666666666705</v>
      </c>
      <c r="T422" s="81">
        <f>IF(G422="","",ABS(O422-Components!$C$6))</f>
        <v>1.4333333333329978E-2</v>
      </c>
      <c r="U422" s="81">
        <f>IF(G422="","",ABS(O422-Components!$C$7))</f>
        <v>0.20433333333333015</v>
      </c>
      <c r="V422" s="81" t="str">
        <f>IF(F422="","",IF(M422="OK","NONE",INDEX({"S1","S2","W1","W2","N1","N2"},MATCH(MIN(P422:U422),P422:U422,0))))</f>
        <v>N1</v>
      </c>
      <c r="W422" s="117">
        <f t="shared" si="48"/>
        <v>1</v>
      </c>
      <c r="X422" s="119"/>
    </row>
    <row r="423" spans="1:24">
      <c r="A423" s="7"/>
      <c r="B423" s="66"/>
      <c r="C423" s="7"/>
      <c r="D423" s="7"/>
      <c r="E423" s="7"/>
      <c r="F423" s="67"/>
      <c r="G423" s="68"/>
      <c r="H423" s="69"/>
      <c r="I423" s="70"/>
      <c r="J423" s="70"/>
      <c r="K423" s="71"/>
      <c r="L423" s="71"/>
      <c r="M423" s="7"/>
      <c r="N423" s="7"/>
      <c r="O423" s="71"/>
      <c r="P423" s="72"/>
      <c r="Q423" s="72"/>
      <c r="R423" s="72"/>
      <c r="S423" s="72"/>
      <c r="T423" s="72"/>
      <c r="U423" s="72"/>
      <c r="V423" s="7"/>
      <c r="W423" s="7"/>
    </row>
    <row r="424" spans="1:24">
      <c r="A424" s="7"/>
      <c r="B424" s="66"/>
      <c r="C424" s="7"/>
      <c r="D424" s="7"/>
      <c r="E424" s="7"/>
      <c r="F424" s="67"/>
      <c r="G424" s="68"/>
      <c r="H424" s="69"/>
      <c r="I424" s="70"/>
      <c r="J424" s="70"/>
      <c r="K424" s="71"/>
      <c r="L424" s="71"/>
      <c r="M424" s="7"/>
      <c r="N424" s="7"/>
      <c r="O424" s="71"/>
      <c r="P424" s="72"/>
      <c r="Q424" s="72"/>
      <c r="R424" s="72"/>
      <c r="S424" s="72"/>
      <c r="T424" s="72"/>
      <c r="U424" s="72"/>
      <c r="V424" s="7"/>
      <c r="W424" s="7"/>
    </row>
  </sheetData>
  <phoneticPr fontId="44" type="noConversion"/>
  <pageMargins left="0.75" right="0.75" top="1" bottom="1" header="0.511811023622047" footer="0.511811023622047"/>
  <pageSetup paperSize="9" orientation="portrait" horizontalDpi="300" verticalDpi="300"/>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X424"/>
  <sheetViews>
    <sheetView zoomScale="128" zoomScaleNormal="128" workbookViewId="0">
      <pane ySplit="2" topLeftCell="A346" activePane="bottomLeft" state="frozen"/>
      <selection pane="bottomLeft" activeCell="A3" sqref="A3"/>
    </sheetView>
  </sheetViews>
  <sheetFormatPr defaultColWidth="8.7109375" defaultRowHeight="15"/>
  <cols>
    <col min="1" max="1" width="8" customWidth="1"/>
    <col min="2" max="2" width="17" customWidth="1"/>
    <col min="3" max="3" width="8" customWidth="1"/>
    <col min="4" max="4" width="11" customWidth="1"/>
    <col min="5" max="5" width="19" customWidth="1"/>
    <col min="6" max="6" width="8" customWidth="1"/>
    <col min="7" max="7" width="19" customWidth="1"/>
    <col min="8" max="8" width="11" customWidth="1"/>
    <col min="9" max="9" width="8" customWidth="1"/>
    <col min="10" max="10" width="17" customWidth="1"/>
    <col min="11" max="11" width="14" customWidth="1"/>
    <col min="12" max="13" width="13" customWidth="1"/>
    <col min="14" max="14" width="17" customWidth="1"/>
    <col min="15" max="15" width="12" customWidth="1"/>
    <col min="16" max="16" width="19" customWidth="1"/>
    <col min="17" max="22" width="10" customWidth="1"/>
    <col min="23" max="23" width="19" customWidth="1"/>
    <col min="24" max="24" width="12" customWidth="1"/>
  </cols>
  <sheetData>
    <row r="2" spans="1:24" ht="30" customHeight="1">
      <c r="A2" s="48" t="s">
        <v>216</v>
      </c>
      <c r="B2" s="48" t="s">
        <v>217</v>
      </c>
      <c r="C2" s="48" t="s">
        <v>218</v>
      </c>
      <c r="D2" s="48" t="s">
        <v>219</v>
      </c>
      <c r="E2" s="48" t="s">
        <v>220</v>
      </c>
      <c r="F2" s="48" t="s">
        <v>241</v>
      </c>
      <c r="G2" s="48" t="s">
        <v>221</v>
      </c>
      <c r="H2" s="48" t="s">
        <v>222</v>
      </c>
      <c r="I2" s="48" t="s">
        <v>98</v>
      </c>
      <c r="J2" s="48" t="s">
        <v>223</v>
      </c>
      <c r="K2" s="48" t="s">
        <v>224</v>
      </c>
      <c r="L2" s="48" t="s">
        <v>225</v>
      </c>
      <c r="M2" s="48" t="s">
        <v>226</v>
      </c>
      <c r="N2" s="48" t="s">
        <v>227</v>
      </c>
      <c r="O2" s="48" t="s">
        <v>228</v>
      </c>
      <c r="P2" s="48" t="s">
        <v>229</v>
      </c>
      <c r="Q2" s="48" t="s">
        <v>230</v>
      </c>
      <c r="R2" s="48" t="s">
        <v>231</v>
      </c>
      <c r="S2" s="48" t="s">
        <v>232</v>
      </c>
      <c r="T2" s="48" t="s">
        <v>233</v>
      </c>
      <c r="U2" s="48" t="s">
        <v>234</v>
      </c>
      <c r="V2" s="48" t="s">
        <v>235</v>
      </c>
      <c r="W2" s="48" t="s">
        <v>236</v>
      </c>
      <c r="X2" s="48" t="s">
        <v>237</v>
      </c>
    </row>
    <row r="3" spans="1:24">
      <c r="A3" s="49">
        <v>1</v>
      </c>
      <c r="B3" s="50">
        <v>31</v>
      </c>
      <c r="C3" s="49" t="s">
        <v>128</v>
      </c>
      <c r="D3" s="51" t="s">
        <v>238</v>
      </c>
      <c r="E3" s="49" t="s">
        <v>239</v>
      </c>
      <c r="F3" s="49" t="s">
        <v>242</v>
      </c>
      <c r="G3" s="52">
        <v>9.91</v>
      </c>
      <c r="H3" s="53"/>
      <c r="I3" s="54"/>
      <c r="J3" s="55">
        <f>VLOOKUP(C3,Recipes!$A$2:$N$4,10,FALSE())</f>
        <v>10.940000000000001</v>
      </c>
      <c r="K3" s="56">
        <f>VLOOKUP(C3,Recipes!$A$2:$N$4,12,FALSE())</f>
        <v>5.2703573566378441E-2</v>
      </c>
      <c r="L3" s="55">
        <f t="shared" ref="L3:L66" si="0">J3-3*K3</f>
        <v>10.781889279300866</v>
      </c>
      <c r="M3" s="55">
        <f t="shared" ref="M3:M66" si="1">J3+3*K3</f>
        <v>11.098110720699136</v>
      </c>
      <c r="N3" s="49" t="str">
        <f t="shared" ref="N3:N66" si="2">IF(G3="","",IF(AND(G3&gt;=L3,G3&lt;=M3),"OK","NG"))</f>
        <v>NG</v>
      </c>
      <c r="O3" s="57">
        <f t="shared" ref="O3:O66" si="3">IF(N3="","",IF(N3=D3,1,0))</f>
        <v>0</v>
      </c>
      <c r="P3" s="55">
        <f t="shared" ref="P3:P66" si="4">IF(G3="","",J3-G3)</f>
        <v>1.0300000000000011</v>
      </c>
      <c r="Q3" s="55">
        <f>IF(G3="","",ABS(P3-Components!$C$2))</f>
        <v>1.7233333333333287</v>
      </c>
      <c r="R3" s="55">
        <f>IF(G3="","",ABS(P3-Components!$C$3))</f>
        <v>3.0059999999999985</v>
      </c>
      <c r="S3" s="55">
        <f>IF(G3="","",ABS(P3-Components!$C$4))</f>
        <v>3.666666666666818E-2</v>
      </c>
      <c r="T3" s="55">
        <f>IF(G3="","",ABS(P3-Components!$C$5))</f>
        <v>3.5326666666666693</v>
      </c>
      <c r="U3" s="55">
        <f>IF(G3="","",ABS(P3-Components!$C$6))</f>
        <v>0.12566666666666881</v>
      </c>
      <c r="V3" s="55">
        <f>IF(G3="","",ABS(P3-Components!$C$7))</f>
        <v>0.34433333333332894</v>
      </c>
      <c r="W3" s="49" t="str">
        <f>IF(G3="","",IF(N3="OK","NONE",INDEX({"S1","S2","W1","W2","N1","N2"},MATCH(MIN(Q3:V3),Q3:V3,0))))</f>
        <v>W1</v>
      </c>
      <c r="X3" s="57">
        <f t="shared" ref="X3:X66" si="5">IF(G3="","",IF(W3=E3,1,0))</f>
        <v>0</v>
      </c>
    </row>
    <row r="4" spans="1:24">
      <c r="A4" s="49">
        <v>2</v>
      </c>
      <c r="B4" s="50">
        <v>24</v>
      </c>
      <c r="C4" s="49" t="s">
        <v>128</v>
      </c>
      <c r="D4" s="51" t="s">
        <v>238</v>
      </c>
      <c r="E4" s="49" t="s">
        <v>239</v>
      </c>
      <c r="F4" s="49" t="s">
        <v>243</v>
      </c>
      <c r="G4" s="52">
        <v>10</v>
      </c>
      <c r="H4" s="53"/>
      <c r="I4" s="54"/>
      <c r="J4" s="55">
        <f>VLOOKUP(C4,Recipes!$A$2:$N$4,10,FALSE())</f>
        <v>10.940000000000001</v>
      </c>
      <c r="K4" s="56">
        <f>VLOOKUP(C4,Recipes!$A$2:$N$4,12,FALSE())</f>
        <v>5.2703573566378441E-2</v>
      </c>
      <c r="L4" s="55">
        <f t="shared" si="0"/>
        <v>10.781889279300866</v>
      </c>
      <c r="M4" s="55">
        <f t="shared" si="1"/>
        <v>11.098110720699136</v>
      </c>
      <c r="N4" s="49" t="str">
        <f t="shared" si="2"/>
        <v>NG</v>
      </c>
      <c r="O4" s="57">
        <f t="shared" si="3"/>
        <v>0</v>
      </c>
      <c r="P4" s="55">
        <f t="shared" si="4"/>
        <v>0.94000000000000128</v>
      </c>
      <c r="Q4" s="55">
        <f>IF(G4="","",ABS(P4-Components!$C$2))</f>
        <v>1.8133333333333286</v>
      </c>
      <c r="R4" s="55">
        <f>IF(G4="","",ABS(P4-Components!$C$3))</f>
        <v>3.0959999999999983</v>
      </c>
      <c r="S4" s="55">
        <f>IF(G4="","",ABS(P4-Components!$C$4))</f>
        <v>5.3333333333331678E-2</v>
      </c>
      <c r="T4" s="55">
        <f>IF(G4="","",ABS(P4-Components!$C$5))</f>
        <v>3.6226666666666691</v>
      </c>
      <c r="U4" s="55">
        <f>IF(G4="","",ABS(P4-Components!$C$6))</f>
        <v>0.21566666666666867</v>
      </c>
      <c r="V4" s="55">
        <f>IF(G4="","",ABS(P4-Components!$C$7))</f>
        <v>0.4343333333333288</v>
      </c>
      <c r="W4" s="49" t="str">
        <f>IF(G4="","",IF(N4="OK","NONE",INDEX({"S1","S2","W1","W2","N1","N2"},MATCH(MIN(Q4:V4),Q4:V4,0))))</f>
        <v>W1</v>
      </c>
      <c r="X4" s="57">
        <f t="shared" si="5"/>
        <v>0</v>
      </c>
    </row>
    <row r="5" spans="1:24">
      <c r="A5" s="49">
        <v>3</v>
      </c>
      <c r="B5" s="50">
        <v>50</v>
      </c>
      <c r="C5" s="49" t="s">
        <v>128</v>
      </c>
      <c r="D5" s="51" t="s">
        <v>238</v>
      </c>
      <c r="E5" s="49" t="s">
        <v>239</v>
      </c>
      <c r="F5" s="49" t="s">
        <v>244</v>
      </c>
      <c r="G5" s="52">
        <v>10</v>
      </c>
      <c r="H5" s="53"/>
      <c r="I5" s="54"/>
      <c r="J5" s="55">
        <f>VLOOKUP(C5,Recipes!$A$2:$N$4,10,FALSE())</f>
        <v>10.940000000000001</v>
      </c>
      <c r="K5" s="56">
        <f>VLOOKUP(C5,Recipes!$A$2:$N$4,12,FALSE())</f>
        <v>5.2703573566378441E-2</v>
      </c>
      <c r="L5" s="55">
        <f t="shared" si="0"/>
        <v>10.781889279300866</v>
      </c>
      <c r="M5" s="55">
        <f t="shared" si="1"/>
        <v>11.098110720699136</v>
      </c>
      <c r="N5" s="49" t="str">
        <f t="shared" si="2"/>
        <v>NG</v>
      </c>
      <c r="O5" s="57">
        <f t="shared" si="3"/>
        <v>0</v>
      </c>
      <c r="P5" s="55">
        <f t="shared" si="4"/>
        <v>0.94000000000000128</v>
      </c>
      <c r="Q5" s="55">
        <f>IF(G5="","",ABS(P5-Components!$C$2))</f>
        <v>1.8133333333333286</v>
      </c>
      <c r="R5" s="55">
        <f>IF(G5="","",ABS(P5-Components!$C$3))</f>
        <v>3.0959999999999983</v>
      </c>
      <c r="S5" s="55">
        <f>IF(G5="","",ABS(P5-Components!$C$4))</f>
        <v>5.3333333333331678E-2</v>
      </c>
      <c r="T5" s="55">
        <f>IF(G5="","",ABS(P5-Components!$C$5))</f>
        <v>3.6226666666666691</v>
      </c>
      <c r="U5" s="55">
        <f>IF(G5="","",ABS(P5-Components!$C$6))</f>
        <v>0.21566666666666867</v>
      </c>
      <c r="V5" s="55">
        <f>IF(G5="","",ABS(P5-Components!$C$7))</f>
        <v>0.4343333333333288</v>
      </c>
      <c r="W5" s="49" t="str">
        <f>IF(G5="","",IF(N5="OK","NONE",INDEX({"S1","S2","W1","W2","N1","N2"},MATCH(MIN(Q5:V5),Q5:V5,0))))</f>
        <v>W1</v>
      </c>
      <c r="X5" s="57">
        <f t="shared" si="5"/>
        <v>0</v>
      </c>
    </row>
    <row r="6" spans="1:24">
      <c r="A6" s="49">
        <v>4</v>
      </c>
      <c r="B6" s="50">
        <v>12</v>
      </c>
      <c r="C6" s="49" t="s">
        <v>128</v>
      </c>
      <c r="D6" s="51" t="s">
        <v>238</v>
      </c>
      <c r="E6" s="49" t="s">
        <v>239</v>
      </c>
      <c r="F6" s="49" t="s">
        <v>245</v>
      </c>
      <c r="G6" s="52">
        <v>9.91</v>
      </c>
      <c r="H6" s="53"/>
      <c r="I6" s="54"/>
      <c r="J6" s="55">
        <f>VLOOKUP(C6,Recipes!$A$2:$N$4,10,FALSE())</f>
        <v>10.940000000000001</v>
      </c>
      <c r="K6" s="56">
        <f>VLOOKUP(C6,Recipes!$A$2:$N$4,12,FALSE())</f>
        <v>5.2703573566378441E-2</v>
      </c>
      <c r="L6" s="55">
        <f t="shared" si="0"/>
        <v>10.781889279300866</v>
      </c>
      <c r="M6" s="55">
        <f t="shared" si="1"/>
        <v>11.098110720699136</v>
      </c>
      <c r="N6" s="49" t="str">
        <f t="shared" si="2"/>
        <v>NG</v>
      </c>
      <c r="O6" s="57">
        <f t="shared" si="3"/>
        <v>0</v>
      </c>
      <c r="P6" s="55">
        <f t="shared" si="4"/>
        <v>1.0300000000000011</v>
      </c>
      <c r="Q6" s="55">
        <f>IF(G6="","",ABS(P6-Components!$C$2))</f>
        <v>1.7233333333333287</v>
      </c>
      <c r="R6" s="55">
        <f>IF(G6="","",ABS(P6-Components!$C$3))</f>
        <v>3.0059999999999985</v>
      </c>
      <c r="S6" s="55">
        <f>IF(G6="","",ABS(P6-Components!$C$4))</f>
        <v>3.666666666666818E-2</v>
      </c>
      <c r="T6" s="55">
        <f>IF(G6="","",ABS(P6-Components!$C$5))</f>
        <v>3.5326666666666693</v>
      </c>
      <c r="U6" s="55">
        <f>IF(G6="","",ABS(P6-Components!$C$6))</f>
        <v>0.12566666666666881</v>
      </c>
      <c r="V6" s="55">
        <f>IF(G6="","",ABS(P6-Components!$C$7))</f>
        <v>0.34433333333332894</v>
      </c>
      <c r="W6" s="49" t="str">
        <f>IF(G6="","",IF(N6="OK","NONE",INDEX({"S1","S2","W1","W2","N1","N2"},MATCH(MIN(Q6:V6),Q6:V6,0))))</f>
        <v>W1</v>
      </c>
      <c r="X6" s="57">
        <f t="shared" si="5"/>
        <v>0</v>
      </c>
    </row>
    <row r="7" spans="1:24">
      <c r="A7" s="49">
        <v>5</v>
      </c>
      <c r="B7" s="50">
        <v>17</v>
      </c>
      <c r="C7" s="49" t="s">
        <v>128</v>
      </c>
      <c r="D7" s="51" t="s">
        <v>238</v>
      </c>
      <c r="E7" s="49" t="s">
        <v>239</v>
      </c>
      <c r="F7" s="49" t="s">
        <v>246</v>
      </c>
      <c r="G7" s="52">
        <v>10.039999999999999</v>
      </c>
      <c r="H7" s="53"/>
      <c r="I7" s="54"/>
      <c r="J7" s="55">
        <f>VLOOKUP(C7,Recipes!$A$2:$N$4,10,FALSE())</f>
        <v>10.940000000000001</v>
      </c>
      <c r="K7" s="56">
        <f>VLOOKUP(C7,Recipes!$A$2:$N$4,12,FALSE())</f>
        <v>5.2703573566378441E-2</v>
      </c>
      <c r="L7" s="55">
        <f t="shared" si="0"/>
        <v>10.781889279300866</v>
      </c>
      <c r="M7" s="55">
        <f t="shared" si="1"/>
        <v>11.098110720699136</v>
      </c>
      <c r="N7" s="49" t="str">
        <f t="shared" si="2"/>
        <v>NG</v>
      </c>
      <c r="O7" s="57">
        <f t="shared" si="3"/>
        <v>0</v>
      </c>
      <c r="P7" s="55">
        <f t="shared" si="4"/>
        <v>0.90000000000000213</v>
      </c>
      <c r="Q7" s="55">
        <f>IF(G7="","",ABS(P7-Components!$C$2))</f>
        <v>1.8533333333333277</v>
      </c>
      <c r="R7" s="55">
        <f>IF(G7="","",ABS(P7-Components!$C$3))</f>
        <v>3.1359999999999975</v>
      </c>
      <c r="S7" s="55">
        <f>IF(G7="","",ABS(P7-Components!$C$4))</f>
        <v>9.3333333333330826E-2</v>
      </c>
      <c r="T7" s="55">
        <f>IF(G7="","",ABS(P7-Components!$C$5))</f>
        <v>3.6626666666666683</v>
      </c>
      <c r="U7" s="55">
        <f>IF(G7="","",ABS(P7-Components!$C$6))</f>
        <v>0.25566666666666782</v>
      </c>
      <c r="V7" s="55">
        <f>IF(G7="","",ABS(P7-Components!$C$7))</f>
        <v>0.47433333333332794</v>
      </c>
      <c r="W7" s="49" t="str">
        <f>IF(G7="","",IF(N7="OK","NONE",INDEX({"S1","S2","W1","W2","N1","N2"},MATCH(MIN(Q7:V7),Q7:V7,0))))</f>
        <v>W1</v>
      </c>
      <c r="X7" s="57">
        <f t="shared" si="5"/>
        <v>0</v>
      </c>
    </row>
    <row r="8" spans="1:24">
      <c r="A8" s="49">
        <v>6</v>
      </c>
      <c r="B8" s="50">
        <v>17</v>
      </c>
      <c r="C8" s="49" t="s">
        <v>128</v>
      </c>
      <c r="D8" s="51" t="s">
        <v>238</v>
      </c>
      <c r="E8" s="49" t="s">
        <v>239</v>
      </c>
      <c r="F8" s="49" t="s">
        <v>246</v>
      </c>
      <c r="G8" s="52">
        <v>9.84</v>
      </c>
      <c r="H8" s="53"/>
      <c r="I8" s="54"/>
      <c r="J8" s="55">
        <f>VLOOKUP(C8,Recipes!$A$2:$N$4,10,FALSE())</f>
        <v>10.940000000000001</v>
      </c>
      <c r="K8" s="56">
        <f>VLOOKUP(C8,Recipes!$A$2:$N$4,12,FALSE())</f>
        <v>5.2703573566378441E-2</v>
      </c>
      <c r="L8" s="55">
        <f t="shared" si="0"/>
        <v>10.781889279300866</v>
      </c>
      <c r="M8" s="55">
        <f t="shared" si="1"/>
        <v>11.098110720699136</v>
      </c>
      <c r="N8" s="49" t="str">
        <f t="shared" si="2"/>
        <v>NG</v>
      </c>
      <c r="O8" s="57">
        <f t="shared" si="3"/>
        <v>0</v>
      </c>
      <c r="P8" s="55">
        <f t="shared" si="4"/>
        <v>1.1000000000000014</v>
      </c>
      <c r="Q8" s="55">
        <f>IF(G8="","",ABS(P8-Components!$C$2))</f>
        <v>1.6533333333333284</v>
      </c>
      <c r="R8" s="55">
        <f>IF(G8="","",ABS(P8-Components!$C$3))</f>
        <v>2.9359999999999982</v>
      </c>
      <c r="S8" s="55">
        <f>IF(G8="","",ABS(P8-Components!$C$4))</f>
        <v>0.10666666666666846</v>
      </c>
      <c r="T8" s="55">
        <f>IF(G8="","",ABS(P8-Components!$C$5))</f>
        <v>3.462666666666669</v>
      </c>
      <c r="U8" s="55">
        <f>IF(G8="","",ABS(P8-Components!$C$6))</f>
        <v>5.5666666666668529E-2</v>
      </c>
      <c r="V8" s="55">
        <f>IF(G8="","",ABS(P8-Components!$C$7))</f>
        <v>0.27433333333332866</v>
      </c>
      <c r="W8" s="49" t="str">
        <f>IF(G8="","",IF(N8="OK","NONE",INDEX({"S1","S2","W1","W2","N1","N2"},MATCH(MIN(Q8:V8),Q8:V8,0))))</f>
        <v>N1</v>
      </c>
      <c r="X8" s="59">
        <f t="shared" si="5"/>
        <v>0</v>
      </c>
    </row>
    <row r="9" spans="1:24">
      <c r="A9" s="49">
        <v>7</v>
      </c>
      <c r="B9" s="50">
        <v>17</v>
      </c>
      <c r="C9" s="49" t="s">
        <v>128</v>
      </c>
      <c r="D9" s="51" t="s">
        <v>238</v>
      </c>
      <c r="E9" s="49" t="s">
        <v>239</v>
      </c>
      <c r="F9" s="49" t="s">
        <v>246</v>
      </c>
      <c r="G9" s="52">
        <v>9.9</v>
      </c>
      <c r="H9" s="53"/>
      <c r="I9" s="54"/>
      <c r="J9" s="55">
        <f>VLOOKUP(C9,Recipes!$A$2:$N$4,10,FALSE())</f>
        <v>10.940000000000001</v>
      </c>
      <c r="K9" s="56">
        <f>VLOOKUP(C9,Recipes!$A$2:$N$4,12,FALSE())</f>
        <v>5.2703573566378441E-2</v>
      </c>
      <c r="L9" s="55">
        <f t="shared" si="0"/>
        <v>10.781889279300866</v>
      </c>
      <c r="M9" s="55">
        <f t="shared" si="1"/>
        <v>11.098110720699136</v>
      </c>
      <c r="N9" s="49" t="str">
        <f t="shared" si="2"/>
        <v>NG</v>
      </c>
      <c r="O9" s="57">
        <f t="shared" si="3"/>
        <v>0</v>
      </c>
      <c r="P9" s="55">
        <f t="shared" si="4"/>
        <v>1.0400000000000009</v>
      </c>
      <c r="Q9" s="55">
        <f>IF(G9="","",ABS(P9-Components!$C$2))</f>
        <v>1.7133333333333289</v>
      </c>
      <c r="R9" s="55">
        <f>IF(G9="","",ABS(P9-Components!$C$3))</f>
        <v>2.9959999999999987</v>
      </c>
      <c r="S9" s="55">
        <f>IF(G9="","",ABS(P9-Components!$C$4))</f>
        <v>4.6666666666667966E-2</v>
      </c>
      <c r="T9" s="55">
        <f>IF(G9="","",ABS(P9-Components!$C$5))</f>
        <v>3.5226666666666695</v>
      </c>
      <c r="U9" s="55">
        <f>IF(G9="","",ABS(P9-Components!$C$6))</f>
        <v>0.11566666666666903</v>
      </c>
      <c r="V9" s="55">
        <f>IF(G9="","",ABS(P9-Components!$C$7))</f>
        <v>0.33433333333332915</v>
      </c>
      <c r="W9" s="49" t="str">
        <f>IF(G9="","",IF(N9="OK","NONE",INDEX({"S1","S2","W1","W2","N1","N2"},MATCH(MIN(Q9:V9),Q9:V9,0))))</f>
        <v>W1</v>
      </c>
      <c r="X9" s="57">
        <f t="shared" si="5"/>
        <v>0</v>
      </c>
    </row>
    <row r="10" spans="1:24">
      <c r="A10" s="49">
        <v>8</v>
      </c>
      <c r="B10" s="50">
        <v>17</v>
      </c>
      <c r="C10" s="49" t="s">
        <v>128</v>
      </c>
      <c r="D10" s="51" t="s">
        <v>238</v>
      </c>
      <c r="E10" s="49" t="s">
        <v>239</v>
      </c>
      <c r="F10" s="49" t="s">
        <v>246</v>
      </c>
      <c r="G10" s="52">
        <v>9.92</v>
      </c>
      <c r="H10" s="53"/>
      <c r="I10" s="54"/>
      <c r="J10" s="55">
        <f>VLOOKUP(C10,Recipes!$A$2:$N$4,10,FALSE())</f>
        <v>10.940000000000001</v>
      </c>
      <c r="K10" s="56">
        <f>VLOOKUP(C10,Recipes!$A$2:$N$4,12,FALSE())</f>
        <v>5.2703573566378441E-2</v>
      </c>
      <c r="L10" s="60">
        <f t="shared" si="0"/>
        <v>10.781889279300866</v>
      </c>
      <c r="M10" s="60">
        <f t="shared" si="1"/>
        <v>11.098110720699136</v>
      </c>
      <c r="N10" s="49" t="str">
        <f t="shared" si="2"/>
        <v>NG</v>
      </c>
      <c r="O10" s="57">
        <f t="shared" si="3"/>
        <v>0</v>
      </c>
      <c r="P10" s="55">
        <f t="shared" si="4"/>
        <v>1.0200000000000014</v>
      </c>
      <c r="Q10" s="55">
        <f>IF(G10="","",ABS(P10-Components!$C$2))</f>
        <v>1.7333333333333285</v>
      </c>
      <c r="R10" s="55">
        <f>IF(G10="","",ABS(P10-Components!$C$3))</f>
        <v>3.0159999999999982</v>
      </c>
      <c r="S10" s="55">
        <f>IF(G10="","",ABS(P10-Components!$C$4))</f>
        <v>2.6666666666668393E-2</v>
      </c>
      <c r="T10" s="55">
        <f>IF(G10="","",ABS(P10-Components!$C$5))</f>
        <v>3.5426666666666691</v>
      </c>
      <c r="U10" s="55">
        <f>IF(G10="","",ABS(P10-Components!$C$6))</f>
        <v>0.1356666666666686</v>
      </c>
      <c r="V10" s="55">
        <f>IF(G10="","",ABS(P10-Components!$C$7))</f>
        <v>0.35433333333332873</v>
      </c>
      <c r="W10" s="49" t="str">
        <f>IF(G10="","",IF(N10="OK","NONE",INDEX({"S1","S2","W1","W2","N1","N2"},MATCH(MIN(Q10:V10),Q10:V10,0))))</f>
        <v>W1</v>
      </c>
      <c r="X10" s="57">
        <f t="shared" si="5"/>
        <v>0</v>
      </c>
    </row>
    <row r="11" spans="1:24">
      <c r="A11" s="49">
        <v>9</v>
      </c>
      <c r="B11" s="50">
        <v>17</v>
      </c>
      <c r="C11" s="49" t="s">
        <v>128</v>
      </c>
      <c r="D11" s="51" t="s">
        <v>238</v>
      </c>
      <c r="E11" s="49" t="s">
        <v>239</v>
      </c>
      <c r="F11" s="49" t="s">
        <v>246</v>
      </c>
      <c r="G11" s="52">
        <v>9.9499999999999993</v>
      </c>
      <c r="H11" s="53"/>
      <c r="I11" s="54"/>
      <c r="J11" s="55">
        <f>VLOOKUP(C11,Recipes!$A$2:$N$4,10,FALSE())</f>
        <v>10.940000000000001</v>
      </c>
      <c r="K11" s="56">
        <f>VLOOKUP(C11,Recipes!$A$2:$N$4,12,FALSE())</f>
        <v>5.2703573566378441E-2</v>
      </c>
      <c r="L11" s="55">
        <f t="shared" si="0"/>
        <v>10.781889279300866</v>
      </c>
      <c r="M11" s="55">
        <f t="shared" si="1"/>
        <v>11.098110720699136</v>
      </c>
      <c r="N11" s="49" t="str">
        <f t="shared" si="2"/>
        <v>NG</v>
      </c>
      <c r="O11" s="57">
        <f t="shared" si="3"/>
        <v>0</v>
      </c>
      <c r="P11" s="55">
        <f t="shared" si="4"/>
        <v>0.99000000000000199</v>
      </c>
      <c r="Q11" s="55">
        <f>IF(G11="","",ABS(P11-Components!$C$2))</f>
        <v>1.7633333333333279</v>
      </c>
      <c r="R11" s="55">
        <f>IF(G11="","",ABS(P11-Components!$C$3))</f>
        <v>3.0459999999999976</v>
      </c>
      <c r="S11" s="55">
        <f>IF(G11="","",ABS(P11-Components!$C$4))</f>
        <v>3.3333333333309678E-3</v>
      </c>
      <c r="T11" s="55">
        <f>IF(G11="","",ABS(P11-Components!$C$5))</f>
        <v>3.5726666666666684</v>
      </c>
      <c r="U11" s="55">
        <f>IF(G11="","",ABS(P11-Components!$C$6))</f>
        <v>0.16566666666666796</v>
      </c>
      <c r="V11" s="55">
        <f>IF(G11="","",ABS(P11-Components!$C$7))</f>
        <v>0.38433333333332809</v>
      </c>
      <c r="W11" s="49" t="str">
        <f>IF(G11="","",IF(N11="OK","NONE",INDEX({"S1","S2","W1","W2","N1","N2"},MATCH(MIN(Q11:V11),Q11:V11,0))))</f>
        <v>W1</v>
      </c>
      <c r="X11" s="57">
        <f t="shared" si="5"/>
        <v>0</v>
      </c>
    </row>
    <row r="12" spans="1:24">
      <c r="A12" s="49">
        <v>10</v>
      </c>
      <c r="B12" s="50">
        <v>17</v>
      </c>
      <c r="C12" s="49" t="s">
        <v>128</v>
      </c>
      <c r="D12" s="51" t="s">
        <v>238</v>
      </c>
      <c r="E12" s="49" t="s">
        <v>239</v>
      </c>
      <c r="F12" s="49" t="s">
        <v>246</v>
      </c>
      <c r="G12" s="52">
        <v>9.8699999999999992</v>
      </c>
      <c r="H12" s="53"/>
      <c r="I12" s="54"/>
      <c r="J12" s="55">
        <f>VLOOKUP(C12,Recipes!$A$2:$N$4,10,FALSE())</f>
        <v>10.940000000000001</v>
      </c>
      <c r="K12" s="56">
        <f>VLOOKUP(C12,Recipes!$A$2:$N$4,12,FALSE())</f>
        <v>5.2703573566378441E-2</v>
      </c>
      <c r="L12" s="55">
        <f t="shared" si="0"/>
        <v>10.781889279300866</v>
      </c>
      <c r="M12" s="55">
        <f t="shared" si="1"/>
        <v>11.098110720699136</v>
      </c>
      <c r="N12" s="49" t="str">
        <f t="shared" si="2"/>
        <v>NG</v>
      </c>
      <c r="O12" s="57">
        <f t="shared" si="3"/>
        <v>0</v>
      </c>
      <c r="P12" s="55">
        <f t="shared" si="4"/>
        <v>1.0700000000000021</v>
      </c>
      <c r="Q12" s="55">
        <f>IF(G12="","",ABS(P12-Components!$C$2))</f>
        <v>1.6833333333333278</v>
      </c>
      <c r="R12" s="55">
        <f>IF(G12="","",ABS(P12-Components!$C$3))</f>
        <v>2.9659999999999975</v>
      </c>
      <c r="S12" s="55">
        <f>IF(G12="","",ABS(P12-Components!$C$4))</f>
        <v>7.6666666666669103E-2</v>
      </c>
      <c r="T12" s="55">
        <f>IF(G12="","",ABS(P12-Components!$C$5))</f>
        <v>3.4926666666666684</v>
      </c>
      <c r="U12" s="55">
        <f>IF(G12="","",ABS(P12-Components!$C$6))</f>
        <v>8.566666666666789E-2</v>
      </c>
      <c r="V12" s="55">
        <f>IF(G12="","",ABS(P12-Components!$C$7))</f>
        <v>0.30433333333332802</v>
      </c>
      <c r="W12" s="49" t="str">
        <f>IF(G12="","",IF(N12="OK","NONE",INDEX({"S1","S2","W1","W2","N1","N2"},MATCH(MIN(Q12:V12),Q12:V12,0))))</f>
        <v>W1</v>
      </c>
      <c r="X12" s="57">
        <f t="shared" si="5"/>
        <v>0</v>
      </c>
    </row>
    <row r="13" spans="1:24">
      <c r="A13" s="49">
        <v>11</v>
      </c>
      <c r="B13" s="50">
        <v>17</v>
      </c>
      <c r="C13" s="49" t="s">
        <v>128</v>
      </c>
      <c r="D13" s="51" t="s">
        <v>238</v>
      </c>
      <c r="E13" s="49" t="s">
        <v>239</v>
      </c>
      <c r="F13" s="49" t="s">
        <v>246</v>
      </c>
      <c r="G13" s="52">
        <v>9.8800000000000008</v>
      </c>
      <c r="H13" s="53"/>
      <c r="I13" s="54"/>
      <c r="J13" s="55">
        <f>VLOOKUP(C13,Recipes!$A$2:$N$4,10,FALSE())</f>
        <v>10.940000000000001</v>
      </c>
      <c r="K13" s="56">
        <f>VLOOKUP(C13,Recipes!$A$2:$N$4,12,FALSE())</f>
        <v>5.2703573566378441E-2</v>
      </c>
      <c r="L13" s="55">
        <f t="shared" si="0"/>
        <v>10.781889279300866</v>
      </c>
      <c r="M13" s="55">
        <f t="shared" si="1"/>
        <v>11.098110720699136</v>
      </c>
      <c r="N13" s="49" t="str">
        <f t="shared" si="2"/>
        <v>NG</v>
      </c>
      <c r="O13" s="57">
        <f t="shared" si="3"/>
        <v>0</v>
      </c>
      <c r="P13" s="55">
        <f t="shared" si="4"/>
        <v>1.0600000000000005</v>
      </c>
      <c r="Q13" s="55">
        <f>IF(G13="","",ABS(P13-Components!$C$2))</f>
        <v>1.6933333333333294</v>
      </c>
      <c r="R13" s="55">
        <f>IF(G13="","",ABS(P13-Components!$C$3))</f>
        <v>2.9759999999999991</v>
      </c>
      <c r="S13" s="55">
        <f>IF(G13="","",ABS(P13-Components!$C$4))</f>
        <v>6.666666666666754E-2</v>
      </c>
      <c r="T13" s="55">
        <f>IF(G13="","",ABS(P13-Components!$C$5))</f>
        <v>3.5026666666666699</v>
      </c>
      <c r="U13" s="55">
        <f>IF(G13="","",ABS(P13-Components!$C$6))</f>
        <v>9.5666666666669453E-2</v>
      </c>
      <c r="V13" s="55">
        <f>IF(G13="","",ABS(P13-Components!$C$7))</f>
        <v>0.31433333333332958</v>
      </c>
      <c r="W13" s="49" t="str">
        <f>IF(G13="","",IF(N13="OK","NONE",INDEX({"S1","S2","W1","W2","N1","N2"},MATCH(MIN(Q13:V13),Q13:V13,0))))</f>
        <v>W1</v>
      </c>
      <c r="X13" s="57">
        <f t="shared" si="5"/>
        <v>0</v>
      </c>
    </row>
    <row r="14" spans="1:24">
      <c r="A14" s="49">
        <v>12</v>
      </c>
      <c r="B14" s="50">
        <v>17</v>
      </c>
      <c r="C14" s="49" t="s">
        <v>128</v>
      </c>
      <c r="D14" s="51" t="s">
        <v>238</v>
      </c>
      <c r="E14" s="49" t="s">
        <v>239</v>
      </c>
      <c r="F14" s="49" t="s">
        <v>246</v>
      </c>
      <c r="G14" s="52">
        <v>9.91</v>
      </c>
      <c r="H14" s="53"/>
      <c r="I14" s="54"/>
      <c r="J14" s="55">
        <f>VLOOKUP(C14,Recipes!$A$2:$N$4,10,FALSE())</f>
        <v>10.940000000000001</v>
      </c>
      <c r="K14" s="56">
        <f>VLOOKUP(C14,Recipes!$A$2:$N$4,12,FALSE())</f>
        <v>5.2703573566378441E-2</v>
      </c>
      <c r="L14" s="55">
        <f t="shared" si="0"/>
        <v>10.781889279300866</v>
      </c>
      <c r="M14" s="55">
        <f t="shared" si="1"/>
        <v>11.098110720699136</v>
      </c>
      <c r="N14" s="49" t="str">
        <f t="shared" si="2"/>
        <v>NG</v>
      </c>
      <c r="O14" s="57">
        <f t="shared" si="3"/>
        <v>0</v>
      </c>
      <c r="P14" s="55">
        <f t="shared" si="4"/>
        <v>1.0300000000000011</v>
      </c>
      <c r="Q14" s="55">
        <f>IF(G14="","",ABS(P14-Components!$C$2))</f>
        <v>1.7233333333333287</v>
      </c>
      <c r="R14" s="55">
        <f>IF(G14="","",ABS(P14-Components!$C$3))</f>
        <v>3.0059999999999985</v>
      </c>
      <c r="S14" s="55">
        <f>IF(G14="","",ABS(P14-Components!$C$4))</f>
        <v>3.666666666666818E-2</v>
      </c>
      <c r="T14" s="55">
        <f>IF(G14="","",ABS(P14-Components!$C$5))</f>
        <v>3.5326666666666693</v>
      </c>
      <c r="U14" s="55">
        <f>IF(G14="","",ABS(P14-Components!$C$6))</f>
        <v>0.12566666666666881</v>
      </c>
      <c r="V14" s="55">
        <f>IF(G14="","",ABS(P14-Components!$C$7))</f>
        <v>0.34433333333332894</v>
      </c>
      <c r="W14" s="49" t="str">
        <f>IF(G14="","",IF(N14="OK","NONE",INDEX({"S1","S2","W1","W2","N1","N2"},MATCH(MIN(Q14:V14),Q14:V14,0))))</f>
        <v>W1</v>
      </c>
      <c r="X14" s="57">
        <f t="shared" si="5"/>
        <v>0</v>
      </c>
    </row>
    <row r="15" spans="1:24">
      <c r="A15" s="49">
        <v>13</v>
      </c>
      <c r="B15" s="50">
        <v>17</v>
      </c>
      <c r="C15" s="49" t="s">
        <v>128</v>
      </c>
      <c r="D15" s="51" t="s">
        <v>238</v>
      </c>
      <c r="E15" s="49" t="s">
        <v>239</v>
      </c>
      <c r="F15" s="49" t="s">
        <v>246</v>
      </c>
      <c r="G15" s="52">
        <v>9.9</v>
      </c>
      <c r="H15" s="53"/>
      <c r="I15" s="54"/>
      <c r="J15" s="55">
        <f>VLOOKUP(C15,Recipes!$A$2:$N$4,10,FALSE())</f>
        <v>10.940000000000001</v>
      </c>
      <c r="K15" s="56">
        <f>VLOOKUP(C15,Recipes!$A$2:$N$4,12,FALSE())</f>
        <v>5.2703573566378441E-2</v>
      </c>
      <c r="L15" s="55">
        <f t="shared" si="0"/>
        <v>10.781889279300866</v>
      </c>
      <c r="M15" s="55">
        <f t="shared" si="1"/>
        <v>11.098110720699136</v>
      </c>
      <c r="N15" s="49" t="str">
        <f t="shared" si="2"/>
        <v>NG</v>
      </c>
      <c r="O15" s="57">
        <f t="shared" si="3"/>
        <v>0</v>
      </c>
      <c r="P15" s="55">
        <f t="shared" si="4"/>
        <v>1.0400000000000009</v>
      </c>
      <c r="Q15" s="55">
        <f>IF(G15="","",ABS(P15-Components!$C$2))</f>
        <v>1.7133333333333289</v>
      </c>
      <c r="R15" s="55">
        <f>IF(G15="","",ABS(P15-Components!$C$3))</f>
        <v>2.9959999999999987</v>
      </c>
      <c r="S15" s="55">
        <f>IF(G15="","",ABS(P15-Components!$C$4))</f>
        <v>4.6666666666667966E-2</v>
      </c>
      <c r="T15" s="55">
        <f>IF(G15="","",ABS(P15-Components!$C$5))</f>
        <v>3.5226666666666695</v>
      </c>
      <c r="U15" s="55">
        <f>IF(G15="","",ABS(P15-Components!$C$6))</f>
        <v>0.11566666666666903</v>
      </c>
      <c r="V15" s="55">
        <f>IF(G15="","",ABS(P15-Components!$C$7))</f>
        <v>0.33433333333332915</v>
      </c>
      <c r="W15" s="49" t="str">
        <f>IF(G15="","",IF(N15="OK","NONE",INDEX({"S1","S2","W1","W2","N1","N2"},MATCH(MIN(Q15:V15),Q15:V15,0))))</f>
        <v>W1</v>
      </c>
      <c r="X15" s="57">
        <f t="shared" si="5"/>
        <v>0</v>
      </c>
    </row>
    <row r="16" spans="1:24">
      <c r="A16" s="49">
        <v>14</v>
      </c>
      <c r="B16" s="50">
        <v>17</v>
      </c>
      <c r="C16" s="49" t="s">
        <v>128</v>
      </c>
      <c r="D16" s="51" t="s">
        <v>238</v>
      </c>
      <c r="E16" s="49" t="s">
        <v>239</v>
      </c>
      <c r="F16" s="49" t="s">
        <v>246</v>
      </c>
      <c r="G16" s="52">
        <v>9.92</v>
      </c>
      <c r="H16" s="53"/>
      <c r="I16" s="54"/>
      <c r="J16" s="55">
        <f>VLOOKUP(C16,Recipes!$A$2:$N$4,10,FALSE())</f>
        <v>10.940000000000001</v>
      </c>
      <c r="K16" s="56">
        <f>VLOOKUP(C16,Recipes!$A$2:$N$4,12,FALSE())</f>
        <v>5.2703573566378441E-2</v>
      </c>
      <c r="L16" s="55">
        <f t="shared" si="0"/>
        <v>10.781889279300866</v>
      </c>
      <c r="M16" s="55">
        <f t="shared" si="1"/>
        <v>11.098110720699136</v>
      </c>
      <c r="N16" s="49" t="str">
        <f t="shared" si="2"/>
        <v>NG</v>
      </c>
      <c r="O16" s="57">
        <f t="shared" si="3"/>
        <v>0</v>
      </c>
      <c r="P16" s="55">
        <f t="shared" si="4"/>
        <v>1.0200000000000014</v>
      </c>
      <c r="Q16" s="55">
        <f>IF(G16="","",ABS(P16-Components!$C$2))</f>
        <v>1.7333333333333285</v>
      </c>
      <c r="R16" s="55">
        <f>IF(G16="","",ABS(P16-Components!$C$3))</f>
        <v>3.0159999999999982</v>
      </c>
      <c r="S16" s="55">
        <f>IF(G16="","",ABS(P16-Components!$C$4))</f>
        <v>2.6666666666668393E-2</v>
      </c>
      <c r="T16" s="55">
        <f>IF(G16="","",ABS(P16-Components!$C$5))</f>
        <v>3.5426666666666691</v>
      </c>
      <c r="U16" s="55">
        <f>IF(G16="","",ABS(P16-Components!$C$6))</f>
        <v>0.1356666666666686</v>
      </c>
      <c r="V16" s="55">
        <f>IF(G16="","",ABS(P16-Components!$C$7))</f>
        <v>0.35433333333332873</v>
      </c>
      <c r="W16" s="49" t="str">
        <f>IF(G16="","",IF(N16="OK","NONE",INDEX({"S1","S2","W1","W2","N1","N2"},MATCH(MIN(Q16:V16),Q16:V16,0))))</f>
        <v>W1</v>
      </c>
      <c r="X16" s="57">
        <f t="shared" si="5"/>
        <v>0</v>
      </c>
    </row>
    <row r="17" spans="1:24">
      <c r="A17" s="49">
        <v>15</v>
      </c>
      <c r="B17" s="50">
        <v>17</v>
      </c>
      <c r="C17" s="49" t="s">
        <v>128</v>
      </c>
      <c r="D17" s="51" t="s">
        <v>238</v>
      </c>
      <c r="E17" s="49" t="s">
        <v>239</v>
      </c>
      <c r="F17" s="49" t="s">
        <v>246</v>
      </c>
      <c r="G17" s="52">
        <v>9.94</v>
      </c>
      <c r="H17" s="53"/>
      <c r="I17" s="54"/>
      <c r="J17" s="55">
        <f>VLOOKUP(C17,Recipes!$A$2:$N$4,10,FALSE())</f>
        <v>10.940000000000001</v>
      </c>
      <c r="K17" s="56">
        <f>VLOOKUP(C17,Recipes!$A$2:$N$4,12,FALSE())</f>
        <v>5.2703573566378441E-2</v>
      </c>
      <c r="L17" s="55">
        <f t="shared" si="0"/>
        <v>10.781889279300866</v>
      </c>
      <c r="M17" s="55">
        <f t="shared" si="1"/>
        <v>11.098110720699136</v>
      </c>
      <c r="N17" s="49" t="str">
        <f t="shared" si="2"/>
        <v>NG</v>
      </c>
      <c r="O17" s="57">
        <f t="shared" si="3"/>
        <v>0</v>
      </c>
      <c r="P17" s="55">
        <f t="shared" si="4"/>
        <v>1.0000000000000018</v>
      </c>
      <c r="Q17" s="55">
        <f>IF(G17="","",ABS(P17-Components!$C$2))</f>
        <v>1.7533333333333281</v>
      </c>
      <c r="R17" s="55">
        <f>IF(G17="","",ABS(P17-Components!$C$3))</f>
        <v>3.0359999999999978</v>
      </c>
      <c r="S17" s="55">
        <f>IF(G17="","",ABS(P17-Components!$C$4))</f>
        <v>6.666666666668819E-3</v>
      </c>
      <c r="T17" s="55">
        <f>IF(G17="","",ABS(P17-Components!$C$5))</f>
        <v>3.5626666666666686</v>
      </c>
      <c r="U17" s="55">
        <f>IF(G17="","",ABS(P17-Components!$C$6))</f>
        <v>0.15566666666666817</v>
      </c>
      <c r="V17" s="55">
        <f>IF(G17="","",ABS(P17-Components!$C$7))</f>
        <v>0.3743333333333283</v>
      </c>
      <c r="W17" s="49" t="str">
        <f>IF(G17="","",IF(N17="OK","NONE",INDEX({"S1","S2","W1","W2","N1","N2"},MATCH(MIN(Q17:V17),Q17:V17,0))))</f>
        <v>W1</v>
      </c>
      <c r="X17" s="57">
        <f t="shared" si="5"/>
        <v>0</v>
      </c>
    </row>
    <row r="18" spans="1:24">
      <c r="A18" s="49">
        <v>16</v>
      </c>
      <c r="B18" s="50">
        <v>17</v>
      </c>
      <c r="C18" s="49" t="s">
        <v>128</v>
      </c>
      <c r="D18" s="51" t="s">
        <v>238</v>
      </c>
      <c r="E18" s="49" t="s">
        <v>239</v>
      </c>
      <c r="F18" s="49" t="s">
        <v>246</v>
      </c>
      <c r="G18" s="52">
        <v>9.92</v>
      </c>
      <c r="H18" s="53"/>
      <c r="I18" s="54"/>
      <c r="J18" s="55">
        <f>VLOOKUP(C18,Recipes!$A$2:$N$4,10,FALSE())</f>
        <v>10.940000000000001</v>
      </c>
      <c r="K18" s="56">
        <f>VLOOKUP(C18,Recipes!$A$2:$N$4,12,FALSE())</f>
        <v>5.2703573566378441E-2</v>
      </c>
      <c r="L18" s="55">
        <f t="shared" si="0"/>
        <v>10.781889279300866</v>
      </c>
      <c r="M18" s="55">
        <f t="shared" si="1"/>
        <v>11.098110720699136</v>
      </c>
      <c r="N18" s="49" t="str">
        <f t="shared" si="2"/>
        <v>NG</v>
      </c>
      <c r="O18" s="57">
        <f t="shared" si="3"/>
        <v>0</v>
      </c>
      <c r="P18" s="55">
        <f t="shared" si="4"/>
        <v>1.0200000000000014</v>
      </c>
      <c r="Q18" s="55">
        <f>IF(G18="","",ABS(P18-Components!$C$2))</f>
        <v>1.7333333333333285</v>
      </c>
      <c r="R18" s="55">
        <f>IF(G18="","",ABS(P18-Components!$C$3))</f>
        <v>3.0159999999999982</v>
      </c>
      <c r="S18" s="55">
        <f>IF(G18="","",ABS(P18-Components!$C$4))</f>
        <v>2.6666666666668393E-2</v>
      </c>
      <c r="T18" s="55">
        <f>IF(G18="","",ABS(P18-Components!$C$5))</f>
        <v>3.5426666666666691</v>
      </c>
      <c r="U18" s="55">
        <f>IF(G18="","",ABS(P18-Components!$C$6))</f>
        <v>0.1356666666666686</v>
      </c>
      <c r="V18" s="55">
        <f>IF(G18="","",ABS(P18-Components!$C$7))</f>
        <v>0.35433333333332873</v>
      </c>
      <c r="W18" s="49" t="str">
        <f>IF(G18="","",IF(N18="OK","NONE",INDEX({"S1","S2","W1","W2","N1","N2"},MATCH(MIN(Q18:V18),Q18:V18,0))))</f>
        <v>W1</v>
      </c>
      <c r="X18" s="57">
        <f t="shared" si="5"/>
        <v>0</v>
      </c>
    </row>
    <row r="19" spans="1:24">
      <c r="A19" s="49">
        <v>17</v>
      </c>
      <c r="B19" s="50">
        <v>17</v>
      </c>
      <c r="C19" s="49" t="s">
        <v>128</v>
      </c>
      <c r="D19" s="51" t="s">
        <v>238</v>
      </c>
      <c r="E19" s="49" t="s">
        <v>239</v>
      </c>
      <c r="F19" s="49" t="s">
        <v>246</v>
      </c>
      <c r="G19" s="52">
        <v>9.89</v>
      </c>
      <c r="H19" s="53"/>
      <c r="I19" s="54"/>
      <c r="J19" s="55">
        <f>VLOOKUP(C19,Recipes!$A$2:$N$4,10,FALSE())</f>
        <v>10.940000000000001</v>
      </c>
      <c r="K19" s="56">
        <f>VLOOKUP(C19,Recipes!$A$2:$N$4,12,FALSE())</f>
        <v>5.2703573566378441E-2</v>
      </c>
      <c r="L19" s="55">
        <f t="shared" si="0"/>
        <v>10.781889279300866</v>
      </c>
      <c r="M19" s="55">
        <f t="shared" si="1"/>
        <v>11.098110720699136</v>
      </c>
      <c r="N19" s="49" t="str">
        <f t="shared" si="2"/>
        <v>NG</v>
      </c>
      <c r="O19" s="57">
        <f t="shared" si="3"/>
        <v>0</v>
      </c>
      <c r="P19" s="55">
        <f t="shared" si="4"/>
        <v>1.0500000000000007</v>
      </c>
      <c r="Q19" s="55">
        <f>IF(G19="","",ABS(P19-Components!$C$2))</f>
        <v>1.7033333333333291</v>
      </c>
      <c r="R19" s="55">
        <f>IF(G19="","",ABS(P19-Components!$C$3))</f>
        <v>2.9859999999999989</v>
      </c>
      <c r="S19" s="55">
        <f>IF(G19="","",ABS(P19-Components!$C$4))</f>
        <v>5.6666666666667753E-2</v>
      </c>
      <c r="T19" s="55">
        <f>IF(G19="","",ABS(P19-Components!$C$5))</f>
        <v>3.5126666666666697</v>
      </c>
      <c r="U19" s="55">
        <f>IF(G19="","",ABS(P19-Components!$C$6))</f>
        <v>0.10566666666666924</v>
      </c>
      <c r="V19" s="55">
        <f>IF(G19="","",ABS(P19-Components!$C$7))</f>
        <v>0.32433333333332937</v>
      </c>
      <c r="W19" s="49" t="str">
        <f>IF(G19="","",IF(N19="OK","NONE",INDEX({"S1","S2","W1","W2","N1","N2"},MATCH(MIN(Q19:V19),Q19:V19,0))))</f>
        <v>W1</v>
      </c>
      <c r="X19" s="57">
        <f t="shared" si="5"/>
        <v>0</v>
      </c>
    </row>
    <row r="20" spans="1:24">
      <c r="A20" s="49">
        <v>18</v>
      </c>
      <c r="B20" s="50">
        <v>17</v>
      </c>
      <c r="C20" s="49" t="s">
        <v>128</v>
      </c>
      <c r="D20" s="51" t="s">
        <v>238</v>
      </c>
      <c r="E20" s="49" t="s">
        <v>239</v>
      </c>
      <c r="F20" s="49" t="s">
        <v>246</v>
      </c>
      <c r="G20" s="52">
        <v>9.92</v>
      </c>
      <c r="H20" s="53"/>
      <c r="I20" s="54"/>
      <c r="J20" s="55">
        <f>VLOOKUP(C20,Recipes!$A$2:$N$4,10,FALSE())</f>
        <v>10.940000000000001</v>
      </c>
      <c r="K20" s="56">
        <f>VLOOKUP(C20,Recipes!$A$2:$N$4,12,FALSE())</f>
        <v>5.2703573566378441E-2</v>
      </c>
      <c r="L20" s="55">
        <f t="shared" si="0"/>
        <v>10.781889279300866</v>
      </c>
      <c r="M20" s="55">
        <f t="shared" si="1"/>
        <v>11.098110720699136</v>
      </c>
      <c r="N20" s="49" t="str">
        <f t="shared" si="2"/>
        <v>NG</v>
      </c>
      <c r="O20" s="57">
        <f t="shared" si="3"/>
        <v>0</v>
      </c>
      <c r="P20" s="55">
        <f t="shared" si="4"/>
        <v>1.0200000000000014</v>
      </c>
      <c r="Q20" s="55">
        <f>IF(G20="","",ABS(P20-Components!$C$2))</f>
        <v>1.7333333333333285</v>
      </c>
      <c r="R20" s="55">
        <f>IF(G20="","",ABS(P20-Components!$C$3))</f>
        <v>3.0159999999999982</v>
      </c>
      <c r="S20" s="55">
        <f>IF(G20="","",ABS(P20-Components!$C$4))</f>
        <v>2.6666666666668393E-2</v>
      </c>
      <c r="T20" s="55">
        <f>IF(G20="","",ABS(P20-Components!$C$5))</f>
        <v>3.5426666666666691</v>
      </c>
      <c r="U20" s="55">
        <f>IF(G20="","",ABS(P20-Components!$C$6))</f>
        <v>0.1356666666666686</v>
      </c>
      <c r="V20" s="55">
        <f>IF(G20="","",ABS(P20-Components!$C$7))</f>
        <v>0.35433333333332873</v>
      </c>
      <c r="W20" s="49" t="str">
        <f>IF(G20="","",IF(N20="OK","NONE",INDEX({"S1","S2","W1","W2","N1","N2"},MATCH(MIN(Q20:V20),Q20:V20,0))))</f>
        <v>W1</v>
      </c>
      <c r="X20" s="57">
        <f t="shared" si="5"/>
        <v>0</v>
      </c>
    </row>
    <row r="21" spans="1:24">
      <c r="A21" s="49">
        <v>19</v>
      </c>
      <c r="B21" s="50">
        <v>17</v>
      </c>
      <c r="C21" s="49" t="s">
        <v>128</v>
      </c>
      <c r="D21" s="51" t="s">
        <v>238</v>
      </c>
      <c r="E21" s="49" t="s">
        <v>239</v>
      </c>
      <c r="F21" s="49" t="s">
        <v>246</v>
      </c>
      <c r="G21" s="52">
        <v>9.9499999999999993</v>
      </c>
      <c r="H21" s="53"/>
      <c r="I21" s="54"/>
      <c r="J21" s="55">
        <f>VLOOKUP(C21,Recipes!$A$2:$N$4,10,FALSE())</f>
        <v>10.940000000000001</v>
      </c>
      <c r="K21" s="56">
        <f>VLOOKUP(C21,Recipes!$A$2:$N$4,12,FALSE())</f>
        <v>5.2703573566378441E-2</v>
      </c>
      <c r="L21" s="55">
        <f t="shared" si="0"/>
        <v>10.781889279300866</v>
      </c>
      <c r="M21" s="55">
        <f t="shared" si="1"/>
        <v>11.098110720699136</v>
      </c>
      <c r="N21" s="49" t="str">
        <f t="shared" si="2"/>
        <v>NG</v>
      </c>
      <c r="O21" s="57">
        <f t="shared" si="3"/>
        <v>0</v>
      </c>
      <c r="P21" s="55">
        <f t="shared" si="4"/>
        <v>0.99000000000000199</v>
      </c>
      <c r="Q21" s="55">
        <f>IF(G21="","",ABS(P21-Components!$C$2))</f>
        <v>1.7633333333333279</v>
      </c>
      <c r="R21" s="55">
        <f>IF(G21="","",ABS(P21-Components!$C$3))</f>
        <v>3.0459999999999976</v>
      </c>
      <c r="S21" s="55">
        <f>IF(G21="","",ABS(P21-Components!$C$4))</f>
        <v>3.3333333333309678E-3</v>
      </c>
      <c r="T21" s="55">
        <f>IF(G21="","",ABS(P21-Components!$C$5))</f>
        <v>3.5726666666666684</v>
      </c>
      <c r="U21" s="55">
        <f>IF(G21="","",ABS(P21-Components!$C$6))</f>
        <v>0.16566666666666796</v>
      </c>
      <c r="V21" s="55">
        <f>IF(G21="","",ABS(P21-Components!$C$7))</f>
        <v>0.38433333333332809</v>
      </c>
      <c r="W21" s="49" t="str">
        <f>IF(G21="","",IF(N21="OK","NONE",INDEX({"S1","S2","W1","W2","N1","N2"},MATCH(MIN(Q21:V21),Q21:V21,0))))</f>
        <v>W1</v>
      </c>
      <c r="X21" s="57">
        <f t="shared" si="5"/>
        <v>0</v>
      </c>
    </row>
    <row r="22" spans="1:24">
      <c r="A22" s="49">
        <v>20</v>
      </c>
      <c r="B22" s="50">
        <v>17</v>
      </c>
      <c r="C22" s="49" t="s">
        <v>128</v>
      </c>
      <c r="D22" s="51" t="s">
        <v>238</v>
      </c>
      <c r="E22" s="49" t="s">
        <v>239</v>
      </c>
      <c r="F22" s="49" t="s">
        <v>246</v>
      </c>
      <c r="G22" s="52">
        <v>9.98</v>
      </c>
      <c r="H22" s="53"/>
      <c r="I22" s="54"/>
      <c r="J22" s="55">
        <f>VLOOKUP(C22,Recipes!$A$2:$N$4,10,FALSE())</f>
        <v>10.940000000000001</v>
      </c>
      <c r="K22" s="56">
        <f>VLOOKUP(C22,Recipes!$A$2:$N$4,12,FALSE())</f>
        <v>5.2703573566378441E-2</v>
      </c>
      <c r="L22" s="55">
        <f t="shared" si="0"/>
        <v>10.781889279300866</v>
      </c>
      <c r="M22" s="55">
        <f t="shared" si="1"/>
        <v>11.098110720699136</v>
      </c>
      <c r="N22" s="49" t="str">
        <f t="shared" si="2"/>
        <v>NG</v>
      </c>
      <c r="O22" s="57">
        <f t="shared" si="3"/>
        <v>0</v>
      </c>
      <c r="P22" s="55">
        <f t="shared" si="4"/>
        <v>0.96000000000000085</v>
      </c>
      <c r="Q22" s="55">
        <f>IF(G22="","",ABS(P22-Components!$C$2))</f>
        <v>1.793333333333329</v>
      </c>
      <c r="R22" s="55">
        <f>IF(G22="","",ABS(P22-Components!$C$3))</f>
        <v>3.0759999999999987</v>
      </c>
      <c r="S22" s="55">
        <f>IF(G22="","",ABS(P22-Components!$C$4))</f>
        <v>3.3333333333332105E-2</v>
      </c>
      <c r="T22" s="55">
        <f>IF(G22="","",ABS(P22-Components!$C$5))</f>
        <v>3.6026666666666696</v>
      </c>
      <c r="U22" s="55">
        <f>IF(G22="","",ABS(P22-Components!$C$6))</f>
        <v>0.1956666666666691</v>
      </c>
      <c r="V22" s="55">
        <f>IF(G22="","",ABS(P22-Components!$C$7))</f>
        <v>0.41433333333332922</v>
      </c>
      <c r="W22" s="49" t="str">
        <f>IF(G22="","",IF(N22="OK","NONE",INDEX({"S1","S2","W1","W2","N1","N2"},MATCH(MIN(Q22:V22),Q22:V22,0))))</f>
        <v>W1</v>
      </c>
      <c r="X22" s="57">
        <f t="shared" si="5"/>
        <v>0</v>
      </c>
    </row>
    <row r="23" spans="1:24">
      <c r="A23" s="49">
        <v>21</v>
      </c>
      <c r="B23" s="50">
        <v>17</v>
      </c>
      <c r="C23" s="49" t="s">
        <v>128</v>
      </c>
      <c r="D23" s="51" t="s">
        <v>238</v>
      </c>
      <c r="E23" s="49" t="s">
        <v>239</v>
      </c>
      <c r="F23" s="49" t="s">
        <v>246</v>
      </c>
      <c r="G23" s="52">
        <v>9.99</v>
      </c>
      <c r="H23" s="53"/>
      <c r="I23" s="54"/>
      <c r="J23" s="55">
        <f>VLOOKUP(C23,Recipes!$A$2:$N$4,10,FALSE())</f>
        <v>10.940000000000001</v>
      </c>
      <c r="K23" s="56">
        <f>VLOOKUP(C23,Recipes!$A$2:$N$4,12,FALSE())</f>
        <v>5.2703573566378441E-2</v>
      </c>
      <c r="L23" s="55">
        <f t="shared" si="0"/>
        <v>10.781889279300866</v>
      </c>
      <c r="M23" s="55">
        <f t="shared" si="1"/>
        <v>11.098110720699136</v>
      </c>
      <c r="N23" s="49" t="str">
        <f t="shared" si="2"/>
        <v>NG</v>
      </c>
      <c r="O23" s="57">
        <f t="shared" si="3"/>
        <v>0</v>
      </c>
      <c r="P23" s="55">
        <f t="shared" si="4"/>
        <v>0.95000000000000107</v>
      </c>
      <c r="Q23" s="55">
        <f>IF(G23="","",ABS(P23-Components!$C$2))</f>
        <v>1.8033333333333288</v>
      </c>
      <c r="R23" s="55">
        <f>IF(G23="","",ABS(P23-Components!$C$3))</f>
        <v>3.0859999999999985</v>
      </c>
      <c r="S23" s="55">
        <f>IF(G23="","",ABS(P23-Components!$C$4))</f>
        <v>4.3333333333331892E-2</v>
      </c>
      <c r="T23" s="55">
        <f>IF(G23="","",ABS(P23-Components!$C$5))</f>
        <v>3.6126666666666694</v>
      </c>
      <c r="U23" s="55">
        <f>IF(G23="","",ABS(P23-Components!$C$6))</f>
        <v>0.20566666666666888</v>
      </c>
      <c r="V23" s="55">
        <f>IF(G23="","",ABS(P23-Components!$C$7))</f>
        <v>0.42433333333332901</v>
      </c>
      <c r="W23" s="49" t="str">
        <f>IF(G23="","",IF(N23="OK","NONE",INDEX({"S1","S2","W1","W2","N1","N2"},MATCH(MIN(Q23:V23),Q23:V23,0))))</f>
        <v>W1</v>
      </c>
      <c r="X23" s="57">
        <f t="shared" si="5"/>
        <v>0</v>
      </c>
    </row>
    <row r="24" spans="1:24">
      <c r="A24" s="49">
        <v>22</v>
      </c>
      <c r="B24" s="50">
        <v>17</v>
      </c>
      <c r="C24" s="49" t="s">
        <v>128</v>
      </c>
      <c r="D24" s="51" t="s">
        <v>238</v>
      </c>
      <c r="E24" s="49" t="s">
        <v>239</v>
      </c>
      <c r="F24" s="49" t="s">
        <v>246</v>
      </c>
      <c r="G24" s="52">
        <v>9.9</v>
      </c>
      <c r="H24" s="53"/>
      <c r="I24" s="54"/>
      <c r="J24" s="55">
        <f>VLOOKUP(C24,Recipes!$A$2:$N$4,10,FALSE())</f>
        <v>10.940000000000001</v>
      </c>
      <c r="K24" s="56">
        <f>VLOOKUP(C24,Recipes!$A$2:$N$4,12,FALSE())</f>
        <v>5.2703573566378441E-2</v>
      </c>
      <c r="L24" s="55">
        <f t="shared" si="0"/>
        <v>10.781889279300866</v>
      </c>
      <c r="M24" s="55">
        <f t="shared" si="1"/>
        <v>11.098110720699136</v>
      </c>
      <c r="N24" s="49" t="str">
        <f t="shared" si="2"/>
        <v>NG</v>
      </c>
      <c r="O24" s="57">
        <f t="shared" si="3"/>
        <v>0</v>
      </c>
      <c r="P24" s="55">
        <f t="shared" si="4"/>
        <v>1.0400000000000009</v>
      </c>
      <c r="Q24" s="55">
        <f>IF(G24="","",ABS(P24-Components!$C$2))</f>
        <v>1.7133333333333289</v>
      </c>
      <c r="R24" s="55">
        <f>IF(G24="","",ABS(P24-Components!$C$3))</f>
        <v>2.9959999999999987</v>
      </c>
      <c r="S24" s="55">
        <f>IF(G24="","",ABS(P24-Components!$C$4))</f>
        <v>4.6666666666667966E-2</v>
      </c>
      <c r="T24" s="55">
        <f>IF(G24="","",ABS(P24-Components!$C$5))</f>
        <v>3.5226666666666695</v>
      </c>
      <c r="U24" s="55">
        <f>IF(G24="","",ABS(P24-Components!$C$6))</f>
        <v>0.11566666666666903</v>
      </c>
      <c r="V24" s="55">
        <f>IF(G24="","",ABS(P24-Components!$C$7))</f>
        <v>0.33433333333332915</v>
      </c>
      <c r="W24" s="49" t="str">
        <f>IF(G24="","",IF(N24="OK","NONE",INDEX({"S1","S2","W1","W2","N1","N2"},MATCH(MIN(Q24:V24),Q24:V24,0))))</f>
        <v>W1</v>
      </c>
      <c r="X24" s="57">
        <f t="shared" si="5"/>
        <v>0</v>
      </c>
    </row>
    <row r="25" spans="1:24">
      <c r="A25" s="49">
        <v>23</v>
      </c>
      <c r="B25" s="50">
        <v>17</v>
      </c>
      <c r="C25" s="49" t="s">
        <v>128</v>
      </c>
      <c r="D25" s="51" t="s">
        <v>238</v>
      </c>
      <c r="E25" s="49" t="s">
        <v>239</v>
      </c>
      <c r="F25" s="49" t="s">
        <v>246</v>
      </c>
      <c r="G25" s="52">
        <v>9.9700000000000006</v>
      </c>
      <c r="H25" s="53"/>
      <c r="I25" s="54"/>
      <c r="J25" s="55">
        <f>VLOOKUP(C25,Recipes!$A$2:$N$4,10,FALSE())</f>
        <v>10.940000000000001</v>
      </c>
      <c r="K25" s="56">
        <f>VLOOKUP(C25,Recipes!$A$2:$N$4,12,FALSE())</f>
        <v>5.2703573566378441E-2</v>
      </c>
      <c r="L25" s="55">
        <f t="shared" si="0"/>
        <v>10.781889279300866</v>
      </c>
      <c r="M25" s="55">
        <f t="shared" si="1"/>
        <v>11.098110720699136</v>
      </c>
      <c r="N25" s="49" t="str">
        <f t="shared" si="2"/>
        <v>NG</v>
      </c>
      <c r="O25" s="57">
        <f t="shared" si="3"/>
        <v>0</v>
      </c>
      <c r="P25" s="55">
        <f t="shared" si="4"/>
        <v>0.97000000000000064</v>
      </c>
      <c r="Q25" s="55">
        <f>IF(G25="","",ABS(P25-Components!$C$2))</f>
        <v>1.7833333333333292</v>
      </c>
      <c r="R25" s="55">
        <f>IF(G25="","",ABS(P25-Components!$C$3))</f>
        <v>3.0659999999999989</v>
      </c>
      <c r="S25" s="55">
        <f>IF(G25="","",ABS(P25-Components!$C$4))</f>
        <v>2.3333333333332318E-2</v>
      </c>
      <c r="T25" s="55">
        <f>IF(G25="","",ABS(P25-Components!$C$5))</f>
        <v>3.5926666666666698</v>
      </c>
      <c r="U25" s="55">
        <f>IF(G25="","",ABS(P25-Components!$C$6))</f>
        <v>0.18566666666666931</v>
      </c>
      <c r="V25" s="55">
        <f>IF(G25="","",ABS(P25-Components!$C$7))</f>
        <v>0.40433333333332944</v>
      </c>
      <c r="W25" s="49" t="str">
        <f>IF(G25="","",IF(N25="OK","NONE",INDEX({"S1","S2","W1","W2","N1","N2"},MATCH(MIN(Q25:V25),Q25:V25,0))))</f>
        <v>W1</v>
      </c>
      <c r="X25" s="57">
        <f t="shared" si="5"/>
        <v>0</v>
      </c>
    </row>
    <row r="26" spans="1:24">
      <c r="A26" s="49">
        <v>24</v>
      </c>
      <c r="B26" s="50">
        <v>17</v>
      </c>
      <c r="C26" s="49" t="s">
        <v>128</v>
      </c>
      <c r="D26" s="51" t="s">
        <v>238</v>
      </c>
      <c r="E26" s="49" t="s">
        <v>239</v>
      </c>
      <c r="F26" s="49" t="s">
        <v>246</v>
      </c>
      <c r="G26" s="52">
        <v>10.02</v>
      </c>
      <c r="H26" s="53"/>
      <c r="I26" s="54"/>
      <c r="J26" s="55">
        <f>VLOOKUP(C26,Recipes!$A$2:$N$4,10,FALSE())</f>
        <v>10.940000000000001</v>
      </c>
      <c r="K26" s="56">
        <f>VLOOKUP(C26,Recipes!$A$2:$N$4,12,FALSE())</f>
        <v>5.2703573566378441E-2</v>
      </c>
      <c r="L26" s="55">
        <f t="shared" si="0"/>
        <v>10.781889279300866</v>
      </c>
      <c r="M26" s="55">
        <f t="shared" si="1"/>
        <v>11.098110720699136</v>
      </c>
      <c r="N26" s="49" t="str">
        <f t="shared" si="2"/>
        <v>NG</v>
      </c>
      <c r="O26" s="57">
        <f t="shared" si="3"/>
        <v>0</v>
      </c>
      <c r="P26" s="55">
        <f t="shared" si="4"/>
        <v>0.92000000000000171</v>
      </c>
      <c r="Q26" s="55">
        <f>IF(G26="","",ABS(P26-Components!$C$2))</f>
        <v>1.8333333333333282</v>
      </c>
      <c r="R26" s="55">
        <f>IF(G26="","",ABS(P26-Components!$C$3))</f>
        <v>3.1159999999999979</v>
      </c>
      <c r="S26" s="55">
        <f>IF(G26="","",ABS(P26-Components!$C$4))</f>
        <v>7.3333333333331252E-2</v>
      </c>
      <c r="T26" s="55">
        <f>IF(G26="","",ABS(P26-Components!$C$5))</f>
        <v>3.6426666666666687</v>
      </c>
      <c r="U26" s="55">
        <f>IF(G26="","",ABS(P26-Components!$C$6))</f>
        <v>0.23566666666666825</v>
      </c>
      <c r="V26" s="55">
        <f>IF(G26="","",ABS(P26-Components!$C$7))</f>
        <v>0.45433333333332837</v>
      </c>
      <c r="W26" s="49" t="str">
        <f>IF(G26="","",IF(N26="OK","NONE",INDEX({"S1","S2","W1","W2","N1","N2"},MATCH(MIN(Q26:V26),Q26:V26,0))))</f>
        <v>W1</v>
      </c>
      <c r="X26" s="57">
        <f t="shared" si="5"/>
        <v>0</v>
      </c>
    </row>
    <row r="27" spans="1:24">
      <c r="A27" s="49">
        <v>25</v>
      </c>
      <c r="B27" s="50">
        <v>17</v>
      </c>
      <c r="C27" s="49" t="s">
        <v>128</v>
      </c>
      <c r="D27" s="51" t="s">
        <v>238</v>
      </c>
      <c r="E27" s="49" t="s">
        <v>239</v>
      </c>
      <c r="F27" s="49" t="s">
        <v>246</v>
      </c>
      <c r="G27" s="52">
        <v>10</v>
      </c>
      <c r="H27" s="53"/>
      <c r="I27" s="54"/>
      <c r="J27" s="55">
        <f>VLOOKUP(C27,Recipes!$A$2:$N$4,10,FALSE())</f>
        <v>10.940000000000001</v>
      </c>
      <c r="K27" s="56">
        <f>VLOOKUP(C27,Recipes!$A$2:$N$4,12,FALSE())</f>
        <v>5.2703573566378441E-2</v>
      </c>
      <c r="L27" s="55">
        <f t="shared" si="0"/>
        <v>10.781889279300866</v>
      </c>
      <c r="M27" s="55">
        <f t="shared" si="1"/>
        <v>11.098110720699136</v>
      </c>
      <c r="N27" s="49" t="str">
        <f t="shared" si="2"/>
        <v>NG</v>
      </c>
      <c r="O27" s="57">
        <f t="shared" si="3"/>
        <v>0</v>
      </c>
      <c r="P27" s="55">
        <f t="shared" si="4"/>
        <v>0.94000000000000128</v>
      </c>
      <c r="Q27" s="55">
        <f>IF(G27="","",ABS(P27-Components!$C$2))</f>
        <v>1.8133333333333286</v>
      </c>
      <c r="R27" s="55">
        <f>IF(G27="","",ABS(P27-Components!$C$3))</f>
        <v>3.0959999999999983</v>
      </c>
      <c r="S27" s="55">
        <f>IF(G27="","",ABS(P27-Components!$C$4))</f>
        <v>5.3333333333331678E-2</v>
      </c>
      <c r="T27" s="55">
        <f>IF(G27="","",ABS(P27-Components!$C$5))</f>
        <v>3.6226666666666691</v>
      </c>
      <c r="U27" s="55">
        <f>IF(G27="","",ABS(P27-Components!$C$6))</f>
        <v>0.21566666666666867</v>
      </c>
      <c r="V27" s="55">
        <f>IF(G27="","",ABS(P27-Components!$C$7))</f>
        <v>0.4343333333333288</v>
      </c>
      <c r="W27" s="49" t="str">
        <f>IF(G27="","",IF(N27="OK","NONE",INDEX({"S1","S2","W1","W2","N1","N2"},MATCH(MIN(Q27:V27),Q27:V27,0))))</f>
        <v>W1</v>
      </c>
      <c r="X27" s="57">
        <f t="shared" si="5"/>
        <v>0</v>
      </c>
    </row>
    <row r="28" spans="1:24">
      <c r="A28" s="49">
        <v>26</v>
      </c>
      <c r="B28" s="50">
        <v>17</v>
      </c>
      <c r="C28" s="49" t="s">
        <v>128</v>
      </c>
      <c r="D28" s="51" t="s">
        <v>238</v>
      </c>
      <c r="E28" s="49" t="s">
        <v>239</v>
      </c>
      <c r="F28" s="49" t="s">
        <v>246</v>
      </c>
      <c r="G28" s="52">
        <v>9.93</v>
      </c>
      <c r="H28" s="53"/>
      <c r="I28" s="54"/>
      <c r="J28" s="55">
        <f>VLOOKUP(C28,Recipes!$A$2:$N$4,10,FALSE())</f>
        <v>10.940000000000001</v>
      </c>
      <c r="K28" s="56">
        <f>VLOOKUP(C28,Recipes!$A$2:$N$4,12,FALSE())</f>
        <v>5.2703573566378441E-2</v>
      </c>
      <c r="L28" s="55">
        <f t="shared" si="0"/>
        <v>10.781889279300866</v>
      </c>
      <c r="M28" s="55">
        <f t="shared" si="1"/>
        <v>11.098110720699136</v>
      </c>
      <c r="N28" s="49" t="str">
        <f t="shared" si="2"/>
        <v>NG</v>
      </c>
      <c r="O28" s="57">
        <f t="shared" si="3"/>
        <v>0</v>
      </c>
      <c r="P28" s="55">
        <f t="shared" si="4"/>
        <v>1.0100000000000016</v>
      </c>
      <c r="Q28" s="55">
        <f>IF(G28="","",ABS(P28-Components!$C$2))</f>
        <v>1.7433333333333283</v>
      </c>
      <c r="R28" s="55">
        <f>IF(G28="","",ABS(P28-Components!$C$3))</f>
        <v>3.025999999999998</v>
      </c>
      <c r="S28" s="55">
        <f>IF(G28="","",ABS(P28-Components!$C$4))</f>
        <v>1.6666666666668606E-2</v>
      </c>
      <c r="T28" s="55">
        <f>IF(G28="","",ABS(P28-Components!$C$5))</f>
        <v>3.5526666666666689</v>
      </c>
      <c r="U28" s="55">
        <f>IF(G28="","",ABS(P28-Components!$C$6))</f>
        <v>0.14566666666666839</v>
      </c>
      <c r="V28" s="55">
        <f>IF(G28="","",ABS(P28-Components!$C$7))</f>
        <v>0.36433333333332851</v>
      </c>
      <c r="W28" s="49" t="str">
        <f>IF(G28="","",IF(N28="OK","NONE",INDEX({"S1","S2","W1","W2","N1","N2"},MATCH(MIN(Q28:V28),Q28:V28,0))))</f>
        <v>W1</v>
      </c>
      <c r="X28" s="57">
        <f t="shared" si="5"/>
        <v>0</v>
      </c>
    </row>
    <row r="29" spans="1:24">
      <c r="A29" s="49">
        <v>27</v>
      </c>
      <c r="B29" s="50">
        <v>17</v>
      </c>
      <c r="C29" s="49" t="s">
        <v>128</v>
      </c>
      <c r="D29" s="51" t="s">
        <v>238</v>
      </c>
      <c r="E29" s="49" t="s">
        <v>239</v>
      </c>
      <c r="F29" s="49" t="s">
        <v>246</v>
      </c>
      <c r="G29" s="52">
        <v>9.9700000000000006</v>
      </c>
      <c r="H29" s="53"/>
      <c r="I29" s="54"/>
      <c r="J29" s="55">
        <f>VLOOKUP(C29,Recipes!$A$2:$N$4,10,FALSE())</f>
        <v>10.940000000000001</v>
      </c>
      <c r="K29" s="56">
        <f>VLOOKUP(C29,Recipes!$A$2:$N$4,12,FALSE())</f>
        <v>5.2703573566378441E-2</v>
      </c>
      <c r="L29" s="55">
        <f t="shared" si="0"/>
        <v>10.781889279300866</v>
      </c>
      <c r="M29" s="55">
        <f t="shared" si="1"/>
        <v>11.098110720699136</v>
      </c>
      <c r="N29" s="49" t="str">
        <f t="shared" si="2"/>
        <v>NG</v>
      </c>
      <c r="O29" s="57">
        <f t="shared" si="3"/>
        <v>0</v>
      </c>
      <c r="P29" s="55">
        <f t="shared" si="4"/>
        <v>0.97000000000000064</v>
      </c>
      <c r="Q29" s="55">
        <f>IF(G29="","",ABS(P29-Components!$C$2))</f>
        <v>1.7833333333333292</v>
      </c>
      <c r="R29" s="55">
        <f>IF(G29="","",ABS(P29-Components!$C$3))</f>
        <v>3.0659999999999989</v>
      </c>
      <c r="S29" s="55">
        <f>IF(G29="","",ABS(P29-Components!$C$4))</f>
        <v>2.3333333333332318E-2</v>
      </c>
      <c r="T29" s="55">
        <f>IF(G29="","",ABS(P29-Components!$C$5))</f>
        <v>3.5926666666666698</v>
      </c>
      <c r="U29" s="55">
        <f>IF(G29="","",ABS(P29-Components!$C$6))</f>
        <v>0.18566666666666931</v>
      </c>
      <c r="V29" s="55">
        <f>IF(G29="","",ABS(P29-Components!$C$7))</f>
        <v>0.40433333333332944</v>
      </c>
      <c r="W29" s="49" t="str">
        <f>IF(G29="","",IF(N29="OK","NONE",INDEX({"S1","S2","W1","W2","N1","N2"},MATCH(MIN(Q29:V29),Q29:V29,0))))</f>
        <v>W1</v>
      </c>
      <c r="X29" s="57">
        <f t="shared" si="5"/>
        <v>0</v>
      </c>
    </row>
    <row r="30" spans="1:24">
      <c r="A30" s="49">
        <v>28</v>
      </c>
      <c r="B30" s="50">
        <v>17</v>
      </c>
      <c r="C30" s="49" t="s">
        <v>128</v>
      </c>
      <c r="D30" s="51" t="s">
        <v>238</v>
      </c>
      <c r="E30" s="49" t="s">
        <v>239</v>
      </c>
      <c r="F30" s="49" t="s">
        <v>246</v>
      </c>
      <c r="G30" s="52">
        <v>9.94</v>
      </c>
      <c r="H30" s="53"/>
      <c r="I30" s="54"/>
      <c r="J30" s="55">
        <f>VLOOKUP(C30,Recipes!$A$2:$N$4,10,FALSE())</f>
        <v>10.940000000000001</v>
      </c>
      <c r="K30" s="56">
        <f>VLOOKUP(C30,Recipes!$A$2:$N$4,12,FALSE())</f>
        <v>5.2703573566378441E-2</v>
      </c>
      <c r="L30" s="55">
        <f t="shared" si="0"/>
        <v>10.781889279300866</v>
      </c>
      <c r="M30" s="55">
        <f t="shared" si="1"/>
        <v>11.098110720699136</v>
      </c>
      <c r="N30" s="49" t="str">
        <f t="shared" si="2"/>
        <v>NG</v>
      </c>
      <c r="O30" s="57">
        <f t="shared" si="3"/>
        <v>0</v>
      </c>
      <c r="P30" s="55">
        <f t="shared" si="4"/>
        <v>1.0000000000000018</v>
      </c>
      <c r="Q30" s="55">
        <f>IF(G30="","",ABS(P30-Components!$C$2))</f>
        <v>1.7533333333333281</v>
      </c>
      <c r="R30" s="55">
        <f>IF(G30="","",ABS(P30-Components!$C$3))</f>
        <v>3.0359999999999978</v>
      </c>
      <c r="S30" s="55">
        <f>IF(G30="","",ABS(P30-Components!$C$4))</f>
        <v>6.666666666668819E-3</v>
      </c>
      <c r="T30" s="55">
        <f>IF(G30="","",ABS(P30-Components!$C$5))</f>
        <v>3.5626666666666686</v>
      </c>
      <c r="U30" s="55">
        <f>IF(G30="","",ABS(P30-Components!$C$6))</f>
        <v>0.15566666666666817</v>
      </c>
      <c r="V30" s="55">
        <f>IF(G30="","",ABS(P30-Components!$C$7))</f>
        <v>0.3743333333333283</v>
      </c>
      <c r="W30" s="49" t="str">
        <f>IF(G30="","",IF(N30="OK","NONE",INDEX({"S1","S2","W1","W2","N1","N2"},MATCH(MIN(Q30:V30),Q30:V30,0))))</f>
        <v>W1</v>
      </c>
      <c r="X30" s="57">
        <f t="shared" si="5"/>
        <v>0</v>
      </c>
    </row>
    <row r="31" spans="1:24">
      <c r="A31" s="49">
        <v>29</v>
      </c>
      <c r="B31" s="50">
        <v>17</v>
      </c>
      <c r="C31" s="49" t="s">
        <v>128</v>
      </c>
      <c r="D31" s="51" t="s">
        <v>238</v>
      </c>
      <c r="E31" s="49" t="s">
        <v>239</v>
      </c>
      <c r="F31" s="49" t="s">
        <v>246</v>
      </c>
      <c r="G31" s="52">
        <v>9.99</v>
      </c>
      <c r="H31" s="53"/>
      <c r="I31" s="54"/>
      <c r="J31" s="55">
        <f>VLOOKUP(C31,Recipes!$A$2:$N$4,10,FALSE())</f>
        <v>10.940000000000001</v>
      </c>
      <c r="K31" s="56">
        <f>VLOOKUP(C31,Recipes!$A$2:$N$4,12,FALSE())</f>
        <v>5.2703573566378441E-2</v>
      </c>
      <c r="L31" s="55">
        <f t="shared" si="0"/>
        <v>10.781889279300866</v>
      </c>
      <c r="M31" s="55">
        <f t="shared" si="1"/>
        <v>11.098110720699136</v>
      </c>
      <c r="N31" s="49" t="str">
        <f t="shared" si="2"/>
        <v>NG</v>
      </c>
      <c r="O31" s="57">
        <f t="shared" si="3"/>
        <v>0</v>
      </c>
      <c r="P31" s="55">
        <f t="shared" si="4"/>
        <v>0.95000000000000107</v>
      </c>
      <c r="Q31" s="55">
        <f>IF(G31="","",ABS(P31-Components!$C$2))</f>
        <v>1.8033333333333288</v>
      </c>
      <c r="R31" s="55">
        <f>IF(G31="","",ABS(P31-Components!$C$3))</f>
        <v>3.0859999999999985</v>
      </c>
      <c r="S31" s="55">
        <f>IF(G31="","",ABS(P31-Components!$C$4))</f>
        <v>4.3333333333331892E-2</v>
      </c>
      <c r="T31" s="55">
        <f>IF(G31="","",ABS(P31-Components!$C$5))</f>
        <v>3.6126666666666694</v>
      </c>
      <c r="U31" s="55">
        <f>IF(G31="","",ABS(P31-Components!$C$6))</f>
        <v>0.20566666666666888</v>
      </c>
      <c r="V31" s="55">
        <f>IF(G31="","",ABS(P31-Components!$C$7))</f>
        <v>0.42433333333332901</v>
      </c>
      <c r="W31" s="49" t="str">
        <f>IF(G31="","",IF(N31="OK","NONE",INDEX({"S1","S2","W1","W2","N1","N2"},MATCH(MIN(Q31:V31),Q31:V31,0))))</f>
        <v>W1</v>
      </c>
      <c r="X31" s="57">
        <f t="shared" si="5"/>
        <v>0</v>
      </c>
    </row>
    <row r="32" spans="1:24">
      <c r="A32" s="49">
        <v>30</v>
      </c>
      <c r="B32" s="50">
        <v>17</v>
      </c>
      <c r="C32" s="49" t="s">
        <v>128</v>
      </c>
      <c r="D32" s="51" t="s">
        <v>238</v>
      </c>
      <c r="E32" s="49" t="s">
        <v>239</v>
      </c>
      <c r="F32" s="49" t="s">
        <v>246</v>
      </c>
      <c r="G32" s="61">
        <v>9.48</v>
      </c>
      <c r="H32" s="53"/>
      <c r="I32" s="54"/>
      <c r="J32" s="55">
        <f>VLOOKUP(C32,Recipes!$A$2:$N$4,10,FALSE())</f>
        <v>10.940000000000001</v>
      </c>
      <c r="K32" s="56">
        <f>VLOOKUP(C32,Recipes!$A$2:$N$4,12,FALSE())</f>
        <v>5.2703573566378441E-2</v>
      </c>
      <c r="L32" s="55">
        <f t="shared" si="0"/>
        <v>10.781889279300866</v>
      </c>
      <c r="M32" s="55">
        <f t="shared" si="1"/>
        <v>11.098110720699136</v>
      </c>
      <c r="N32" s="49" t="str">
        <f t="shared" si="2"/>
        <v>NG</v>
      </c>
      <c r="O32" s="57">
        <f t="shared" si="3"/>
        <v>0</v>
      </c>
      <c r="P32" s="55">
        <f t="shared" si="4"/>
        <v>1.4600000000000009</v>
      </c>
      <c r="Q32" s="55">
        <f>IF(G32="","",ABS(P32-Components!$C$2))</f>
        <v>1.293333333333329</v>
      </c>
      <c r="R32" s="55">
        <f>IF(G32="","",ABS(P32-Components!$C$3))</f>
        <v>2.5759999999999987</v>
      </c>
      <c r="S32" s="55">
        <f>IF(G32="","",ABS(P32-Components!$C$4))</f>
        <v>0.4666666666666679</v>
      </c>
      <c r="T32" s="55">
        <f>IF(G32="","",ABS(P32-Components!$C$5))</f>
        <v>3.1026666666666696</v>
      </c>
      <c r="U32" s="55">
        <f>IF(G32="","",ABS(P32-Components!$C$6))</f>
        <v>0.3043333333333309</v>
      </c>
      <c r="V32" s="55">
        <f>IF(G32="","",ABS(P32-Components!$C$7))</f>
        <v>8.5666666666670777E-2</v>
      </c>
      <c r="W32" s="49" t="str">
        <f>IF(G32="","",IF(N32="OK","NONE",INDEX({"S1","S2","W1","W2","N1","N2"},MATCH(MIN(Q32:V32),Q32:V32,0))))</f>
        <v>N2</v>
      </c>
      <c r="X32" s="59">
        <f t="shared" si="5"/>
        <v>0</v>
      </c>
    </row>
    <row r="33" spans="1:24">
      <c r="A33" s="49">
        <v>31</v>
      </c>
      <c r="B33" s="50">
        <v>21</v>
      </c>
      <c r="C33" s="49" t="s">
        <v>128</v>
      </c>
      <c r="D33" s="62" t="s">
        <v>240</v>
      </c>
      <c r="E33" s="49" t="s">
        <v>102</v>
      </c>
      <c r="F33" s="49" t="s">
        <v>247</v>
      </c>
      <c r="G33" s="52">
        <v>5.91</v>
      </c>
      <c r="H33" s="53"/>
      <c r="I33" s="54"/>
      <c r="J33" s="55">
        <f>VLOOKUP(C33,Recipes!$A$2:$N$4,10,FALSE())</f>
        <v>10.940000000000001</v>
      </c>
      <c r="K33" s="56">
        <f>VLOOKUP(C33,Recipes!$A$2:$N$4,12,FALSE())</f>
        <v>5.2703573566378441E-2</v>
      </c>
      <c r="L33" s="55">
        <f t="shared" si="0"/>
        <v>10.781889279300866</v>
      </c>
      <c r="M33" s="55">
        <f t="shared" si="1"/>
        <v>11.098110720699136</v>
      </c>
      <c r="N33" s="49" t="str">
        <f t="shared" si="2"/>
        <v>NG</v>
      </c>
      <c r="O33" s="57">
        <f t="shared" si="3"/>
        <v>1</v>
      </c>
      <c r="P33" s="55">
        <f t="shared" si="4"/>
        <v>5.0300000000000011</v>
      </c>
      <c r="Q33" s="55">
        <f>IF(G33="","",ABS(P33-Components!$C$2))</f>
        <v>2.2766666666666713</v>
      </c>
      <c r="R33" s="55">
        <f>IF(G33="","",ABS(P33-Components!$C$3))</f>
        <v>0.99400000000000155</v>
      </c>
      <c r="S33" s="55">
        <f>IF(G33="","",ABS(P33-Components!$C$4))</f>
        <v>4.036666666666668</v>
      </c>
      <c r="T33" s="55">
        <f>IF(G33="","",ABS(P33-Components!$C$5))</f>
        <v>0.46733333333333071</v>
      </c>
      <c r="U33" s="55">
        <f>IF(G33="","",ABS(P33-Components!$C$6))</f>
        <v>3.8743333333333312</v>
      </c>
      <c r="V33" s="55">
        <f>IF(G33="","",ABS(P33-Components!$C$7))</f>
        <v>3.6556666666666713</v>
      </c>
      <c r="W33" s="49" t="str">
        <f>IF(G33="","",IF(N33="OK","NONE",INDEX({"S1","S2","W1","W2","N1","N2"},MATCH(MIN(Q33:V33),Q33:V33,0))))</f>
        <v>W2</v>
      </c>
      <c r="X33" s="57">
        <f t="shared" si="5"/>
        <v>0</v>
      </c>
    </row>
    <row r="34" spans="1:24">
      <c r="A34" s="49">
        <v>32</v>
      </c>
      <c r="B34" s="50">
        <v>51</v>
      </c>
      <c r="C34" s="49" t="s">
        <v>128</v>
      </c>
      <c r="D34" s="62" t="s">
        <v>240</v>
      </c>
      <c r="E34" s="49" t="s">
        <v>102</v>
      </c>
      <c r="F34" s="49" t="s">
        <v>248</v>
      </c>
      <c r="G34" s="52">
        <v>5.93</v>
      </c>
      <c r="H34" s="53"/>
      <c r="I34" s="54"/>
      <c r="J34" s="55">
        <f>VLOOKUP(C34,Recipes!$A$2:$N$4,10,FALSE())</f>
        <v>10.940000000000001</v>
      </c>
      <c r="K34" s="56">
        <f>VLOOKUP(C34,Recipes!$A$2:$N$4,12,FALSE())</f>
        <v>5.2703573566378441E-2</v>
      </c>
      <c r="L34" s="55">
        <f t="shared" si="0"/>
        <v>10.781889279300866</v>
      </c>
      <c r="M34" s="55">
        <f t="shared" si="1"/>
        <v>11.098110720699136</v>
      </c>
      <c r="N34" s="49" t="str">
        <f t="shared" si="2"/>
        <v>NG</v>
      </c>
      <c r="O34" s="57">
        <f t="shared" si="3"/>
        <v>1</v>
      </c>
      <c r="P34" s="55">
        <f t="shared" si="4"/>
        <v>5.0100000000000016</v>
      </c>
      <c r="Q34" s="55">
        <f>IF(G34="","",ABS(P34-Components!$C$2))</f>
        <v>2.2566666666666717</v>
      </c>
      <c r="R34" s="55">
        <f>IF(G34="","",ABS(P34-Components!$C$3))</f>
        <v>0.97400000000000198</v>
      </c>
      <c r="S34" s="55">
        <f>IF(G34="","",ABS(P34-Components!$C$4))</f>
        <v>4.0166666666666684</v>
      </c>
      <c r="T34" s="55">
        <f>IF(G34="","",ABS(P34-Components!$C$5))</f>
        <v>0.44733333333333114</v>
      </c>
      <c r="U34" s="55">
        <f>IF(G34="","",ABS(P34-Components!$C$6))</f>
        <v>3.8543333333333316</v>
      </c>
      <c r="V34" s="55">
        <f>IF(G34="","",ABS(P34-Components!$C$7))</f>
        <v>3.6356666666666717</v>
      </c>
      <c r="W34" s="49" t="str">
        <f>IF(G34="","",IF(N34="OK","NONE",INDEX({"S1","S2","W1","W2","N1","N2"},MATCH(MIN(Q34:V34),Q34:V34,0))))</f>
        <v>W2</v>
      </c>
      <c r="X34" s="57">
        <f t="shared" si="5"/>
        <v>0</v>
      </c>
    </row>
    <row r="35" spans="1:24">
      <c r="A35" s="49">
        <v>33</v>
      </c>
      <c r="B35" s="50">
        <v>54</v>
      </c>
      <c r="C35" s="49" t="s">
        <v>128</v>
      </c>
      <c r="D35" s="62" t="s">
        <v>240</v>
      </c>
      <c r="E35" s="49" t="s">
        <v>102</v>
      </c>
      <c r="F35" s="49" t="s">
        <v>249</v>
      </c>
      <c r="G35" s="52">
        <v>5.86</v>
      </c>
      <c r="H35" s="53"/>
      <c r="I35" s="54"/>
      <c r="J35" s="55">
        <f>VLOOKUP(C35,Recipes!$A$2:$N$4,10,FALSE())</f>
        <v>10.940000000000001</v>
      </c>
      <c r="K35" s="56">
        <f>VLOOKUP(C35,Recipes!$A$2:$N$4,12,FALSE())</f>
        <v>5.2703573566378441E-2</v>
      </c>
      <c r="L35" s="55">
        <f t="shared" si="0"/>
        <v>10.781889279300866</v>
      </c>
      <c r="M35" s="55">
        <f t="shared" si="1"/>
        <v>11.098110720699136</v>
      </c>
      <c r="N35" s="49" t="str">
        <f t="shared" si="2"/>
        <v>NG</v>
      </c>
      <c r="O35" s="57">
        <f t="shared" si="3"/>
        <v>1</v>
      </c>
      <c r="P35" s="55">
        <f t="shared" si="4"/>
        <v>5.080000000000001</v>
      </c>
      <c r="Q35" s="55">
        <f>IF(G35="","",ABS(P35-Components!$C$2))</f>
        <v>2.3266666666666711</v>
      </c>
      <c r="R35" s="55">
        <f>IF(G35="","",ABS(P35-Components!$C$3))</f>
        <v>1.0440000000000014</v>
      </c>
      <c r="S35" s="55">
        <f>IF(G35="","",ABS(P35-Components!$C$4))</f>
        <v>4.0866666666666678</v>
      </c>
      <c r="T35" s="55">
        <f>IF(G35="","",ABS(P35-Components!$C$5))</f>
        <v>0.51733333333333054</v>
      </c>
      <c r="U35" s="55">
        <f>IF(G35="","",ABS(P35-Components!$C$6))</f>
        <v>3.924333333333331</v>
      </c>
      <c r="V35" s="55">
        <f>IF(G35="","",ABS(P35-Components!$C$7))</f>
        <v>3.7056666666666711</v>
      </c>
      <c r="W35" s="49" t="str">
        <f>IF(G35="","",IF(N35="OK","NONE",INDEX({"S1","S2","W1","W2","N1","N2"},MATCH(MIN(Q35:V35),Q35:V35,0))))</f>
        <v>W2</v>
      </c>
      <c r="X35" s="57">
        <f t="shared" si="5"/>
        <v>0</v>
      </c>
    </row>
    <row r="36" spans="1:24">
      <c r="A36" s="49">
        <v>34</v>
      </c>
      <c r="B36" s="50">
        <v>36</v>
      </c>
      <c r="C36" s="49" t="s">
        <v>128</v>
      </c>
      <c r="D36" s="62" t="s">
        <v>240</v>
      </c>
      <c r="E36" s="49" t="s">
        <v>102</v>
      </c>
      <c r="F36" s="49" t="s">
        <v>250</v>
      </c>
      <c r="G36" s="52">
        <v>5.94</v>
      </c>
      <c r="H36" s="53"/>
      <c r="I36" s="54"/>
      <c r="J36" s="55">
        <f>VLOOKUP(C36,Recipes!$A$2:$N$4,10,FALSE())</f>
        <v>10.940000000000001</v>
      </c>
      <c r="K36" s="56">
        <f>VLOOKUP(C36,Recipes!$A$2:$N$4,12,FALSE())</f>
        <v>5.2703573566378441E-2</v>
      </c>
      <c r="L36" s="55">
        <f t="shared" si="0"/>
        <v>10.781889279300866</v>
      </c>
      <c r="M36" s="55">
        <f t="shared" si="1"/>
        <v>11.098110720699136</v>
      </c>
      <c r="N36" s="49" t="str">
        <f t="shared" si="2"/>
        <v>NG</v>
      </c>
      <c r="O36" s="57">
        <f t="shared" si="3"/>
        <v>1</v>
      </c>
      <c r="P36" s="55">
        <f t="shared" si="4"/>
        <v>5.0000000000000009</v>
      </c>
      <c r="Q36" s="55">
        <f>IF(G36="","",ABS(P36-Components!$C$2))</f>
        <v>2.246666666666671</v>
      </c>
      <c r="R36" s="55">
        <f>IF(G36="","",ABS(P36-Components!$C$3))</f>
        <v>0.9640000000000013</v>
      </c>
      <c r="S36" s="55">
        <f>IF(G36="","",ABS(P36-Components!$C$4))</f>
        <v>4.0066666666666677</v>
      </c>
      <c r="T36" s="55">
        <f>IF(G36="","",ABS(P36-Components!$C$5))</f>
        <v>0.43733333333333047</v>
      </c>
      <c r="U36" s="55">
        <f>IF(G36="","",ABS(P36-Components!$C$6))</f>
        <v>3.8443333333333309</v>
      </c>
      <c r="V36" s="55">
        <f>IF(G36="","",ABS(P36-Components!$C$7))</f>
        <v>3.625666666666671</v>
      </c>
      <c r="W36" s="49" t="str">
        <f>IF(G36="","",IF(N36="OK","NONE",INDEX({"S1","S2","W1","W2","N1","N2"},MATCH(MIN(Q36:V36),Q36:V36,0))))</f>
        <v>W2</v>
      </c>
      <c r="X36" s="57">
        <f t="shared" si="5"/>
        <v>0</v>
      </c>
    </row>
    <row r="37" spans="1:24">
      <c r="A37" s="49">
        <v>35</v>
      </c>
      <c r="B37" s="50">
        <v>36</v>
      </c>
      <c r="C37" s="49" t="s">
        <v>128</v>
      </c>
      <c r="D37" s="62" t="s">
        <v>240</v>
      </c>
      <c r="E37" s="49" t="s">
        <v>102</v>
      </c>
      <c r="F37" s="49" t="s">
        <v>250</v>
      </c>
      <c r="G37" s="52">
        <v>5.9</v>
      </c>
      <c r="H37" s="53"/>
      <c r="I37" s="54"/>
      <c r="J37" s="55">
        <f>VLOOKUP(C37,Recipes!$A$2:$N$4,10,FALSE())</f>
        <v>10.940000000000001</v>
      </c>
      <c r="K37" s="56">
        <f>VLOOKUP(C37,Recipes!$A$2:$N$4,12,FALSE())</f>
        <v>5.2703573566378441E-2</v>
      </c>
      <c r="L37" s="55">
        <f t="shared" si="0"/>
        <v>10.781889279300866</v>
      </c>
      <c r="M37" s="55">
        <f t="shared" si="1"/>
        <v>11.098110720699136</v>
      </c>
      <c r="N37" s="49" t="str">
        <f t="shared" si="2"/>
        <v>NG</v>
      </c>
      <c r="O37" s="57">
        <f t="shared" si="3"/>
        <v>1</v>
      </c>
      <c r="P37" s="55">
        <f t="shared" si="4"/>
        <v>5.0400000000000009</v>
      </c>
      <c r="Q37" s="55">
        <f>IF(G37="","",ABS(P37-Components!$C$2))</f>
        <v>2.2866666666666711</v>
      </c>
      <c r="R37" s="55">
        <f>IF(G37="","",ABS(P37-Components!$C$3))</f>
        <v>1.0040000000000013</v>
      </c>
      <c r="S37" s="55">
        <f>IF(G37="","",ABS(P37-Components!$C$4))</f>
        <v>4.0466666666666677</v>
      </c>
      <c r="T37" s="55">
        <f>IF(G37="","",ABS(P37-Components!$C$5))</f>
        <v>0.4773333333333305</v>
      </c>
      <c r="U37" s="55">
        <f>IF(G37="","",ABS(P37-Components!$C$6))</f>
        <v>3.884333333333331</v>
      </c>
      <c r="V37" s="55">
        <f>IF(G37="","",ABS(P37-Components!$C$7))</f>
        <v>3.6656666666666711</v>
      </c>
      <c r="W37" s="49" t="str">
        <f>IF(G37="","",IF(N37="OK","NONE",INDEX({"S1","S2","W1","W2","N1","N2"},MATCH(MIN(Q37:V37),Q37:V37,0))))</f>
        <v>W2</v>
      </c>
      <c r="X37" s="57">
        <f t="shared" si="5"/>
        <v>0</v>
      </c>
    </row>
    <row r="38" spans="1:24">
      <c r="A38" s="49">
        <v>36</v>
      </c>
      <c r="B38" s="50">
        <v>36</v>
      </c>
      <c r="C38" s="49" t="s">
        <v>128</v>
      </c>
      <c r="D38" s="62" t="s">
        <v>240</v>
      </c>
      <c r="E38" s="49" t="s">
        <v>102</v>
      </c>
      <c r="F38" s="49" t="s">
        <v>250</v>
      </c>
      <c r="G38" s="52">
        <v>5.82</v>
      </c>
      <c r="H38" s="53"/>
      <c r="I38" s="54"/>
      <c r="J38" s="55">
        <f>VLOOKUP(C38,Recipes!$A$2:$N$4,10,FALSE())</f>
        <v>10.940000000000001</v>
      </c>
      <c r="K38" s="56">
        <f>VLOOKUP(C38,Recipes!$A$2:$N$4,12,FALSE())</f>
        <v>5.2703573566378441E-2</v>
      </c>
      <c r="L38" s="55">
        <f t="shared" si="0"/>
        <v>10.781889279300866</v>
      </c>
      <c r="M38" s="55">
        <f t="shared" si="1"/>
        <v>11.098110720699136</v>
      </c>
      <c r="N38" s="49" t="str">
        <f t="shared" si="2"/>
        <v>NG</v>
      </c>
      <c r="O38" s="57">
        <f t="shared" si="3"/>
        <v>1</v>
      </c>
      <c r="P38" s="55">
        <f t="shared" si="4"/>
        <v>5.120000000000001</v>
      </c>
      <c r="Q38" s="55">
        <f>IF(G38="","",ABS(P38-Components!$C$2))</f>
        <v>2.3666666666666711</v>
      </c>
      <c r="R38" s="55">
        <f>IF(G38="","",ABS(P38-Components!$C$3))</f>
        <v>1.0840000000000014</v>
      </c>
      <c r="S38" s="55">
        <f>IF(G38="","",ABS(P38-Components!$C$4))</f>
        <v>4.1266666666666678</v>
      </c>
      <c r="T38" s="55">
        <f>IF(G38="","",ABS(P38-Components!$C$5))</f>
        <v>0.55733333333333057</v>
      </c>
      <c r="U38" s="55">
        <f>IF(G38="","",ABS(P38-Components!$C$6))</f>
        <v>3.964333333333331</v>
      </c>
      <c r="V38" s="55">
        <f>IF(G38="","",ABS(P38-Components!$C$7))</f>
        <v>3.7456666666666711</v>
      </c>
      <c r="W38" s="49" t="str">
        <f>IF(G38="","",IF(N38="OK","NONE",INDEX({"S1","S2","W1","W2","N1","N2"},MATCH(MIN(Q38:V38),Q38:V38,0))))</f>
        <v>W2</v>
      </c>
      <c r="X38" s="57">
        <f t="shared" si="5"/>
        <v>0</v>
      </c>
    </row>
    <row r="39" spans="1:24">
      <c r="A39" s="49">
        <v>37</v>
      </c>
      <c r="B39" s="50">
        <v>36</v>
      </c>
      <c r="C39" s="49" t="s">
        <v>128</v>
      </c>
      <c r="D39" s="62" t="s">
        <v>240</v>
      </c>
      <c r="E39" s="49" t="s">
        <v>102</v>
      </c>
      <c r="F39" s="49" t="s">
        <v>250</v>
      </c>
      <c r="G39" s="52">
        <v>5.87</v>
      </c>
      <c r="H39" s="53"/>
      <c r="I39" s="54"/>
      <c r="J39" s="55">
        <f>VLOOKUP(C39,Recipes!$A$2:$N$4,10,FALSE())</f>
        <v>10.940000000000001</v>
      </c>
      <c r="K39" s="56">
        <f>VLOOKUP(C39,Recipes!$A$2:$N$4,12,FALSE())</f>
        <v>5.2703573566378441E-2</v>
      </c>
      <c r="L39" s="55">
        <f t="shared" si="0"/>
        <v>10.781889279300866</v>
      </c>
      <c r="M39" s="55">
        <f t="shared" si="1"/>
        <v>11.098110720699136</v>
      </c>
      <c r="N39" s="49" t="str">
        <f t="shared" si="2"/>
        <v>NG</v>
      </c>
      <c r="O39" s="57">
        <f t="shared" si="3"/>
        <v>1</v>
      </c>
      <c r="P39" s="55">
        <f t="shared" si="4"/>
        <v>5.0700000000000012</v>
      </c>
      <c r="Q39" s="55">
        <f>IF(G39="","",ABS(P39-Components!$C$2))</f>
        <v>2.3166666666666713</v>
      </c>
      <c r="R39" s="55">
        <f>IF(G39="","",ABS(P39-Components!$C$3))</f>
        <v>1.0340000000000016</v>
      </c>
      <c r="S39" s="55">
        <f>IF(G39="","",ABS(P39-Components!$C$4))</f>
        <v>4.076666666666668</v>
      </c>
      <c r="T39" s="55">
        <f>IF(G39="","",ABS(P39-Components!$C$5))</f>
        <v>0.50733333333333075</v>
      </c>
      <c r="U39" s="55">
        <f>IF(G39="","",ABS(P39-Components!$C$6))</f>
        <v>3.9143333333333312</v>
      </c>
      <c r="V39" s="55">
        <f>IF(G39="","",ABS(P39-Components!$C$7))</f>
        <v>3.6956666666666713</v>
      </c>
      <c r="W39" s="49" t="str">
        <f>IF(G39="","",IF(N39="OK","NONE",INDEX({"S1","S2","W1","W2","N1","N2"},MATCH(MIN(Q39:V39),Q39:V39,0))))</f>
        <v>W2</v>
      </c>
      <c r="X39" s="57">
        <f t="shared" si="5"/>
        <v>0</v>
      </c>
    </row>
    <row r="40" spans="1:24">
      <c r="A40" s="49">
        <v>38</v>
      </c>
      <c r="B40" s="50">
        <v>36</v>
      </c>
      <c r="C40" s="49" t="s">
        <v>128</v>
      </c>
      <c r="D40" s="62" t="s">
        <v>240</v>
      </c>
      <c r="E40" s="49" t="s">
        <v>102</v>
      </c>
      <c r="F40" s="49" t="s">
        <v>250</v>
      </c>
      <c r="G40" s="52">
        <v>5.89</v>
      </c>
      <c r="H40" s="53"/>
      <c r="I40" s="54"/>
      <c r="J40" s="55">
        <f>VLOOKUP(C40,Recipes!$A$2:$N$4,10,FALSE())</f>
        <v>10.940000000000001</v>
      </c>
      <c r="K40" s="56">
        <f>VLOOKUP(C40,Recipes!$A$2:$N$4,12,FALSE())</f>
        <v>5.2703573566378441E-2</v>
      </c>
      <c r="L40" s="55">
        <f t="shared" si="0"/>
        <v>10.781889279300866</v>
      </c>
      <c r="M40" s="55">
        <f t="shared" si="1"/>
        <v>11.098110720699136</v>
      </c>
      <c r="N40" s="49" t="str">
        <f t="shared" si="2"/>
        <v>NG</v>
      </c>
      <c r="O40" s="57">
        <f t="shared" si="3"/>
        <v>1</v>
      </c>
      <c r="P40" s="55">
        <f t="shared" si="4"/>
        <v>5.0500000000000016</v>
      </c>
      <c r="Q40" s="55">
        <f>IF(G40="","",ABS(P40-Components!$C$2))</f>
        <v>2.2966666666666717</v>
      </c>
      <c r="R40" s="55">
        <f>IF(G40="","",ABS(P40-Components!$C$3))</f>
        <v>1.014000000000002</v>
      </c>
      <c r="S40" s="55">
        <f>IF(G40="","",ABS(P40-Components!$C$4))</f>
        <v>4.0566666666666684</v>
      </c>
      <c r="T40" s="55">
        <f>IF(G40="","",ABS(P40-Components!$C$5))</f>
        <v>0.48733333333333118</v>
      </c>
      <c r="U40" s="55">
        <f>IF(G40="","",ABS(P40-Components!$C$6))</f>
        <v>3.8943333333333316</v>
      </c>
      <c r="V40" s="55">
        <f>IF(G40="","",ABS(P40-Components!$C$7))</f>
        <v>3.6756666666666717</v>
      </c>
      <c r="W40" s="49" t="str">
        <f>IF(G40="","",IF(N40="OK","NONE",INDEX({"S1","S2","W1","W2","N1","N2"},MATCH(MIN(Q40:V40),Q40:V40,0))))</f>
        <v>W2</v>
      </c>
      <c r="X40" s="57">
        <f t="shared" si="5"/>
        <v>0</v>
      </c>
    </row>
    <row r="41" spans="1:24">
      <c r="A41" s="49">
        <v>39</v>
      </c>
      <c r="B41" s="50">
        <v>36</v>
      </c>
      <c r="C41" s="49" t="s">
        <v>128</v>
      </c>
      <c r="D41" s="62" t="s">
        <v>240</v>
      </c>
      <c r="E41" s="49" t="s">
        <v>102</v>
      </c>
      <c r="F41" s="49" t="s">
        <v>250</v>
      </c>
      <c r="G41" s="52">
        <v>5.91</v>
      </c>
      <c r="H41" s="53"/>
      <c r="I41" s="54"/>
      <c r="J41" s="55">
        <f>VLOOKUP(C41,Recipes!$A$2:$N$4,10,FALSE())</f>
        <v>10.940000000000001</v>
      </c>
      <c r="K41" s="56">
        <f>VLOOKUP(C41,Recipes!$A$2:$N$4,12,FALSE())</f>
        <v>5.2703573566378441E-2</v>
      </c>
      <c r="L41" s="55">
        <f t="shared" si="0"/>
        <v>10.781889279300866</v>
      </c>
      <c r="M41" s="55">
        <f t="shared" si="1"/>
        <v>11.098110720699136</v>
      </c>
      <c r="N41" s="49" t="str">
        <f t="shared" si="2"/>
        <v>NG</v>
      </c>
      <c r="O41" s="57">
        <f t="shared" si="3"/>
        <v>1</v>
      </c>
      <c r="P41" s="55">
        <f t="shared" si="4"/>
        <v>5.0300000000000011</v>
      </c>
      <c r="Q41" s="55">
        <f>IF(G41="","",ABS(P41-Components!$C$2))</f>
        <v>2.2766666666666713</v>
      </c>
      <c r="R41" s="55">
        <f>IF(G41="","",ABS(P41-Components!$C$3))</f>
        <v>0.99400000000000155</v>
      </c>
      <c r="S41" s="55">
        <f>IF(G41="","",ABS(P41-Components!$C$4))</f>
        <v>4.036666666666668</v>
      </c>
      <c r="T41" s="55">
        <f>IF(G41="","",ABS(P41-Components!$C$5))</f>
        <v>0.46733333333333071</v>
      </c>
      <c r="U41" s="55">
        <f>IF(G41="","",ABS(P41-Components!$C$6))</f>
        <v>3.8743333333333312</v>
      </c>
      <c r="V41" s="55">
        <f>IF(G41="","",ABS(P41-Components!$C$7))</f>
        <v>3.6556666666666713</v>
      </c>
      <c r="W41" s="49" t="str">
        <f>IF(G41="","",IF(N41="OK","NONE",INDEX({"S1","S2","W1","W2","N1","N2"},MATCH(MIN(Q41:V41),Q41:V41,0))))</f>
        <v>W2</v>
      </c>
      <c r="X41" s="57">
        <f t="shared" si="5"/>
        <v>0</v>
      </c>
    </row>
    <row r="42" spans="1:24">
      <c r="A42" s="49">
        <v>40</v>
      </c>
      <c r="B42" s="50">
        <v>36</v>
      </c>
      <c r="C42" s="49" t="s">
        <v>128</v>
      </c>
      <c r="D42" s="62" t="s">
        <v>240</v>
      </c>
      <c r="E42" s="49" t="s">
        <v>102</v>
      </c>
      <c r="F42" s="49" t="s">
        <v>250</v>
      </c>
      <c r="G42" s="52">
        <v>5.94</v>
      </c>
      <c r="H42" s="53"/>
      <c r="I42" s="54"/>
      <c r="J42" s="55">
        <f>VLOOKUP(C42,Recipes!$A$2:$N$4,10,FALSE())</f>
        <v>10.940000000000001</v>
      </c>
      <c r="K42" s="56">
        <f>VLOOKUP(C42,Recipes!$A$2:$N$4,12,FALSE())</f>
        <v>5.2703573566378441E-2</v>
      </c>
      <c r="L42" s="55">
        <f t="shared" si="0"/>
        <v>10.781889279300866</v>
      </c>
      <c r="M42" s="55">
        <f t="shared" si="1"/>
        <v>11.098110720699136</v>
      </c>
      <c r="N42" s="49" t="str">
        <f t="shared" si="2"/>
        <v>NG</v>
      </c>
      <c r="O42" s="57">
        <f t="shared" si="3"/>
        <v>1</v>
      </c>
      <c r="P42" s="55">
        <f t="shared" si="4"/>
        <v>5.0000000000000009</v>
      </c>
      <c r="Q42" s="55">
        <f>IF(G42="","",ABS(P42-Components!$C$2))</f>
        <v>2.246666666666671</v>
      </c>
      <c r="R42" s="55">
        <f>IF(G42="","",ABS(P42-Components!$C$3))</f>
        <v>0.9640000000000013</v>
      </c>
      <c r="S42" s="55">
        <f>IF(G42="","",ABS(P42-Components!$C$4))</f>
        <v>4.0066666666666677</v>
      </c>
      <c r="T42" s="55">
        <f>IF(G42="","",ABS(P42-Components!$C$5))</f>
        <v>0.43733333333333047</v>
      </c>
      <c r="U42" s="55">
        <f>IF(G42="","",ABS(P42-Components!$C$6))</f>
        <v>3.8443333333333309</v>
      </c>
      <c r="V42" s="55">
        <f>IF(G42="","",ABS(P42-Components!$C$7))</f>
        <v>3.625666666666671</v>
      </c>
      <c r="W42" s="49" t="str">
        <f>IF(G42="","",IF(N42="OK","NONE",INDEX({"S1","S2","W1","W2","N1","N2"},MATCH(MIN(Q42:V42),Q42:V42,0))))</f>
        <v>W2</v>
      </c>
      <c r="X42" s="57">
        <f t="shared" si="5"/>
        <v>0</v>
      </c>
    </row>
    <row r="43" spans="1:24">
      <c r="A43" s="49">
        <v>41</v>
      </c>
      <c r="B43" s="50">
        <v>36</v>
      </c>
      <c r="C43" s="49" t="s">
        <v>128</v>
      </c>
      <c r="D43" s="62" t="s">
        <v>240</v>
      </c>
      <c r="E43" s="49" t="s">
        <v>102</v>
      </c>
      <c r="F43" s="49" t="s">
        <v>250</v>
      </c>
      <c r="G43" s="52">
        <v>5.91</v>
      </c>
      <c r="H43" s="53"/>
      <c r="I43" s="54"/>
      <c r="J43" s="55">
        <f>VLOOKUP(C43,Recipes!$A$2:$N$4,10,FALSE())</f>
        <v>10.940000000000001</v>
      </c>
      <c r="K43" s="56">
        <f>VLOOKUP(C43,Recipes!$A$2:$N$4,12,FALSE())</f>
        <v>5.2703573566378441E-2</v>
      </c>
      <c r="L43" s="55">
        <f t="shared" si="0"/>
        <v>10.781889279300866</v>
      </c>
      <c r="M43" s="55">
        <f t="shared" si="1"/>
        <v>11.098110720699136</v>
      </c>
      <c r="N43" s="49" t="str">
        <f t="shared" si="2"/>
        <v>NG</v>
      </c>
      <c r="O43" s="57">
        <f t="shared" si="3"/>
        <v>1</v>
      </c>
      <c r="P43" s="55">
        <f t="shared" si="4"/>
        <v>5.0300000000000011</v>
      </c>
      <c r="Q43" s="55">
        <f>IF(G43="","",ABS(P43-Components!$C$2))</f>
        <v>2.2766666666666713</v>
      </c>
      <c r="R43" s="55">
        <f>IF(G43="","",ABS(P43-Components!$C$3))</f>
        <v>0.99400000000000155</v>
      </c>
      <c r="S43" s="55">
        <f>IF(G43="","",ABS(P43-Components!$C$4))</f>
        <v>4.036666666666668</v>
      </c>
      <c r="T43" s="55">
        <f>IF(G43="","",ABS(P43-Components!$C$5))</f>
        <v>0.46733333333333071</v>
      </c>
      <c r="U43" s="55">
        <f>IF(G43="","",ABS(P43-Components!$C$6))</f>
        <v>3.8743333333333312</v>
      </c>
      <c r="V43" s="55">
        <f>IF(G43="","",ABS(P43-Components!$C$7))</f>
        <v>3.6556666666666713</v>
      </c>
      <c r="W43" s="49" t="str">
        <f>IF(G43="","",IF(N43="OK","NONE",INDEX({"S1","S2","W1","W2","N1","N2"},MATCH(MIN(Q43:V43),Q43:V43,0))))</f>
        <v>W2</v>
      </c>
      <c r="X43" s="57">
        <f t="shared" si="5"/>
        <v>0</v>
      </c>
    </row>
    <row r="44" spans="1:24">
      <c r="A44" s="49">
        <v>42</v>
      </c>
      <c r="B44" s="50">
        <v>36</v>
      </c>
      <c r="C44" s="49" t="s">
        <v>128</v>
      </c>
      <c r="D44" s="62" t="s">
        <v>240</v>
      </c>
      <c r="E44" s="49" t="s">
        <v>102</v>
      </c>
      <c r="F44" s="49" t="s">
        <v>250</v>
      </c>
      <c r="G44" s="52">
        <v>5.96</v>
      </c>
      <c r="H44" s="53"/>
      <c r="I44" s="54"/>
      <c r="J44" s="55">
        <f>VLOOKUP(C44,Recipes!$A$2:$N$4,10,FALSE())</f>
        <v>10.940000000000001</v>
      </c>
      <c r="K44" s="56">
        <f>VLOOKUP(C44,Recipes!$A$2:$N$4,12,FALSE())</f>
        <v>5.2703573566378441E-2</v>
      </c>
      <c r="L44" s="55">
        <f t="shared" si="0"/>
        <v>10.781889279300866</v>
      </c>
      <c r="M44" s="55">
        <f t="shared" si="1"/>
        <v>11.098110720699136</v>
      </c>
      <c r="N44" s="49" t="str">
        <f t="shared" si="2"/>
        <v>NG</v>
      </c>
      <c r="O44" s="57">
        <f t="shared" si="3"/>
        <v>1</v>
      </c>
      <c r="P44" s="55">
        <f t="shared" si="4"/>
        <v>4.9800000000000013</v>
      </c>
      <c r="Q44" s="55">
        <f>IF(G44="","",ABS(P44-Components!$C$2))</f>
        <v>2.2266666666666715</v>
      </c>
      <c r="R44" s="55">
        <f>IF(G44="","",ABS(P44-Components!$C$3))</f>
        <v>0.94400000000000173</v>
      </c>
      <c r="S44" s="55">
        <f>IF(G44="","",ABS(P44-Components!$C$4))</f>
        <v>3.9866666666666681</v>
      </c>
      <c r="T44" s="55">
        <f>IF(G44="","",ABS(P44-Components!$C$5))</f>
        <v>0.41733333333333089</v>
      </c>
      <c r="U44" s="55">
        <f>IF(G44="","",ABS(P44-Components!$C$6))</f>
        <v>3.8243333333333314</v>
      </c>
      <c r="V44" s="55">
        <f>IF(G44="","",ABS(P44-Components!$C$7))</f>
        <v>3.6056666666666715</v>
      </c>
      <c r="W44" s="49" t="str">
        <f>IF(G44="","",IF(N44="OK","NONE",INDEX({"S1","S2","W1","W2","N1","N2"},MATCH(MIN(Q44:V44),Q44:V44,0))))</f>
        <v>W2</v>
      </c>
      <c r="X44" s="57">
        <f t="shared" si="5"/>
        <v>0</v>
      </c>
    </row>
    <row r="45" spans="1:24">
      <c r="A45" s="49">
        <v>43</v>
      </c>
      <c r="B45" s="50">
        <v>36</v>
      </c>
      <c r="C45" s="49" t="s">
        <v>128</v>
      </c>
      <c r="D45" s="62" t="s">
        <v>240</v>
      </c>
      <c r="E45" s="49" t="s">
        <v>102</v>
      </c>
      <c r="F45" s="49" t="s">
        <v>250</v>
      </c>
      <c r="G45" s="52">
        <v>5.98</v>
      </c>
      <c r="H45" s="53"/>
      <c r="I45" s="54"/>
      <c r="J45" s="55">
        <f>VLOOKUP(C45,Recipes!$A$2:$N$4,10,FALSE())</f>
        <v>10.940000000000001</v>
      </c>
      <c r="K45" s="56">
        <f>VLOOKUP(C45,Recipes!$A$2:$N$4,12,FALSE())</f>
        <v>5.2703573566378441E-2</v>
      </c>
      <c r="L45" s="55">
        <f t="shared" si="0"/>
        <v>10.781889279300866</v>
      </c>
      <c r="M45" s="55">
        <f t="shared" si="1"/>
        <v>11.098110720699136</v>
      </c>
      <c r="N45" s="49" t="str">
        <f t="shared" si="2"/>
        <v>NG</v>
      </c>
      <c r="O45" s="57">
        <f t="shared" si="3"/>
        <v>1</v>
      </c>
      <c r="P45" s="55">
        <f t="shared" si="4"/>
        <v>4.9600000000000009</v>
      </c>
      <c r="Q45" s="55">
        <f>IF(G45="","",ABS(P45-Components!$C$2))</f>
        <v>2.206666666666671</v>
      </c>
      <c r="R45" s="55">
        <f>IF(G45="","",ABS(P45-Components!$C$3))</f>
        <v>0.92400000000000126</v>
      </c>
      <c r="S45" s="55">
        <f>IF(G45="","",ABS(P45-Components!$C$4))</f>
        <v>3.9666666666666677</v>
      </c>
      <c r="T45" s="55">
        <f>IF(G45="","",ABS(P45-Components!$C$5))</f>
        <v>0.39733333333333043</v>
      </c>
      <c r="U45" s="55">
        <f>IF(G45="","",ABS(P45-Components!$C$6))</f>
        <v>3.8043333333333309</v>
      </c>
      <c r="V45" s="55">
        <f>IF(G45="","",ABS(P45-Components!$C$7))</f>
        <v>3.585666666666671</v>
      </c>
      <c r="W45" s="49" t="str">
        <f>IF(G45="","",IF(N45="OK","NONE",INDEX({"S1","S2","W1","W2","N1","N2"},MATCH(MIN(Q45:V45),Q45:V45,0))))</f>
        <v>W2</v>
      </c>
      <c r="X45" s="57">
        <f t="shared" si="5"/>
        <v>0</v>
      </c>
    </row>
    <row r="46" spans="1:24">
      <c r="A46" s="49">
        <v>44</v>
      </c>
      <c r="B46" s="50">
        <v>36</v>
      </c>
      <c r="C46" s="49" t="s">
        <v>128</v>
      </c>
      <c r="D46" s="62" t="s">
        <v>240</v>
      </c>
      <c r="E46" s="49" t="s">
        <v>102</v>
      </c>
      <c r="F46" s="49" t="s">
        <v>250</v>
      </c>
      <c r="G46" s="52">
        <v>5.94</v>
      </c>
      <c r="H46" s="53"/>
      <c r="I46" s="54"/>
      <c r="J46" s="55">
        <f>VLOOKUP(C46,Recipes!$A$2:$N$4,10,FALSE())</f>
        <v>10.940000000000001</v>
      </c>
      <c r="K46" s="56">
        <f>VLOOKUP(C46,Recipes!$A$2:$N$4,12,FALSE())</f>
        <v>5.2703573566378441E-2</v>
      </c>
      <c r="L46" s="55">
        <f t="shared" si="0"/>
        <v>10.781889279300866</v>
      </c>
      <c r="M46" s="55">
        <f t="shared" si="1"/>
        <v>11.098110720699136</v>
      </c>
      <c r="N46" s="49" t="str">
        <f t="shared" si="2"/>
        <v>NG</v>
      </c>
      <c r="O46" s="57">
        <f t="shared" si="3"/>
        <v>1</v>
      </c>
      <c r="P46" s="55">
        <f t="shared" si="4"/>
        <v>5.0000000000000009</v>
      </c>
      <c r="Q46" s="55">
        <f>IF(G46="","",ABS(P46-Components!$C$2))</f>
        <v>2.246666666666671</v>
      </c>
      <c r="R46" s="55">
        <f>IF(G46="","",ABS(P46-Components!$C$3))</f>
        <v>0.9640000000000013</v>
      </c>
      <c r="S46" s="55">
        <f>IF(G46="","",ABS(P46-Components!$C$4))</f>
        <v>4.0066666666666677</v>
      </c>
      <c r="T46" s="55">
        <f>IF(G46="","",ABS(P46-Components!$C$5))</f>
        <v>0.43733333333333047</v>
      </c>
      <c r="U46" s="55">
        <f>IF(G46="","",ABS(P46-Components!$C$6))</f>
        <v>3.8443333333333309</v>
      </c>
      <c r="V46" s="55">
        <f>IF(G46="","",ABS(P46-Components!$C$7))</f>
        <v>3.625666666666671</v>
      </c>
      <c r="W46" s="49" t="str">
        <f>IF(G46="","",IF(N46="OK","NONE",INDEX({"S1","S2","W1","W2","N1","N2"},MATCH(MIN(Q46:V46),Q46:V46,0))))</f>
        <v>W2</v>
      </c>
      <c r="X46" s="57">
        <f t="shared" si="5"/>
        <v>0</v>
      </c>
    </row>
    <row r="47" spans="1:24">
      <c r="A47" s="49">
        <v>45</v>
      </c>
      <c r="B47" s="50">
        <v>36</v>
      </c>
      <c r="C47" s="49" t="s">
        <v>128</v>
      </c>
      <c r="D47" s="62" t="s">
        <v>240</v>
      </c>
      <c r="E47" s="49" t="s">
        <v>102</v>
      </c>
      <c r="F47" s="49" t="s">
        <v>250</v>
      </c>
      <c r="G47" s="52">
        <v>5.87</v>
      </c>
      <c r="H47" s="53"/>
      <c r="I47" s="54"/>
      <c r="J47" s="55">
        <f>VLOOKUP(C47,Recipes!$A$2:$N$4,10,FALSE())</f>
        <v>10.940000000000001</v>
      </c>
      <c r="K47" s="56">
        <f>VLOOKUP(C47,Recipes!$A$2:$N$4,12,FALSE())</f>
        <v>5.2703573566378441E-2</v>
      </c>
      <c r="L47" s="55">
        <f t="shared" si="0"/>
        <v>10.781889279300866</v>
      </c>
      <c r="M47" s="55">
        <f t="shared" si="1"/>
        <v>11.098110720699136</v>
      </c>
      <c r="N47" s="49" t="str">
        <f t="shared" si="2"/>
        <v>NG</v>
      </c>
      <c r="O47" s="57">
        <f t="shared" si="3"/>
        <v>1</v>
      </c>
      <c r="P47" s="55">
        <f t="shared" si="4"/>
        <v>5.0700000000000012</v>
      </c>
      <c r="Q47" s="55">
        <f>IF(G47="","",ABS(P47-Components!$C$2))</f>
        <v>2.3166666666666713</v>
      </c>
      <c r="R47" s="55">
        <f>IF(G47="","",ABS(P47-Components!$C$3))</f>
        <v>1.0340000000000016</v>
      </c>
      <c r="S47" s="55">
        <f>IF(G47="","",ABS(P47-Components!$C$4))</f>
        <v>4.076666666666668</v>
      </c>
      <c r="T47" s="55">
        <f>IF(G47="","",ABS(P47-Components!$C$5))</f>
        <v>0.50733333333333075</v>
      </c>
      <c r="U47" s="55">
        <f>IF(G47="","",ABS(P47-Components!$C$6))</f>
        <v>3.9143333333333312</v>
      </c>
      <c r="V47" s="55">
        <f>IF(G47="","",ABS(P47-Components!$C$7))</f>
        <v>3.6956666666666713</v>
      </c>
      <c r="W47" s="49" t="str">
        <f>IF(G47="","",IF(N47="OK","NONE",INDEX({"S1","S2","W1","W2","N1","N2"},MATCH(MIN(Q47:V47),Q47:V47,0))))</f>
        <v>W2</v>
      </c>
      <c r="X47" s="57">
        <f t="shared" si="5"/>
        <v>0</v>
      </c>
    </row>
    <row r="48" spans="1:24">
      <c r="A48" s="49">
        <v>46</v>
      </c>
      <c r="B48" s="50">
        <v>36</v>
      </c>
      <c r="C48" s="49" t="s">
        <v>128</v>
      </c>
      <c r="D48" s="62" t="s">
        <v>240</v>
      </c>
      <c r="E48" s="49" t="s">
        <v>102</v>
      </c>
      <c r="F48" s="49" t="s">
        <v>250</v>
      </c>
      <c r="G48" s="52">
        <v>5.95</v>
      </c>
      <c r="H48" s="53"/>
      <c r="I48" s="54"/>
      <c r="J48" s="55">
        <f>VLOOKUP(C48,Recipes!$A$2:$N$4,10,FALSE())</f>
        <v>10.940000000000001</v>
      </c>
      <c r="K48" s="56">
        <f>VLOOKUP(C48,Recipes!$A$2:$N$4,12,FALSE())</f>
        <v>5.2703573566378441E-2</v>
      </c>
      <c r="L48" s="55">
        <f t="shared" si="0"/>
        <v>10.781889279300866</v>
      </c>
      <c r="M48" s="55">
        <f t="shared" si="1"/>
        <v>11.098110720699136</v>
      </c>
      <c r="N48" s="49" t="str">
        <f t="shared" si="2"/>
        <v>NG</v>
      </c>
      <c r="O48" s="57">
        <f t="shared" si="3"/>
        <v>1</v>
      </c>
      <c r="P48" s="55">
        <f t="shared" si="4"/>
        <v>4.9900000000000011</v>
      </c>
      <c r="Q48" s="55">
        <f>IF(G48="","",ABS(P48-Components!$C$2))</f>
        <v>2.2366666666666712</v>
      </c>
      <c r="R48" s="55">
        <f>IF(G48="","",ABS(P48-Components!$C$3))</f>
        <v>0.95400000000000151</v>
      </c>
      <c r="S48" s="55">
        <f>IF(G48="","",ABS(P48-Components!$C$4))</f>
        <v>3.9966666666666679</v>
      </c>
      <c r="T48" s="55">
        <f>IF(G48="","",ABS(P48-Components!$C$5))</f>
        <v>0.42733333333333068</v>
      </c>
      <c r="U48" s="55">
        <f>IF(G48="","",ABS(P48-Components!$C$6))</f>
        <v>3.8343333333333312</v>
      </c>
      <c r="V48" s="55">
        <f>IF(G48="","",ABS(P48-Components!$C$7))</f>
        <v>3.6156666666666712</v>
      </c>
      <c r="W48" s="49" t="str">
        <f>IF(G48="","",IF(N48="OK","NONE",INDEX({"S1","S2","W1","W2","N1","N2"},MATCH(MIN(Q48:V48),Q48:V48,0))))</f>
        <v>W2</v>
      </c>
      <c r="X48" s="57">
        <f t="shared" si="5"/>
        <v>0</v>
      </c>
    </row>
    <row r="49" spans="1:24">
      <c r="A49" s="49">
        <v>47</v>
      </c>
      <c r="B49" s="50">
        <v>36</v>
      </c>
      <c r="C49" s="49" t="s">
        <v>128</v>
      </c>
      <c r="D49" s="62" t="s">
        <v>240</v>
      </c>
      <c r="E49" s="49" t="s">
        <v>102</v>
      </c>
      <c r="F49" s="49" t="s">
        <v>250</v>
      </c>
      <c r="G49" s="52">
        <v>5.89</v>
      </c>
      <c r="H49" s="53"/>
      <c r="I49" s="54"/>
      <c r="J49" s="55">
        <f>VLOOKUP(C49,Recipes!$A$2:$N$4,10,FALSE())</f>
        <v>10.940000000000001</v>
      </c>
      <c r="K49" s="56">
        <f>VLOOKUP(C49,Recipes!$A$2:$N$4,12,FALSE())</f>
        <v>5.2703573566378441E-2</v>
      </c>
      <c r="L49" s="55">
        <f t="shared" si="0"/>
        <v>10.781889279300866</v>
      </c>
      <c r="M49" s="55">
        <f t="shared" si="1"/>
        <v>11.098110720699136</v>
      </c>
      <c r="N49" s="49" t="str">
        <f t="shared" si="2"/>
        <v>NG</v>
      </c>
      <c r="O49" s="57">
        <f t="shared" si="3"/>
        <v>1</v>
      </c>
      <c r="P49" s="55">
        <f t="shared" si="4"/>
        <v>5.0500000000000016</v>
      </c>
      <c r="Q49" s="55">
        <f>IF(G49="","",ABS(P49-Components!$C$2))</f>
        <v>2.2966666666666717</v>
      </c>
      <c r="R49" s="55">
        <f>IF(G49="","",ABS(P49-Components!$C$3))</f>
        <v>1.014000000000002</v>
      </c>
      <c r="S49" s="55">
        <f>IF(G49="","",ABS(P49-Components!$C$4))</f>
        <v>4.0566666666666684</v>
      </c>
      <c r="T49" s="55">
        <f>IF(G49="","",ABS(P49-Components!$C$5))</f>
        <v>0.48733333333333118</v>
      </c>
      <c r="U49" s="55">
        <f>IF(G49="","",ABS(P49-Components!$C$6))</f>
        <v>3.8943333333333316</v>
      </c>
      <c r="V49" s="55">
        <f>IF(G49="","",ABS(P49-Components!$C$7))</f>
        <v>3.6756666666666717</v>
      </c>
      <c r="W49" s="49" t="str">
        <f>IF(G49="","",IF(N49="OK","NONE",INDEX({"S1","S2","W1","W2","N1","N2"},MATCH(MIN(Q49:V49),Q49:V49,0))))</f>
        <v>W2</v>
      </c>
      <c r="X49" s="57">
        <f t="shared" si="5"/>
        <v>0</v>
      </c>
    </row>
    <row r="50" spans="1:24">
      <c r="A50" s="49">
        <v>48</v>
      </c>
      <c r="B50" s="50">
        <v>36</v>
      </c>
      <c r="C50" s="49" t="s">
        <v>128</v>
      </c>
      <c r="D50" s="62" t="s">
        <v>240</v>
      </c>
      <c r="E50" s="49" t="s">
        <v>102</v>
      </c>
      <c r="F50" s="49" t="s">
        <v>250</v>
      </c>
      <c r="G50" s="52">
        <v>5.88</v>
      </c>
      <c r="H50" s="53"/>
      <c r="I50" s="54"/>
      <c r="J50" s="55">
        <f>VLOOKUP(C50,Recipes!$A$2:$N$4,10,FALSE())</f>
        <v>10.940000000000001</v>
      </c>
      <c r="K50" s="56">
        <f>VLOOKUP(C50,Recipes!$A$2:$N$4,12,FALSE())</f>
        <v>5.2703573566378441E-2</v>
      </c>
      <c r="L50" s="55">
        <f t="shared" si="0"/>
        <v>10.781889279300866</v>
      </c>
      <c r="M50" s="55">
        <f t="shared" si="1"/>
        <v>11.098110720699136</v>
      </c>
      <c r="N50" s="49" t="str">
        <f t="shared" si="2"/>
        <v>NG</v>
      </c>
      <c r="O50" s="57">
        <f t="shared" si="3"/>
        <v>1</v>
      </c>
      <c r="P50" s="55">
        <f t="shared" si="4"/>
        <v>5.0600000000000014</v>
      </c>
      <c r="Q50" s="55">
        <f>IF(G50="","",ABS(P50-Components!$C$2))</f>
        <v>2.3066666666666715</v>
      </c>
      <c r="R50" s="55">
        <f>IF(G50="","",ABS(P50-Components!$C$3))</f>
        <v>1.0240000000000018</v>
      </c>
      <c r="S50" s="55">
        <f>IF(G50="","",ABS(P50-Components!$C$4))</f>
        <v>4.0666666666666682</v>
      </c>
      <c r="T50" s="55">
        <f>IF(G50="","",ABS(P50-Components!$C$5))</f>
        <v>0.49733333333333096</v>
      </c>
      <c r="U50" s="55">
        <f>IF(G50="","",ABS(P50-Components!$C$6))</f>
        <v>3.9043333333333314</v>
      </c>
      <c r="V50" s="55">
        <f>IF(G50="","",ABS(P50-Components!$C$7))</f>
        <v>3.6856666666666715</v>
      </c>
      <c r="W50" s="49" t="str">
        <f>IF(G50="","",IF(N50="OK","NONE",INDEX({"S1","S2","W1","W2","N1","N2"},MATCH(MIN(Q50:V50),Q50:V50,0))))</f>
        <v>W2</v>
      </c>
      <c r="X50" s="57">
        <f t="shared" si="5"/>
        <v>0</v>
      </c>
    </row>
    <row r="51" spans="1:24">
      <c r="A51" s="49">
        <v>49</v>
      </c>
      <c r="B51" s="50">
        <v>36</v>
      </c>
      <c r="C51" s="49" t="s">
        <v>128</v>
      </c>
      <c r="D51" s="62" t="s">
        <v>240</v>
      </c>
      <c r="E51" s="49" t="s">
        <v>102</v>
      </c>
      <c r="F51" s="49" t="s">
        <v>250</v>
      </c>
      <c r="G51" s="52">
        <v>5.94</v>
      </c>
      <c r="H51" s="53"/>
      <c r="I51" s="54"/>
      <c r="J51" s="55">
        <f>VLOOKUP(C51,Recipes!$A$2:$N$4,10,FALSE())</f>
        <v>10.940000000000001</v>
      </c>
      <c r="K51" s="56">
        <f>VLOOKUP(C51,Recipes!$A$2:$N$4,12,FALSE())</f>
        <v>5.2703573566378441E-2</v>
      </c>
      <c r="L51" s="55">
        <f t="shared" si="0"/>
        <v>10.781889279300866</v>
      </c>
      <c r="M51" s="55">
        <f t="shared" si="1"/>
        <v>11.098110720699136</v>
      </c>
      <c r="N51" s="49" t="str">
        <f t="shared" si="2"/>
        <v>NG</v>
      </c>
      <c r="O51" s="57">
        <f t="shared" si="3"/>
        <v>1</v>
      </c>
      <c r="P51" s="55">
        <f t="shared" si="4"/>
        <v>5.0000000000000009</v>
      </c>
      <c r="Q51" s="55">
        <f>IF(G51="","",ABS(P51-Components!$C$2))</f>
        <v>2.246666666666671</v>
      </c>
      <c r="R51" s="55">
        <f>IF(G51="","",ABS(P51-Components!$C$3))</f>
        <v>0.9640000000000013</v>
      </c>
      <c r="S51" s="55">
        <f>IF(G51="","",ABS(P51-Components!$C$4))</f>
        <v>4.0066666666666677</v>
      </c>
      <c r="T51" s="55">
        <f>IF(G51="","",ABS(P51-Components!$C$5))</f>
        <v>0.43733333333333047</v>
      </c>
      <c r="U51" s="55">
        <f>IF(G51="","",ABS(P51-Components!$C$6))</f>
        <v>3.8443333333333309</v>
      </c>
      <c r="V51" s="55">
        <f>IF(G51="","",ABS(P51-Components!$C$7))</f>
        <v>3.625666666666671</v>
      </c>
      <c r="W51" s="49" t="str">
        <f>IF(G51="","",IF(N51="OK","NONE",INDEX({"S1","S2","W1","W2","N1","N2"},MATCH(MIN(Q51:V51),Q51:V51,0))))</f>
        <v>W2</v>
      </c>
      <c r="X51" s="57">
        <f t="shared" si="5"/>
        <v>0</v>
      </c>
    </row>
    <row r="52" spans="1:24">
      <c r="A52" s="49">
        <v>50</v>
      </c>
      <c r="B52" s="50">
        <v>36</v>
      </c>
      <c r="C52" s="49" t="s">
        <v>128</v>
      </c>
      <c r="D52" s="62" t="s">
        <v>240</v>
      </c>
      <c r="E52" s="49" t="s">
        <v>102</v>
      </c>
      <c r="F52" s="49" t="s">
        <v>250</v>
      </c>
      <c r="G52" s="52">
        <v>5.93</v>
      </c>
      <c r="H52" s="53"/>
      <c r="I52" s="54"/>
      <c r="J52" s="55">
        <f>VLOOKUP(C52,Recipes!$A$2:$N$4,10,FALSE())</f>
        <v>10.940000000000001</v>
      </c>
      <c r="K52" s="56">
        <f>VLOOKUP(C52,Recipes!$A$2:$N$4,12,FALSE())</f>
        <v>5.2703573566378441E-2</v>
      </c>
      <c r="L52" s="55">
        <f t="shared" si="0"/>
        <v>10.781889279300866</v>
      </c>
      <c r="M52" s="55">
        <f t="shared" si="1"/>
        <v>11.098110720699136</v>
      </c>
      <c r="N52" s="49" t="str">
        <f t="shared" si="2"/>
        <v>NG</v>
      </c>
      <c r="O52" s="57">
        <f t="shared" si="3"/>
        <v>1</v>
      </c>
      <c r="P52" s="55">
        <f t="shared" si="4"/>
        <v>5.0100000000000016</v>
      </c>
      <c r="Q52" s="55">
        <f>IF(G52="","",ABS(P52-Components!$C$2))</f>
        <v>2.2566666666666717</v>
      </c>
      <c r="R52" s="55">
        <f>IF(G52="","",ABS(P52-Components!$C$3))</f>
        <v>0.97400000000000198</v>
      </c>
      <c r="S52" s="55">
        <f>IF(G52="","",ABS(P52-Components!$C$4))</f>
        <v>4.0166666666666684</v>
      </c>
      <c r="T52" s="55">
        <f>IF(G52="","",ABS(P52-Components!$C$5))</f>
        <v>0.44733333333333114</v>
      </c>
      <c r="U52" s="55">
        <f>IF(G52="","",ABS(P52-Components!$C$6))</f>
        <v>3.8543333333333316</v>
      </c>
      <c r="V52" s="55">
        <f>IF(G52="","",ABS(P52-Components!$C$7))</f>
        <v>3.6356666666666717</v>
      </c>
      <c r="W52" s="49" t="str">
        <f>IF(G52="","",IF(N52="OK","NONE",INDEX({"S1","S2","W1","W2","N1","N2"},MATCH(MIN(Q52:V52),Q52:V52,0))))</f>
        <v>W2</v>
      </c>
      <c r="X52" s="57">
        <f t="shared" si="5"/>
        <v>0</v>
      </c>
    </row>
    <row r="53" spans="1:24">
      <c r="A53" s="49">
        <v>51</v>
      </c>
      <c r="B53" s="50">
        <v>36</v>
      </c>
      <c r="C53" s="49" t="s">
        <v>128</v>
      </c>
      <c r="D53" s="62" t="s">
        <v>240</v>
      </c>
      <c r="E53" s="49" t="s">
        <v>102</v>
      </c>
      <c r="F53" s="49" t="s">
        <v>250</v>
      </c>
      <c r="G53" s="52">
        <v>5.99</v>
      </c>
      <c r="H53" s="53"/>
      <c r="I53" s="54"/>
      <c r="J53" s="55">
        <f>VLOOKUP(C53,Recipes!$A$2:$N$4,10,FALSE())</f>
        <v>10.940000000000001</v>
      </c>
      <c r="K53" s="56">
        <f>VLOOKUP(C53,Recipes!$A$2:$N$4,12,FALSE())</f>
        <v>5.2703573566378441E-2</v>
      </c>
      <c r="L53" s="55">
        <f t="shared" si="0"/>
        <v>10.781889279300866</v>
      </c>
      <c r="M53" s="55">
        <f t="shared" si="1"/>
        <v>11.098110720699136</v>
      </c>
      <c r="N53" s="49" t="str">
        <f t="shared" si="2"/>
        <v>NG</v>
      </c>
      <c r="O53" s="57">
        <f t="shared" si="3"/>
        <v>1</v>
      </c>
      <c r="P53" s="55">
        <f t="shared" si="4"/>
        <v>4.9500000000000011</v>
      </c>
      <c r="Q53" s="55">
        <f>IF(G53="","",ABS(P53-Components!$C$2))</f>
        <v>2.1966666666666712</v>
      </c>
      <c r="R53" s="55">
        <f>IF(G53="","",ABS(P53-Components!$C$3))</f>
        <v>0.91400000000000148</v>
      </c>
      <c r="S53" s="55">
        <f>IF(G53="","",ABS(P53-Components!$C$4))</f>
        <v>3.9566666666666679</v>
      </c>
      <c r="T53" s="55">
        <f>IF(G53="","",ABS(P53-Components!$C$5))</f>
        <v>0.38733333333333064</v>
      </c>
      <c r="U53" s="55">
        <f>IF(G53="","",ABS(P53-Components!$C$6))</f>
        <v>3.7943333333333311</v>
      </c>
      <c r="V53" s="55">
        <f>IF(G53="","",ABS(P53-Components!$C$7))</f>
        <v>3.5756666666666712</v>
      </c>
      <c r="W53" s="49" t="str">
        <f>IF(G53="","",IF(N53="OK","NONE",INDEX({"S1","S2","W1","W2","N1","N2"},MATCH(MIN(Q53:V53),Q53:V53,0))))</f>
        <v>W2</v>
      </c>
      <c r="X53" s="57">
        <f t="shared" si="5"/>
        <v>0</v>
      </c>
    </row>
    <row r="54" spans="1:24">
      <c r="A54" s="49">
        <v>52</v>
      </c>
      <c r="B54" s="50">
        <v>36</v>
      </c>
      <c r="C54" s="49" t="s">
        <v>128</v>
      </c>
      <c r="D54" s="62" t="s">
        <v>240</v>
      </c>
      <c r="E54" s="49" t="s">
        <v>102</v>
      </c>
      <c r="F54" s="49" t="s">
        <v>250</v>
      </c>
      <c r="G54" s="52">
        <v>5.92</v>
      </c>
      <c r="H54" s="53"/>
      <c r="I54" s="54"/>
      <c r="J54" s="55">
        <f>VLOOKUP(C54,Recipes!$A$2:$N$4,10,FALSE())</f>
        <v>10.940000000000001</v>
      </c>
      <c r="K54" s="56">
        <f>VLOOKUP(C54,Recipes!$A$2:$N$4,12,FALSE())</f>
        <v>5.2703573566378441E-2</v>
      </c>
      <c r="L54" s="55">
        <f t="shared" si="0"/>
        <v>10.781889279300866</v>
      </c>
      <c r="M54" s="55">
        <f t="shared" si="1"/>
        <v>11.098110720699136</v>
      </c>
      <c r="N54" s="49" t="str">
        <f t="shared" si="2"/>
        <v>NG</v>
      </c>
      <c r="O54" s="57">
        <f t="shared" si="3"/>
        <v>1</v>
      </c>
      <c r="P54" s="55">
        <f t="shared" si="4"/>
        <v>5.0200000000000014</v>
      </c>
      <c r="Q54" s="55">
        <f>IF(G54="","",ABS(P54-Components!$C$2))</f>
        <v>2.2666666666666715</v>
      </c>
      <c r="R54" s="55">
        <f>IF(G54="","",ABS(P54-Components!$C$3))</f>
        <v>0.98400000000000176</v>
      </c>
      <c r="S54" s="55">
        <f>IF(G54="","",ABS(P54-Components!$C$4))</f>
        <v>4.0266666666666682</v>
      </c>
      <c r="T54" s="55">
        <f>IF(G54="","",ABS(P54-Components!$C$5))</f>
        <v>0.45733333333333093</v>
      </c>
      <c r="U54" s="55">
        <f>IF(G54="","",ABS(P54-Components!$C$6))</f>
        <v>3.8643333333333314</v>
      </c>
      <c r="V54" s="55">
        <f>IF(G54="","",ABS(P54-Components!$C$7))</f>
        <v>3.6456666666666715</v>
      </c>
      <c r="W54" s="49" t="str">
        <f>IF(G54="","",IF(N54="OK","NONE",INDEX({"S1","S2","W1","W2","N1","N2"},MATCH(MIN(Q54:V54),Q54:V54,0))))</f>
        <v>W2</v>
      </c>
      <c r="X54" s="57">
        <f t="shared" si="5"/>
        <v>0</v>
      </c>
    </row>
    <row r="55" spans="1:24">
      <c r="A55" s="49">
        <v>53</v>
      </c>
      <c r="B55" s="50">
        <v>36</v>
      </c>
      <c r="C55" s="49" t="s">
        <v>128</v>
      </c>
      <c r="D55" s="62" t="s">
        <v>240</v>
      </c>
      <c r="E55" s="49" t="s">
        <v>102</v>
      </c>
      <c r="F55" s="49" t="s">
        <v>250</v>
      </c>
      <c r="G55" s="52">
        <v>5.78</v>
      </c>
      <c r="H55" s="53"/>
      <c r="I55" s="54"/>
      <c r="J55" s="55">
        <f>VLOOKUP(C55,Recipes!$A$2:$N$4,10,FALSE())</f>
        <v>10.940000000000001</v>
      </c>
      <c r="K55" s="56">
        <f>VLOOKUP(C55,Recipes!$A$2:$N$4,12,FALSE())</f>
        <v>5.2703573566378441E-2</v>
      </c>
      <c r="L55" s="55">
        <f t="shared" si="0"/>
        <v>10.781889279300866</v>
      </c>
      <c r="M55" s="55">
        <f t="shared" si="1"/>
        <v>11.098110720699136</v>
      </c>
      <c r="N55" s="49" t="str">
        <f t="shared" si="2"/>
        <v>NG</v>
      </c>
      <c r="O55" s="57">
        <f t="shared" si="3"/>
        <v>1</v>
      </c>
      <c r="P55" s="55">
        <f t="shared" si="4"/>
        <v>5.160000000000001</v>
      </c>
      <c r="Q55" s="55">
        <f>IF(G55="","",ABS(P55-Components!$C$2))</f>
        <v>2.4066666666666712</v>
      </c>
      <c r="R55" s="55">
        <f>IF(G55="","",ABS(P55-Components!$C$3))</f>
        <v>1.1240000000000014</v>
      </c>
      <c r="S55" s="55">
        <f>IF(G55="","",ABS(P55-Components!$C$4))</f>
        <v>4.1666666666666679</v>
      </c>
      <c r="T55" s="55">
        <f>IF(G55="","",ABS(P55-Components!$C$5))</f>
        <v>0.59733333333333061</v>
      </c>
      <c r="U55" s="55">
        <f>IF(G55="","",ABS(P55-Components!$C$6))</f>
        <v>4.0043333333333315</v>
      </c>
      <c r="V55" s="55">
        <f>IF(G55="","",ABS(P55-Components!$C$7))</f>
        <v>3.7856666666666712</v>
      </c>
      <c r="W55" s="49" t="str">
        <f>IF(G55="","",IF(N55="OK","NONE",INDEX({"S1","S2","W1","W2","N1","N2"},MATCH(MIN(Q55:V55),Q55:V55,0))))</f>
        <v>W2</v>
      </c>
      <c r="X55" s="57">
        <f t="shared" si="5"/>
        <v>0</v>
      </c>
    </row>
    <row r="56" spans="1:24">
      <c r="A56" s="49">
        <v>54</v>
      </c>
      <c r="B56" s="50">
        <v>36</v>
      </c>
      <c r="C56" s="49" t="s">
        <v>128</v>
      </c>
      <c r="D56" s="62" t="s">
        <v>240</v>
      </c>
      <c r="E56" s="49" t="s">
        <v>102</v>
      </c>
      <c r="F56" s="49" t="s">
        <v>250</v>
      </c>
      <c r="G56" s="52">
        <v>5.95</v>
      </c>
      <c r="H56" s="53"/>
      <c r="I56" s="54"/>
      <c r="J56" s="55">
        <f>VLOOKUP(C56,Recipes!$A$2:$N$4,10,FALSE())</f>
        <v>10.940000000000001</v>
      </c>
      <c r="K56" s="56">
        <f>VLOOKUP(C56,Recipes!$A$2:$N$4,12,FALSE())</f>
        <v>5.2703573566378441E-2</v>
      </c>
      <c r="L56" s="55">
        <f t="shared" si="0"/>
        <v>10.781889279300866</v>
      </c>
      <c r="M56" s="55">
        <f t="shared" si="1"/>
        <v>11.098110720699136</v>
      </c>
      <c r="N56" s="49" t="str">
        <f t="shared" si="2"/>
        <v>NG</v>
      </c>
      <c r="O56" s="57">
        <f t="shared" si="3"/>
        <v>1</v>
      </c>
      <c r="P56" s="55">
        <f t="shared" si="4"/>
        <v>4.9900000000000011</v>
      </c>
      <c r="Q56" s="55">
        <f>IF(G56="","",ABS(P56-Components!$C$2))</f>
        <v>2.2366666666666712</v>
      </c>
      <c r="R56" s="55">
        <f>IF(G56="","",ABS(P56-Components!$C$3))</f>
        <v>0.95400000000000151</v>
      </c>
      <c r="S56" s="55">
        <f>IF(G56="","",ABS(P56-Components!$C$4))</f>
        <v>3.9966666666666679</v>
      </c>
      <c r="T56" s="55">
        <f>IF(G56="","",ABS(P56-Components!$C$5))</f>
        <v>0.42733333333333068</v>
      </c>
      <c r="U56" s="55">
        <f>IF(G56="","",ABS(P56-Components!$C$6))</f>
        <v>3.8343333333333312</v>
      </c>
      <c r="V56" s="55">
        <f>IF(G56="","",ABS(P56-Components!$C$7))</f>
        <v>3.6156666666666712</v>
      </c>
      <c r="W56" s="49" t="str">
        <f>IF(G56="","",IF(N56="OK","NONE",INDEX({"S1","S2","W1","W2","N1","N2"},MATCH(MIN(Q56:V56),Q56:V56,0))))</f>
        <v>W2</v>
      </c>
      <c r="X56" s="57">
        <f t="shared" si="5"/>
        <v>0</v>
      </c>
    </row>
    <row r="57" spans="1:24">
      <c r="A57" s="49">
        <v>55</v>
      </c>
      <c r="B57" s="50">
        <v>36</v>
      </c>
      <c r="C57" s="49" t="s">
        <v>128</v>
      </c>
      <c r="D57" s="62" t="s">
        <v>240</v>
      </c>
      <c r="E57" s="49" t="s">
        <v>102</v>
      </c>
      <c r="F57" s="49" t="s">
        <v>250</v>
      </c>
      <c r="G57" s="52">
        <v>5.92</v>
      </c>
      <c r="H57" s="53"/>
      <c r="I57" s="54"/>
      <c r="J57" s="55">
        <f>VLOOKUP(C57,Recipes!$A$2:$N$4,10,FALSE())</f>
        <v>10.940000000000001</v>
      </c>
      <c r="K57" s="56">
        <f>VLOOKUP(C57,Recipes!$A$2:$N$4,12,FALSE())</f>
        <v>5.2703573566378441E-2</v>
      </c>
      <c r="L57" s="55">
        <f t="shared" si="0"/>
        <v>10.781889279300866</v>
      </c>
      <c r="M57" s="55">
        <f t="shared" si="1"/>
        <v>11.098110720699136</v>
      </c>
      <c r="N57" s="49" t="str">
        <f t="shared" si="2"/>
        <v>NG</v>
      </c>
      <c r="O57" s="57">
        <f t="shared" si="3"/>
        <v>1</v>
      </c>
      <c r="P57" s="55">
        <f t="shared" si="4"/>
        <v>5.0200000000000014</v>
      </c>
      <c r="Q57" s="55">
        <f>IF(G57="","",ABS(P57-Components!$C$2))</f>
        <v>2.2666666666666715</v>
      </c>
      <c r="R57" s="55">
        <f>IF(G57="","",ABS(P57-Components!$C$3))</f>
        <v>0.98400000000000176</v>
      </c>
      <c r="S57" s="55">
        <f>IF(G57="","",ABS(P57-Components!$C$4))</f>
        <v>4.0266666666666682</v>
      </c>
      <c r="T57" s="55">
        <f>IF(G57="","",ABS(P57-Components!$C$5))</f>
        <v>0.45733333333333093</v>
      </c>
      <c r="U57" s="55">
        <f>IF(G57="","",ABS(P57-Components!$C$6))</f>
        <v>3.8643333333333314</v>
      </c>
      <c r="V57" s="55">
        <f>IF(G57="","",ABS(P57-Components!$C$7))</f>
        <v>3.6456666666666715</v>
      </c>
      <c r="W57" s="49" t="str">
        <f>IF(G57="","",IF(N57="OK","NONE",INDEX({"S1","S2","W1","W2","N1","N2"},MATCH(MIN(Q57:V57),Q57:V57,0))))</f>
        <v>W2</v>
      </c>
      <c r="X57" s="57">
        <f t="shared" si="5"/>
        <v>0</v>
      </c>
    </row>
    <row r="58" spans="1:24">
      <c r="A58" s="49">
        <v>56</v>
      </c>
      <c r="B58" s="50">
        <v>36</v>
      </c>
      <c r="C58" s="49" t="s">
        <v>128</v>
      </c>
      <c r="D58" s="62" t="s">
        <v>240</v>
      </c>
      <c r="E58" s="49" t="s">
        <v>102</v>
      </c>
      <c r="F58" s="49" t="s">
        <v>250</v>
      </c>
      <c r="G58" s="52">
        <v>5.94</v>
      </c>
      <c r="H58" s="53"/>
      <c r="I58" s="54"/>
      <c r="J58" s="55">
        <f>VLOOKUP(C58,Recipes!$A$2:$N$4,10,FALSE())</f>
        <v>10.940000000000001</v>
      </c>
      <c r="K58" s="56">
        <f>VLOOKUP(C58,Recipes!$A$2:$N$4,12,FALSE())</f>
        <v>5.2703573566378441E-2</v>
      </c>
      <c r="L58" s="55">
        <f t="shared" si="0"/>
        <v>10.781889279300866</v>
      </c>
      <c r="M58" s="55">
        <f t="shared" si="1"/>
        <v>11.098110720699136</v>
      </c>
      <c r="N58" s="49" t="str">
        <f t="shared" si="2"/>
        <v>NG</v>
      </c>
      <c r="O58" s="57">
        <f t="shared" si="3"/>
        <v>1</v>
      </c>
      <c r="P58" s="55">
        <f t="shared" si="4"/>
        <v>5.0000000000000009</v>
      </c>
      <c r="Q58" s="55">
        <f>IF(G58="","",ABS(P58-Components!$C$2))</f>
        <v>2.246666666666671</v>
      </c>
      <c r="R58" s="55">
        <f>IF(G58="","",ABS(P58-Components!$C$3))</f>
        <v>0.9640000000000013</v>
      </c>
      <c r="S58" s="55">
        <f>IF(G58="","",ABS(P58-Components!$C$4))</f>
        <v>4.0066666666666677</v>
      </c>
      <c r="T58" s="55">
        <f>IF(G58="","",ABS(P58-Components!$C$5))</f>
        <v>0.43733333333333047</v>
      </c>
      <c r="U58" s="55">
        <f>IF(G58="","",ABS(P58-Components!$C$6))</f>
        <v>3.8443333333333309</v>
      </c>
      <c r="V58" s="55">
        <f>IF(G58="","",ABS(P58-Components!$C$7))</f>
        <v>3.625666666666671</v>
      </c>
      <c r="W58" s="49" t="str">
        <f>IF(G58="","",IF(N58="OK","NONE",INDEX({"S1","S2","W1","W2","N1","N2"},MATCH(MIN(Q58:V58),Q58:V58,0))))</f>
        <v>W2</v>
      </c>
      <c r="X58" s="57">
        <f t="shared" si="5"/>
        <v>0</v>
      </c>
    </row>
    <row r="59" spans="1:24">
      <c r="A59" s="49">
        <v>57</v>
      </c>
      <c r="B59" s="50">
        <v>36</v>
      </c>
      <c r="C59" s="49" t="s">
        <v>128</v>
      </c>
      <c r="D59" s="62" t="s">
        <v>240</v>
      </c>
      <c r="E59" s="49" t="s">
        <v>102</v>
      </c>
      <c r="F59" s="49" t="s">
        <v>250</v>
      </c>
      <c r="G59" s="52">
        <v>5.9</v>
      </c>
      <c r="H59" s="53"/>
      <c r="I59" s="54"/>
      <c r="J59" s="55">
        <f>VLOOKUP(C59,Recipes!$A$2:$N$4,10,FALSE())</f>
        <v>10.940000000000001</v>
      </c>
      <c r="K59" s="56">
        <f>VLOOKUP(C59,Recipes!$A$2:$N$4,12,FALSE())</f>
        <v>5.2703573566378441E-2</v>
      </c>
      <c r="L59" s="55">
        <f t="shared" si="0"/>
        <v>10.781889279300866</v>
      </c>
      <c r="M59" s="55">
        <f t="shared" si="1"/>
        <v>11.098110720699136</v>
      </c>
      <c r="N59" s="49" t="str">
        <f t="shared" si="2"/>
        <v>NG</v>
      </c>
      <c r="O59" s="57">
        <f t="shared" si="3"/>
        <v>1</v>
      </c>
      <c r="P59" s="55">
        <f t="shared" si="4"/>
        <v>5.0400000000000009</v>
      </c>
      <c r="Q59" s="55">
        <f>IF(G59="","",ABS(P59-Components!$C$2))</f>
        <v>2.2866666666666711</v>
      </c>
      <c r="R59" s="55">
        <f>IF(G59="","",ABS(P59-Components!$C$3))</f>
        <v>1.0040000000000013</v>
      </c>
      <c r="S59" s="55">
        <f>IF(G59="","",ABS(P59-Components!$C$4))</f>
        <v>4.0466666666666677</v>
      </c>
      <c r="T59" s="55">
        <f>IF(G59="","",ABS(P59-Components!$C$5))</f>
        <v>0.4773333333333305</v>
      </c>
      <c r="U59" s="55">
        <f>IF(G59="","",ABS(P59-Components!$C$6))</f>
        <v>3.884333333333331</v>
      </c>
      <c r="V59" s="55">
        <f>IF(G59="","",ABS(P59-Components!$C$7))</f>
        <v>3.6656666666666711</v>
      </c>
      <c r="W59" s="49" t="str">
        <f>IF(G59="","",IF(N59="OK","NONE",INDEX({"S1","S2","W1","W2","N1","N2"},MATCH(MIN(Q59:V59),Q59:V59,0))))</f>
        <v>W2</v>
      </c>
      <c r="X59" s="57">
        <f t="shared" si="5"/>
        <v>0</v>
      </c>
    </row>
    <row r="60" spans="1:24">
      <c r="A60" s="49">
        <v>58</v>
      </c>
      <c r="B60" s="50">
        <v>36</v>
      </c>
      <c r="C60" s="49" t="s">
        <v>128</v>
      </c>
      <c r="D60" s="62" t="s">
        <v>240</v>
      </c>
      <c r="E60" s="49" t="s">
        <v>102</v>
      </c>
      <c r="F60" s="49" t="s">
        <v>250</v>
      </c>
      <c r="G60" s="52">
        <v>5.92</v>
      </c>
      <c r="H60" s="53"/>
      <c r="I60" s="54"/>
      <c r="J60" s="55">
        <f>VLOOKUP(C60,Recipes!$A$2:$N$4,10,FALSE())</f>
        <v>10.940000000000001</v>
      </c>
      <c r="K60" s="56">
        <f>VLOOKUP(C60,Recipes!$A$2:$N$4,12,FALSE())</f>
        <v>5.2703573566378441E-2</v>
      </c>
      <c r="L60" s="55">
        <f t="shared" si="0"/>
        <v>10.781889279300866</v>
      </c>
      <c r="M60" s="55">
        <f t="shared" si="1"/>
        <v>11.098110720699136</v>
      </c>
      <c r="N60" s="49" t="str">
        <f t="shared" si="2"/>
        <v>NG</v>
      </c>
      <c r="O60" s="57">
        <f t="shared" si="3"/>
        <v>1</v>
      </c>
      <c r="P60" s="55">
        <f t="shared" si="4"/>
        <v>5.0200000000000014</v>
      </c>
      <c r="Q60" s="55">
        <f>IF(G60="","",ABS(P60-Components!$C$2))</f>
        <v>2.2666666666666715</v>
      </c>
      <c r="R60" s="55">
        <f>IF(G60="","",ABS(P60-Components!$C$3))</f>
        <v>0.98400000000000176</v>
      </c>
      <c r="S60" s="55">
        <f>IF(G60="","",ABS(P60-Components!$C$4))</f>
        <v>4.0266666666666682</v>
      </c>
      <c r="T60" s="55">
        <f>IF(G60="","",ABS(P60-Components!$C$5))</f>
        <v>0.45733333333333093</v>
      </c>
      <c r="U60" s="55">
        <f>IF(G60="","",ABS(P60-Components!$C$6))</f>
        <v>3.8643333333333314</v>
      </c>
      <c r="V60" s="55">
        <f>IF(G60="","",ABS(P60-Components!$C$7))</f>
        <v>3.6456666666666715</v>
      </c>
      <c r="W60" s="49" t="str">
        <f>IF(G60="","",IF(N60="OK","NONE",INDEX({"S1","S2","W1","W2","N1","N2"},MATCH(MIN(Q60:V60),Q60:V60,0))))</f>
        <v>W2</v>
      </c>
      <c r="X60" s="57">
        <f t="shared" si="5"/>
        <v>0</v>
      </c>
    </row>
    <row r="61" spans="1:24">
      <c r="A61" s="49">
        <v>59</v>
      </c>
      <c r="B61" s="50">
        <v>36</v>
      </c>
      <c r="C61" s="49" t="s">
        <v>128</v>
      </c>
      <c r="D61" s="62" t="s">
        <v>240</v>
      </c>
      <c r="E61" s="49" t="s">
        <v>102</v>
      </c>
      <c r="F61" s="49" t="s">
        <v>250</v>
      </c>
      <c r="G61" s="52">
        <v>5.4</v>
      </c>
      <c r="H61" s="53"/>
      <c r="I61" s="54"/>
      <c r="J61" s="55">
        <f>VLOOKUP(C61,Recipes!$A$2:$N$4,10,FALSE())</f>
        <v>10.940000000000001</v>
      </c>
      <c r="K61" s="56">
        <f>VLOOKUP(C61,Recipes!$A$2:$N$4,12,FALSE())</f>
        <v>5.2703573566378441E-2</v>
      </c>
      <c r="L61" s="55">
        <f t="shared" si="0"/>
        <v>10.781889279300866</v>
      </c>
      <c r="M61" s="55">
        <f t="shared" si="1"/>
        <v>11.098110720699136</v>
      </c>
      <c r="N61" s="49" t="str">
        <f t="shared" si="2"/>
        <v>NG</v>
      </c>
      <c r="O61" s="57">
        <f t="shared" si="3"/>
        <v>1</v>
      </c>
      <c r="P61" s="55">
        <f t="shared" si="4"/>
        <v>5.5400000000000009</v>
      </c>
      <c r="Q61" s="55">
        <f>IF(G61="","",ABS(P61-Components!$C$2))</f>
        <v>2.7866666666666711</v>
      </c>
      <c r="R61" s="60">
        <f>IF(G61="","",ABS(P61-Components!$C$3))</f>
        <v>1.5040000000000013</v>
      </c>
      <c r="S61" s="55">
        <f>IF(G61="","",ABS(P61-Components!$C$4))</f>
        <v>4.5466666666666677</v>
      </c>
      <c r="T61" s="60">
        <f>IF(G61="","",ABS(P61-Components!$C$5))</f>
        <v>0.9773333333333305</v>
      </c>
      <c r="U61" s="55">
        <f>IF(G61="","",ABS(P61-Components!$C$6))</f>
        <v>4.3843333333333305</v>
      </c>
      <c r="V61" s="55">
        <f>IF(G61="","",ABS(P61-Components!$C$7))</f>
        <v>4.1656666666666711</v>
      </c>
      <c r="W61" s="49" t="str">
        <f>IF(G61="","",IF(N61="OK","NONE",INDEX({"S1","S2","W1","W2","N1","N2"},MATCH(MIN(Q61:V61),Q61:V61,0))))</f>
        <v>W2</v>
      </c>
      <c r="X61" s="59">
        <f t="shared" si="5"/>
        <v>0</v>
      </c>
    </row>
    <row r="62" spans="1:24">
      <c r="A62" s="49">
        <v>60</v>
      </c>
      <c r="B62" s="50">
        <v>36</v>
      </c>
      <c r="C62" s="49" t="s">
        <v>128</v>
      </c>
      <c r="D62" s="62" t="s">
        <v>240</v>
      </c>
      <c r="E62" s="49" t="s">
        <v>102</v>
      </c>
      <c r="F62" s="49" t="s">
        <v>250</v>
      </c>
      <c r="G62" s="52">
        <v>5.8</v>
      </c>
      <c r="H62" s="53"/>
      <c r="I62" s="54"/>
      <c r="J62" s="55">
        <f>VLOOKUP(C62,Recipes!$A$2:$N$4,10,FALSE())</f>
        <v>10.940000000000001</v>
      </c>
      <c r="K62" s="56">
        <f>VLOOKUP(C62,Recipes!$A$2:$N$4,12,FALSE())</f>
        <v>5.2703573566378441E-2</v>
      </c>
      <c r="L62" s="55">
        <f t="shared" si="0"/>
        <v>10.781889279300866</v>
      </c>
      <c r="M62" s="55">
        <f t="shared" si="1"/>
        <v>11.098110720699136</v>
      </c>
      <c r="N62" s="49" t="str">
        <f t="shared" si="2"/>
        <v>NG</v>
      </c>
      <c r="O62" s="57">
        <f t="shared" si="3"/>
        <v>1</v>
      </c>
      <c r="P62" s="55">
        <f t="shared" si="4"/>
        <v>5.1400000000000015</v>
      </c>
      <c r="Q62" s="55">
        <f>IF(G62="","",ABS(P62-Components!$C$2))</f>
        <v>2.3866666666666716</v>
      </c>
      <c r="R62" s="55">
        <f>IF(G62="","",ABS(P62-Components!$C$3))</f>
        <v>1.1040000000000019</v>
      </c>
      <c r="S62" s="55">
        <f>IF(G62="","",ABS(P62-Components!$C$4))</f>
        <v>4.1466666666666683</v>
      </c>
      <c r="T62" s="55">
        <f>IF(G62="","",ABS(P62-Components!$C$5))</f>
        <v>0.57733333333333103</v>
      </c>
      <c r="U62" s="55">
        <f>IF(G62="","",ABS(P62-Components!$C$6))</f>
        <v>3.9843333333333315</v>
      </c>
      <c r="V62" s="55">
        <f>IF(G62="","",ABS(P62-Components!$C$7))</f>
        <v>3.7656666666666716</v>
      </c>
      <c r="W62" s="49" t="str">
        <f>IF(G62="","",IF(N62="OK","NONE",INDEX({"S1","S2","W1","W2","N1","N2"},MATCH(MIN(Q62:V62),Q62:V62,0))))</f>
        <v>W2</v>
      </c>
      <c r="X62" s="57">
        <f t="shared" si="5"/>
        <v>0</v>
      </c>
    </row>
    <row r="63" spans="1:24">
      <c r="A63" s="49">
        <v>61</v>
      </c>
      <c r="B63" s="50">
        <v>10</v>
      </c>
      <c r="C63" s="49" t="s">
        <v>128</v>
      </c>
      <c r="D63" s="62" t="s">
        <v>240</v>
      </c>
      <c r="E63" s="49" t="s">
        <v>106</v>
      </c>
      <c r="F63" s="49" t="s">
        <v>251</v>
      </c>
      <c r="G63" s="52">
        <v>5.4</v>
      </c>
      <c r="H63" s="53"/>
      <c r="I63" s="54"/>
      <c r="J63" s="55">
        <f>VLOOKUP(C63,Recipes!$A$2:$N$4,10,FALSE())</f>
        <v>10.940000000000001</v>
      </c>
      <c r="K63" s="56">
        <f>VLOOKUP(C63,Recipes!$A$2:$N$4,12,FALSE())</f>
        <v>5.2703573566378441E-2</v>
      </c>
      <c r="L63" s="55">
        <f t="shared" si="0"/>
        <v>10.781889279300866</v>
      </c>
      <c r="M63" s="55">
        <f t="shared" si="1"/>
        <v>11.098110720699136</v>
      </c>
      <c r="N63" s="49" t="str">
        <f t="shared" si="2"/>
        <v>NG</v>
      </c>
      <c r="O63" s="57">
        <f t="shared" si="3"/>
        <v>1</v>
      </c>
      <c r="P63" s="55">
        <f t="shared" si="4"/>
        <v>5.5400000000000009</v>
      </c>
      <c r="Q63" s="55">
        <f>IF(G63="","",ABS(P63-Components!$C$2))</f>
        <v>2.7866666666666711</v>
      </c>
      <c r="R63" s="55">
        <f>IF(G63="","",ABS(P63-Components!$C$3))</f>
        <v>1.5040000000000013</v>
      </c>
      <c r="S63" s="55">
        <f>IF(G63="","",ABS(P63-Components!$C$4))</f>
        <v>4.5466666666666677</v>
      </c>
      <c r="T63" s="55">
        <f>IF(G63="","",ABS(P63-Components!$C$5))</f>
        <v>0.9773333333333305</v>
      </c>
      <c r="U63" s="55">
        <f>IF(G63="","",ABS(P63-Components!$C$6))</f>
        <v>4.3843333333333305</v>
      </c>
      <c r="V63" s="55">
        <f>IF(G63="","",ABS(P63-Components!$C$7))</f>
        <v>4.1656666666666711</v>
      </c>
      <c r="W63" s="49" t="str">
        <f>IF(G63="","",IF(N63="OK","NONE",INDEX({"S1","S2","W1","W2","N1","N2"},MATCH(MIN(Q63:V63),Q63:V63,0))))</f>
        <v>W2</v>
      </c>
      <c r="X63" s="57">
        <f t="shared" si="5"/>
        <v>1</v>
      </c>
    </row>
    <row r="64" spans="1:24">
      <c r="A64" s="49">
        <v>62</v>
      </c>
      <c r="B64" s="50">
        <v>34</v>
      </c>
      <c r="C64" s="49" t="s">
        <v>128</v>
      </c>
      <c r="D64" s="62" t="s">
        <v>240</v>
      </c>
      <c r="E64" s="49" t="s">
        <v>106</v>
      </c>
      <c r="F64" s="49" t="s">
        <v>252</v>
      </c>
      <c r="G64" s="52">
        <v>5.45</v>
      </c>
      <c r="H64" s="53"/>
      <c r="I64" s="54"/>
      <c r="J64" s="55">
        <f>VLOOKUP(C64,Recipes!$A$2:$N$4,10,FALSE())</f>
        <v>10.940000000000001</v>
      </c>
      <c r="K64" s="56">
        <f>VLOOKUP(C64,Recipes!$A$2:$N$4,12,FALSE())</f>
        <v>5.2703573566378441E-2</v>
      </c>
      <c r="L64" s="55">
        <f t="shared" si="0"/>
        <v>10.781889279300866</v>
      </c>
      <c r="M64" s="55">
        <f t="shared" si="1"/>
        <v>11.098110720699136</v>
      </c>
      <c r="N64" s="49" t="str">
        <f t="shared" si="2"/>
        <v>NG</v>
      </c>
      <c r="O64" s="57">
        <f t="shared" si="3"/>
        <v>1</v>
      </c>
      <c r="P64" s="55">
        <f t="shared" si="4"/>
        <v>5.4900000000000011</v>
      </c>
      <c r="Q64" s="55">
        <f>IF(G64="","",ABS(P64-Components!$C$2))</f>
        <v>2.7366666666666712</v>
      </c>
      <c r="R64" s="55">
        <f>IF(G64="","",ABS(P64-Components!$C$3))</f>
        <v>1.4540000000000015</v>
      </c>
      <c r="S64" s="55">
        <f>IF(G64="","",ABS(P64-Components!$C$4))</f>
        <v>4.4966666666666679</v>
      </c>
      <c r="T64" s="55">
        <f>IF(G64="","",ABS(P64-Components!$C$5))</f>
        <v>0.92733333333333068</v>
      </c>
      <c r="U64" s="55">
        <f>IF(G64="","",ABS(P64-Components!$C$6))</f>
        <v>4.3343333333333316</v>
      </c>
      <c r="V64" s="55">
        <f>IF(G64="","",ABS(P64-Components!$C$7))</f>
        <v>4.1156666666666712</v>
      </c>
      <c r="W64" s="49" t="str">
        <f>IF(G64="","",IF(N64="OK","NONE",INDEX({"S1","S2","W1","W2","N1","N2"},MATCH(MIN(Q64:V64),Q64:V64,0))))</f>
        <v>W2</v>
      </c>
      <c r="X64" s="57">
        <f t="shared" si="5"/>
        <v>1</v>
      </c>
    </row>
    <row r="65" spans="1:24">
      <c r="A65" s="49">
        <v>63</v>
      </c>
      <c r="B65" s="50">
        <v>42</v>
      </c>
      <c r="C65" s="49" t="s">
        <v>128</v>
      </c>
      <c r="D65" s="62" t="s">
        <v>240</v>
      </c>
      <c r="E65" s="49" t="s">
        <v>106</v>
      </c>
      <c r="F65" s="49" t="s">
        <v>253</v>
      </c>
      <c r="G65" s="52">
        <v>5.42</v>
      </c>
      <c r="H65" s="53"/>
      <c r="I65" s="54"/>
      <c r="J65" s="55">
        <f>VLOOKUP(C65,Recipes!$A$2:$N$4,10,FALSE())</f>
        <v>10.940000000000001</v>
      </c>
      <c r="K65" s="56">
        <f>VLOOKUP(C65,Recipes!$A$2:$N$4,12,FALSE())</f>
        <v>5.2703573566378441E-2</v>
      </c>
      <c r="L65" s="55">
        <f t="shared" si="0"/>
        <v>10.781889279300866</v>
      </c>
      <c r="M65" s="55">
        <f t="shared" si="1"/>
        <v>11.098110720699136</v>
      </c>
      <c r="N65" s="49" t="str">
        <f t="shared" si="2"/>
        <v>NG</v>
      </c>
      <c r="O65" s="57">
        <f t="shared" si="3"/>
        <v>1</v>
      </c>
      <c r="P65" s="55">
        <f t="shared" si="4"/>
        <v>5.5200000000000014</v>
      </c>
      <c r="Q65" s="55">
        <f>IF(G65="","",ABS(P65-Components!$C$2))</f>
        <v>2.7666666666666715</v>
      </c>
      <c r="R65" s="55">
        <f>IF(G65="","",ABS(P65-Components!$C$3))</f>
        <v>1.4840000000000018</v>
      </c>
      <c r="S65" s="55">
        <f>IF(G65="","",ABS(P65-Components!$C$4))</f>
        <v>4.5266666666666682</v>
      </c>
      <c r="T65" s="55">
        <f>IF(G65="","",ABS(P65-Components!$C$5))</f>
        <v>0.95733333333333093</v>
      </c>
      <c r="U65" s="55">
        <f>IF(G65="","",ABS(P65-Components!$C$6))</f>
        <v>4.364333333333331</v>
      </c>
      <c r="V65" s="55">
        <f>IF(G65="","",ABS(P65-Components!$C$7))</f>
        <v>4.1456666666666715</v>
      </c>
      <c r="W65" s="49" t="str">
        <f>IF(G65="","",IF(N65="OK","NONE",INDEX({"S1","S2","W1","W2","N1","N2"},MATCH(MIN(Q65:V65),Q65:V65,0))))</f>
        <v>W2</v>
      </c>
      <c r="X65" s="57">
        <f t="shared" si="5"/>
        <v>1</v>
      </c>
    </row>
    <row r="66" spans="1:24">
      <c r="A66" s="49">
        <v>64</v>
      </c>
      <c r="B66" s="50">
        <v>45</v>
      </c>
      <c r="C66" s="49" t="s">
        <v>128</v>
      </c>
      <c r="D66" s="62" t="s">
        <v>240</v>
      </c>
      <c r="E66" s="49" t="s">
        <v>106</v>
      </c>
      <c r="F66" s="49" t="s">
        <v>254</v>
      </c>
      <c r="G66" s="52">
        <v>5.42</v>
      </c>
      <c r="H66" s="53"/>
      <c r="I66" s="54"/>
      <c r="J66" s="55">
        <f>VLOOKUP(C66,Recipes!$A$2:$N$4,10,FALSE())</f>
        <v>10.940000000000001</v>
      </c>
      <c r="K66" s="56">
        <f>VLOOKUP(C66,Recipes!$A$2:$N$4,12,FALSE())</f>
        <v>5.2703573566378441E-2</v>
      </c>
      <c r="L66" s="55">
        <f t="shared" si="0"/>
        <v>10.781889279300866</v>
      </c>
      <c r="M66" s="55">
        <f t="shared" si="1"/>
        <v>11.098110720699136</v>
      </c>
      <c r="N66" s="49" t="str">
        <f t="shared" si="2"/>
        <v>NG</v>
      </c>
      <c r="O66" s="57">
        <f t="shared" si="3"/>
        <v>1</v>
      </c>
      <c r="P66" s="55">
        <f t="shared" si="4"/>
        <v>5.5200000000000014</v>
      </c>
      <c r="Q66" s="55">
        <f>IF(G66="","",ABS(P66-Components!$C$2))</f>
        <v>2.7666666666666715</v>
      </c>
      <c r="R66" s="55">
        <f>IF(G66="","",ABS(P66-Components!$C$3))</f>
        <v>1.4840000000000018</v>
      </c>
      <c r="S66" s="55">
        <f>IF(G66="","",ABS(P66-Components!$C$4))</f>
        <v>4.5266666666666682</v>
      </c>
      <c r="T66" s="55">
        <f>IF(G66="","",ABS(P66-Components!$C$5))</f>
        <v>0.95733333333333093</v>
      </c>
      <c r="U66" s="55">
        <f>IF(G66="","",ABS(P66-Components!$C$6))</f>
        <v>4.364333333333331</v>
      </c>
      <c r="V66" s="55">
        <f>IF(G66="","",ABS(P66-Components!$C$7))</f>
        <v>4.1456666666666715</v>
      </c>
      <c r="W66" s="49" t="str">
        <f>IF(G66="","",IF(N66="OK","NONE",INDEX({"S1","S2","W1","W2","N1","N2"},MATCH(MIN(Q66:V66),Q66:V66,0))))</f>
        <v>W2</v>
      </c>
      <c r="X66" s="57">
        <f t="shared" si="5"/>
        <v>1</v>
      </c>
    </row>
    <row r="67" spans="1:24">
      <c r="A67" s="49">
        <v>65</v>
      </c>
      <c r="B67" s="50">
        <v>45</v>
      </c>
      <c r="C67" s="49" t="s">
        <v>128</v>
      </c>
      <c r="D67" s="62" t="s">
        <v>240</v>
      </c>
      <c r="E67" s="49" t="s">
        <v>106</v>
      </c>
      <c r="F67" s="49" t="s">
        <v>254</v>
      </c>
      <c r="G67" s="52">
        <v>5.42</v>
      </c>
      <c r="H67" s="53"/>
      <c r="I67" s="54"/>
      <c r="J67" s="55">
        <f>VLOOKUP(C67,Recipes!$A$2:$N$4,10,FALSE())</f>
        <v>10.940000000000001</v>
      </c>
      <c r="K67" s="56">
        <f>VLOOKUP(C67,Recipes!$A$2:$N$4,12,FALSE())</f>
        <v>5.2703573566378441E-2</v>
      </c>
      <c r="L67" s="55">
        <f t="shared" ref="L67:L130" si="6">J67-3*K67</f>
        <v>10.781889279300866</v>
      </c>
      <c r="M67" s="55">
        <f t="shared" ref="M67:M130" si="7">J67+3*K67</f>
        <v>11.098110720699136</v>
      </c>
      <c r="N67" s="49" t="str">
        <f t="shared" ref="N67:N130" si="8">IF(G67="","",IF(AND(G67&gt;=L67,G67&lt;=M67),"OK","NG"))</f>
        <v>NG</v>
      </c>
      <c r="O67" s="57">
        <f t="shared" ref="O67:O130" si="9">IF(N67="","",IF(N67=D67,1,0))</f>
        <v>1</v>
      </c>
      <c r="P67" s="55">
        <f t="shared" ref="P67:P130" si="10">IF(G67="","",J67-G67)</f>
        <v>5.5200000000000014</v>
      </c>
      <c r="Q67" s="55">
        <f>IF(G67="","",ABS(P67-Components!$C$2))</f>
        <v>2.7666666666666715</v>
      </c>
      <c r="R67" s="55">
        <f>IF(G67="","",ABS(P67-Components!$C$3))</f>
        <v>1.4840000000000018</v>
      </c>
      <c r="S67" s="55">
        <f>IF(G67="","",ABS(P67-Components!$C$4))</f>
        <v>4.5266666666666682</v>
      </c>
      <c r="T67" s="55">
        <f>IF(G67="","",ABS(P67-Components!$C$5))</f>
        <v>0.95733333333333093</v>
      </c>
      <c r="U67" s="55">
        <f>IF(G67="","",ABS(P67-Components!$C$6))</f>
        <v>4.364333333333331</v>
      </c>
      <c r="V67" s="55">
        <f>IF(G67="","",ABS(P67-Components!$C$7))</f>
        <v>4.1456666666666715</v>
      </c>
      <c r="W67" s="49" t="str">
        <f>IF(G67="","",IF(N67="OK","NONE",INDEX({"S1","S2","W1","W2","N1","N2"},MATCH(MIN(Q67:V67),Q67:V67,0))))</f>
        <v>W2</v>
      </c>
      <c r="X67" s="57">
        <f t="shared" ref="X67:X130" si="11">IF(G67="","",IF(W67=E67,1,0))</f>
        <v>1</v>
      </c>
    </row>
    <row r="68" spans="1:24">
      <c r="A68" s="49">
        <v>66</v>
      </c>
      <c r="B68" s="50">
        <v>45</v>
      </c>
      <c r="C68" s="49" t="s">
        <v>128</v>
      </c>
      <c r="D68" s="62" t="s">
        <v>240</v>
      </c>
      <c r="E68" s="49" t="s">
        <v>106</v>
      </c>
      <c r="F68" s="49" t="s">
        <v>254</v>
      </c>
      <c r="G68" s="52">
        <v>5.42</v>
      </c>
      <c r="H68" s="53"/>
      <c r="I68" s="54"/>
      <c r="J68" s="55">
        <f>VLOOKUP(C68,Recipes!$A$2:$N$4,10,FALSE())</f>
        <v>10.940000000000001</v>
      </c>
      <c r="K68" s="56">
        <f>VLOOKUP(C68,Recipes!$A$2:$N$4,12,FALSE())</f>
        <v>5.2703573566378441E-2</v>
      </c>
      <c r="L68" s="55">
        <f t="shared" si="6"/>
        <v>10.781889279300866</v>
      </c>
      <c r="M68" s="55">
        <f t="shared" si="7"/>
        <v>11.098110720699136</v>
      </c>
      <c r="N68" s="49" t="str">
        <f t="shared" si="8"/>
        <v>NG</v>
      </c>
      <c r="O68" s="57">
        <f t="shared" si="9"/>
        <v>1</v>
      </c>
      <c r="P68" s="55">
        <f t="shared" si="10"/>
        <v>5.5200000000000014</v>
      </c>
      <c r="Q68" s="55">
        <f>IF(G68="","",ABS(P68-Components!$C$2))</f>
        <v>2.7666666666666715</v>
      </c>
      <c r="R68" s="55">
        <f>IF(G68="","",ABS(P68-Components!$C$3))</f>
        <v>1.4840000000000018</v>
      </c>
      <c r="S68" s="55">
        <f>IF(G68="","",ABS(P68-Components!$C$4))</f>
        <v>4.5266666666666682</v>
      </c>
      <c r="T68" s="55">
        <f>IF(G68="","",ABS(P68-Components!$C$5))</f>
        <v>0.95733333333333093</v>
      </c>
      <c r="U68" s="55">
        <f>IF(G68="","",ABS(P68-Components!$C$6))</f>
        <v>4.364333333333331</v>
      </c>
      <c r="V68" s="55">
        <f>IF(G68="","",ABS(P68-Components!$C$7))</f>
        <v>4.1456666666666715</v>
      </c>
      <c r="W68" s="49" t="str">
        <f>IF(G68="","",IF(N68="OK","NONE",INDEX({"S1","S2","W1","W2","N1","N2"},MATCH(MIN(Q68:V68),Q68:V68,0))))</f>
        <v>W2</v>
      </c>
      <c r="X68" s="57">
        <f t="shared" si="11"/>
        <v>1</v>
      </c>
    </row>
    <row r="69" spans="1:24">
      <c r="A69" s="49">
        <v>67</v>
      </c>
      <c r="B69" s="50">
        <v>45</v>
      </c>
      <c r="C69" s="49" t="s">
        <v>128</v>
      </c>
      <c r="D69" s="62" t="s">
        <v>240</v>
      </c>
      <c r="E69" s="49" t="s">
        <v>106</v>
      </c>
      <c r="F69" s="49" t="s">
        <v>254</v>
      </c>
      <c r="G69" s="52">
        <v>5.45</v>
      </c>
      <c r="H69" s="53"/>
      <c r="I69" s="54"/>
      <c r="J69" s="55">
        <f>VLOOKUP(C69,Recipes!$A$2:$N$4,10,FALSE())</f>
        <v>10.940000000000001</v>
      </c>
      <c r="K69" s="56">
        <f>VLOOKUP(C69,Recipes!$A$2:$N$4,12,FALSE())</f>
        <v>5.2703573566378441E-2</v>
      </c>
      <c r="L69" s="55">
        <f t="shared" si="6"/>
        <v>10.781889279300866</v>
      </c>
      <c r="M69" s="55">
        <f t="shared" si="7"/>
        <v>11.098110720699136</v>
      </c>
      <c r="N69" s="49" t="str">
        <f t="shared" si="8"/>
        <v>NG</v>
      </c>
      <c r="O69" s="57">
        <f t="shared" si="9"/>
        <v>1</v>
      </c>
      <c r="P69" s="55">
        <f t="shared" si="10"/>
        <v>5.4900000000000011</v>
      </c>
      <c r="Q69" s="55">
        <f>IF(G69="","",ABS(P69-Components!$C$2))</f>
        <v>2.7366666666666712</v>
      </c>
      <c r="R69" s="55">
        <f>IF(G69="","",ABS(P69-Components!$C$3))</f>
        <v>1.4540000000000015</v>
      </c>
      <c r="S69" s="55">
        <f>IF(G69="","",ABS(P69-Components!$C$4))</f>
        <v>4.4966666666666679</v>
      </c>
      <c r="T69" s="55">
        <f>IF(G69="","",ABS(P69-Components!$C$5))</f>
        <v>0.92733333333333068</v>
      </c>
      <c r="U69" s="55">
        <f>IF(G69="","",ABS(P69-Components!$C$6))</f>
        <v>4.3343333333333316</v>
      </c>
      <c r="V69" s="55">
        <f>IF(G69="","",ABS(P69-Components!$C$7))</f>
        <v>4.1156666666666712</v>
      </c>
      <c r="W69" s="49" t="str">
        <f>IF(G69="","",IF(N69="OK","NONE",INDEX({"S1","S2","W1","W2","N1","N2"},MATCH(MIN(Q69:V69),Q69:V69,0))))</f>
        <v>W2</v>
      </c>
      <c r="X69" s="57">
        <f t="shared" si="11"/>
        <v>1</v>
      </c>
    </row>
    <row r="70" spans="1:24">
      <c r="A70" s="49">
        <v>68</v>
      </c>
      <c r="B70" s="50">
        <v>45</v>
      </c>
      <c r="C70" s="49" t="s">
        <v>128</v>
      </c>
      <c r="D70" s="62" t="s">
        <v>240</v>
      </c>
      <c r="E70" s="49" t="s">
        <v>106</v>
      </c>
      <c r="F70" s="49" t="s">
        <v>254</v>
      </c>
      <c r="G70" s="52">
        <v>5.41</v>
      </c>
      <c r="H70" s="53"/>
      <c r="I70" s="54"/>
      <c r="J70" s="55">
        <f>VLOOKUP(C70,Recipes!$A$2:$N$4,10,FALSE())</f>
        <v>10.940000000000001</v>
      </c>
      <c r="K70" s="56">
        <f>VLOOKUP(C70,Recipes!$A$2:$N$4,12,FALSE())</f>
        <v>5.2703573566378441E-2</v>
      </c>
      <c r="L70" s="55">
        <f t="shared" si="6"/>
        <v>10.781889279300866</v>
      </c>
      <c r="M70" s="55">
        <f t="shared" si="7"/>
        <v>11.098110720699136</v>
      </c>
      <c r="N70" s="49" t="str">
        <f t="shared" si="8"/>
        <v>NG</v>
      </c>
      <c r="O70" s="57">
        <f t="shared" si="9"/>
        <v>1</v>
      </c>
      <c r="P70" s="55">
        <f t="shared" si="10"/>
        <v>5.5300000000000011</v>
      </c>
      <c r="Q70" s="55">
        <f>IF(G70="","",ABS(P70-Components!$C$2))</f>
        <v>2.7766666666666713</v>
      </c>
      <c r="R70" s="55">
        <f>IF(G70="","",ABS(P70-Components!$C$3))</f>
        <v>1.4940000000000015</v>
      </c>
      <c r="S70" s="55">
        <f>IF(G70="","",ABS(P70-Components!$C$4))</f>
        <v>4.536666666666668</v>
      </c>
      <c r="T70" s="55">
        <f>IF(G70="","",ABS(P70-Components!$C$5))</f>
        <v>0.96733333333333071</v>
      </c>
      <c r="U70" s="55">
        <f>IF(G70="","",ABS(P70-Components!$C$6))</f>
        <v>4.3743333333333307</v>
      </c>
      <c r="V70" s="55">
        <f>IF(G70="","",ABS(P70-Components!$C$7))</f>
        <v>4.1556666666666713</v>
      </c>
      <c r="W70" s="49" t="str">
        <f>IF(G70="","",IF(N70="OK","NONE",INDEX({"S1","S2","W1","W2","N1","N2"},MATCH(MIN(Q70:V70),Q70:V70,0))))</f>
        <v>W2</v>
      </c>
      <c r="X70" s="57">
        <f t="shared" si="11"/>
        <v>1</v>
      </c>
    </row>
    <row r="71" spans="1:24">
      <c r="A71" s="49">
        <v>69</v>
      </c>
      <c r="B71" s="50">
        <v>45</v>
      </c>
      <c r="C71" s="49" t="s">
        <v>128</v>
      </c>
      <c r="D71" s="62" t="s">
        <v>240</v>
      </c>
      <c r="E71" s="49" t="s">
        <v>106</v>
      </c>
      <c r="F71" s="49" t="s">
        <v>254</v>
      </c>
      <c r="G71" s="52">
        <v>5.38</v>
      </c>
      <c r="H71" s="53"/>
      <c r="I71" s="54"/>
      <c r="J71" s="55">
        <f>VLOOKUP(C71,Recipes!$A$2:$N$4,10,FALSE())</f>
        <v>10.940000000000001</v>
      </c>
      <c r="K71" s="56">
        <f>VLOOKUP(C71,Recipes!$A$2:$N$4,12,FALSE())</f>
        <v>5.2703573566378441E-2</v>
      </c>
      <c r="L71" s="55">
        <f t="shared" si="6"/>
        <v>10.781889279300866</v>
      </c>
      <c r="M71" s="55">
        <f t="shared" si="7"/>
        <v>11.098110720699136</v>
      </c>
      <c r="N71" s="49" t="str">
        <f t="shared" si="8"/>
        <v>NG</v>
      </c>
      <c r="O71" s="57">
        <f t="shared" si="9"/>
        <v>1</v>
      </c>
      <c r="P71" s="55">
        <f t="shared" si="10"/>
        <v>5.5600000000000014</v>
      </c>
      <c r="Q71" s="55">
        <f>IF(G71="","",ABS(P71-Components!$C$2))</f>
        <v>2.8066666666666715</v>
      </c>
      <c r="R71" s="55">
        <f>IF(G71="","",ABS(P71-Components!$C$3))</f>
        <v>1.5240000000000018</v>
      </c>
      <c r="S71" s="55">
        <f>IF(G71="","",ABS(P71-Components!$C$4))</f>
        <v>4.5666666666666682</v>
      </c>
      <c r="T71" s="55">
        <f>IF(G71="","",ABS(P71-Components!$C$5))</f>
        <v>0.99733333333333096</v>
      </c>
      <c r="U71" s="55">
        <f>IF(G71="","",ABS(P71-Components!$C$6))</f>
        <v>4.4043333333333319</v>
      </c>
      <c r="V71" s="55">
        <f>IF(G71="","",ABS(P71-Components!$C$7))</f>
        <v>4.1856666666666715</v>
      </c>
      <c r="W71" s="49" t="str">
        <f>IF(G71="","",IF(N71="OK","NONE",INDEX({"S1","S2","W1","W2","N1","N2"},MATCH(MIN(Q71:V71),Q71:V71,0))))</f>
        <v>W2</v>
      </c>
      <c r="X71" s="57">
        <f t="shared" si="11"/>
        <v>1</v>
      </c>
    </row>
    <row r="72" spans="1:24">
      <c r="A72" s="49">
        <v>70</v>
      </c>
      <c r="B72" s="50">
        <v>45</v>
      </c>
      <c r="C72" s="49" t="s">
        <v>128</v>
      </c>
      <c r="D72" s="62" t="s">
        <v>240</v>
      </c>
      <c r="E72" s="49" t="s">
        <v>106</v>
      </c>
      <c r="F72" s="49" t="s">
        <v>254</v>
      </c>
      <c r="G72" s="52">
        <v>5.37</v>
      </c>
      <c r="H72" s="53"/>
      <c r="I72" s="54"/>
      <c r="J72" s="55">
        <f>VLOOKUP(C72,Recipes!$A$2:$N$4,10,FALSE())</f>
        <v>10.940000000000001</v>
      </c>
      <c r="K72" s="56">
        <f>VLOOKUP(C72,Recipes!$A$2:$N$4,12,FALSE())</f>
        <v>5.2703573566378441E-2</v>
      </c>
      <c r="L72" s="55">
        <f t="shared" si="6"/>
        <v>10.781889279300866</v>
      </c>
      <c r="M72" s="55">
        <f t="shared" si="7"/>
        <v>11.098110720699136</v>
      </c>
      <c r="N72" s="49" t="str">
        <f t="shared" si="8"/>
        <v>NG</v>
      </c>
      <c r="O72" s="57">
        <f t="shared" si="9"/>
        <v>1</v>
      </c>
      <c r="P72" s="55">
        <f t="shared" si="10"/>
        <v>5.5700000000000012</v>
      </c>
      <c r="Q72" s="55">
        <f>IF(G72="","",ABS(P72-Components!$C$2))</f>
        <v>2.8166666666666713</v>
      </c>
      <c r="R72" s="55">
        <f>IF(G72="","",ABS(P72-Components!$C$3))</f>
        <v>1.5340000000000016</v>
      </c>
      <c r="S72" s="55">
        <f>IF(G72="","",ABS(P72-Components!$C$4))</f>
        <v>4.576666666666668</v>
      </c>
      <c r="T72" s="55">
        <f>IF(G72="","",ABS(P72-Components!$C$5))</f>
        <v>1.0073333333333307</v>
      </c>
      <c r="U72" s="55">
        <f>IF(G72="","",ABS(P72-Components!$C$6))</f>
        <v>4.4143333333333317</v>
      </c>
      <c r="V72" s="55">
        <f>IF(G72="","",ABS(P72-Components!$C$7))</f>
        <v>4.1956666666666713</v>
      </c>
      <c r="W72" s="49" t="str">
        <f>IF(G72="","",IF(N72="OK","NONE",INDEX({"S1","S2","W1","W2","N1","N2"},MATCH(MIN(Q72:V72),Q72:V72,0))))</f>
        <v>W2</v>
      </c>
      <c r="X72" s="57">
        <f t="shared" si="11"/>
        <v>1</v>
      </c>
    </row>
    <row r="73" spans="1:24">
      <c r="A73" s="49">
        <v>71</v>
      </c>
      <c r="B73" s="50">
        <v>45</v>
      </c>
      <c r="C73" s="49" t="s">
        <v>128</v>
      </c>
      <c r="D73" s="62" t="s">
        <v>240</v>
      </c>
      <c r="E73" s="49" t="s">
        <v>106</v>
      </c>
      <c r="F73" s="49" t="s">
        <v>254</v>
      </c>
      <c r="G73" s="52">
        <v>5.36</v>
      </c>
      <c r="H73" s="53"/>
      <c r="I73" s="54"/>
      <c r="J73" s="55">
        <f>VLOOKUP(C73,Recipes!$A$2:$N$4,10,FALSE())</f>
        <v>10.940000000000001</v>
      </c>
      <c r="K73" s="56">
        <f>VLOOKUP(C73,Recipes!$A$2:$N$4,12,FALSE())</f>
        <v>5.2703573566378441E-2</v>
      </c>
      <c r="L73" s="55">
        <f t="shared" si="6"/>
        <v>10.781889279300866</v>
      </c>
      <c r="M73" s="55">
        <f t="shared" si="7"/>
        <v>11.098110720699136</v>
      </c>
      <c r="N73" s="49" t="str">
        <f t="shared" si="8"/>
        <v>NG</v>
      </c>
      <c r="O73" s="57">
        <f t="shared" si="9"/>
        <v>1</v>
      </c>
      <c r="P73" s="55">
        <f t="shared" si="10"/>
        <v>5.580000000000001</v>
      </c>
      <c r="Q73" s="55">
        <f>IF(G73="","",ABS(P73-Components!$C$2))</f>
        <v>2.8266666666666711</v>
      </c>
      <c r="R73" s="55">
        <f>IF(G73="","",ABS(P73-Components!$C$3))</f>
        <v>1.5440000000000014</v>
      </c>
      <c r="S73" s="55">
        <f>IF(G73="","",ABS(P73-Components!$C$4))</f>
        <v>4.5866666666666678</v>
      </c>
      <c r="T73" s="55">
        <f>IF(G73="","",ABS(P73-Components!$C$5))</f>
        <v>1.0173333333333305</v>
      </c>
      <c r="U73" s="55">
        <f>IF(G73="","",ABS(P73-Components!$C$6))</f>
        <v>4.4243333333333315</v>
      </c>
      <c r="V73" s="55">
        <f>IF(G73="","",ABS(P73-Components!$C$7))</f>
        <v>4.2056666666666711</v>
      </c>
      <c r="W73" s="49" t="str">
        <f>IF(G73="","",IF(N73="OK","NONE",INDEX({"S1","S2","W1","W2","N1","N2"},MATCH(MIN(Q73:V73),Q73:V73,0))))</f>
        <v>W2</v>
      </c>
      <c r="X73" s="57">
        <f t="shared" si="11"/>
        <v>1</v>
      </c>
    </row>
    <row r="74" spans="1:24">
      <c r="A74" s="49">
        <v>72</v>
      </c>
      <c r="B74" s="50">
        <v>45</v>
      </c>
      <c r="C74" s="49" t="s">
        <v>128</v>
      </c>
      <c r="D74" s="62" t="s">
        <v>240</v>
      </c>
      <c r="E74" s="49" t="s">
        <v>106</v>
      </c>
      <c r="F74" s="49" t="s">
        <v>254</v>
      </c>
      <c r="G74" s="52">
        <v>5.41</v>
      </c>
      <c r="H74" s="53"/>
      <c r="I74" s="54"/>
      <c r="J74" s="55">
        <f>VLOOKUP(C74,Recipes!$A$2:$N$4,10,FALSE())</f>
        <v>10.940000000000001</v>
      </c>
      <c r="K74" s="56">
        <f>VLOOKUP(C74,Recipes!$A$2:$N$4,12,FALSE())</f>
        <v>5.2703573566378441E-2</v>
      </c>
      <c r="L74" s="55">
        <f t="shared" si="6"/>
        <v>10.781889279300866</v>
      </c>
      <c r="M74" s="55">
        <f t="shared" si="7"/>
        <v>11.098110720699136</v>
      </c>
      <c r="N74" s="49" t="str">
        <f t="shared" si="8"/>
        <v>NG</v>
      </c>
      <c r="O74" s="57">
        <f t="shared" si="9"/>
        <v>1</v>
      </c>
      <c r="P74" s="55">
        <f t="shared" si="10"/>
        <v>5.5300000000000011</v>
      </c>
      <c r="Q74" s="55">
        <f>IF(G74="","",ABS(P74-Components!$C$2))</f>
        <v>2.7766666666666713</v>
      </c>
      <c r="R74" s="55">
        <f>IF(G74="","",ABS(P74-Components!$C$3))</f>
        <v>1.4940000000000015</v>
      </c>
      <c r="S74" s="55">
        <f>IF(G74="","",ABS(P74-Components!$C$4))</f>
        <v>4.536666666666668</v>
      </c>
      <c r="T74" s="55">
        <f>IF(G74="","",ABS(P74-Components!$C$5))</f>
        <v>0.96733333333333071</v>
      </c>
      <c r="U74" s="55">
        <f>IF(G74="","",ABS(P74-Components!$C$6))</f>
        <v>4.3743333333333307</v>
      </c>
      <c r="V74" s="55">
        <f>IF(G74="","",ABS(P74-Components!$C$7))</f>
        <v>4.1556666666666713</v>
      </c>
      <c r="W74" s="49" t="str">
        <f>IF(G74="","",IF(N74="OK","NONE",INDEX({"S1","S2","W1","W2","N1","N2"},MATCH(MIN(Q74:V74),Q74:V74,0))))</f>
        <v>W2</v>
      </c>
      <c r="X74" s="57">
        <f t="shared" si="11"/>
        <v>1</v>
      </c>
    </row>
    <row r="75" spans="1:24">
      <c r="A75" s="49">
        <v>73</v>
      </c>
      <c r="B75" s="50">
        <v>45</v>
      </c>
      <c r="C75" s="49" t="s">
        <v>128</v>
      </c>
      <c r="D75" s="62" t="s">
        <v>240</v>
      </c>
      <c r="E75" s="49" t="s">
        <v>106</v>
      </c>
      <c r="F75" s="49" t="s">
        <v>254</v>
      </c>
      <c r="G75" s="52">
        <v>5.37</v>
      </c>
      <c r="H75" s="53"/>
      <c r="I75" s="54"/>
      <c r="J75" s="55">
        <f>VLOOKUP(C75,Recipes!$A$2:$N$4,10,FALSE())</f>
        <v>10.940000000000001</v>
      </c>
      <c r="K75" s="56">
        <f>VLOOKUP(C75,Recipes!$A$2:$N$4,12,FALSE())</f>
        <v>5.2703573566378441E-2</v>
      </c>
      <c r="L75" s="55">
        <f t="shared" si="6"/>
        <v>10.781889279300866</v>
      </c>
      <c r="M75" s="55">
        <f t="shared" si="7"/>
        <v>11.098110720699136</v>
      </c>
      <c r="N75" s="49" t="str">
        <f t="shared" si="8"/>
        <v>NG</v>
      </c>
      <c r="O75" s="57">
        <f t="shared" si="9"/>
        <v>1</v>
      </c>
      <c r="P75" s="55">
        <f t="shared" si="10"/>
        <v>5.5700000000000012</v>
      </c>
      <c r="Q75" s="55">
        <f>IF(G75="","",ABS(P75-Components!$C$2))</f>
        <v>2.8166666666666713</v>
      </c>
      <c r="R75" s="55">
        <f>IF(G75="","",ABS(P75-Components!$C$3))</f>
        <v>1.5340000000000016</v>
      </c>
      <c r="S75" s="55">
        <f>IF(G75="","",ABS(P75-Components!$C$4))</f>
        <v>4.576666666666668</v>
      </c>
      <c r="T75" s="55">
        <f>IF(G75="","",ABS(P75-Components!$C$5))</f>
        <v>1.0073333333333307</v>
      </c>
      <c r="U75" s="55">
        <f>IF(G75="","",ABS(P75-Components!$C$6))</f>
        <v>4.4143333333333317</v>
      </c>
      <c r="V75" s="55">
        <f>IF(G75="","",ABS(P75-Components!$C$7))</f>
        <v>4.1956666666666713</v>
      </c>
      <c r="W75" s="49" t="str">
        <f>IF(G75="","",IF(N75="OK","NONE",INDEX({"S1","S2","W1","W2","N1","N2"},MATCH(MIN(Q75:V75),Q75:V75,0))))</f>
        <v>W2</v>
      </c>
      <c r="X75" s="57">
        <f t="shared" si="11"/>
        <v>1</v>
      </c>
    </row>
    <row r="76" spans="1:24">
      <c r="A76" s="49">
        <v>74</v>
      </c>
      <c r="B76" s="50">
        <v>45</v>
      </c>
      <c r="C76" s="49" t="s">
        <v>128</v>
      </c>
      <c r="D76" s="62" t="s">
        <v>240</v>
      </c>
      <c r="E76" s="49" t="s">
        <v>106</v>
      </c>
      <c r="F76" s="49" t="s">
        <v>254</v>
      </c>
      <c r="G76" s="52">
        <v>5.36</v>
      </c>
      <c r="H76" s="53"/>
      <c r="I76" s="54"/>
      <c r="J76" s="55">
        <f>VLOOKUP(C76,Recipes!$A$2:$N$4,10,FALSE())</f>
        <v>10.940000000000001</v>
      </c>
      <c r="K76" s="56">
        <f>VLOOKUP(C76,Recipes!$A$2:$N$4,12,FALSE())</f>
        <v>5.2703573566378441E-2</v>
      </c>
      <c r="L76" s="55">
        <f t="shared" si="6"/>
        <v>10.781889279300866</v>
      </c>
      <c r="M76" s="55">
        <f t="shared" si="7"/>
        <v>11.098110720699136</v>
      </c>
      <c r="N76" s="49" t="str">
        <f t="shared" si="8"/>
        <v>NG</v>
      </c>
      <c r="O76" s="57">
        <f t="shared" si="9"/>
        <v>1</v>
      </c>
      <c r="P76" s="55">
        <f t="shared" si="10"/>
        <v>5.580000000000001</v>
      </c>
      <c r="Q76" s="55">
        <f>IF(G76="","",ABS(P76-Components!$C$2))</f>
        <v>2.8266666666666711</v>
      </c>
      <c r="R76" s="55">
        <f>IF(G76="","",ABS(P76-Components!$C$3))</f>
        <v>1.5440000000000014</v>
      </c>
      <c r="S76" s="55">
        <f>IF(G76="","",ABS(P76-Components!$C$4))</f>
        <v>4.5866666666666678</v>
      </c>
      <c r="T76" s="55">
        <f>IF(G76="","",ABS(P76-Components!$C$5))</f>
        <v>1.0173333333333305</v>
      </c>
      <c r="U76" s="55">
        <f>IF(G76="","",ABS(P76-Components!$C$6))</f>
        <v>4.4243333333333315</v>
      </c>
      <c r="V76" s="55">
        <f>IF(G76="","",ABS(P76-Components!$C$7))</f>
        <v>4.2056666666666711</v>
      </c>
      <c r="W76" s="49" t="str">
        <f>IF(G76="","",IF(N76="OK","NONE",INDEX({"S1","S2","W1","W2","N1","N2"},MATCH(MIN(Q76:V76),Q76:V76,0))))</f>
        <v>W2</v>
      </c>
      <c r="X76" s="57">
        <f t="shared" si="11"/>
        <v>1</v>
      </c>
    </row>
    <row r="77" spans="1:24">
      <c r="A77" s="49">
        <v>75</v>
      </c>
      <c r="B77" s="50">
        <v>45</v>
      </c>
      <c r="C77" s="49" t="s">
        <v>128</v>
      </c>
      <c r="D77" s="62" t="s">
        <v>240</v>
      </c>
      <c r="E77" s="49" t="s">
        <v>106</v>
      </c>
      <c r="F77" s="49" t="s">
        <v>254</v>
      </c>
      <c r="G77" s="52">
        <v>5.38</v>
      </c>
      <c r="H77" s="53"/>
      <c r="I77" s="54"/>
      <c r="J77" s="55">
        <f>VLOOKUP(C77,Recipes!$A$2:$N$4,10,FALSE())</f>
        <v>10.940000000000001</v>
      </c>
      <c r="K77" s="56">
        <f>VLOOKUP(C77,Recipes!$A$2:$N$4,12,FALSE())</f>
        <v>5.2703573566378441E-2</v>
      </c>
      <c r="L77" s="55">
        <f t="shared" si="6"/>
        <v>10.781889279300866</v>
      </c>
      <c r="M77" s="55">
        <f t="shared" si="7"/>
        <v>11.098110720699136</v>
      </c>
      <c r="N77" s="49" t="str">
        <f t="shared" si="8"/>
        <v>NG</v>
      </c>
      <c r="O77" s="57">
        <f t="shared" si="9"/>
        <v>1</v>
      </c>
      <c r="P77" s="55">
        <f t="shared" si="10"/>
        <v>5.5600000000000014</v>
      </c>
      <c r="Q77" s="55">
        <f>IF(G77="","",ABS(P77-Components!$C$2))</f>
        <v>2.8066666666666715</v>
      </c>
      <c r="R77" s="55">
        <f>IF(G77="","",ABS(P77-Components!$C$3))</f>
        <v>1.5240000000000018</v>
      </c>
      <c r="S77" s="55">
        <f>IF(G77="","",ABS(P77-Components!$C$4))</f>
        <v>4.5666666666666682</v>
      </c>
      <c r="T77" s="55">
        <f>IF(G77="","",ABS(P77-Components!$C$5))</f>
        <v>0.99733333333333096</v>
      </c>
      <c r="U77" s="55">
        <f>IF(G77="","",ABS(P77-Components!$C$6))</f>
        <v>4.4043333333333319</v>
      </c>
      <c r="V77" s="55">
        <f>IF(G77="","",ABS(P77-Components!$C$7))</f>
        <v>4.1856666666666715</v>
      </c>
      <c r="W77" s="49" t="str">
        <f>IF(G77="","",IF(N77="OK","NONE",INDEX({"S1","S2","W1","W2","N1","N2"},MATCH(MIN(Q77:V77),Q77:V77,0))))</f>
        <v>W2</v>
      </c>
      <c r="X77" s="57">
        <f t="shared" si="11"/>
        <v>1</v>
      </c>
    </row>
    <row r="78" spans="1:24">
      <c r="A78" s="49">
        <v>76</v>
      </c>
      <c r="B78" s="50">
        <v>45</v>
      </c>
      <c r="C78" s="49" t="s">
        <v>128</v>
      </c>
      <c r="D78" s="62" t="s">
        <v>240</v>
      </c>
      <c r="E78" s="49" t="s">
        <v>106</v>
      </c>
      <c r="F78" s="49" t="s">
        <v>254</v>
      </c>
      <c r="G78" s="52">
        <v>5.38</v>
      </c>
      <c r="H78" s="53"/>
      <c r="I78" s="54"/>
      <c r="J78" s="55">
        <f>VLOOKUP(C78,Recipes!$A$2:$N$4,10,FALSE())</f>
        <v>10.940000000000001</v>
      </c>
      <c r="K78" s="56">
        <f>VLOOKUP(C78,Recipes!$A$2:$N$4,12,FALSE())</f>
        <v>5.2703573566378441E-2</v>
      </c>
      <c r="L78" s="55">
        <f t="shared" si="6"/>
        <v>10.781889279300866</v>
      </c>
      <c r="M78" s="55">
        <f t="shared" si="7"/>
        <v>11.098110720699136</v>
      </c>
      <c r="N78" s="49" t="str">
        <f t="shared" si="8"/>
        <v>NG</v>
      </c>
      <c r="O78" s="57">
        <f t="shared" si="9"/>
        <v>1</v>
      </c>
      <c r="P78" s="55">
        <f t="shared" si="10"/>
        <v>5.5600000000000014</v>
      </c>
      <c r="Q78" s="55">
        <f>IF(G78="","",ABS(P78-Components!$C$2))</f>
        <v>2.8066666666666715</v>
      </c>
      <c r="R78" s="55">
        <f>IF(G78="","",ABS(P78-Components!$C$3))</f>
        <v>1.5240000000000018</v>
      </c>
      <c r="S78" s="55">
        <f>IF(G78="","",ABS(P78-Components!$C$4))</f>
        <v>4.5666666666666682</v>
      </c>
      <c r="T78" s="55">
        <f>IF(G78="","",ABS(P78-Components!$C$5))</f>
        <v>0.99733333333333096</v>
      </c>
      <c r="U78" s="55">
        <f>IF(G78="","",ABS(P78-Components!$C$6))</f>
        <v>4.4043333333333319</v>
      </c>
      <c r="V78" s="55">
        <f>IF(G78="","",ABS(P78-Components!$C$7))</f>
        <v>4.1856666666666715</v>
      </c>
      <c r="W78" s="49" t="str">
        <f>IF(G78="","",IF(N78="OK","NONE",INDEX({"S1","S2","W1","W2","N1","N2"},MATCH(MIN(Q78:V78),Q78:V78,0))))</f>
        <v>W2</v>
      </c>
      <c r="X78" s="57">
        <f t="shared" si="11"/>
        <v>1</v>
      </c>
    </row>
    <row r="79" spans="1:24">
      <c r="A79" s="49">
        <v>77</v>
      </c>
      <c r="B79" s="50">
        <v>45</v>
      </c>
      <c r="C79" s="49" t="s">
        <v>128</v>
      </c>
      <c r="D79" s="62" t="s">
        <v>240</v>
      </c>
      <c r="E79" s="49" t="s">
        <v>106</v>
      </c>
      <c r="F79" s="49" t="s">
        <v>254</v>
      </c>
      <c r="G79" s="52">
        <v>5.42</v>
      </c>
      <c r="H79" s="53"/>
      <c r="I79" s="54"/>
      <c r="J79" s="55">
        <f>VLOOKUP(C79,Recipes!$A$2:$N$4,10,FALSE())</f>
        <v>10.940000000000001</v>
      </c>
      <c r="K79" s="56">
        <f>VLOOKUP(C79,Recipes!$A$2:$N$4,12,FALSE())</f>
        <v>5.2703573566378441E-2</v>
      </c>
      <c r="L79" s="55">
        <f t="shared" si="6"/>
        <v>10.781889279300866</v>
      </c>
      <c r="M79" s="55">
        <f t="shared" si="7"/>
        <v>11.098110720699136</v>
      </c>
      <c r="N79" s="49" t="str">
        <f t="shared" si="8"/>
        <v>NG</v>
      </c>
      <c r="O79" s="57">
        <f t="shared" si="9"/>
        <v>1</v>
      </c>
      <c r="P79" s="55">
        <f t="shared" si="10"/>
        <v>5.5200000000000014</v>
      </c>
      <c r="Q79" s="55">
        <f>IF(G79="","",ABS(P79-Components!$C$2))</f>
        <v>2.7666666666666715</v>
      </c>
      <c r="R79" s="55">
        <f>IF(G79="","",ABS(P79-Components!$C$3))</f>
        <v>1.4840000000000018</v>
      </c>
      <c r="S79" s="55">
        <f>IF(G79="","",ABS(P79-Components!$C$4))</f>
        <v>4.5266666666666682</v>
      </c>
      <c r="T79" s="55">
        <f>IF(G79="","",ABS(P79-Components!$C$5))</f>
        <v>0.95733333333333093</v>
      </c>
      <c r="U79" s="55">
        <f>IF(G79="","",ABS(P79-Components!$C$6))</f>
        <v>4.364333333333331</v>
      </c>
      <c r="V79" s="55">
        <f>IF(G79="","",ABS(P79-Components!$C$7))</f>
        <v>4.1456666666666715</v>
      </c>
      <c r="W79" s="49" t="str">
        <f>IF(G79="","",IF(N79="OK","NONE",INDEX({"S1","S2","W1","W2","N1","N2"},MATCH(MIN(Q79:V79),Q79:V79,0))))</f>
        <v>W2</v>
      </c>
      <c r="X79" s="57">
        <f t="shared" si="11"/>
        <v>1</v>
      </c>
    </row>
    <row r="80" spans="1:24">
      <c r="A80" s="49">
        <v>78</v>
      </c>
      <c r="B80" s="50">
        <v>45</v>
      </c>
      <c r="C80" s="49" t="s">
        <v>128</v>
      </c>
      <c r="D80" s="62" t="s">
        <v>240</v>
      </c>
      <c r="E80" s="49" t="s">
        <v>106</v>
      </c>
      <c r="F80" s="49" t="s">
        <v>254</v>
      </c>
      <c r="G80" s="52">
        <v>5.39</v>
      </c>
      <c r="H80" s="53"/>
      <c r="I80" s="54"/>
      <c r="J80" s="55">
        <f>VLOOKUP(C80,Recipes!$A$2:$N$4,10,FALSE())</f>
        <v>10.940000000000001</v>
      </c>
      <c r="K80" s="56">
        <f>VLOOKUP(C80,Recipes!$A$2:$N$4,12,FALSE())</f>
        <v>5.2703573566378441E-2</v>
      </c>
      <c r="L80" s="55">
        <f t="shared" si="6"/>
        <v>10.781889279300866</v>
      </c>
      <c r="M80" s="55">
        <f t="shared" si="7"/>
        <v>11.098110720699136</v>
      </c>
      <c r="N80" s="49" t="str">
        <f t="shared" si="8"/>
        <v>NG</v>
      </c>
      <c r="O80" s="57">
        <f t="shared" si="9"/>
        <v>1</v>
      </c>
      <c r="P80" s="55">
        <f t="shared" si="10"/>
        <v>5.5500000000000016</v>
      </c>
      <c r="Q80" s="55">
        <f>IF(G80="","",ABS(P80-Components!$C$2))</f>
        <v>2.7966666666666717</v>
      </c>
      <c r="R80" s="55">
        <f>IF(G80="","",ABS(P80-Components!$C$3))</f>
        <v>1.514000000000002</v>
      </c>
      <c r="S80" s="55">
        <f>IF(G80="","",ABS(P80-Components!$C$4))</f>
        <v>4.5566666666666684</v>
      </c>
      <c r="T80" s="55">
        <f>IF(G80="","",ABS(P80-Components!$C$5))</f>
        <v>0.98733333333333118</v>
      </c>
      <c r="U80" s="55">
        <f>IF(G80="","",ABS(P80-Components!$C$6))</f>
        <v>4.3943333333333321</v>
      </c>
      <c r="V80" s="55">
        <f>IF(G80="","",ABS(P80-Components!$C$7))</f>
        <v>4.1756666666666717</v>
      </c>
      <c r="W80" s="49" t="str">
        <f>IF(G80="","",IF(N80="OK","NONE",INDEX({"S1","S2","W1","W2","N1","N2"},MATCH(MIN(Q80:V80),Q80:V80,0))))</f>
        <v>W2</v>
      </c>
      <c r="X80" s="57">
        <f t="shared" si="11"/>
        <v>1</v>
      </c>
    </row>
    <row r="81" spans="1:24">
      <c r="A81" s="49">
        <v>79</v>
      </c>
      <c r="B81" s="50">
        <v>45</v>
      </c>
      <c r="C81" s="49" t="s">
        <v>128</v>
      </c>
      <c r="D81" s="62" t="s">
        <v>240</v>
      </c>
      <c r="E81" s="49" t="s">
        <v>106</v>
      </c>
      <c r="F81" s="49" t="s">
        <v>254</v>
      </c>
      <c r="G81" s="52">
        <v>5.41</v>
      </c>
      <c r="H81" s="53"/>
      <c r="I81" s="54"/>
      <c r="J81" s="55">
        <f>VLOOKUP(C81,Recipes!$A$2:$N$4,10,FALSE())</f>
        <v>10.940000000000001</v>
      </c>
      <c r="K81" s="56">
        <f>VLOOKUP(C81,Recipes!$A$2:$N$4,12,FALSE())</f>
        <v>5.2703573566378441E-2</v>
      </c>
      <c r="L81" s="55">
        <f t="shared" si="6"/>
        <v>10.781889279300866</v>
      </c>
      <c r="M81" s="55">
        <f t="shared" si="7"/>
        <v>11.098110720699136</v>
      </c>
      <c r="N81" s="49" t="str">
        <f t="shared" si="8"/>
        <v>NG</v>
      </c>
      <c r="O81" s="57">
        <f t="shared" si="9"/>
        <v>1</v>
      </c>
      <c r="P81" s="55">
        <f t="shared" si="10"/>
        <v>5.5300000000000011</v>
      </c>
      <c r="Q81" s="55">
        <f>IF(G81="","",ABS(P81-Components!$C$2))</f>
        <v>2.7766666666666713</v>
      </c>
      <c r="R81" s="55">
        <f>IF(G81="","",ABS(P81-Components!$C$3))</f>
        <v>1.4940000000000015</v>
      </c>
      <c r="S81" s="55">
        <f>IF(G81="","",ABS(P81-Components!$C$4))</f>
        <v>4.536666666666668</v>
      </c>
      <c r="T81" s="55">
        <f>IF(G81="","",ABS(P81-Components!$C$5))</f>
        <v>0.96733333333333071</v>
      </c>
      <c r="U81" s="55">
        <f>IF(G81="","",ABS(P81-Components!$C$6))</f>
        <v>4.3743333333333307</v>
      </c>
      <c r="V81" s="55">
        <f>IF(G81="","",ABS(P81-Components!$C$7))</f>
        <v>4.1556666666666713</v>
      </c>
      <c r="W81" s="49" t="str">
        <f>IF(G81="","",IF(N81="OK","NONE",INDEX({"S1","S2","W1","W2","N1","N2"},MATCH(MIN(Q81:V81),Q81:V81,0))))</f>
        <v>W2</v>
      </c>
      <c r="X81" s="57">
        <f t="shared" si="11"/>
        <v>1</v>
      </c>
    </row>
    <row r="82" spans="1:24">
      <c r="A82" s="49">
        <v>80</v>
      </c>
      <c r="B82" s="50">
        <v>45</v>
      </c>
      <c r="C82" s="49" t="s">
        <v>128</v>
      </c>
      <c r="D82" s="62" t="s">
        <v>240</v>
      </c>
      <c r="E82" s="49" t="s">
        <v>106</v>
      </c>
      <c r="F82" s="49" t="s">
        <v>254</v>
      </c>
      <c r="G82" s="52">
        <v>5.32</v>
      </c>
      <c r="H82" s="53"/>
      <c r="I82" s="54"/>
      <c r="J82" s="55">
        <f>VLOOKUP(C82,Recipes!$A$2:$N$4,10,FALSE())</f>
        <v>10.940000000000001</v>
      </c>
      <c r="K82" s="56">
        <f>VLOOKUP(C82,Recipes!$A$2:$N$4,12,FALSE())</f>
        <v>5.2703573566378441E-2</v>
      </c>
      <c r="L82" s="55">
        <f t="shared" si="6"/>
        <v>10.781889279300866</v>
      </c>
      <c r="M82" s="55">
        <f t="shared" si="7"/>
        <v>11.098110720699136</v>
      </c>
      <c r="N82" s="49" t="str">
        <f t="shared" si="8"/>
        <v>NG</v>
      </c>
      <c r="O82" s="57">
        <f t="shared" si="9"/>
        <v>1</v>
      </c>
      <c r="P82" s="55">
        <f t="shared" si="10"/>
        <v>5.620000000000001</v>
      </c>
      <c r="Q82" s="55">
        <f>IF(G82="","",ABS(P82-Components!$C$2))</f>
        <v>2.8666666666666711</v>
      </c>
      <c r="R82" s="55">
        <f>IF(G82="","",ABS(P82-Components!$C$3))</f>
        <v>1.5840000000000014</v>
      </c>
      <c r="S82" s="55">
        <f>IF(G82="","",ABS(P82-Components!$C$4))</f>
        <v>4.6266666666666678</v>
      </c>
      <c r="T82" s="55">
        <f>IF(G82="","",ABS(P82-Components!$C$5))</f>
        <v>1.0573333333333306</v>
      </c>
      <c r="U82" s="55">
        <f>IF(G82="","",ABS(P82-Components!$C$6))</f>
        <v>4.4643333333333306</v>
      </c>
      <c r="V82" s="55">
        <f>IF(G82="","",ABS(P82-Components!$C$7))</f>
        <v>4.2456666666666711</v>
      </c>
      <c r="W82" s="49" t="str">
        <f>IF(G82="","",IF(N82="OK","NONE",INDEX({"S1","S2","W1","W2","N1","N2"},MATCH(MIN(Q82:V82),Q82:V82,0))))</f>
        <v>W2</v>
      </c>
      <c r="X82" s="57">
        <f t="shared" si="11"/>
        <v>1</v>
      </c>
    </row>
    <row r="83" spans="1:24">
      <c r="A83" s="49">
        <v>81</v>
      </c>
      <c r="B83" s="50">
        <v>45</v>
      </c>
      <c r="C83" s="49" t="s">
        <v>128</v>
      </c>
      <c r="D83" s="62" t="s">
        <v>240</v>
      </c>
      <c r="E83" s="49" t="s">
        <v>106</v>
      </c>
      <c r="F83" s="49" t="s">
        <v>254</v>
      </c>
      <c r="G83" s="52">
        <v>5.36</v>
      </c>
      <c r="H83" s="53"/>
      <c r="I83" s="54"/>
      <c r="J83" s="55">
        <f>VLOOKUP(C83,Recipes!$A$2:$N$4,10,FALSE())</f>
        <v>10.940000000000001</v>
      </c>
      <c r="K83" s="56">
        <f>VLOOKUP(C83,Recipes!$A$2:$N$4,12,FALSE())</f>
        <v>5.2703573566378441E-2</v>
      </c>
      <c r="L83" s="55">
        <f t="shared" si="6"/>
        <v>10.781889279300866</v>
      </c>
      <c r="M83" s="55">
        <f t="shared" si="7"/>
        <v>11.098110720699136</v>
      </c>
      <c r="N83" s="49" t="str">
        <f t="shared" si="8"/>
        <v>NG</v>
      </c>
      <c r="O83" s="57">
        <f t="shared" si="9"/>
        <v>1</v>
      </c>
      <c r="P83" s="55">
        <f t="shared" si="10"/>
        <v>5.580000000000001</v>
      </c>
      <c r="Q83" s="55">
        <f>IF(G83="","",ABS(P83-Components!$C$2))</f>
        <v>2.8266666666666711</v>
      </c>
      <c r="R83" s="55">
        <f>IF(G83="","",ABS(P83-Components!$C$3))</f>
        <v>1.5440000000000014</v>
      </c>
      <c r="S83" s="55">
        <f>IF(G83="","",ABS(P83-Components!$C$4))</f>
        <v>4.5866666666666678</v>
      </c>
      <c r="T83" s="55">
        <f>IF(G83="","",ABS(P83-Components!$C$5))</f>
        <v>1.0173333333333305</v>
      </c>
      <c r="U83" s="55">
        <f>IF(G83="","",ABS(P83-Components!$C$6))</f>
        <v>4.4243333333333315</v>
      </c>
      <c r="V83" s="55">
        <f>IF(G83="","",ABS(P83-Components!$C$7))</f>
        <v>4.2056666666666711</v>
      </c>
      <c r="W83" s="49" t="str">
        <f>IF(G83="","",IF(N83="OK","NONE",INDEX({"S1","S2","W1","W2","N1","N2"},MATCH(MIN(Q83:V83),Q83:V83,0))))</f>
        <v>W2</v>
      </c>
      <c r="X83" s="57">
        <f t="shared" si="11"/>
        <v>1</v>
      </c>
    </row>
    <row r="84" spans="1:24">
      <c r="A84" s="49">
        <v>82</v>
      </c>
      <c r="B84" s="50">
        <v>45</v>
      </c>
      <c r="C84" s="49" t="s">
        <v>128</v>
      </c>
      <c r="D84" s="62" t="s">
        <v>240</v>
      </c>
      <c r="E84" s="49" t="s">
        <v>106</v>
      </c>
      <c r="F84" s="49" t="s">
        <v>254</v>
      </c>
      <c r="G84" s="52">
        <v>5.42</v>
      </c>
      <c r="H84" s="53"/>
      <c r="I84" s="54"/>
      <c r="J84" s="55">
        <f>VLOOKUP(C84,Recipes!$A$2:$N$4,10,FALSE())</f>
        <v>10.940000000000001</v>
      </c>
      <c r="K84" s="56">
        <f>VLOOKUP(C84,Recipes!$A$2:$N$4,12,FALSE())</f>
        <v>5.2703573566378441E-2</v>
      </c>
      <c r="L84" s="55">
        <f t="shared" si="6"/>
        <v>10.781889279300866</v>
      </c>
      <c r="M84" s="55">
        <f t="shared" si="7"/>
        <v>11.098110720699136</v>
      </c>
      <c r="N84" s="49" t="str">
        <f t="shared" si="8"/>
        <v>NG</v>
      </c>
      <c r="O84" s="57">
        <f t="shared" si="9"/>
        <v>1</v>
      </c>
      <c r="P84" s="55">
        <f t="shared" si="10"/>
        <v>5.5200000000000014</v>
      </c>
      <c r="Q84" s="55">
        <f>IF(G84="","",ABS(P84-Components!$C$2))</f>
        <v>2.7666666666666715</v>
      </c>
      <c r="R84" s="55">
        <f>IF(G84="","",ABS(P84-Components!$C$3))</f>
        <v>1.4840000000000018</v>
      </c>
      <c r="S84" s="55">
        <f>IF(G84="","",ABS(P84-Components!$C$4))</f>
        <v>4.5266666666666682</v>
      </c>
      <c r="T84" s="55">
        <f>IF(G84="","",ABS(P84-Components!$C$5))</f>
        <v>0.95733333333333093</v>
      </c>
      <c r="U84" s="55">
        <f>IF(G84="","",ABS(P84-Components!$C$6))</f>
        <v>4.364333333333331</v>
      </c>
      <c r="V84" s="55">
        <f>IF(G84="","",ABS(P84-Components!$C$7))</f>
        <v>4.1456666666666715</v>
      </c>
      <c r="W84" s="49" t="str">
        <f>IF(G84="","",IF(N84="OK","NONE",INDEX({"S1","S2","W1","W2","N1","N2"},MATCH(MIN(Q84:V84),Q84:V84,0))))</f>
        <v>W2</v>
      </c>
      <c r="X84" s="57">
        <f t="shared" si="11"/>
        <v>1</v>
      </c>
    </row>
    <row r="85" spans="1:24">
      <c r="A85" s="49">
        <v>83</v>
      </c>
      <c r="B85" s="50">
        <v>45</v>
      </c>
      <c r="C85" s="49" t="s">
        <v>128</v>
      </c>
      <c r="D85" s="62" t="s">
        <v>240</v>
      </c>
      <c r="E85" s="49" t="s">
        <v>106</v>
      </c>
      <c r="F85" s="49" t="s">
        <v>254</v>
      </c>
      <c r="G85" s="52">
        <v>5.37</v>
      </c>
      <c r="H85" s="53"/>
      <c r="I85" s="54"/>
      <c r="J85" s="55">
        <f>VLOOKUP(C85,Recipes!$A$2:$N$4,10,FALSE())</f>
        <v>10.940000000000001</v>
      </c>
      <c r="K85" s="56">
        <f>VLOOKUP(C85,Recipes!$A$2:$N$4,12,FALSE())</f>
        <v>5.2703573566378441E-2</v>
      </c>
      <c r="L85" s="55">
        <f t="shared" si="6"/>
        <v>10.781889279300866</v>
      </c>
      <c r="M85" s="55">
        <f t="shared" si="7"/>
        <v>11.098110720699136</v>
      </c>
      <c r="N85" s="49" t="str">
        <f t="shared" si="8"/>
        <v>NG</v>
      </c>
      <c r="O85" s="57">
        <f t="shared" si="9"/>
        <v>1</v>
      </c>
      <c r="P85" s="55">
        <f t="shared" si="10"/>
        <v>5.5700000000000012</v>
      </c>
      <c r="Q85" s="55">
        <f>IF(G85="","",ABS(P85-Components!$C$2))</f>
        <v>2.8166666666666713</v>
      </c>
      <c r="R85" s="55">
        <f>IF(G85="","",ABS(P85-Components!$C$3))</f>
        <v>1.5340000000000016</v>
      </c>
      <c r="S85" s="55">
        <f>IF(G85="","",ABS(P85-Components!$C$4))</f>
        <v>4.576666666666668</v>
      </c>
      <c r="T85" s="55">
        <f>IF(G85="","",ABS(P85-Components!$C$5))</f>
        <v>1.0073333333333307</v>
      </c>
      <c r="U85" s="55">
        <f>IF(G85="","",ABS(P85-Components!$C$6))</f>
        <v>4.4143333333333317</v>
      </c>
      <c r="V85" s="55">
        <f>IF(G85="","",ABS(P85-Components!$C$7))</f>
        <v>4.1956666666666713</v>
      </c>
      <c r="W85" s="49" t="str">
        <f>IF(G85="","",IF(N85="OK","NONE",INDEX({"S1","S2","W1","W2","N1","N2"},MATCH(MIN(Q85:V85),Q85:V85,0))))</f>
        <v>W2</v>
      </c>
      <c r="X85" s="57">
        <f t="shared" si="11"/>
        <v>1</v>
      </c>
    </row>
    <row r="86" spans="1:24">
      <c r="A86" s="49">
        <v>84</v>
      </c>
      <c r="B86" s="50">
        <v>45</v>
      </c>
      <c r="C86" s="49" t="s">
        <v>128</v>
      </c>
      <c r="D86" s="62" t="s">
        <v>240</v>
      </c>
      <c r="E86" s="49" t="s">
        <v>106</v>
      </c>
      <c r="F86" s="49" t="s">
        <v>254</v>
      </c>
      <c r="G86" s="52">
        <v>5.4</v>
      </c>
      <c r="H86" s="53"/>
      <c r="I86" s="54"/>
      <c r="J86" s="55">
        <f>VLOOKUP(C86,Recipes!$A$2:$N$4,10,FALSE())</f>
        <v>10.940000000000001</v>
      </c>
      <c r="K86" s="56">
        <f>VLOOKUP(C86,Recipes!$A$2:$N$4,12,FALSE())</f>
        <v>5.2703573566378441E-2</v>
      </c>
      <c r="L86" s="55">
        <f t="shared" si="6"/>
        <v>10.781889279300866</v>
      </c>
      <c r="M86" s="55">
        <f t="shared" si="7"/>
        <v>11.098110720699136</v>
      </c>
      <c r="N86" s="49" t="str">
        <f t="shared" si="8"/>
        <v>NG</v>
      </c>
      <c r="O86" s="57">
        <f t="shared" si="9"/>
        <v>1</v>
      </c>
      <c r="P86" s="55">
        <f t="shared" si="10"/>
        <v>5.5400000000000009</v>
      </c>
      <c r="Q86" s="55">
        <f>IF(G86="","",ABS(P86-Components!$C$2))</f>
        <v>2.7866666666666711</v>
      </c>
      <c r="R86" s="55">
        <f>IF(G86="","",ABS(P86-Components!$C$3))</f>
        <v>1.5040000000000013</v>
      </c>
      <c r="S86" s="55">
        <f>IF(G86="","",ABS(P86-Components!$C$4))</f>
        <v>4.5466666666666677</v>
      </c>
      <c r="T86" s="55">
        <f>IF(G86="","",ABS(P86-Components!$C$5))</f>
        <v>0.9773333333333305</v>
      </c>
      <c r="U86" s="55">
        <f>IF(G86="","",ABS(P86-Components!$C$6))</f>
        <v>4.3843333333333305</v>
      </c>
      <c r="V86" s="55">
        <f>IF(G86="","",ABS(P86-Components!$C$7))</f>
        <v>4.1656666666666711</v>
      </c>
      <c r="W86" s="49" t="str">
        <f>IF(G86="","",IF(N86="OK","NONE",INDEX({"S1","S2","W1","W2","N1","N2"},MATCH(MIN(Q86:V86),Q86:V86,0))))</f>
        <v>W2</v>
      </c>
      <c r="X86" s="57">
        <f t="shared" si="11"/>
        <v>1</v>
      </c>
    </row>
    <row r="87" spans="1:24">
      <c r="A87" s="49">
        <v>85</v>
      </c>
      <c r="B87" s="50">
        <v>45</v>
      </c>
      <c r="C87" s="49" t="s">
        <v>128</v>
      </c>
      <c r="D87" s="62" t="s">
        <v>240</v>
      </c>
      <c r="E87" s="49" t="s">
        <v>106</v>
      </c>
      <c r="F87" s="49" t="s">
        <v>254</v>
      </c>
      <c r="G87" s="52">
        <v>5.35</v>
      </c>
      <c r="H87" s="53"/>
      <c r="I87" s="54"/>
      <c r="J87" s="55">
        <f>VLOOKUP(C87,Recipes!$A$2:$N$4,10,FALSE())</f>
        <v>10.940000000000001</v>
      </c>
      <c r="K87" s="56">
        <f>VLOOKUP(C87,Recipes!$A$2:$N$4,12,FALSE())</f>
        <v>5.2703573566378441E-2</v>
      </c>
      <c r="L87" s="55">
        <f t="shared" si="6"/>
        <v>10.781889279300866</v>
      </c>
      <c r="M87" s="55">
        <f t="shared" si="7"/>
        <v>11.098110720699136</v>
      </c>
      <c r="N87" s="49" t="str">
        <f t="shared" si="8"/>
        <v>NG</v>
      </c>
      <c r="O87" s="57">
        <f t="shared" si="9"/>
        <v>1</v>
      </c>
      <c r="P87" s="55">
        <f t="shared" si="10"/>
        <v>5.5900000000000016</v>
      </c>
      <c r="Q87" s="55">
        <f>IF(G87="","",ABS(P87-Components!$C$2))</f>
        <v>2.8366666666666718</v>
      </c>
      <c r="R87" s="55">
        <f>IF(G87="","",ABS(P87-Components!$C$3))</f>
        <v>1.554000000000002</v>
      </c>
      <c r="S87" s="55">
        <f>IF(G87="","",ABS(P87-Components!$C$4))</f>
        <v>4.5966666666666685</v>
      </c>
      <c r="T87" s="55">
        <f>IF(G87="","",ABS(P87-Components!$C$5))</f>
        <v>1.0273333333333312</v>
      </c>
      <c r="U87" s="55">
        <f>IF(G87="","",ABS(P87-Components!$C$6))</f>
        <v>4.4343333333333312</v>
      </c>
      <c r="V87" s="55">
        <f>IF(G87="","",ABS(P87-Components!$C$7))</f>
        <v>4.2156666666666718</v>
      </c>
      <c r="W87" s="49" t="str">
        <f>IF(G87="","",IF(N87="OK","NONE",INDEX({"S1","S2","W1","W2","N1","N2"},MATCH(MIN(Q87:V87),Q87:V87,0))))</f>
        <v>W2</v>
      </c>
      <c r="X87" s="57">
        <f t="shared" si="11"/>
        <v>1</v>
      </c>
    </row>
    <row r="88" spans="1:24">
      <c r="A88" s="49">
        <v>86</v>
      </c>
      <c r="B88" s="50">
        <v>45</v>
      </c>
      <c r="C88" s="49" t="s">
        <v>128</v>
      </c>
      <c r="D88" s="62" t="s">
        <v>240</v>
      </c>
      <c r="E88" s="49" t="s">
        <v>106</v>
      </c>
      <c r="F88" s="49" t="s">
        <v>254</v>
      </c>
      <c r="G88" s="52">
        <v>5.38</v>
      </c>
      <c r="H88" s="53"/>
      <c r="I88" s="54"/>
      <c r="J88" s="55">
        <f>VLOOKUP(C88,Recipes!$A$2:$N$4,10,FALSE())</f>
        <v>10.940000000000001</v>
      </c>
      <c r="K88" s="56">
        <f>VLOOKUP(C88,Recipes!$A$2:$N$4,12,FALSE())</f>
        <v>5.2703573566378441E-2</v>
      </c>
      <c r="L88" s="55">
        <f t="shared" si="6"/>
        <v>10.781889279300866</v>
      </c>
      <c r="M88" s="55">
        <f t="shared" si="7"/>
        <v>11.098110720699136</v>
      </c>
      <c r="N88" s="49" t="str">
        <f t="shared" si="8"/>
        <v>NG</v>
      </c>
      <c r="O88" s="57">
        <f t="shared" si="9"/>
        <v>1</v>
      </c>
      <c r="P88" s="55">
        <f t="shared" si="10"/>
        <v>5.5600000000000014</v>
      </c>
      <c r="Q88" s="55">
        <f>IF(G88="","",ABS(P88-Components!$C$2))</f>
        <v>2.8066666666666715</v>
      </c>
      <c r="R88" s="55">
        <f>IF(G88="","",ABS(P88-Components!$C$3))</f>
        <v>1.5240000000000018</v>
      </c>
      <c r="S88" s="55">
        <f>IF(G88="","",ABS(P88-Components!$C$4))</f>
        <v>4.5666666666666682</v>
      </c>
      <c r="T88" s="55">
        <f>IF(G88="","",ABS(P88-Components!$C$5))</f>
        <v>0.99733333333333096</v>
      </c>
      <c r="U88" s="55">
        <f>IF(G88="","",ABS(P88-Components!$C$6))</f>
        <v>4.4043333333333319</v>
      </c>
      <c r="V88" s="55">
        <f>IF(G88="","",ABS(P88-Components!$C$7))</f>
        <v>4.1856666666666715</v>
      </c>
      <c r="W88" s="49" t="str">
        <f>IF(G88="","",IF(N88="OK","NONE",INDEX({"S1","S2","W1","W2","N1","N2"},MATCH(MIN(Q88:V88),Q88:V88,0))))</f>
        <v>W2</v>
      </c>
      <c r="X88" s="57">
        <f t="shared" si="11"/>
        <v>1</v>
      </c>
    </row>
    <row r="89" spans="1:24">
      <c r="A89" s="49">
        <v>87</v>
      </c>
      <c r="B89" s="50">
        <v>45</v>
      </c>
      <c r="C89" s="49" t="s">
        <v>128</v>
      </c>
      <c r="D89" s="62" t="s">
        <v>240</v>
      </c>
      <c r="E89" s="49" t="s">
        <v>106</v>
      </c>
      <c r="F89" s="49" t="s">
        <v>254</v>
      </c>
      <c r="G89" s="52">
        <v>5.34</v>
      </c>
      <c r="H89" s="53"/>
      <c r="I89" s="54"/>
      <c r="J89" s="55">
        <f>VLOOKUP(C89,Recipes!$A$2:$N$4,10,FALSE())</f>
        <v>10.940000000000001</v>
      </c>
      <c r="K89" s="56">
        <f>VLOOKUP(C89,Recipes!$A$2:$N$4,12,FALSE())</f>
        <v>5.2703573566378441E-2</v>
      </c>
      <c r="L89" s="55">
        <f t="shared" si="6"/>
        <v>10.781889279300866</v>
      </c>
      <c r="M89" s="55">
        <f t="shared" si="7"/>
        <v>11.098110720699136</v>
      </c>
      <c r="N89" s="49" t="str">
        <f t="shared" si="8"/>
        <v>NG</v>
      </c>
      <c r="O89" s="57">
        <f t="shared" si="9"/>
        <v>1</v>
      </c>
      <c r="P89" s="55">
        <f t="shared" si="10"/>
        <v>5.6000000000000014</v>
      </c>
      <c r="Q89" s="55">
        <f>IF(G89="","",ABS(P89-Components!$C$2))</f>
        <v>2.8466666666666716</v>
      </c>
      <c r="R89" s="55">
        <f>IF(G89="","",ABS(P89-Components!$C$3))</f>
        <v>1.5640000000000018</v>
      </c>
      <c r="S89" s="55">
        <f>IF(G89="","",ABS(P89-Components!$C$4))</f>
        <v>4.6066666666666682</v>
      </c>
      <c r="T89" s="55">
        <f>IF(G89="","",ABS(P89-Components!$C$5))</f>
        <v>1.037333333333331</v>
      </c>
      <c r="U89" s="55">
        <f>IF(G89="","",ABS(P89-Components!$C$6))</f>
        <v>4.444333333333331</v>
      </c>
      <c r="V89" s="55">
        <f>IF(G89="","",ABS(P89-Components!$C$7))</f>
        <v>4.2256666666666716</v>
      </c>
      <c r="W89" s="49" t="str">
        <f>IF(G89="","",IF(N89="OK","NONE",INDEX({"S1","S2","W1","W2","N1","N2"},MATCH(MIN(Q89:V89),Q89:V89,0))))</f>
        <v>W2</v>
      </c>
      <c r="X89" s="57">
        <f t="shared" si="11"/>
        <v>1</v>
      </c>
    </row>
    <row r="90" spans="1:24">
      <c r="A90" s="49">
        <v>88</v>
      </c>
      <c r="B90" s="50">
        <v>45</v>
      </c>
      <c r="C90" s="49" t="s">
        <v>128</v>
      </c>
      <c r="D90" s="62" t="s">
        <v>240</v>
      </c>
      <c r="E90" s="49" t="s">
        <v>106</v>
      </c>
      <c r="F90" s="49" t="s">
        <v>254</v>
      </c>
      <c r="G90" s="52">
        <v>5.42</v>
      </c>
      <c r="H90" s="53"/>
      <c r="I90" s="54"/>
      <c r="J90" s="55">
        <f>VLOOKUP(C90,Recipes!$A$2:$N$4,10,FALSE())</f>
        <v>10.940000000000001</v>
      </c>
      <c r="K90" s="56">
        <f>VLOOKUP(C90,Recipes!$A$2:$N$4,12,FALSE())</f>
        <v>5.2703573566378441E-2</v>
      </c>
      <c r="L90" s="55">
        <f t="shared" si="6"/>
        <v>10.781889279300866</v>
      </c>
      <c r="M90" s="55">
        <f t="shared" si="7"/>
        <v>11.098110720699136</v>
      </c>
      <c r="N90" s="49" t="str">
        <f t="shared" si="8"/>
        <v>NG</v>
      </c>
      <c r="O90" s="57">
        <f t="shared" si="9"/>
        <v>1</v>
      </c>
      <c r="P90" s="55">
        <f t="shared" si="10"/>
        <v>5.5200000000000014</v>
      </c>
      <c r="Q90" s="55">
        <f>IF(G90="","",ABS(P90-Components!$C$2))</f>
        <v>2.7666666666666715</v>
      </c>
      <c r="R90" s="55">
        <f>IF(G90="","",ABS(P90-Components!$C$3))</f>
        <v>1.4840000000000018</v>
      </c>
      <c r="S90" s="55">
        <f>IF(G90="","",ABS(P90-Components!$C$4))</f>
        <v>4.5266666666666682</v>
      </c>
      <c r="T90" s="55">
        <f>IF(G90="","",ABS(P90-Components!$C$5))</f>
        <v>0.95733333333333093</v>
      </c>
      <c r="U90" s="55">
        <f>IF(G90="","",ABS(P90-Components!$C$6))</f>
        <v>4.364333333333331</v>
      </c>
      <c r="V90" s="55">
        <f>IF(G90="","",ABS(P90-Components!$C$7))</f>
        <v>4.1456666666666715</v>
      </c>
      <c r="W90" s="49" t="str">
        <f>IF(G90="","",IF(N90="OK","NONE",INDEX({"S1","S2","W1","W2","N1","N2"},MATCH(MIN(Q90:V90),Q90:V90,0))))</f>
        <v>W2</v>
      </c>
      <c r="X90" s="57">
        <f t="shared" si="11"/>
        <v>1</v>
      </c>
    </row>
    <row r="91" spans="1:24">
      <c r="A91" s="49">
        <v>89</v>
      </c>
      <c r="B91" s="50">
        <v>45</v>
      </c>
      <c r="C91" s="49" t="s">
        <v>128</v>
      </c>
      <c r="D91" s="62" t="s">
        <v>240</v>
      </c>
      <c r="E91" s="49" t="s">
        <v>106</v>
      </c>
      <c r="F91" s="49" t="s">
        <v>254</v>
      </c>
      <c r="G91" s="52">
        <v>5.4</v>
      </c>
      <c r="H91" s="53"/>
      <c r="I91" s="54"/>
      <c r="J91" s="55">
        <f>VLOOKUP(C91,Recipes!$A$2:$N$4,10,FALSE())</f>
        <v>10.940000000000001</v>
      </c>
      <c r="K91" s="56">
        <f>VLOOKUP(C91,Recipes!$A$2:$N$4,12,FALSE())</f>
        <v>5.2703573566378441E-2</v>
      </c>
      <c r="L91" s="55">
        <f t="shared" si="6"/>
        <v>10.781889279300866</v>
      </c>
      <c r="M91" s="55">
        <f t="shared" si="7"/>
        <v>11.098110720699136</v>
      </c>
      <c r="N91" s="49" t="str">
        <f t="shared" si="8"/>
        <v>NG</v>
      </c>
      <c r="O91" s="57">
        <f t="shared" si="9"/>
        <v>1</v>
      </c>
      <c r="P91" s="55">
        <f t="shared" si="10"/>
        <v>5.5400000000000009</v>
      </c>
      <c r="Q91" s="55">
        <f>IF(G91="","",ABS(P91-Components!$C$2))</f>
        <v>2.7866666666666711</v>
      </c>
      <c r="R91" s="55">
        <f>IF(G91="","",ABS(P91-Components!$C$3))</f>
        <v>1.5040000000000013</v>
      </c>
      <c r="S91" s="55">
        <f>IF(G91="","",ABS(P91-Components!$C$4))</f>
        <v>4.5466666666666677</v>
      </c>
      <c r="T91" s="55">
        <f>IF(G91="","",ABS(P91-Components!$C$5))</f>
        <v>0.9773333333333305</v>
      </c>
      <c r="U91" s="55">
        <f>IF(G91="","",ABS(P91-Components!$C$6))</f>
        <v>4.3843333333333305</v>
      </c>
      <c r="V91" s="55">
        <f>IF(G91="","",ABS(P91-Components!$C$7))</f>
        <v>4.1656666666666711</v>
      </c>
      <c r="W91" s="49" t="str">
        <f>IF(G91="","",IF(N91="OK","NONE",INDEX({"S1","S2","W1","W2","N1","N2"},MATCH(MIN(Q91:V91),Q91:V91,0))))</f>
        <v>W2</v>
      </c>
      <c r="X91" s="57">
        <f t="shared" si="11"/>
        <v>1</v>
      </c>
    </row>
    <row r="92" spans="1:24">
      <c r="A92" s="49">
        <v>90</v>
      </c>
      <c r="B92" s="50">
        <v>30</v>
      </c>
      <c r="C92" s="49" t="s">
        <v>128</v>
      </c>
      <c r="D92" s="62" t="s">
        <v>240</v>
      </c>
      <c r="E92" s="49" t="s">
        <v>106</v>
      </c>
      <c r="F92" s="49" t="s">
        <v>255</v>
      </c>
      <c r="G92" s="52">
        <v>5.42</v>
      </c>
      <c r="H92" s="53"/>
      <c r="I92" s="54"/>
      <c r="J92" s="55">
        <f>VLOOKUP(C92,Recipes!$A$2:$N$4,10,FALSE())</f>
        <v>10.940000000000001</v>
      </c>
      <c r="K92" s="56">
        <f>VLOOKUP(C92,Recipes!$A$2:$N$4,12,FALSE())</f>
        <v>5.2703573566378441E-2</v>
      </c>
      <c r="L92" s="55">
        <f t="shared" si="6"/>
        <v>10.781889279300866</v>
      </c>
      <c r="M92" s="55">
        <f t="shared" si="7"/>
        <v>11.098110720699136</v>
      </c>
      <c r="N92" s="49" t="str">
        <f t="shared" si="8"/>
        <v>NG</v>
      </c>
      <c r="O92" s="57">
        <f t="shared" si="9"/>
        <v>1</v>
      </c>
      <c r="P92" s="55">
        <f t="shared" si="10"/>
        <v>5.5200000000000014</v>
      </c>
      <c r="Q92" s="55">
        <f>IF(G92="","",ABS(P92-Components!$C$2))</f>
        <v>2.7666666666666715</v>
      </c>
      <c r="R92" s="55">
        <f>IF(G92="","",ABS(P92-Components!$C$3))</f>
        <v>1.4840000000000018</v>
      </c>
      <c r="S92" s="55">
        <f>IF(G92="","",ABS(P92-Components!$C$4))</f>
        <v>4.5266666666666682</v>
      </c>
      <c r="T92" s="55">
        <f>IF(G92="","",ABS(P92-Components!$C$5))</f>
        <v>0.95733333333333093</v>
      </c>
      <c r="U92" s="55">
        <f>IF(G92="","",ABS(P92-Components!$C$6))</f>
        <v>4.364333333333331</v>
      </c>
      <c r="V92" s="55">
        <f>IF(G92="","",ABS(P92-Components!$C$7))</f>
        <v>4.1456666666666715</v>
      </c>
      <c r="W92" s="49" t="str">
        <f>IF(G92="","",IF(N92="OK","NONE",INDEX({"S1","S2","W1","W2","N1","N2"},MATCH(MIN(Q92:V92),Q92:V92,0))))</f>
        <v>W2</v>
      </c>
      <c r="X92" s="57">
        <f t="shared" si="11"/>
        <v>1</v>
      </c>
    </row>
    <row r="93" spans="1:24">
      <c r="A93" s="49">
        <v>91</v>
      </c>
      <c r="B93" s="50">
        <v>55</v>
      </c>
      <c r="C93" s="49" t="s">
        <v>128</v>
      </c>
      <c r="D93" s="62" t="s">
        <v>240</v>
      </c>
      <c r="E93" s="49" t="s">
        <v>110</v>
      </c>
      <c r="F93" s="49" t="s">
        <v>256</v>
      </c>
      <c r="G93" s="52">
        <v>8.61</v>
      </c>
      <c r="H93" s="53"/>
      <c r="I93" s="54"/>
      <c r="J93" s="55">
        <f>VLOOKUP(C93,Recipes!$A$2:$N$4,10,FALSE())</f>
        <v>10.940000000000001</v>
      </c>
      <c r="K93" s="56">
        <f>VLOOKUP(C93,Recipes!$A$2:$N$4,12,FALSE())</f>
        <v>5.2703573566378441E-2</v>
      </c>
      <c r="L93" s="55">
        <f t="shared" si="6"/>
        <v>10.781889279300866</v>
      </c>
      <c r="M93" s="55">
        <f t="shared" si="7"/>
        <v>11.098110720699136</v>
      </c>
      <c r="N93" s="49" t="str">
        <f t="shared" si="8"/>
        <v>NG</v>
      </c>
      <c r="O93" s="57">
        <f t="shared" si="9"/>
        <v>1</v>
      </c>
      <c r="P93" s="55">
        <f t="shared" si="10"/>
        <v>2.3300000000000018</v>
      </c>
      <c r="Q93" s="55">
        <f>IF(G93="","",ABS(P93-Components!$C$2))</f>
        <v>0.42333333333332801</v>
      </c>
      <c r="R93" s="55">
        <f>IF(G93="","",ABS(P93-Components!$C$3))</f>
        <v>1.7059999999999977</v>
      </c>
      <c r="S93" s="55">
        <f>IF(G93="","",ABS(P93-Components!$C$4))</f>
        <v>1.3366666666666689</v>
      </c>
      <c r="T93" s="55">
        <f>IF(G93="","",ABS(P93-Components!$C$5))</f>
        <v>2.2326666666666686</v>
      </c>
      <c r="U93" s="55">
        <f>IF(G93="","",ABS(P93-Components!$C$6))</f>
        <v>1.1743333333333319</v>
      </c>
      <c r="V93" s="55">
        <f>IF(G93="","",ABS(P93-Components!$C$7))</f>
        <v>0.95566666666667177</v>
      </c>
      <c r="W93" s="49" t="str">
        <f>IF(G93="","",IF(N93="OK","NONE",INDEX({"S1","S2","W1","W2","N1","N2"},MATCH(MIN(Q93:V93),Q93:V93,0))))</f>
        <v>S1</v>
      </c>
      <c r="X93" s="57">
        <f t="shared" si="11"/>
        <v>0</v>
      </c>
    </row>
    <row r="94" spans="1:24">
      <c r="A94" s="49">
        <v>92</v>
      </c>
      <c r="B94" s="50">
        <v>4</v>
      </c>
      <c r="C94" s="49" t="s">
        <v>128</v>
      </c>
      <c r="D94" s="62" t="s">
        <v>240</v>
      </c>
      <c r="E94" s="49" t="s">
        <v>110</v>
      </c>
      <c r="F94" s="49" t="s">
        <v>257</v>
      </c>
      <c r="G94" s="52">
        <v>8.6199999999999992</v>
      </c>
      <c r="H94" s="53"/>
      <c r="I94" s="54"/>
      <c r="J94" s="55">
        <f>VLOOKUP(C94,Recipes!$A$2:$N$4,10,FALSE())</f>
        <v>10.940000000000001</v>
      </c>
      <c r="K94" s="56">
        <f>VLOOKUP(C94,Recipes!$A$2:$N$4,12,FALSE())</f>
        <v>5.2703573566378441E-2</v>
      </c>
      <c r="L94" s="55">
        <f t="shared" si="6"/>
        <v>10.781889279300866</v>
      </c>
      <c r="M94" s="55">
        <f t="shared" si="7"/>
        <v>11.098110720699136</v>
      </c>
      <c r="N94" s="49" t="str">
        <f t="shared" si="8"/>
        <v>NG</v>
      </c>
      <c r="O94" s="57">
        <f t="shared" si="9"/>
        <v>1</v>
      </c>
      <c r="P94" s="55">
        <f t="shared" si="10"/>
        <v>2.3200000000000021</v>
      </c>
      <c r="Q94" s="55">
        <f>IF(G94="","",ABS(P94-Components!$C$2))</f>
        <v>0.4333333333333278</v>
      </c>
      <c r="R94" s="55">
        <f>IF(G94="","",ABS(P94-Components!$C$3))</f>
        <v>1.7159999999999975</v>
      </c>
      <c r="S94" s="55">
        <f>IF(G94="","",ABS(P94-Components!$C$4))</f>
        <v>1.3266666666666691</v>
      </c>
      <c r="T94" s="55">
        <f>IF(G94="","",ABS(P94-Components!$C$5))</f>
        <v>2.2426666666666684</v>
      </c>
      <c r="U94" s="55">
        <f>IF(G94="","",ABS(P94-Components!$C$6))</f>
        <v>1.1643333333333321</v>
      </c>
      <c r="V94" s="55">
        <f>IF(G94="","",ABS(P94-Components!$C$7))</f>
        <v>0.94566666666667198</v>
      </c>
      <c r="W94" s="49" t="str">
        <f>IF(G94="","",IF(N94="OK","NONE",INDEX({"S1","S2","W1","W2","N1","N2"},MATCH(MIN(Q94:V94),Q94:V94,0))))</f>
        <v>S1</v>
      </c>
      <c r="X94" s="57">
        <f t="shared" si="11"/>
        <v>0</v>
      </c>
    </row>
    <row r="95" spans="1:24">
      <c r="A95" s="49">
        <v>93</v>
      </c>
      <c r="B95" s="50">
        <v>22</v>
      </c>
      <c r="C95" s="49" t="s">
        <v>128</v>
      </c>
      <c r="D95" s="62" t="s">
        <v>240</v>
      </c>
      <c r="E95" s="49" t="s">
        <v>110</v>
      </c>
      <c r="F95" s="49" t="s">
        <v>258</v>
      </c>
      <c r="G95" s="52">
        <v>8.6300000000000008</v>
      </c>
      <c r="H95" s="53"/>
      <c r="I95" s="54"/>
      <c r="J95" s="55">
        <f>VLOOKUP(C95,Recipes!$A$2:$N$4,10,FALSE())</f>
        <v>10.940000000000001</v>
      </c>
      <c r="K95" s="56">
        <f>VLOOKUP(C95,Recipes!$A$2:$N$4,12,FALSE())</f>
        <v>5.2703573566378441E-2</v>
      </c>
      <c r="L95" s="55">
        <f t="shared" si="6"/>
        <v>10.781889279300866</v>
      </c>
      <c r="M95" s="55">
        <f t="shared" si="7"/>
        <v>11.098110720699136</v>
      </c>
      <c r="N95" s="49" t="str">
        <f t="shared" si="8"/>
        <v>NG</v>
      </c>
      <c r="O95" s="57">
        <f t="shared" si="9"/>
        <v>1</v>
      </c>
      <c r="P95" s="55">
        <f t="shared" si="10"/>
        <v>2.3100000000000005</v>
      </c>
      <c r="Q95" s="55">
        <f>IF(G95="","",ABS(P95-Components!$C$2))</f>
        <v>0.44333333333332936</v>
      </c>
      <c r="R95" s="55">
        <f>IF(G95="","",ABS(P95-Components!$C$3))</f>
        <v>1.7259999999999991</v>
      </c>
      <c r="S95" s="55">
        <f>IF(G95="","",ABS(P95-Components!$C$4))</f>
        <v>1.3166666666666675</v>
      </c>
      <c r="T95" s="55">
        <f>IF(G95="","",ABS(P95-Components!$C$5))</f>
        <v>2.2526666666666699</v>
      </c>
      <c r="U95" s="55">
        <f>IF(G95="","",ABS(P95-Components!$C$6))</f>
        <v>1.1543333333333305</v>
      </c>
      <c r="V95" s="55">
        <f>IF(G95="","",ABS(P95-Components!$C$7))</f>
        <v>0.93566666666667042</v>
      </c>
      <c r="W95" s="49" t="str">
        <f>IF(G95="","",IF(N95="OK","NONE",INDEX({"S1","S2","W1","W2","N1","N2"},MATCH(MIN(Q95:V95),Q95:V95,0))))</f>
        <v>S1</v>
      </c>
      <c r="X95" s="57">
        <f t="shared" si="11"/>
        <v>0</v>
      </c>
    </row>
    <row r="96" spans="1:24">
      <c r="A96" s="49">
        <v>94</v>
      </c>
      <c r="B96" s="50">
        <v>47</v>
      </c>
      <c r="C96" s="49" t="s">
        <v>128</v>
      </c>
      <c r="D96" s="62" t="s">
        <v>240</v>
      </c>
      <c r="E96" s="49" t="s">
        <v>110</v>
      </c>
      <c r="F96" s="49" t="s">
        <v>259</v>
      </c>
      <c r="G96" s="52">
        <v>8.6199999999999992</v>
      </c>
      <c r="H96" s="53"/>
      <c r="I96" s="54"/>
      <c r="J96" s="55">
        <f>VLOOKUP(C96,Recipes!$A$2:$N$4,10,FALSE())</f>
        <v>10.940000000000001</v>
      </c>
      <c r="K96" s="56">
        <f>VLOOKUP(C96,Recipes!$A$2:$N$4,12,FALSE())</f>
        <v>5.2703573566378441E-2</v>
      </c>
      <c r="L96" s="55">
        <f t="shared" si="6"/>
        <v>10.781889279300866</v>
      </c>
      <c r="M96" s="55">
        <f t="shared" si="7"/>
        <v>11.098110720699136</v>
      </c>
      <c r="N96" s="49" t="str">
        <f t="shared" si="8"/>
        <v>NG</v>
      </c>
      <c r="O96" s="57">
        <f t="shared" si="9"/>
        <v>1</v>
      </c>
      <c r="P96" s="55">
        <f t="shared" si="10"/>
        <v>2.3200000000000021</v>
      </c>
      <c r="Q96" s="55">
        <f>IF(G96="","",ABS(P96-Components!$C$2))</f>
        <v>0.4333333333333278</v>
      </c>
      <c r="R96" s="55">
        <f>IF(G96="","",ABS(P96-Components!$C$3))</f>
        <v>1.7159999999999975</v>
      </c>
      <c r="S96" s="55">
        <f>IF(G96="","",ABS(P96-Components!$C$4))</f>
        <v>1.3266666666666691</v>
      </c>
      <c r="T96" s="55">
        <f>IF(G96="","",ABS(P96-Components!$C$5))</f>
        <v>2.2426666666666684</v>
      </c>
      <c r="U96" s="55">
        <f>IF(G96="","",ABS(P96-Components!$C$6))</f>
        <v>1.1643333333333321</v>
      </c>
      <c r="V96" s="55">
        <f>IF(G96="","",ABS(P96-Components!$C$7))</f>
        <v>0.94566666666667198</v>
      </c>
      <c r="W96" s="49" t="str">
        <f>IF(G96="","",IF(N96="OK","NONE",INDEX({"S1","S2","W1","W2","N1","N2"},MATCH(MIN(Q96:V96),Q96:V96,0))))</f>
        <v>S1</v>
      </c>
      <c r="X96" s="57">
        <f t="shared" si="11"/>
        <v>0</v>
      </c>
    </row>
    <row r="97" spans="1:24">
      <c r="A97" s="49">
        <v>95</v>
      </c>
      <c r="B97" s="50">
        <v>47</v>
      </c>
      <c r="C97" s="49" t="s">
        <v>128</v>
      </c>
      <c r="D97" s="62" t="s">
        <v>240</v>
      </c>
      <c r="E97" s="49" t="s">
        <v>110</v>
      </c>
      <c r="F97" s="49" t="s">
        <v>259</v>
      </c>
      <c r="G97" s="52">
        <v>8.5399999999999991</v>
      </c>
      <c r="H97" s="53"/>
      <c r="I97" s="54"/>
      <c r="J97" s="55">
        <f>VLOOKUP(C97,Recipes!$A$2:$N$4,10,FALSE())</f>
        <v>10.940000000000001</v>
      </c>
      <c r="K97" s="56">
        <f>VLOOKUP(C97,Recipes!$A$2:$N$4,12,FALSE())</f>
        <v>5.2703573566378441E-2</v>
      </c>
      <c r="L97" s="55">
        <f t="shared" si="6"/>
        <v>10.781889279300866</v>
      </c>
      <c r="M97" s="55">
        <f t="shared" si="7"/>
        <v>11.098110720699136</v>
      </c>
      <c r="N97" s="49" t="str">
        <f t="shared" si="8"/>
        <v>NG</v>
      </c>
      <c r="O97" s="57">
        <f t="shared" si="9"/>
        <v>1</v>
      </c>
      <c r="P97" s="55">
        <f t="shared" si="10"/>
        <v>2.4000000000000021</v>
      </c>
      <c r="Q97" s="55">
        <f>IF(G97="","",ABS(P97-Components!$C$2))</f>
        <v>0.35333333333332773</v>
      </c>
      <c r="R97" s="55">
        <f>IF(G97="","",ABS(P97-Components!$C$3))</f>
        <v>1.6359999999999975</v>
      </c>
      <c r="S97" s="55">
        <f>IF(G97="","",ABS(P97-Components!$C$4))</f>
        <v>1.4066666666666692</v>
      </c>
      <c r="T97" s="55">
        <f>IF(G97="","",ABS(P97-Components!$C$5))</f>
        <v>2.1626666666666683</v>
      </c>
      <c r="U97" s="55">
        <f>IF(G97="","",ABS(P97-Components!$C$6))</f>
        <v>1.2443333333333322</v>
      </c>
      <c r="V97" s="55">
        <f>IF(G97="","",ABS(P97-Components!$C$7))</f>
        <v>1.0256666666666721</v>
      </c>
      <c r="W97" s="49" t="str">
        <f>IF(G97="","",IF(N97="OK","NONE",INDEX({"S1","S2","W1","W2","N1","N2"},MATCH(MIN(Q97:V97),Q97:V97,0))))</f>
        <v>S1</v>
      </c>
      <c r="X97" s="57">
        <f t="shared" si="11"/>
        <v>0</v>
      </c>
    </row>
    <row r="98" spans="1:24">
      <c r="A98" s="49">
        <v>96</v>
      </c>
      <c r="B98" s="50">
        <v>47</v>
      </c>
      <c r="C98" s="49" t="s">
        <v>128</v>
      </c>
      <c r="D98" s="62" t="s">
        <v>240</v>
      </c>
      <c r="E98" s="49" t="s">
        <v>110</v>
      </c>
      <c r="F98" s="49" t="s">
        <v>259</v>
      </c>
      <c r="G98" s="52">
        <v>8.48</v>
      </c>
      <c r="H98" s="53"/>
      <c r="I98" s="54"/>
      <c r="J98" s="55">
        <f>VLOOKUP(C98,Recipes!$A$2:$N$4,10,FALSE())</f>
        <v>10.940000000000001</v>
      </c>
      <c r="K98" s="56">
        <f>VLOOKUP(C98,Recipes!$A$2:$N$4,12,FALSE())</f>
        <v>5.2703573566378441E-2</v>
      </c>
      <c r="L98" s="55">
        <f t="shared" si="6"/>
        <v>10.781889279300866</v>
      </c>
      <c r="M98" s="55">
        <f t="shared" si="7"/>
        <v>11.098110720699136</v>
      </c>
      <c r="N98" s="49" t="str">
        <f t="shared" si="8"/>
        <v>NG</v>
      </c>
      <c r="O98" s="57">
        <f t="shared" si="9"/>
        <v>1</v>
      </c>
      <c r="P98" s="55">
        <f t="shared" si="10"/>
        <v>2.4600000000000009</v>
      </c>
      <c r="Q98" s="55">
        <f>IF(G98="","",ABS(P98-Components!$C$2))</f>
        <v>0.293333333333329</v>
      </c>
      <c r="R98" s="55">
        <f>IF(G98="","",ABS(P98-Components!$C$3))</f>
        <v>1.5759999999999987</v>
      </c>
      <c r="S98" s="55">
        <f>IF(G98="","",ABS(P98-Components!$C$4))</f>
        <v>1.4666666666666679</v>
      </c>
      <c r="T98" s="55">
        <f>IF(G98="","",ABS(P98-Components!$C$5))</f>
        <v>2.1026666666666696</v>
      </c>
      <c r="U98" s="55">
        <f>IF(G98="","",ABS(P98-Components!$C$6))</f>
        <v>1.3043333333333309</v>
      </c>
      <c r="V98" s="55">
        <f>IF(G98="","",ABS(P98-Components!$C$7))</f>
        <v>1.0856666666666708</v>
      </c>
      <c r="W98" s="49" t="str">
        <f>IF(G98="","",IF(N98="OK","NONE",INDEX({"S1","S2","W1","W2","N1","N2"},MATCH(MIN(Q98:V98),Q98:V98,0))))</f>
        <v>S1</v>
      </c>
      <c r="X98" s="57">
        <f t="shared" si="11"/>
        <v>0</v>
      </c>
    </row>
    <row r="99" spans="1:24">
      <c r="A99" s="49">
        <v>97</v>
      </c>
      <c r="B99" s="50">
        <v>47</v>
      </c>
      <c r="C99" s="49" t="s">
        <v>128</v>
      </c>
      <c r="D99" s="62" t="s">
        <v>240</v>
      </c>
      <c r="E99" s="49" t="s">
        <v>110</v>
      </c>
      <c r="F99" s="49" t="s">
        <v>259</v>
      </c>
      <c r="G99" s="52">
        <v>8.6</v>
      </c>
      <c r="H99" s="53"/>
      <c r="I99" s="54"/>
      <c r="J99" s="55">
        <f>VLOOKUP(C99,Recipes!$A$2:$N$4,10,FALSE())</f>
        <v>10.940000000000001</v>
      </c>
      <c r="K99" s="56">
        <f>VLOOKUP(C99,Recipes!$A$2:$N$4,12,FALSE())</f>
        <v>5.2703573566378441E-2</v>
      </c>
      <c r="L99" s="55">
        <f t="shared" si="6"/>
        <v>10.781889279300866</v>
      </c>
      <c r="M99" s="55">
        <f t="shared" si="7"/>
        <v>11.098110720699136</v>
      </c>
      <c r="N99" s="49" t="str">
        <f t="shared" si="8"/>
        <v>NG</v>
      </c>
      <c r="O99" s="57">
        <f t="shared" si="9"/>
        <v>1</v>
      </c>
      <c r="P99" s="55">
        <f t="shared" si="10"/>
        <v>2.3400000000000016</v>
      </c>
      <c r="Q99" s="55">
        <f>IF(G99="","",ABS(P99-Components!$C$2))</f>
        <v>0.41333333333332822</v>
      </c>
      <c r="R99" s="55">
        <f>IF(G99="","",ABS(P99-Components!$C$3))</f>
        <v>1.695999999999998</v>
      </c>
      <c r="S99" s="55">
        <f>IF(G99="","",ABS(P99-Components!$C$4))</f>
        <v>1.3466666666666687</v>
      </c>
      <c r="T99" s="55">
        <f>IF(G99="","",ABS(P99-Components!$C$5))</f>
        <v>2.2226666666666688</v>
      </c>
      <c r="U99" s="55">
        <f>IF(G99="","",ABS(P99-Components!$C$6))</f>
        <v>1.1843333333333317</v>
      </c>
      <c r="V99" s="55">
        <f>IF(G99="","",ABS(P99-Components!$C$7))</f>
        <v>0.96566666666667156</v>
      </c>
      <c r="W99" s="49" t="str">
        <f>IF(G99="","",IF(N99="OK","NONE",INDEX({"S1","S2","W1","W2","N1","N2"},MATCH(MIN(Q99:V99),Q99:V99,0))))</f>
        <v>S1</v>
      </c>
      <c r="X99" s="57">
        <f t="shared" si="11"/>
        <v>0</v>
      </c>
    </row>
    <row r="100" spans="1:24">
      <c r="A100" s="49">
        <v>98</v>
      </c>
      <c r="B100" s="50">
        <v>47</v>
      </c>
      <c r="C100" s="49" t="s">
        <v>128</v>
      </c>
      <c r="D100" s="62" t="s">
        <v>240</v>
      </c>
      <c r="E100" s="49" t="s">
        <v>110</v>
      </c>
      <c r="F100" s="49" t="s">
        <v>259</v>
      </c>
      <c r="G100" s="52">
        <v>8.6300000000000008</v>
      </c>
      <c r="H100" s="53"/>
      <c r="I100" s="54"/>
      <c r="J100" s="55">
        <f>VLOOKUP(C100,Recipes!$A$2:$N$4,10,FALSE())</f>
        <v>10.940000000000001</v>
      </c>
      <c r="K100" s="56">
        <f>VLOOKUP(C100,Recipes!$A$2:$N$4,12,FALSE())</f>
        <v>5.2703573566378441E-2</v>
      </c>
      <c r="L100" s="55">
        <f t="shared" si="6"/>
        <v>10.781889279300866</v>
      </c>
      <c r="M100" s="55">
        <f t="shared" si="7"/>
        <v>11.098110720699136</v>
      </c>
      <c r="N100" s="49" t="str">
        <f t="shared" si="8"/>
        <v>NG</v>
      </c>
      <c r="O100" s="57">
        <f t="shared" si="9"/>
        <v>1</v>
      </c>
      <c r="P100" s="55">
        <f t="shared" si="10"/>
        <v>2.3100000000000005</v>
      </c>
      <c r="Q100" s="55">
        <f>IF(G100="","",ABS(P100-Components!$C$2))</f>
        <v>0.44333333333332936</v>
      </c>
      <c r="R100" s="55">
        <f>IF(G100="","",ABS(P100-Components!$C$3))</f>
        <v>1.7259999999999991</v>
      </c>
      <c r="S100" s="55">
        <f>IF(G100="","",ABS(P100-Components!$C$4))</f>
        <v>1.3166666666666675</v>
      </c>
      <c r="T100" s="55">
        <f>IF(G100="","",ABS(P100-Components!$C$5))</f>
        <v>2.2526666666666699</v>
      </c>
      <c r="U100" s="55">
        <f>IF(G100="","",ABS(P100-Components!$C$6))</f>
        <v>1.1543333333333305</v>
      </c>
      <c r="V100" s="55">
        <f>IF(G100="","",ABS(P100-Components!$C$7))</f>
        <v>0.93566666666667042</v>
      </c>
      <c r="W100" s="49" t="str">
        <f>IF(G100="","",IF(N100="OK","NONE",INDEX({"S1","S2","W1","W2","N1","N2"},MATCH(MIN(Q100:V100),Q100:V100,0))))</f>
        <v>S1</v>
      </c>
      <c r="X100" s="57">
        <f t="shared" si="11"/>
        <v>0</v>
      </c>
    </row>
    <row r="101" spans="1:24">
      <c r="A101" s="49">
        <v>99</v>
      </c>
      <c r="B101" s="50">
        <v>47</v>
      </c>
      <c r="C101" s="49" t="s">
        <v>128</v>
      </c>
      <c r="D101" s="62" t="s">
        <v>240</v>
      </c>
      <c r="E101" s="49" t="s">
        <v>110</v>
      </c>
      <c r="F101" s="49" t="s">
        <v>259</v>
      </c>
      <c r="G101" s="52">
        <v>8.6</v>
      </c>
      <c r="H101" s="53"/>
      <c r="I101" s="54"/>
      <c r="J101" s="55">
        <f>VLOOKUP(C101,Recipes!$A$2:$N$4,10,FALSE())</f>
        <v>10.940000000000001</v>
      </c>
      <c r="K101" s="56">
        <f>VLOOKUP(C101,Recipes!$A$2:$N$4,12,FALSE())</f>
        <v>5.2703573566378441E-2</v>
      </c>
      <c r="L101" s="55">
        <f t="shared" si="6"/>
        <v>10.781889279300866</v>
      </c>
      <c r="M101" s="55">
        <f t="shared" si="7"/>
        <v>11.098110720699136</v>
      </c>
      <c r="N101" s="49" t="str">
        <f t="shared" si="8"/>
        <v>NG</v>
      </c>
      <c r="O101" s="57">
        <f t="shared" si="9"/>
        <v>1</v>
      </c>
      <c r="P101" s="55">
        <f t="shared" si="10"/>
        <v>2.3400000000000016</v>
      </c>
      <c r="Q101" s="55">
        <f>IF(G101="","",ABS(P101-Components!$C$2))</f>
        <v>0.41333333333332822</v>
      </c>
      <c r="R101" s="55">
        <f>IF(G101="","",ABS(P101-Components!$C$3))</f>
        <v>1.695999999999998</v>
      </c>
      <c r="S101" s="55">
        <f>IF(G101="","",ABS(P101-Components!$C$4))</f>
        <v>1.3466666666666687</v>
      </c>
      <c r="T101" s="55">
        <f>IF(G101="","",ABS(P101-Components!$C$5))</f>
        <v>2.2226666666666688</v>
      </c>
      <c r="U101" s="55">
        <f>IF(G101="","",ABS(P101-Components!$C$6))</f>
        <v>1.1843333333333317</v>
      </c>
      <c r="V101" s="55">
        <f>IF(G101="","",ABS(P101-Components!$C$7))</f>
        <v>0.96566666666667156</v>
      </c>
      <c r="W101" s="49" t="str">
        <f>IF(G101="","",IF(N101="OK","NONE",INDEX({"S1","S2","W1","W2","N1","N2"},MATCH(MIN(Q101:V101),Q101:V101,0))))</f>
        <v>S1</v>
      </c>
      <c r="X101" s="57">
        <f t="shared" si="11"/>
        <v>0</v>
      </c>
    </row>
    <row r="102" spans="1:24">
      <c r="A102" s="49">
        <v>100</v>
      </c>
      <c r="B102" s="50">
        <v>47</v>
      </c>
      <c r="C102" s="49" t="s">
        <v>128</v>
      </c>
      <c r="D102" s="62" t="s">
        <v>240</v>
      </c>
      <c r="E102" s="49" t="s">
        <v>110</v>
      </c>
      <c r="F102" s="49" t="s">
        <v>259</v>
      </c>
      <c r="G102" s="52">
        <v>8.6199999999999992</v>
      </c>
      <c r="H102" s="53"/>
      <c r="I102" s="54"/>
      <c r="J102" s="55">
        <f>VLOOKUP(C102,Recipes!$A$2:$N$4,10,FALSE())</f>
        <v>10.940000000000001</v>
      </c>
      <c r="K102" s="56">
        <f>VLOOKUP(C102,Recipes!$A$2:$N$4,12,FALSE())</f>
        <v>5.2703573566378441E-2</v>
      </c>
      <c r="L102" s="55">
        <f t="shared" si="6"/>
        <v>10.781889279300866</v>
      </c>
      <c r="M102" s="55">
        <f t="shared" si="7"/>
        <v>11.098110720699136</v>
      </c>
      <c r="N102" s="49" t="str">
        <f t="shared" si="8"/>
        <v>NG</v>
      </c>
      <c r="O102" s="57">
        <f t="shared" si="9"/>
        <v>1</v>
      </c>
      <c r="P102" s="55">
        <f t="shared" si="10"/>
        <v>2.3200000000000021</v>
      </c>
      <c r="Q102" s="55">
        <f>IF(G102="","",ABS(P102-Components!$C$2))</f>
        <v>0.4333333333333278</v>
      </c>
      <c r="R102" s="55">
        <f>IF(G102="","",ABS(P102-Components!$C$3))</f>
        <v>1.7159999999999975</v>
      </c>
      <c r="S102" s="55">
        <f>IF(G102="","",ABS(P102-Components!$C$4))</f>
        <v>1.3266666666666691</v>
      </c>
      <c r="T102" s="55">
        <f>IF(G102="","",ABS(P102-Components!$C$5))</f>
        <v>2.2426666666666684</v>
      </c>
      <c r="U102" s="55">
        <f>IF(G102="","",ABS(P102-Components!$C$6))</f>
        <v>1.1643333333333321</v>
      </c>
      <c r="V102" s="55">
        <f>IF(G102="","",ABS(P102-Components!$C$7))</f>
        <v>0.94566666666667198</v>
      </c>
      <c r="W102" s="49" t="str">
        <f>IF(G102="","",IF(N102="OK","NONE",INDEX({"S1","S2","W1","W2","N1","N2"},MATCH(MIN(Q102:V102),Q102:V102,0))))</f>
        <v>S1</v>
      </c>
      <c r="X102" s="57">
        <f t="shared" si="11"/>
        <v>0</v>
      </c>
    </row>
    <row r="103" spans="1:24">
      <c r="A103" s="49">
        <v>101</v>
      </c>
      <c r="B103" s="50">
        <v>47</v>
      </c>
      <c r="C103" s="49" t="s">
        <v>128</v>
      </c>
      <c r="D103" s="62" t="s">
        <v>240</v>
      </c>
      <c r="E103" s="49" t="s">
        <v>110</v>
      </c>
      <c r="F103" s="49" t="s">
        <v>259</v>
      </c>
      <c r="G103" s="52">
        <v>8.6</v>
      </c>
      <c r="H103" s="53"/>
      <c r="I103" s="54"/>
      <c r="J103" s="55">
        <f>VLOOKUP(C103,Recipes!$A$2:$N$4,10,FALSE())</f>
        <v>10.940000000000001</v>
      </c>
      <c r="K103" s="56">
        <f>VLOOKUP(C103,Recipes!$A$2:$N$4,12,FALSE())</f>
        <v>5.2703573566378441E-2</v>
      </c>
      <c r="L103" s="55">
        <f t="shared" si="6"/>
        <v>10.781889279300866</v>
      </c>
      <c r="M103" s="55">
        <f t="shared" si="7"/>
        <v>11.098110720699136</v>
      </c>
      <c r="N103" s="49" t="str">
        <f t="shared" si="8"/>
        <v>NG</v>
      </c>
      <c r="O103" s="57">
        <f t="shared" si="9"/>
        <v>1</v>
      </c>
      <c r="P103" s="55">
        <f t="shared" si="10"/>
        <v>2.3400000000000016</v>
      </c>
      <c r="Q103" s="55">
        <f>IF(G103="","",ABS(P103-Components!$C$2))</f>
        <v>0.41333333333332822</v>
      </c>
      <c r="R103" s="55">
        <f>IF(G103="","",ABS(P103-Components!$C$3))</f>
        <v>1.695999999999998</v>
      </c>
      <c r="S103" s="55">
        <f>IF(G103="","",ABS(P103-Components!$C$4))</f>
        <v>1.3466666666666687</v>
      </c>
      <c r="T103" s="55">
        <f>IF(G103="","",ABS(P103-Components!$C$5))</f>
        <v>2.2226666666666688</v>
      </c>
      <c r="U103" s="55">
        <f>IF(G103="","",ABS(P103-Components!$C$6))</f>
        <v>1.1843333333333317</v>
      </c>
      <c r="V103" s="55">
        <f>IF(G103="","",ABS(P103-Components!$C$7))</f>
        <v>0.96566666666667156</v>
      </c>
      <c r="W103" s="49" t="str">
        <f>IF(G103="","",IF(N103="OK","NONE",INDEX({"S1","S2","W1","W2","N1","N2"},MATCH(MIN(Q103:V103),Q103:V103,0))))</f>
        <v>S1</v>
      </c>
      <c r="X103" s="57">
        <f t="shared" si="11"/>
        <v>0</v>
      </c>
    </row>
    <row r="104" spans="1:24">
      <c r="A104" s="49">
        <v>102</v>
      </c>
      <c r="B104" s="50">
        <v>47</v>
      </c>
      <c r="C104" s="49" t="s">
        <v>128</v>
      </c>
      <c r="D104" s="62" t="s">
        <v>240</v>
      </c>
      <c r="E104" s="49" t="s">
        <v>110</v>
      </c>
      <c r="F104" s="49" t="s">
        <v>259</v>
      </c>
      <c r="G104" s="52">
        <v>8.5399999999999991</v>
      </c>
      <c r="H104" s="53"/>
      <c r="I104" s="54"/>
      <c r="J104" s="55">
        <f>VLOOKUP(C104,Recipes!$A$2:$N$4,10,FALSE())</f>
        <v>10.940000000000001</v>
      </c>
      <c r="K104" s="56">
        <f>VLOOKUP(C104,Recipes!$A$2:$N$4,12,FALSE())</f>
        <v>5.2703573566378441E-2</v>
      </c>
      <c r="L104" s="55">
        <f t="shared" si="6"/>
        <v>10.781889279300866</v>
      </c>
      <c r="M104" s="55">
        <f t="shared" si="7"/>
        <v>11.098110720699136</v>
      </c>
      <c r="N104" s="49" t="str">
        <f t="shared" si="8"/>
        <v>NG</v>
      </c>
      <c r="O104" s="57">
        <f t="shared" si="9"/>
        <v>1</v>
      </c>
      <c r="P104" s="55">
        <f t="shared" si="10"/>
        <v>2.4000000000000021</v>
      </c>
      <c r="Q104" s="55">
        <f>IF(G104="","",ABS(P104-Components!$C$2))</f>
        <v>0.35333333333332773</v>
      </c>
      <c r="R104" s="55">
        <f>IF(G104="","",ABS(P104-Components!$C$3))</f>
        <v>1.6359999999999975</v>
      </c>
      <c r="S104" s="55">
        <f>IF(G104="","",ABS(P104-Components!$C$4))</f>
        <v>1.4066666666666692</v>
      </c>
      <c r="T104" s="55">
        <f>IF(G104="","",ABS(P104-Components!$C$5))</f>
        <v>2.1626666666666683</v>
      </c>
      <c r="U104" s="55">
        <f>IF(G104="","",ABS(P104-Components!$C$6))</f>
        <v>1.2443333333333322</v>
      </c>
      <c r="V104" s="55">
        <f>IF(G104="","",ABS(P104-Components!$C$7))</f>
        <v>1.0256666666666721</v>
      </c>
      <c r="W104" s="49" t="str">
        <f>IF(G104="","",IF(N104="OK","NONE",INDEX({"S1","S2","W1","W2","N1","N2"},MATCH(MIN(Q104:V104),Q104:V104,0))))</f>
        <v>S1</v>
      </c>
      <c r="X104" s="57">
        <f t="shared" si="11"/>
        <v>0</v>
      </c>
    </row>
    <row r="105" spans="1:24">
      <c r="A105" s="49">
        <v>103</v>
      </c>
      <c r="B105" s="50">
        <v>47</v>
      </c>
      <c r="C105" s="49" t="s">
        <v>128</v>
      </c>
      <c r="D105" s="62" t="s">
        <v>240</v>
      </c>
      <c r="E105" s="49" t="s">
        <v>110</v>
      </c>
      <c r="F105" s="49" t="s">
        <v>259</v>
      </c>
      <c r="G105" s="52">
        <v>8.64</v>
      </c>
      <c r="H105" s="53"/>
      <c r="I105" s="54"/>
      <c r="J105" s="55">
        <f>VLOOKUP(C105,Recipes!$A$2:$N$4,10,FALSE())</f>
        <v>10.940000000000001</v>
      </c>
      <c r="K105" s="56">
        <f>VLOOKUP(C105,Recipes!$A$2:$N$4,12,FALSE())</f>
        <v>5.2703573566378441E-2</v>
      </c>
      <c r="L105" s="55">
        <f t="shared" si="6"/>
        <v>10.781889279300866</v>
      </c>
      <c r="M105" s="55">
        <f t="shared" si="7"/>
        <v>11.098110720699136</v>
      </c>
      <c r="N105" s="49" t="str">
        <f t="shared" si="8"/>
        <v>NG</v>
      </c>
      <c r="O105" s="57">
        <f t="shared" si="9"/>
        <v>1</v>
      </c>
      <c r="P105" s="55">
        <f t="shared" si="10"/>
        <v>2.3000000000000007</v>
      </c>
      <c r="Q105" s="55">
        <f>IF(G105="","",ABS(P105-Components!$C$2))</f>
        <v>0.45333333333332915</v>
      </c>
      <c r="R105" s="55">
        <f>IF(G105="","",ABS(P105-Components!$C$3))</f>
        <v>1.7359999999999989</v>
      </c>
      <c r="S105" s="55">
        <f>IF(G105="","",ABS(P105-Components!$C$4))</f>
        <v>1.3066666666666678</v>
      </c>
      <c r="T105" s="55">
        <f>IF(G105="","",ABS(P105-Components!$C$5))</f>
        <v>2.2626666666666697</v>
      </c>
      <c r="U105" s="55">
        <f>IF(G105="","",ABS(P105-Components!$C$6))</f>
        <v>1.1443333333333308</v>
      </c>
      <c r="V105" s="55">
        <f>IF(G105="","",ABS(P105-Components!$C$7))</f>
        <v>0.92566666666667063</v>
      </c>
      <c r="W105" s="49" t="str">
        <f>IF(G105="","",IF(N105="OK","NONE",INDEX({"S1","S2","W1","W2","N1","N2"},MATCH(MIN(Q105:V105),Q105:V105,0))))</f>
        <v>S1</v>
      </c>
      <c r="X105" s="57">
        <f t="shared" si="11"/>
        <v>0</v>
      </c>
    </row>
    <row r="106" spans="1:24">
      <c r="A106" s="49">
        <v>104</v>
      </c>
      <c r="B106" s="50">
        <v>47</v>
      </c>
      <c r="C106" s="49" t="s">
        <v>128</v>
      </c>
      <c r="D106" s="62" t="s">
        <v>240</v>
      </c>
      <c r="E106" s="49" t="s">
        <v>110</v>
      </c>
      <c r="F106" s="49" t="s">
        <v>259</v>
      </c>
      <c r="G106" s="52">
        <v>8.6</v>
      </c>
      <c r="H106" s="53"/>
      <c r="I106" s="54"/>
      <c r="J106" s="55">
        <f>VLOOKUP(C106,Recipes!$A$2:$N$4,10,FALSE())</f>
        <v>10.940000000000001</v>
      </c>
      <c r="K106" s="56">
        <f>VLOOKUP(C106,Recipes!$A$2:$N$4,12,FALSE())</f>
        <v>5.2703573566378441E-2</v>
      </c>
      <c r="L106" s="55">
        <f t="shared" si="6"/>
        <v>10.781889279300866</v>
      </c>
      <c r="M106" s="55">
        <f t="shared" si="7"/>
        <v>11.098110720699136</v>
      </c>
      <c r="N106" s="49" t="str">
        <f t="shared" si="8"/>
        <v>NG</v>
      </c>
      <c r="O106" s="57">
        <f t="shared" si="9"/>
        <v>1</v>
      </c>
      <c r="P106" s="55">
        <f t="shared" si="10"/>
        <v>2.3400000000000016</v>
      </c>
      <c r="Q106" s="55">
        <f>IF(G106="","",ABS(P106-Components!$C$2))</f>
        <v>0.41333333333332822</v>
      </c>
      <c r="R106" s="55">
        <f>IF(G106="","",ABS(P106-Components!$C$3))</f>
        <v>1.695999999999998</v>
      </c>
      <c r="S106" s="55">
        <f>IF(G106="","",ABS(P106-Components!$C$4))</f>
        <v>1.3466666666666687</v>
      </c>
      <c r="T106" s="55">
        <f>IF(G106="","",ABS(P106-Components!$C$5))</f>
        <v>2.2226666666666688</v>
      </c>
      <c r="U106" s="55">
        <f>IF(G106="","",ABS(P106-Components!$C$6))</f>
        <v>1.1843333333333317</v>
      </c>
      <c r="V106" s="55">
        <f>IF(G106="","",ABS(P106-Components!$C$7))</f>
        <v>0.96566666666667156</v>
      </c>
      <c r="W106" s="49" t="str">
        <f>IF(G106="","",IF(N106="OK","NONE",INDEX({"S1","S2","W1","W2","N1","N2"},MATCH(MIN(Q106:V106),Q106:V106,0))))</f>
        <v>S1</v>
      </c>
      <c r="X106" s="57">
        <f t="shared" si="11"/>
        <v>0</v>
      </c>
    </row>
    <row r="107" spans="1:24">
      <c r="A107" s="49">
        <v>105</v>
      </c>
      <c r="B107" s="50">
        <v>47</v>
      </c>
      <c r="C107" s="49" t="s">
        <v>128</v>
      </c>
      <c r="D107" s="62" t="s">
        <v>240</v>
      </c>
      <c r="E107" s="49" t="s">
        <v>110</v>
      </c>
      <c r="F107" s="49" t="s">
        <v>259</v>
      </c>
      <c r="G107" s="52">
        <v>8.59</v>
      </c>
      <c r="H107" s="53"/>
      <c r="I107" s="54"/>
      <c r="J107" s="55">
        <f>VLOOKUP(C107,Recipes!$A$2:$N$4,10,FALSE())</f>
        <v>10.940000000000001</v>
      </c>
      <c r="K107" s="56">
        <f>VLOOKUP(C107,Recipes!$A$2:$N$4,12,FALSE())</f>
        <v>5.2703573566378441E-2</v>
      </c>
      <c r="L107" s="55">
        <f t="shared" si="6"/>
        <v>10.781889279300866</v>
      </c>
      <c r="M107" s="55">
        <f t="shared" si="7"/>
        <v>11.098110720699136</v>
      </c>
      <c r="N107" s="49" t="str">
        <f t="shared" si="8"/>
        <v>NG</v>
      </c>
      <c r="O107" s="57">
        <f t="shared" si="9"/>
        <v>1</v>
      </c>
      <c r="P107" s="55">
        <f t="shared" si="10"/>
        <v>2.3500000000000014</v>
      </c>
      <c r="Q107" s="55">
        <f>IF(G107="","",ABS(P107-Components!$C$2))</f>
        <v>0.40333333333332844</v>
      </c>
      <c r="R107" s="55">
        <f>IF(G107="","",ABS(P107-Components!$C$3))</f>
        <v>1.6859999999999982</v>
      </c>
      <c r="S107" s="55">
        <f>IF(G107="","",ABS(P107-Components!$C$4))</f>
        <v>1.3566666666666685</v>
      </c>
      <c r="T107" s="55">
        <f>IF(G107="","",ABS(P107-Components!$C$5))</f>
        <v>2.212666666666669</v>
      </c>
      <c r="U107" s="55">
        <f>IF(G107="","",ABS(P107-Components!$C$6))</f>
        <v>1.1943333333333315</v>
      </c>
      <c r="V107" s="55">
        <f>IF(G107="","",ABS(P107-Components!$C$7))</f>
        <v>0.97566666666667134</v>
      </c>
      <c r="W107" s="49" t="str">
        <f>IF(G107="","",IF(N107="OK","NONE",INDEX({"S1","S2","W1","W2","N1","N2"},MATCH(MIN(Q107:V107),Q107:V107,0))))</f>
        <v>S1</v>
      </c>
      <c r="X107" s="57">
        <f t="shared" si="11"/>
        <v>0</v>
      </c>
    </row>
    <row r="108" spans="1:24">
      <c r="A108" s="49">
        <v>106</v>
      </c>
      <c r="B108" s="50">
        <v>47</v>
      </c>
      <c r="C108" s="49" t="s">
        <v>128</v>
      </c>
      <c r="D108" s="62" t="s">
        <v>240</v>
      </c>
      <c r="E108" s="49" t="s">
        <v>110</v>
      </c>
      <c r="F108" s="49" t="s">
        <v>259</v>
      </c>
      <c r="G108" s="52">
        <v>8.57</v>
      </c>
      <c r="H108" s="53"/>
      <c r="I108" s="54"/>
      <c r="J108" s="55">
        <f>VLOOKUP(C108,Recipes!$A$2:$N$4,10,FALSE())</f>
        <v>10.940000000000001</v>
      </c>
      <c r="K108" s="56">
        <f>VLOOKUP(C108,Recipes!$A$2:$N$4,12,FALSE())</f>
        <v>5.2703573566378441E-2</v>
      </c>
      <c r="L108" s="55">
        <f t="shared" si="6"/>
        <v>10.781889279300866</v>
      </c>
      <c r="M108" s="55">
        <f t="shared" si="7"/>
        <v>11.098110720699136</v>
      </c>
      <c r="N108" s="49" t="str">
        <f t="shared" si="8"/>
        <v>NG</v>
      </c>
      <c r="O108" s="57">
        <f t="shared" si="9"/>
        <v>1</v>
      </c>
      <c r="P108" s="55">
        <f t="shared" si="10"/>
        <v>2.370000000000001</v>
      </c>
      <c r="Q108" s="55">
        <f>IF(G108="","",ABS(P108-Components!$C$2))</f>
        <v>0.38333333333332886</v>
      </c>
      <c r="R108" s="55">
        <f>IF(G108="","",ABS(P108-Components!$C$3))</f>
        <v>1.6659999999999986</v>
      </c>
      <c r="S108" s="55">
        <f>IF(G108="","",ABS(P108-Components!$C$4))</f>
        <v>1.376666666666668</v>
      </c>
      <c r="T108" s="55">
        <f>IF(G108="","",ABS(P108-Components!$C$5))</f>
        <v>2.1926666666666694</v>
      </c>
      <c r="U108" s="55">
        <f>IF(G108="","",ABS(P108-Components!$C$6))</f>
        <v>1.214333333333331</v>
      </c>
      <c r="V108" s="55">
        <f>IF(G108="","",ABS(P108-Components!$C$7))</f>
        <v>0.99566666666667092</v>
      </c>
      <c r="W108" s="49" t="str">
        <f>IF(G108="","",IF(N108="OK","NONE",INDEX({"S1","S2","W1","W2","N1","N2"},MATCH(MIN(Q108:V108),Q108:V108,0))))</f>
        <v>S1</v>
      </c>
      <c r="X108" s="57">
        <f t="shared" si="11"/>
        <v>0</v>
      </c>
    </row>
    <row r="109" spans="1:24">
      <c r="A109" s="49">
        <v>107</v>
      </c>
      <c r="B109" s="50">
        <v>47</v>
      </c>
      <c r="C109" s="49" t="s">
        <v>128</v>
      </c>
      <c r="D109" s="62" t="s">
        <v>240</v>
      </c>
      <c r="E109" s="49" t="s">
        <v>110</v>
      </c>
      <c r="F109" s="49" t="s">
        <v>259</v>
      </c>
      <c r="G109" s="52">
        <v>8.61</v>
      </c>
      <c r="H109" s="53"/>
      <c r="I109" s="54"/>
      <c r="J109" s="55">
        <f>VLOOKUP(C109,Recipes!$A$2:$N$4,10,FALSE())</f>
        <v>10.940000000000001</v>
      </c>
      <c r="K109" s="56">
        <f>VLOOKUP(C109,Recipes!$A$2:$N$4,12,FALSE())</f>
        <v>5.2703573566378441E-2</v>
      </c>
      <c r="L109" s="55">
        <f t="shared" si="6"/>
        <v>10.781889279300866</v>
      </c>
      <c r="M109" s="55">
        <f t="shared" si="7"/>
        <v>11.098110720699136</v>
      </c>
      <c r="N109" s="49" t="str">
        <f t="shared" si="8"/>
        <v>NG</v>
      </c>
      <c r="O109" s="57">
        <f t="shared" si="9"/>
        <v>1</v>
      </c>
      <c r="P109" s="55">
        <f t="shared" si="10"/>
        <v>2.3300000000000018</v>
      </c>
      <c r="Q109" s="55">
        <f>IF(G109="","",ABS(P109-Components!$C$2))</f>
        <v>0.42333333333332801</v>
      </c>
      <c r="R109" s="55">
        <f>IF(G109="","",ABS(P109-Components!$C$3))</f>
        <v>1.7059999999999977</v>
      </c>
      <c r="S109" s="55">
        <f>IF(G109="","",ABS(P109-Components!$C$4))</f>
        <v>1.3366666666666689</v>
      </c>
      <c r="T109" s="55">
        <f>IF(G109="","",ABS(P109-Components!$C$5))</f>
        <v>2.2326666666666686</v>
      </c>
      <c r="U109" s="55">
        <f>IF(G109="","",ABS(P109-Components!$C$6))</f>
        <v>1.1743333333333319</v>
      </c>
      <c r="V109" s="55">
        <f>IF(G109="","",ABS(P109-Components!$C$7))</f>
        <v>0.95566666666667177</v>
      </c>
      <c r="W109" s="49" t="str">
        <f>IF(G109="","",IF(N109="OK","NONE",INDEX({"S1","S2","W1","W2","N1","N2"},MATCH(MIN(Q109:V109),Q109:V109,0))))</f>
        <v>S1</v>
      </c>
      <c r="X109" s="57">
        <f t="shared" si="11"/>
        <v>0</v>
      </c>
    </row>
    <row r="110" spans="1:24">
      <c r="A110" s="49">
        <v>108</v>
      </c>
      <c r="B110" s="50">
        <v>47</v>
      </c>
      <c r="C110" s="49" t="s">
        <v>128</v>
      </c>
      <c r="D110" s="62" t="s">
        <v>240</v>
      </c>
      <c r="E110" s="49" t="s">
        <v>110</v>
      </c>
      <c r="F110" s="49" t="s">
        <v>259</v>
      </c>
      <c r="G110" s="52">
        <v>8.59</v>
      </c>
      <c r="H110" s="53"/>
      <c r="I110" s="54"/>
      <c r="J110" s="55">
        <f>VLOOKUP(C110,Recipes!$A$2:$N$4,10,FALSE())</f>
        <v>10.940000000000001</v>
      </c>
      <c r="K110" s="56">
        <f>VLOOKUP(C110,Recipes!$A$2:$N$4,12,FALSE())</f>
        <v>5.2703573566378441E-2</v>
      </c>
      <c r="L110" s="55">
        <f t="shared" si="6"/>
        <v>10.781889279300866</v>
      </c>
      <c r="M110" s="55">
        <f t="shared" si="7"/>
        <v>11.098110720699136</v>
      </c>
      <c r="N110" s="49" t="str">
        <f t="shared" si="8"/>
        <v>NG</v>
      </c>
      <c r="O110" s="57">
        <f t="shared" si="9"/>
        <v>1</v>
      </c>
      <c r="P110" s="55">
        <f t="shared" si="10"/>
        <v>2.3500000000000014</v>
      </c>
      <c r="Q110" s="55">
        <f>IF(G110="","",ABS(P110-Components!$C$2))</f>
        <v>0.40333333333332844</v>
      </c>
      <c r="R110" s="55">
        <f>IF(G110="","",ABS(P110-Components!$C$3))</f>
        <v>1.6859999999999982</v>
      </c>
      <c r="S110" s="55">
        <f>IF(G110="","",ABS(P110-Components!$C$4))</f>
        <v>1.3566666666666685</v>
      </c>
      <c r="T110" s="55">
        <f>IF(G110="","",ABS(P110-Components!$C$5))</f>
        <v>2.212666666666669</v>
      </c>
      <c r="U110" s="55">
        <f>IF(G110="","",ABS(P110-Components!$C$6))</f>
        <v>1.1943333333333315</v>
      </c>
      <c r="V110" s="55">
        <f>IF(G110="","",ABS(P110-Components!$C$7))</f>
        <v>0.97566666666667134</v>
      </c>
      <c r="W110" s="49" t="str">
        <f>IF(G110="","",IF(N110="OK","NONE",INDEX({"S1","S2","W1","W2","N1","N2"},MATCH(MIN(Q110:V110),Q110:V110,0))))</f>
        <v>S1</v>
      </c>
      <c r="X110" s="57">
        <f t="shared" si="11"/>
        <v>0</v>
      </c>
    </row>
    <row r="111" spans="1:24">
      <c r="A111" s="49">
        <v>109</v>
      </c>
      <c r="B111" s="50">
        <v>47</v>
      </c>
      <c r="C111" s="49" t="s">
        <v>128</v>
      </c>
      <c r="D111" s="62" t="s">
        <v>240</v>
      </c>
      <c r="E111" s="49" t="s">
        <v>110</v>
      </c>
      <c r="F111" s="49" t="s">
        <v>259</v>
      </c>
      <c r="G111" s="52">
        <v>8.5</v>
      </c>
      <c r="H111" s="53"/>
      <c r="I111" s="54"/>
      <c r="J111" s="55">
        <f>VLOOKUP(C111,Recipes!$A$2:$N$4,10,FALSE())</f>
        <v>10.940000000000001</v>
      </c>
      <c r="K111" s="56">
        <f>VLOOKUP(C111,Recipes!$A$2:$N$4,12,FALSE())</f>
        <v>5.2703573566378441E-2</v>
      </c>
      <c r="L111" s="55">
        <f t="shared" si="6"/>
        <v>10.781889279300866</v>
      </c>
      <c r="M111" s="55">
        <f t="shared" si="7"/>
        <v>11.098110720699136</v>
      </c>
      <c r="N111" s="49" t="str">
        <f t="shared" si="8"/>
        <v>NG</v>
      </c>
      <c r="O111" s="57">
        <f t="shared" si="9"/>
        <v>1</v>
      </c>
      <c r="P111" s="55">
        <f t="shared" si="10"/>
        <v>2.4400000000000013</v>
      </c>
      <c r="Q111" s="55">
        <f>IF(G111="","",ABS(P111-Components!$C$2))</f>
        <v>0.31333333333332858</v>
      </c>
      <c r="R111" s="55">
        <f>IF(G111="","",ABS(P111-Components!$C$3))</f>
        <v>1.5959999999999983</v>
      </c>
      <c r="S111" s="55">
        <f>IF(G111="","",ABS(P111-Components!$C$4))</f>
        <v>1.4466666666666683</v>
      </c>
      <c r="T111" s="55">
        <f>IF(G111="","",ABS(P111-Components!$C$5))</f>
        <v>2.1226666666666691</v>
      </c>
      <c r="U111" s="55">
        <f>IF(G111="","",ABS(P111-Components!$C$6))</f>
        <v>1.2843333333333313</v>
      </c>
      <c r="V111" s="55">
        <f>IF(G111="","",ABS(P111-Components!$C$7))</f>
        <v>1.0656666666666712</v>
      </c>
      <c r="W111" s="49" t="str">
        <f>IF(G111="","",IF(N111="OK","NONE",INDEX({"S1","S2","W1","W2","N1","N2"},MATCH(MIN(Q111:V111),Q111:V111,0))))</f>
        <v>S1</v>
      </c>
      <c r="X111" s="57">
        <f t="shared" si="11"/>
        <v>0</v>
      </c>
    </row>
    <row r="112" spans="1:24">
      <c r="A112" s="49">
        <v>110</v>
      </c>
      <c r="B112" s="50">
        <v>47</v>
      </c>
      <c r="C112" s="49" t="s">
        <v>128</v>
      </c>
      <c r="D112" s="62" t="s">
        <v>240</v>
      </c>
      <c r="E112" s="49" t="s">
        <v>110</v>
      </c>
      <c r="F112" s="49" t="s">
        <v>259</v>
      </c>
      <c r="G112" s="52">
        <v>8.6199999999999992</v>
      </c>
      <c r="H112" s="53"/>
      <c r="I112" s="54"/>
      <c r="J112" s="55">
        <f>VLOOKUP(C112,Recipes!$A$2:$N$4,10,FALSE())</f>
        <v>10.940000000000001</v>
      </c>
      <c r="K112" s="56">
        <f>VLOOKUP(C112,Recipes!$A$2:$N$4,12,FALSE())</f>
        <v>5.2703573566378441E-2</v>
      </c>
      <c r="L112" s="55">
        <f t="shared" si="6"/>
        <v>10.781889279300866</v>
      </c>
      <c r="M112" s="55">
        <f t="shared" si="7"/>
        <v>11.098110720699136</v>
      </c>
      <c r="N112" s="49" t="str">
        <f t="shared" si="8"/>
        <v>NG</v>
      </c>
      <c r="O112" s="57">
        <f t="shared" si="9"/>
        <v>1</v>
      </c>
      <c r="P112" s="55">
        <f t="shared" si="10"/>
        <v>2.3200000000000021</v>
      </c>
      <c r="Q112" s="55">
        <f>IF(G112="","",ABS(P112-Components!$C$2))</f>
        <v>0.4333333333333278</v>
      </c>
      <c r="R112" s="55">
        <f>IF(G112="","",ABS(P112-Components!$C$3))</f>
        <v>1.7159999999999975</v>
      </c>
      <c r="S112" s="55">
        <f>IF(G112="","",ABS(P112-Components!$C$4))</f>
        <v>1.3266666666666691</v>
      </c>
      <c r="T112" s="55">
        <f>IF(G112="","",ABS(P112-Components!$C$5))</f>
        <v>2.2426666666666684</v>
      </c>
      <c r="U112" s="55">
        <f>IF(G112="","",ABS(P112-Components!$C$6))</f>
        <v>1.1643333333333321</v>
      </c>
      <c r="V112" s="55">
        <f>IF(G112="","",ABS(P112-Components!$C$7))</f>
        <v>0.94566666666667198</v>
      </c>
      <c r="W112" s="49" t="str">
        <f>IF(G112="","",IF(N112="OK","NONE",INDEX({"S1","S2","W1","W2","N1","N2"},MATCH(MIN(Q112:V112),Q112:V112,0))))</f>
        <v>S1</v>
      </c>
      <c r="X112" s="57">
        <f t="shared" si="11"/>
        <v>0</v>
      </c>
    </row>
    <row r="113" spans="1:24">
      <c r="A113" s="49">
        <v>111</v>
      </c>
      <c r="B113" s="50">
        <v>47</v>
      </c>
      <c r="C113" s="49" t="s">
        <v>128</v>
      </c>
      <c r="D113" s="62" t="s">
        <v>240</v>
      </c>
      <c r="E113" s="49" t="s">
        <v>110</v>
      </c>
      <c r="F113" s="49" t="s">
        <v>259</v>
      </c>
      <c r="G113" s="52">
        <v>8.61</v>
      </c>
      <c r="H113" s="53"/>
      <c r="I113" s="54"/>
      <c r="J113" s="55">
        <f>VLOOKUP(C113,Recipes!$A$2:$N$4,10,FALSE())</f>
        <v>10.940000000000001</v>
      </c>
      <c r="K113" s="56">
        <f>VLOOKUP(C113,Recipes!$A$2:$N$4,12,FALSE())</f>
        <v>5.2703573566378441E-2</v>
      </c>
      <c r="L113" s="55">
        <f t="shared" si="6"/>
        <v>10.781889279300866</v>
      </c>
      <c r="M113" s="55">
        <f t="shared" si="7"/>
        <v>11.098110720699136</v>
      </c>
      <c r="N113" s="49" t="str">
        <f t="shared" si="8"/>
        <v>NG</v>
      </c>
      <c r="O113" s="57">
        <f t="shared" si="9"/>
        <v>1</v>
      </c>
      <c r="P113" s="55">
        <f t="shared" si="10"/>
        <v>2.3300000000000018</v>
      </c>
      <c r="Q113" s="55">
        <f>IF(G113="","",ABS(P113-Components!$C$2))</f>
        <v>0.42333333333332801</v>
      </c>
      <c r="R113" s="55">
        <f>IF(G113="","",ABS(P113-Components!$C$3))</f>
        <v>1.7059999999999977</v>
      </c>
      <c r="S113" s="55">
        <f>IF(G113="","",ABS(P113-Components!$C$4))</f>
        <v>1.3366666666666689</v>
      </c>
      <c r="T113" s="55">
        <f>IF(G113="","",ABS(P113-Components!$C$5))</f>
        <v>2.2326666666666686</v>
      </c>
      <c r="U113" s="55">
        <f>IF(G113="","",ABS(P113-Components!$C$6))</f>
        <v>1.1743333333333319</v>
      </c>
      <c r="V113" s="55">
        <f>IF(G113="","",ABS(P113-Components!$C$7))</f>
        <v>0.95566666666667177</v>
      </c>
      <c r="W113" s="49" t="str">
        <f>IF(G113="","",IF(N113="OK","NONE",INDEX({"S1","S2","W1","W2","N1","N2"},MATCH(MIN(Q113:V113),Q113:V113,0))))</f>
        <v>S1</v>
      </c>
      <c r="X113" s="57">
        <f t="shared" si="11"/>
        <v>0</v>
      </c>
    </row>
    <row r="114" spans="1:24">
      <c r="A114" s="49">
        <v>112</v>
      </c>
      <c r="B114" s="50">
        <v>47</v>
      </c>
      <c r="C114" s="49" t="s">
        <v>128</v>
      </c>
      <c r="D114" s="62" t="s">
        <v>240</v>
      </c>
      <c r="E114" s="49" t="s">
        <v>110</v>
      </c>
      <c r="F114" s="49" t="s">
        <v>259</v>
      </c>
      <c r="G114" s="52">
        <v>8.58</v>
      </c>
      <c r="H114" s="53"/>
      <c r="I114" s="54"/>
      <c r="J114" s="55">
        <f>VLOOKUP(C114,Recipes!$A$2:$N$4,10,FALSE())</f>
        <v>10.940000000000001</v>
      </c>
      <c r="K114" s="56">
        <f>VLOOKUP(C114,Recipes!$A$2:$N$4,12,FALSE())</f>
        <v>5.2703573566378441E-2</v>
      </c>
      <c r="L114" s="55">
        <f t="shared" si="6"/>
        <v>10.781889279300866</v>
      </c>
      <c r="M114" s="55">
        <f t="shared" si="7"/>
        <v>11.098110720699136</v>
      </c>
      <c r="N114" s="49" t="str">
        <f t="shared" si="8"/>
        <v>NG</v>
      </c>
      <c r="O114" s="57">
        <f t="shared" si="9"/>
        <v>1</v>
      </c>
      <c r="P114" s="55">
        <f t="shared" si="10"/>
        <v>2.3600000000000012</v>
      </c>
      <c r="Q114" s="55">
        <f>IF(G114="","",ABS(P114-Components!$C$2))</f>
        <v>0.39333333333332865</v>
      </c>
      <c r="R114" s="55">
        <f>IF(G114="","",ABS(P114-Components!$C$3))</f>
        <v>1.6759999999999984</v>
      </c>
      <c r="S114" s="55">
        <f>IF(G114="","",ABS(P114-Components!$C$4))</f>
        <v>1.3666666666666683</v>
      </c>
      <c r="T114" s="55">
        <f>IF(G114="","",ABS(P114-Components!$C$5))</f>
        <v>2.2026666666666692</v>
      </c>
      <c r="U114" s="55">
        <f>IF(G114="","",ABS(P114-Components!$C$6))</f>
        <v>1.2043333333333313</v>
      </c>
      <c r="V114" s="55">
        <f>IF(G114="","",ABS(P114-Components!$C$7))</f>
        <v>0.98566666666667113</v>
      </c>
      <c r="W114" s="49" t="str">
        <f>IF(G114="","",IF(N114="OK","NONE",INDEX({"S1","S2","W1","W2","N1","N2"},MATCH(MIN(Q114:V114),Q114:V114,0))))</f>
        <v>S1</v>
      </c>
      <c r="X114" s="57">
        <f t="shared" si="11"/>
        <v>0</v>
      </c>
    </row>
    <row r="115" spans="1:24">
      <c r="A115" s="49">
        <v>113</v>
      </c>
      <c r="B115" s="50">
        <v>47</v>
      </c>
      <c r="C115" s="49" t="s">
        <v>128</v>
      </c>
      <c r="D115" s="62" t="s">
        <v>240</v>
      </c>
      <c r="E115" s="49" t="s">
        <v>110</v>
      </c>
      <c r="F115" s="49" t="s">
        <v>259</v>
      </c>
      <c r="G115" s="52">
        <v>8.59</v>
      </c>
      <c r="H115" s="53"/>
      <c r="I115" s="54"/>
      <c r="J115" s="55">
        <f>VLOOKUP(C115,Recipes!$A$2:$N$4,10,FALSE())</f>
        <v>10.940000000000001</v>
      </c>
      <c r="K115" s="56">
        <f>VLOOKUP(C115,Recipes!$A$2:$N$4,12,FALSE())</f>
        <v>5.2703573566378441E-2</v>
      </c>
      <c r="L115" s="55">
        <f t="shared" si="6"/>
        <v>10.781889279300866</v>
      </c>
      <c r="M115" s="55">
        <f t="shared" si="7"/>
        <v>11.098110720699136</v>
      </c>
      <c r="N115" s="49" t="str">
        <f t="shared" si="8"/>
        <v>NG</v>
      </c>
      <c r="O115" s="57">
        <f t="shared" si="9"/>
        <v>1</v>
      </c>
      <c r="P115" s="55">
        <f t="shared" si="10"/>
        <v>2.3500000000000014</v>
      </c>
      <c r="Q115" s="55">
        <f>IF(G115="","",ABS(P115-Components!$C$2))</f>
        <v>0.40333333333332844</v>
      </c>
      <c r="R115" s="55">
        <f>IF(G115="","",ABS(P115-Components!$C$3))</f>
        <v>1.6859999999999982</v>
      </c>
      <c r="S115" s="55">
        <f>IF(G115="","",ABS(P115-Components!$C$4))</f>
        <v>1.3566666666666685</v>
      </c>
      <c r="T115" s="55">
        <f>IF(G115="","",ABS(P115-Components!$C$5))</f>
        <v>2.212666666666669</v>
      </c>
      <c r="U115" s="55">
        <f>IF(G115="","",ABS(P115-Components!$C$6))</f>
        <v>1.1943333333333315</v>
      </c>
      <c r="V115" s="55">
        <f>IF(G115="","",ABS(P115-Components!$C$7))</f>
        <v>0.97566666666667134</v>
      </c>
      <c r="W115" s="49" t="str">
        <f>IF(G115="","",IF(N115="OK","NONE",INDEX({"S1","S2","W1","W2","N1","N2"},MATCH(MIN(Q115:V115),Q115:V115,0))))</f>
        <v>S1</v>
      </c>
      <c r="X115" s="57">
        <f t="shared" si="11"/>
        <v>0</v>
      </c>
    </row>
    <row r="116" spans="1:24">
      <c r="A116" s="49">
        <v>114</v>
      </c>
      <c r="B116" s="50">
        <v>47</v>
      </c>
      <c r="C116" s="49" t="s">
        <v>128</v>
      </c>
      <c r="D116" s="62" t="s">
        <v>240</v>
      </c>
      <c r="E116" s="49" t="s">
        <v>110</v>
      </c>
      <c r="F116" s="49" t="s">
        <v>259</v>
      </c>
      <c r="G116" s="52"/>
      <c r="H116" s="53"/>
      <c r="I116" s="54"/>
      <c r="J116" s="55">
        <f>VLOOKUP(C116,Recipes!$A$2:$N$4,10,FALSE())</f>
        <v>10.940000000000001</v>
      </c>
      <c r="K116" s="56">
        <f>VLOOKUP(C116,Recipes!$A$2:$N$4,12,FALSE())</f>
        <v>5.2703573566378441E-2</v>
      </c>
      <c r="L116" s="55">
        <f t="shared" si="6"/>
        <v>10.781889279300866</v>
      </c>
      <c r="M116" s="55">
        <f t="shared" si="7"/>
        <v>11.098110720699136</v>
      </c>
      <c r="N116" s="49" t="str">
        <f t="shared" si="8"/>
        <v/>
      </c>
      <c r="O116" s="57" t="str">
        <f t="shared" si="9"/>
        <v/>
      </c>
      <c r="P116" s="55" t="str">
        <f t="shared" si="10"/>
        <v/>
      </c>
      <c r="Q116" s="55" t="str">
        <f>IF(G116="","",ABS(P116-Components!$C$2))</f>
        <v/>
      </c>
      <c r="R116" s="55" t="str">
        <f>IF(G116="","",ABS(P116-Components!$C$3))</f>
        <v/>
      </c>
      <c r="S116" s="55" t="str">
        <f>IF(G116="","",ABS(P116-Components!$C$4))</f>
        <v/>
      </c>
      <c r="T116" s="55" t="str">
        <f>IF(G116="","",ABS(P116-Components!$C$5))</f>
        <v/>
      </c>
      <c r="U116" s="55" t="str">
        <f>IF(G116="","",ABS(P116-Components!$C$6))</f>
        <v/>
      </c>
      <c r="V116" s="55" t="str">
        <f>IF(G116="","",ABS(P116-Components!$C$7))</f>
        <v/>
      </c>
      <c r="W116" s="49" t="str">
        <f>IF(G116="","",IF(N116="OK","NONE",INDEX({"S1","S2","W1","W2","N1","N2"},MATCH(MIN(Q116:V116),Q116:V116,0))))</f>
        <v/>
      </c>
      <c r="X116" s="57" t="str">
        <f t="shared" si="11"/>
        <v/>
      </c>
    </row>
    <row r="117" spans="1:24">
      <c r="A117" s="49">
        <v>115</v>
      </c>
      <c r="B117" s="50">
        <v>47</v>
      </c>
      <c r="C117" s="49" t="s">
        <v>128</v>
      </c>
      <c r="D117" s="62" t="s">
        <v>240</v>
      </c>
      <c r="E117" s="49" t="s">
        <v>110</v>
      </c>
      <c r="F117" s="49" t="s">
        <v>259</v>
      </c>
      <c r="G117" s="52"/>
      <c r="H117" s="53"/>
      <c r="I117" s="54"/>
      <c r="J117" s="55">
        <f>VLOOKUP(C117,Recipes!$A$2:$N$4,10,FALSE())</f>
        <v>10.940000000000001</v>
      </c>
      <c r="K117" s="56">
        <f>VLOOKUP(C117,Recipes!$A$2:$N$4,12,FALSE())</f>
        <v>5.2703573566378441E-2</v>
      </c>
      <c r="L117" s="55">
        <f t="shared" si="6"/>
        <v>10.781889279300866</v>
      </c>
      <c r="M117" s="55">
        <f t="shared" si="7"/>
        <v>11.098110720699136</v>
      </c>
      <c r="N117" s="49" t="str">
        <f t="shared" si="8"/>
        <v/>
      </c>
      <c r="O117" s="57" t="str">
        <f t="shared" si="9"/>
        <v/>
      </c>
      <c r="P117" s="55" t="str">
        <f t="shared" si="10"/>
        <v/>
      </c>
      <c r="Q117" s="55" t="str">
        <f>IF(G117="","",ABS(P117-Components!$C$2))</f>
        <v/>
      </c>
      <c r="R117" s="55" t="str">
        <f>IF(G117="","",ABS(P117-Components!$C$3))</f>
        <v/>
      </c>
      <c r="S117" s="55" t="str">
        <f>IF(G117="","",ABS(P117-Components!$C$4))</f>
        <v/>
      </c>
      <c r="T117" s="55" t="str">
        <f>IF(G117="","",ABS(P117-Components!$C$5))</f>
        <v/>
      </c>
      <c r="U117" s="55" t="str">
        <f>IF(G117="","",ABS(P117-Components!$C$6))</f>
        <v/>
      </c>
      <c r="V117" s="55" t="str">
        <f>IF(G117="","",ABS(P117-Components!$C$7))</f>
        <v/>
      </c>
      <c r="W117" s="49" t="str">
        <f>IF(G117="","",IF(N117="OK","NONE",INDEX({"S1","S2","W1","W2","N1","N2"},MATCH(MIN(Q117:V117),Q117:V117,0))))</f>
        <v/>
      </c>
      <c r="X117" s="57" t="str">
        <f t="shared" si="11"/>
        <v/>
      </c>
    </row>
    <row r="118" spans="1:24">
      <c r="A118" s="49">
        <v>116</v>
      </c>
      <c r="B118" s="50">
        <v>47</v>
      </c>
      <c r="C118" s="49" t="s">
        <v>128</v>
      </c>
      <c r="D118" s="62" t="s">
        <v>240</v>
      </c>
      <c r="E118" s="49" t="s">
        <v>110</v>
      </c>
      <c r="F118" s="49" t="s">
        <v>259</v>
      </c>
      <c r="G118" s="52"/>
      <c r="H118" s="53"/>
      <c r="I118" s="54"/>
      <c r="J118" s="55">
        <f>VLOOKUP(C118,Recipes!$A$2:$N$4,10,FALSE())</f>
        <v>10.940000000000001</v>
      </c>
      <c r="K118" s="56">
        <f>VLOOKUP(C118,Recipes!$A$2:$N$4,12,FALSE())</f>
        <v>5.2703573566378441E-2</v>
      </c>
      <c r="L118" s="55">
        <f t="shared" si="6"/>
        <v>10.781889279300866</v>
      </c>
      <c r="M118" s="55">
        <f t="shared" si="7"/>
        <v>11.098110720699136</v>
      </c>
      <c r="N118" s="49" t="str">
        <f t="shared" si="8"/>
        <v/>
      </c>
      <c r="O118" s="57" t="str">
        <f t="shared" si="9"/>
        <v/>
      </c>
      <c r="P118" s="55" t="str">
        <f t="shared" si="10"/>
        <v/>
      </c>
      <c r="Q118" s="55" t="str">
        <f>IF(G118="","",ABS(P118-Components!$C$2))</f>
        <v/>
      </c>
      <c r="R118" s="55" t="str">
        <f>IF(G118="","",ABS(P118-Components!$C$3))</f>
        <v/>
      </c>
      <c r="S118" s="55" t="str">
        <f>IF(G118="","",ABS(P118-Components!$C$4))</f>
        <v/>
      </c>
      <c r="T118" s="55" t="str">
        <f>IF(G118="","",ABS(P118-Components!$C$5))</f>
        <v/>
      </c>
      <c r="U118" s="55" t="str">
        <f>IF(G118="","",ABS(P118-Components!$C$6))</f>
        <v/>
      </c>
      <c r="V118" s="55" t="str">
        <f>IF(G118="","",ABS(P118-Components!$C$7))</f>
        <v/>
      </c>
      <c r="W118" s="49" t="str">
        <f>IF(G118="","",IF(N118="OK","NONE",INDEX({"S1","S2","W1","W2","N1","N2"},MATCH(MIN(Q118:V118),Q118:V118,0))))</f>
        <v/>
      </c>
      <c r="X118" s="57" t="str">
        <f t="shared" si="11"/>
        <v/>
      </c>
    </row>
    <row r="119" spans="1:24">
      <c r="A119" s="49">
        <v>117</v>
      </c>
      <c r="B119" s="50">
        <v>47</v>
      </c>
      <c r="C119" s="49" t="s">
        <v>128</v>
      </c>
      <c r="D119" s="62" t="s">
        <v>240</v>
      </c>
      <c r="E119" s="49" t="s">
        <v>110</v>
      </c>
      <c r="F119" s="49" t="s">
        <v>259</v>
      </c>
      <c r="G119" s="52"/>
      <c r="H119" s="53"/>
      <c r="I119" s="54"/>
      <c r="J119" s="55">
        <f>VLOOKUP(C119,Recipes!$A$2:$N$4,10,FALSE())</f>
        <v>10.940000000000001</v>
      </c>
      <c r="K119" s="56">
        <f>VLOOKUP(C119,Recipes!$A$2:$N$4,12,FALSE())</f>
        <v>5.2703573566378441E-2</v>
      </c>
      <c r="L119" s="55">
        <f t="shared" si="6"/>
        <v>10.781889279300866</v>
      </c>
      <c r="M119" s="55">
        <f t="shared" si="7"/>
        <v>11.098110720699136</v>
      </c>
      <c r="N119" s="49" t="str">
        <f t="shared" si="8"/>
        <v/>
      </c>
      <c r="O119" s="57" t="str">
        <f t="shared" si="9"/>
        <v/>
      </c>
      <c r="P119" s="55" t="str">
        <f t="shared" si="10"/>
        <v/>
      </c>
      <c r="Q119" s="55" t="str">
        <f>IF(G119="","",ABS(P119-Components!$C$2))</f>
        <v/>
      </c>
      <c r="R119" s="55" t="str">
        <f>IF(G119="","",ABS(P119-Components!$C$3))</f>
        <v/>
      </c>
      <c r="S119" s="55" t="str">
        <f>IF(G119="","",ABS(P119-Components!$C$4))</f>
        <v/>
      </c>
      <c r="T119" s="55" t="str">
        <f>IF(G119="","",ABS(P119-Components!$C$5))</f>
        <v/>
      </c>
      <c r="U119" s="55" t="str">
        <f>IF(G119="","",ABS(P119-Components!$C$6))</f>
        <v/>
      </c>
      <c r="V119" s="55" t="str">
        <f>IF(G119="","",ABS(P119-Components!$C$7))</f>
        <v/>
      </c>
      <c r="W119" s="49" t="str">
        <f>IF(G119="","",IF(N119="OK","NONE",INDEX({"S1","S2","W1","W2","N1","N2"},MATCH(MIN(Q119:V119),Q119:V119,0))))</f>
        <v/>
      </c>
      <c r="X119" s="57" t="str">
        <f t="shared" si="11"/>
        <v/>
      </c>
    </row>
    <row r="120" spans="1:24">
      <c r="A120" s="49">
        <v>118</v>
      </c>
      <c r="B120" s="50">
        <v>47</v>
      </c>
      <c r="C120" s="49" t="s">
        <v>128</v>
      </c>
      <c r="D120" s="62" t="s">
        <v>240</v>
      </c>
      <c r="E120" s="49" t="s">
        <v>110</v>
      </c>
      <c r="F120" s="49" t="s">
        <v>259</v>
      </c>
      <c r="G120" s="52"/>
      <c r="H120" s="53"/>
      <c r="I120" s="54"/>
      <c r="J120" s="55">
        <f>VLOOKUP(C120,Recipes!$A$2:$N$4,10,FALSE())</f>
        <v>10.940000000000001</v>
      </c>
      <c r="K120" s="56">
        <f>VLOOKUP(C120,Recipes!$A$2:$N$4,12,FALSE())</f>
        <v>5.2703573566378441E-2</v>
      </c>
      <c r="L120" s="55">
        <f t="shared" si="6"/>
        <v>10.781889279300866</v>
      </c>
      <c r="M120" s="55">
        <f t="shared" si="7"/>
        <v>11.098110720699136</v>
      </c>
      <c r="N120" s="49" t="str">
        <f t="shared" si="8"/>
        <v/>
      </c>
      <c r="O120" s="57" t="str">
        <f t="shared" si="9"/>
        <v/>
      </c>
      <c r="P120" s="55" t="str">
        <f t="shared" si="10"/>
        <v/>
      </c>
      <c r="Q120" s="55" t="str">
        <f>IF(G120="","",ABS(P120-Components!$C$2))</f>
        <v/>
      </c>
      <c r="R120" s="55" t="str">
        <f>IF(G120="","",ABS(P120-Components!$C$3))</f>
        <v/>
      </c>
      <c r="S120" s="55" t="str">
        <f>IF(G120="","",ABS(P120-Components!$C$4))</f>
        <v/>
      </c>
      <c r="T120" s="55" t="str">
        <f>IF(G120="","",ABS(P120-Components!$C$5))</f>
        <v/>
      </c>
      <c r="U120" s="55" t="str">
        <f>IF(G120="","",ABS(P120-Components!$C$6))</f>
        <v/>
      </c>
      <c r="V120" s="55" t="str">
        <f>IF(G120="","",ABS(P120-Components!$C$7))</f>
        <v/>
      </c>
      <c r="W120" s="49" t="str">
        <f>IF(G120="","",IF(N120="OK","NONE",INDEX({"S1","S2","W1","W2","N1","N2"},MATCH(MIN(Q120:V120),Q120:V120,0))))</f>
        <v/>
      </c>
      <c r="X120" s="57" t="str">
        <f t="shared" si="11"/>
        <v/>
      </c>
    </row>
    <row r="121" spans="1:24">
      <c r="A121" s="49">
        <v>119</v>
      </c>
      <c r="B121" s="50">
        <v>47</v>
      </c>
      <c r="C121" s="49" t="s">
        <v>128</v>
      </c>
      <c r="D121" s="62" t="s">
        <v>240</v>
      </c>
      <c r="E121" s="49" t="s">
        <v>110</v>
      </c>
      <c r="F121" s="49" t="s">
        <v>259</v>
      </c>
      <c r="G121" s="52"/>
      <c r="H121" s="53"/>
      <c r="I121" s="54"/>
      <c r="J121" s="55">
        <f>VLOOKUP(C121,Recipes!$A$2:$N$4,10,FALSE())</f>
        <v>10.940000000000001</v>
      </c>
      <c r="K121" s="56">
        <f>VLOOKUP(C121,Recipes!$A$2:$N$4,12,FALSE())</f>
        <v>5.2703573566378441E-2</v>
      </c>
      <c r="L121" s="55">
        <f t="shared" si="6"/>
        <v>10.781889279300866</v>
      </c>
      <c r="M121" s="55">
        <f t="shared" si="7"/>
        <v>11.098110720699136</v>
      </c>
      <c r="N121" s="49" t="str">
        <f t="shared" si="8"/>
        <v/>
      </c>
      <c r="O121" s="57" t="str">
        <f t="shared" si="9"/>
        <v/>
      </c>
      <c r="P121" s="55" t="str">
        <f t="shared" si="10"/>
        <v/>
      </c>
      <c r="Q121" s="55" t="str">
        <f>IF(G121="","",ABS(P121-Components!$C$2))</f>
        <v/>
      </c>
      <c r="R121" s="55" t="str">
        <f>IF(G121="","",ABS(P121-Components!$C$3))</f>
        <v/>
      </c>
      <c r="S121" s="55" t="str">
        <f>IF(G121="","",ABS(P121-Components!$C$4))</f>
        <v/>
      </c>
      <c r="T121" s="55" t="str">
        <f>IF(G121="","",ABS(P121-Components!$C$5))</f>
        <v/>
      </c>
      <c r="U121" s="55" t="str">
        <f>IF(G121="","",ABS(P121-Components!$C$6))</f>
        <v/>
      </c>
      <c r="V121" s="55" t="str">
        <f>IF(G121="","",ABS(P121-Components!$C$7))</f>
        <v/>
      </c>
      <c r="W121" s="49" t="str">
        <f>IF(G121="","",IF(N121="OK","NONE",INDEX({"S1","S2","W1","W2","N1","N2"},MATCH(MIN(Q121:V121),Q121:V121,0))))</f>
        <v/>
      </c>
      <c r="X121" s="57" t="str">
        <f t="shared" si="11"/>
        <v/>
      </c>
    </row>
    <row r="122" spans="1:24">
      <c r="A122" s="49">
        <v>120</v>
      </c>
      <c r="B122" s="50">
        <v>47</v>
      </c>
      <c r="C122" s="49" t="s">
        <v>128</v>
      </c>
      <c r="D122" s="62" t="s">
        <v>240</v>
      </c>
      <c r="E122" s="49" t="s">
        <v>110</v>
      </c>
      <c r="F122" s="49" t="s">
        <v>259</v>
      </c>
      <c r="G122" s="52">
        <v>8.56</v>
      </c>
      <c r="H122" s="53"/>
      <c r="I122" s="54"/>
      <c r="J122" s="55">
        <f>VLOOKUP(C122,Recipes!$A$2:$N$4,10,FALSE())</f>
        <v>10.940000000000001</v>
      </c>
      <c r="K122" s="56">
        <f>VLOOKUP(C122,Recipes!$A$2:$N$4,12,FALSE())</f>
        <v>5.2703573566378441E-2</v>
      </c>
      <c r="L122" s="55">
        <f t="shared" si="6"/>
        <v>10.781889279300866</v>
      </c>
      <c r="M122" s="55">
        <f t="shared" si="7"/>
        <v>11.098110720699136</v>
      </c>
      <c r="N122" s="49" t="str">
        <f t="shared" si="8"/>
        <v>NG</v>
      </c>
      <c r="O122" s="57">
        <f t="shared" si="9"/>
        <v>1</v>
      </c>
      <c r="P122" s="55">
        <f t="shared" si="10"/>
        <v>2.3800000000000008</v>
      </c>
      <c r="Q122" s="55">
        <f>IF(G122="","",ABS(P122-Components!$C$2))</f>
        <v>0.37333333333332908</v>
      </c>
      <c r="R122" s="55">
        <f>IF(G122="","",ABS(P122-Components!$C$3))</f>
        <v>1.6559999999999988</v>
      </c>
      <c r="S122" s="55">
        <f>IF(G122="","",ABS(P122-Components!$C$4))</f>
        <v>1.3866666666666678</v>
      </c>
      <c r="T122" s="55">
        <f>IF(G122="","",ABS(P122-Components!$C$5))</f>
        <v>2.1826666666666696</v>
      </c>
      <c r="U122" s="55">
        <f>IF(G122="","",ABS(P122-Components!$C$6))</f>
        <v>1.2243333333333308</v>
      </c>
      <c r="V122" s="55">
        <f>IF(G122="","",ABS(P122-Components!$C$7))</f>
        <v>1.0056666666666707</v>
      </c>
      <c r="W122" s="49" t="str">
        <f>IF(G122="","",IF(N122="OK","NONE",INDEX({"S1","S2","W1","W2","N1","N2"},MATCH(MIN(Q122:V122),Q122:V122,0))))</f>
        <v>S1</v>
      </c>
      <c r="X122" s="57">
        <f t="shared" si="11"/>
        <v>0</v>
      </c>
    </row>
    <row r="123" spans="1:24">
      <c r="A123" s="49">
        <v>121</v>
      </c>
      <c r="B123" s="50">
        <v>29</v>
      </c>
      <c r="C123" s="49" t="s">
        <v>130</v>
      </c>
      <c r="D123" s="51" t="s">
        <v>238</v>
      </c>
      <c r="E123" s="49" t="s">
        <v>239</v>
      </c>
      <c r="F123" s="49" t="s">
        <v>260</v>
      </c>
      <c r="G123" s="52">
        <v>8.9499999999999993</v>
      </c>
      <c r="H123" s="53"/>
      <c r="I123" s="54"/>
      <c r="J123" s="55">
        <f>VLOOKUP(C123,Recipes!$A$2:$N$4,10,FALSE())</f>
        <v>9.9053333333333331</v>
      </c>
      <c r="K123" s="56">
        <f>VLOOKUP(C123,Recipes!$A$2:$N$4,12,FALSE())</f>
        <v>5.0137397426368718E-2</v>
      </c>
      <c r="L123" s="55">
        <f t="shared" si="6"/>
        <v>9.7549211410542274</v>
      </c>
      <c r="M123" s="55">
        <f t="shared" si="7"/>
        <v>10.055745525612439</v>
      </c>
      <c r="N123" s="49" t="str">
        <f t="shared" si="8"/>
        <v>NG</v>
      </c>
      <c r="O123" s="57">
        <f t="shared" si="9"/>
        <v>0</v>
      </c>
      <c r="P123" s="55">
        <f t="shared" si="10"/>
        <v>0.95533333333333381</v>
      </c>
      <c r="Q123" s="55">
        <f>IF(G123="","",ABS(P123-Components!$C$2))</f>
        <v>1.797999999999996</v>
      </c>
      <c r="R123" s="55">
        <f>IF(G123="","",ABS(P123-Components!$C$3))</f>
        <v>3.0806666666666658</v>
      </c>
      <c r="S123" s="55">
        <f>IF(G123="","",ABS(P123-Components!$C$4))</f>
        <v>3.7999999999999146E-2</v>
      </c>
      <c r="T123" s="55">
        <f>IF(G123="","",ABS(P123-Components!$C$5))</f>
        <v>3.6073333333333366</v>
      </c>
      <c r="U123" s="55">
        <f>IF(G123="","",ABS(P123-Components!$C$6))</f>
        <v>0.20033333333333614</v>
      </c>
      <c r="V123" s="55">
        <f>IF(G123="","",ABS(P123-Components!$C$7))</f>
        <v>0.41899999999999626</v>
      </c>
      <c r="W123" s="49" t="str">
        <f>IF(G123="","",IF(N123="OK","NONE",INDEX({"S1","S2","W1","W2","N1","N2"},MATCH(MIN(Q123:V123),Q123:V123,0))))</f>
        <v>W1</v>
      </c>
      <c r="X123" s="57">
        <f t="shared" si="11"/>
        <v>0</v>
      </c>
    </row>
    <row r="124" spans="1:24">
      <c r="A124" s="49">
        <v>122</v>
      </c>
      <c r="B124" s="50">
        <v>11</v>
      </c>
      <c r="C124" s="49" t="s">
        <v>130</v>
      </c>
      <c r="D124" s="51" t="s">
        <v>238</v>
      </c>
      <c r="E124" s="49" t="s">
        <v>239</v>
      </c>
      <c r="F124" s="49" t="s">
        <v>261</v>
      </c>
      <c r="G124" s="52">
        <v>8.94</v>
      </c>
      <c r="H124" s="53"/>
      <c r="I124" s="54"/>
      <c r="J124" s="55">
        <f>VLOOKUP(C124,Recipes!$A$2:$N$4,10,FALSE())</f>
        <v>9.9053333333333331</v>
      </c>
      <c r="K124" s="56">
        <f>VLOOKUP(C124,Recipes!$A$2:$N$4,12,FALSE())</f>
        <v>5.0137397426368718E-2</v>
      </c>
      <c r="L124" s="55">
        <f t="shared" si="6"/>
        <v>9.7549211410542274</v>
      </c>
      <c r="M124" s="55">
        <f t="shared" si="7"/>
        <v>10.055745525612439</v>
      </c>
      <c r="N124" s="49" t="str">
        <f t="shared" si="8"/>
        <v>NG</v>
      </c>
      <c r="O124" s="57">
        <f t="shared" si="9"/>
        <v>0</v>
      </c>
      <c r="P124" s="55">
        <f t="shared" si="10"/>
        <v>0.9653333333333336</v>
      </c>
      <c r="Q124" s="55">
        <f>IF(G124="","",ABS(P124-Components!$C$2))</f>
        <v>1.7879999999999963</v>
      </c>
      <c r="R124" s="55">
        <f>IF(G124="","",ABS(P124-Components!$C$3))</f>
        <v>3.070666666666666</v>
      </c>
      <c r="S124" s="55">
        <f>IF(G124="","",ABS(P124-Components!$C$4))</f>
        <v>2.7999999999999359E-2</v>
      </c>
      <c r="T124" s="55">
        <f>IF(G124="","",ABS(P124-Components!$C$5))</f>
        <v>3.5973333333333368</v>
      </c>
      <c r="U124" s="55">
        <f>IF(G124="","",ABS(P124-Components!$C$6))</f>
        <v>0.19033333333333635</v>
      </c>
      <c r="V124" s="55">
        <f>IF(G124="","",ABS(P124-Components!$C$7))</f>
        <v>0.40899999999999648</v>
      </c>
      <c r="W124" s="49" t="str">
        <f>IF(G124="","",IF(N124="OK","NONE",INDEX({"S1","S2","W1","W2","N1","N2"},MATCH(MIN(Q124:V124),Q124:V124,0))))</f>
        <v>W1</v>
      </c>
      <c r="X124" s="57">
        <f t="shared" si="11"/>
        <v>0</v>
      </c>
    </row>
    <row r="125" spans="1:24">
      <c r="A125" s="49">
        <v>123</v>
      </c>
      <c r="B125" s="50">
        <v>43</v>
      </c>
      <c r="C125" s="49" t="s">
        <v>130</v>
      </c>
      <c r="D125" s="51" t="s">
        <v>238</v>
      </c>
      <c r="E125" s="49" t="s">
        <v>239</v>
      </c>
      <c r="F125" s="49" t="s">
        <v>262</v>
      </c>
      <c r="G125" s="52">
        <v>8.94</v>
      </c>
      <c r="H125" s="53"/>
      <c r="I125" s="54"/>
      <c r="J125" s="55">
        <f>VLOOKUP(C125,Recipes!$A$2:$N$4,10,FALSE())</f>
        <v>9.9053333333333331</v>
      </c>
      <c r="K125" s="56">
        <f>VLOOKUP(C125,Recipes!$A$2:$N$4,12,FALSE())</f>
        <v>5.0137397426368718E-2</v>
      </c>
      <c r="L125" s="55">
        <f t="shared" si="6"/>
        <v>9.7549211410542274</v>
      </c>
      <c r="M125" s="55">
        <f t="shared" si="7"/>
        <v>10.055745525612439</v>
      </c>
      <c r="N125" s="49" t="str">
        <f t="shared" si="8"/>
        <v>NG</v>
      </c>
      <c r="O125" s="57">
        <f t="shared" si="9"/>
        <v>0</v>
      </c>
      <c r="P125" s="55">
        <f t="shared" si="10"/>
        <v>0.9653333333333336</v>
      </c>
      <c r="Q125" s="55">
        <f>IF(G125="","",ABS(P125-Components!$C$2))</f>
        <v>1.7879999999999963</v>
      </c>
      <c r="R125" s="55">
        <f>IF(G125="","",ABS(P125-Components!$C$3))</f>
        <v>3.070666666666666</v>
      </c>
      <c r="S125" s="55">
        <f>IF(G125="","",ABS(P125-Components!$C$4))</f>
        <v>2.7999999999999359E-2</v>
      </c>
      <c r="T125" s="55">
        <f>IF(G125="","",ABS(P125-Components!$C$5))</f>
        <v>3.5973333333333368</v>
      </c>
      <c r="U125" s="55">
        <f>IF(G125="","",ABS(P125-Components!$C$6))</f>
        <v>0.19033333333333635</v>
      </c>
      <c r="V125" s="55">
        <f>IF(G125="","",ABS(P125-Components!$C$7))</f>
        <v>0.40899999999999648</v>
      </c>
      <c r="W125" s="49" t="str">
        <f>IF(G125="","",IF(N125="OK","NONE",INDEX({"S1","S2","W1","W2","N1","N2"},MATCH(MIN(Q125:V125),Q125:V125,0))))</f>
        <v>W1</v>
      </c>
      <c r="X125" s="57">
        <f t="shared" si="11"/>
        <v>0</v>
      </c>
    </row>
    <row r="126" spans="1:24">
      <c r="A126" s="49">
        <v>124</v>
      </c>
      <c r="B126" s="50">
        <v>23</v>
      </c>
      <c r="C126" s="49" t="s">
        <v>130</v>
      </c>
      <c r="D126" s="51" t="s">
        <v>238</v>
      </c>
      <c r="E126" s="49" t="s">
        <v>239</v>
      </c>
      <c r="F126" s="49" t="s">
        <v>263</v>
      </c>
      <c r="G126" s="52">
        <v>8.89</v>
      </c>
      <c r="H126" s="53"/>
      <c r="I126" s="54"/>
      <c r="J126" s="55">
        <f>VLOOKUP(C126,Recipes!$A$2:$N$4,10,FALSE())</f>
        <v>9.9053333333333331</v>
      </c>
      <c r="K126" s="56">
        <f>VLOOKUP(C126,Recipes!$A$2:$N$4,12,FALSE())</f>
        <v>5.0137397426368718E-2</v>
      </c>
      <c r="L126" s="55">
        <f t="shared" si="6"/>
        <v>9.7549211410542274</v>
      </c>
      <c r="M126" s="55">
        <f t="shared" si="7"/>
        <v>10.055745525612439</v>
      </c>
      <c r="N126" s="49" t="str">
        <f t="shared" si="8"/>
        <v>NG</v>
      </c>
      <c r="O126" s="57">
        <f t="shared" si="9"/>
        <v>0</v>
      </c>
      <c r="P126" s="55">
        <f t="shared" si="10"/>
        <v>1.0153333333333325</v>
      </c>
      <c r="Q126" s="55">
        <f>IF(G126="","",ABS(P126-Components!$C$2))</f>
        <v>1.7379999999999973</v>
      </c>
      <c r="R126" s="55">
        <f>IF(G126="","",ABS(P126-Components!$C$3))</f>
        <v>3.0206666666666671</v>
      </c>
      <c r="S126" s="55">
        <f>IF(G126="","",ABS(P126-Components!$C$4))</f>
        <v>2.1999999999999575E-2</v>
      </c>
      <c r="T126" s="55">
        <f>IF(G126="","",ABS(P126-Components!$C$5))</f>
        <v>3.5473333333333379</v>
      </c>
      <c r="U126" s="55">
        <f>IF(G126="","",ABS(P126-Components!$C$6))</f>
        <v>0.14033333333333742</v>
      </c>
      <c r="V126" s="55">
        <f>IF(G126="","",ABS(P126-Components!$C$7))</f>
        <v>0.35899999999999754</v>
      </c>
      <c r="W126" s="49" t="str">
        <f>IF(G126="","",IF(N126="OK","NONE",INDEX({"S1","S2","W1","W2","N1","N2"},MATCH(MIN(Q126:V126),Q126:V126,0))))</f>
        <v>W1</v>
      </c>
      <c r="X126" s="57">
        <f t="shared" si="11"/>
        <v>0</v>
      </c>
    </row>
    <row r="127" spans="1:24">
      <c r="A127" s="49">
        <v>125</v>
      </c>
      <c r="B127" s="50">
        <v>39</v>
      </c>
      <c r="C127" s="49" t="s">
        <v>130</v>
      </c>
      <c r="D127" s="51" t="s">
        <v>238</v>
      </c>
      <c r="E127" s="49" t="s">
        <v>239</v>
      </c>
      <c r="F127" s="49" t="s">
        <v>264</v>
      </c>
      <c r="G127" s="52">
        <v>8.89</v>
      </c>
      <c r="H127" s="53"/>
      <c r="I127" s="54"/>
      <c r="J127" s="55">
        <f>VLOOKUP(C127,Recipes!$A$2:$N$4,10,FALSE())</f>
        <v>9.9053333333333331</v>
      </c>
      <c r="K127" s="56">
        <f>VLOOKUP(C127,Recipes!$A$2:$N$4,12,FALSE())</f>
        <v>5.0137397426368718E-2</v>
      </c>
      <c r="L127" s="55">
        <f t="shared" si="6"/>
        <v>9.7549211410542274</v>
      </c>
      <c r="M127" s="55">
        <f t="shared" si="7"/>
        <v>10.055745525612439</v>
      </c>
      <c r="N127" s="49" t="str">
        <f t="shared" si="8"/>
        <v>NG</v>
      </c>
      <c r="O127" s="57">
        <f t="shared" si="9"/>
        <v>0</v>
      </c>
      <c r="P127" s="55">
        <f t="shared" si="10"/>
        <v>1.0153333333333325</v>
      </c>
      <c r="Q127" s="55">
        <f>IF(G127="","",ABS(P127-Components!$C$2))</f>
        <v>1.7379999999999973</v>
      </c>
      <c r="R127" s="55">
        <f>IF(G127="","",ABS(P127-Components!$C$3))</f>
        <v>3.0206666666666671</v>
      </c>
      <c r="S127" s="55">
        <f>IF(G127="","",ABS(P127-Components!$C$4))</f>
        <v>2.1999999999999575E-2</v>
      </c>
      <c r="T127" s="55">
        <f>IF(G127="","",ABS(P127-Components!$C$5))</f>
        <v>3.5473333333333379</v>
      </c>
      <c r="U127" s="55">
        <f>IF(G127="","",ABS(P127-Components!$C$6))</f>
        <v>0.14033333333333742</v>
      </c>
      <c r="V127" s="55">
        <f>IF(G127="","",ABS(P127-Components!$C$7))</f>
        <v>0.35899999999999754</v>
      </c>
      <c r="W127" s="49" t="str">
        <f>IF(G127="","",IF(N127="OK","NONE",INDEX({"S1","S2","W1","W2","N1","N2"},MATCH(MIN(Q127:V127),Q127:V127,0))))</f>
        <v>W1</v>
      </c>
      <c r="X127" s="57">
        <f t="shared" si="11"/>
        <v>0</v>
      </c>
    </row>
    <row r="128" spans="1:24">
      <c r="A128" s="49">
        <v>126</v>
      </c>
      <c r="B128" s="50">
        <v>25</v>
      </c>
      <c r="C128" s="49" t="s">
        <v>130</v>
      </c>
      <c r="D128" s="62" t="s">
        <v>240</v>
      </c>
      <c r="E128" s="49" t="s">
        <v>99</v>
      </c>
      <c r="F128" s="49" t="s">
        <v>265</v>
      </c>
      <c r="G128" s="52">
        <v>6.18</v>
      </c>
      <c r="H128" s="53"/>
      <c r="I128" s="54"/>
      <c r="J128" s="55">
        <f>VLOOKUP(C128,Recipes!$A$2:$N$4,10,FALSE())</f>
        <v>9.9053333333333331</v>
      </c>
      <c r="K128" s="56">
        <f>VLOOKUP(C128,Recipes!$A$2:$N$4,12,FALSE())</f>
        <v>5.0137397426368718E-2</v>
      </c>
      <c r="L128" s="55">
        <f t="shared" si="6"/>
        <v>9.7549211410542274</v>
      </c>
      <c r="M128" s="55">
        <f t="shared" si="7"/>
        <v>10.055745525612439</v>
      </c>
      <c r="N128" s="49" t="str">
        <f t="shared" si="8"/>
        <v>NG</v>
      </c>
      <c r="O128" s="57">
        <f t="shared" si="9"/>
        <v>1</v>
      </c>
      <c r="P128" s="55">
        <f t="shared" si="10"/>
        <v>3.7253333333333334</v>
      </c>
      <c r="Q128" s="55">
        <f>IF(G128="","",ABS(P128-Components!$C$2))</f>
        <v>0.97200000000000353</v>
      </c>
      <c r="R128" s="55">
        <f>IF(G128="","",ABS(P128-Components!$C$3))</f>
        <v>0.3106666666666662</v>
      </c>
      <c r="S128" s="55">
        <f>IF(G128="","",ABS(P128-Components!$C$4))</f>
        <v>2.7320000000000002</v>
      </c>
      <c r="T128" s="55">
        <f>IF(G128="","",ABS(P128-Components!$C$5))</f>
        <v>0.83733333333333704</v>
      </c>
      <c r="U128" s="55">
        <f>IF(G128="","",ABS(P128-Components!$C$6))</f>
        <v>2.5696666666666634</v>
      </c>
      <c r="V128" s="55">
        <f>IF(G128="","",ABS(P128-Components!$C$7))</f>
        <v>2.3510000000000035</v>
      </c>
      <c r="W128" s="49" t="str">
        <f>IF(G128="","",IF(N128="OK","NONE",INDEX({"S1","S2","W1","W2","N1","N2"},MATCH(MIN(Q128:V128),Q128:V128,0))))</f>
        <v>S2</v>
      </c>
      <c r="X128" s="57">
        <f t="shared" si="11"/>
        <v>0</v>
      </c>
    </row>
    <row r="129" spans="1:24">
      <c r="A129" s="49">
        <v>127</v>
      </c>
      <c r="B129" s="50">
        <v>1</v>
      </c>
      <c r="C129" s="49" t="s">
        <v>130</v>
      </c>
      <c r="D129" s="62" t="s">
        <v>240</v>
      </c>
      <c r="E129" s="49" t="s">
        <v>99</v>
      </c>
      <c r="F129" s="49" t="s">
        <v>266</v>
      </c>
      <c r="G129" s="52">
        <v>6.18</v>
      </c>
      <c r="H129" s="53"/>
      <c r="I129" s="54"/>
      <c r="J129" s="55">
        <f>VLOOKUP(C129,Recipes!$A$2:$N$4,10,FALSE())</f>
        <v>9.9053333333333331</v>
      </c>
      <c r="K129" s="56">
        <f>VLOOKUP(C129,Recipes!$A$2:$N$4,12,FALSE())</f>
        <v>5.0137397426368718E-2</v>
      </c>
      <c r="L129" s="55">
        <f t="shared" si="6"/>
        <v>9.7549211410542274</v>
      </c>
      <c r="M129" s="55">
        <f t="shared" si="7"/>
        <v>10.055745525612439</v>
      </c>
      <c r="N129" s="49" t="str">
        <f t="shared" si="8"/>
        <v>NG</v>
      </c>
      <c r="O129" s="57">
        <f t="shared" si="9"/>
        <v>1</v>
      </c>
      <c r="P129" s="55">
        <f t="shared" si="10"/>
        <v>3.7253333333333334</v>
      </c>
      <c r="Q129" s="55">
        <f>IF(G129="","",ABS(P129-Components!$C$2))</f>
        <v>0.97200000000000353</v>
      </c>
      <c r="R129" s="55">
        <f>IF(G129="","",ABS(P129-Components!$C$3))</f>
        <v>0.3106666666666662</v>
      </c>
      <c r="S129" s="55">
        <f>IF(G129="","",ABS(P129-Components!$C$4))</f>
        <v>2.7320000000000002</v>
      </c>
      <c r="T129" s="55">
        <f>IF(G129="","",ABS(P129-Components!$C$5))</f>
        <v>0.83733333333333704</v>
      </c>
      <c r="U129" s="55">
        <f>IF(G129="","",ABS(P129-Components!$C$6))</f>
        <v>2.5696666666666634</v>
      </c>
      <c r="V129" s="55">
        <f>IF(G129="","",ABS(P129-Components!$C$7))</f>
        <v>2.3510000000000035</v>
      </c>
      <c r="W129" s="49" t="str">
        <f>IF(G129="","",IF(N129="OK","NONE",INDEX({"S1","S2","W1","W2","N1","N2"},MATCH(MIN(Q129:V129),Q129:V129,0))))</f>
        <v>S2</v>
      </c>
      <c r="X129" s="57">
        <f t="shared" si="11"/>
        <v>0</v>
      </c>
    </row>
    <row r="130" spans="1:24">
      <c r="A130" s="49">
        <v>128</v>
      </c>
      <c r="B130" s="50">
        <v>26</v>
      </c>
      <c r="C130" s="49" t="s">
        <v>130</v>
      </c>
      <c r="D130" s="62" t="s">
        <v>240</v>
      </c>
      <c r="E130" s="49" t="s">
        <v>99</v>
      </c>
      <c r="F130" s="49" t="s">
        <v>267</v>
      </c>
      <c r="G130" s="52">
        <v>6.15</v>
      </c>
      <c r="H130" s="53"/>
      <c r="I130" s="54"/>
      <c r="J130" s="55">
        <f>VLOOKUP(C130,Recipes!$A$2:$N$4,10,FALSE())</f>
        <v>9.9053333333333331</v>
      </c>
      <c r="K130" s="56">
        <f>VLOOKUP(C130,Recipes!$A$2:$N$4,12,FALSE())</f>
        <v>5.0137397426368718E-2</v>
      </c>
      <c r="L130" s="55">
        <f t="shared" si="6"/>
        <v>9.7549211410542274</v>
      </c>
      <c r="M130" s="55">
        <f t="shared" si="7"/>
        <v>10.055745525612439</v>
      </c>
      <c r="N130" s="49" t="str">
        <f t="shared" si="8"/>
        <v>NG</v>
      </c>
      <c r="O130" s="57">
        <f t="shared" si="9"/>
        <v>1</v>
      </c>
      <c r="P130" s="55">
        <f t="shared" si="10"/>
        <v>3.7553333333333327</v>
      </c>
      <c r="Q130" s="55">
        <f>IF(G130="","",ABS(P130-Components!$C$2))</f>
        <v>1.0020000000000029</v>
      </c>
      <c r="R130" s="55">
        <f>IF(G130="","",ABS(P130-Components!$C$3))</f>
        <v>0.28066666666666684</v>
      </c>
      <c r="S130" s="55">
        <f>IF(G130="","",ABS(P130-Components!$C$4))</f>
        <v>2.7619999999999996</v>
      </c>
      <c r="T130" s="55">
        <f>IF(G130="","",ABS(P130-Components!$C$5))</f>
        <v>0.80733333333333768</v>
      </c>
      <c r="U130" s="55">
        <f>IF(G130="","",ABS(P130-Components!$C$6))</f>
        <v>2.5996666666666628</v>
      </c>
      <c r="V130" s="55">
        <f>IF(G130="","",ABS(P130-Components!$C$7))</f>
        <v>2.3810000000000029</v>
      </c>
      <c r="W130" s="49" t="str">
        <f>IF(G130="","",IF(N130="OK","NONE",INDEX({"S1","S2","W1","W2","N1","N2"},MATCH(MIN(Q130:V130),Q130:V130,0))))</f>
        <v>S2</v>
      </c>
      <c r="X130" s="57">
        <f t="shared" si="11"/>
        <v>0</v>
      </c>
    </row>
    <row r="131" spans="1:24">
      <c r="A131" s="49">
        <v>129</v>
      </c>
      <c r="B131" s="50">
        <v>52</v>
      </c>
      <c r="C131" s="49" t="s">
        <v>130</v>
      </c>
      <c r="D131" s="62" t="s">
        <v>240</v>
      </c>
      <c r="E131" s="49" t="s">
        <v>99</v>
      </c>
      <c r="F131" s="49" t="s">
        <v>268</v>
      </c>
      <c r="G131" s="52">
        <v>6.12</v>
      </c>
      <c r="H131" s="53"/>
      <c r="I131" s="54"/>
      <c r="J131" s="55">
        <f>VLOOKUP(C131,Recipes!$A$2:$N$4,10,FALSE())</f>
        <v>9.9053333333333331</v>
      </c>
      <c r="K131" s="56">
        <f>VLOOKUP(C131,Recipes!$A$2:$N$4,12,FALSE())</f>
        <v>5.0137397426368718E-2</v>
      </c>
      <c r="L131" s="55">
        <f t="shared" ref="L131:L194" si="12">J131-3*K131</f>
        <v>9.7549211410542274</v>
      </c>
      <c r="M131" s="55">
        <f t="shared" ref="M131:M194" si="13">J131+3*K131</f>
        <v>10.055745525612439</v>
      </c>
      <c r="N131" s="49" t="str">
        <f t="shared" ref="N131:N194" si="14">IF(G131="","",IF(AND(G131&gt;=L131,G131&lt;=M131),"OK","NG"))</f>
        <v>NG</v>
      </c>
      <c r="O131" s="57">
        <f t="shared" ref="O131:O194" si="15">IF(N131="","",IF(N131=D131,1,0))</f>
        <v>1</v>
      </c>
      <c r="P131" s="55">
        <f t="shared" ref="P131:P194" si="16">IF(G131="","",J131-G131)</f>
        <v>3.785333333333333</v>
      </c>
      <c r="Q131" s="55">
        <f>IF(G131="","",ABS(P131-Components!$C$2))</f>
        <v>1.0320000000000031</v>
      </c>
      <c r="R131" s="55">
        <f>IF(G131="","",ABS(P131-Components!$C$3))</f>
        <v>0.25066666666666659</v>
      </c>
      <c r="S131" s="55">
        <f>IF(G131="","",ABS(P131-Components!$C$4))</f>
        <v>2.7919999999999998</v>
      </c>
      <c r="T131" s="55">
        <f>IF(G131="","",ABS(P131-Components!$C$5))</f>
        <v>0.77733333333333743</v>
      </c>
      <c r="U131" s="55">
        <f>IF(G131="","",ABS(P131-Components!$C$6))</f>
        <v>2.629666666666663</v>
      </c>
      <c r="V131" s="55">
        <f>IF(G131="","",ABS(P131-Components!$C$7))</f>
        <v>2.4110000000000031</v>
      </c>
      <c r="W131" s="49" t="str">
        <f>IF(G131="","",IF(N131="OK","NONE",INDEX({"S1","S2","W1","W2","N1","N2"},MATCH(MIN(Q131:V131),Q131:V131,0))))</f>
        <v>S2</v>
      </c>
      <c r="X131" s="57">
        <f t="shared" ref="X131:X194" si="17">IF(G131="","",IF(W131=E131,1,0))</f>
        <v>0</v>
      </c>
    </row>
    <row r="132" spans="1:24">
      <c r="A132" s="49">
        <v>130</v>
      </c>
      <c r="B132" s="63">
        <v>7</v>
      </c>
      <c r="C132" s="63" t="s">
        <v>130</v>
      </c>
      <c r="D132" s="63" t="s">
        <v>240</v>
      </c>
      <c r="E132" s="63" t="s">
        <v>99</v>
      </c>
      <c r="F132" s="63" t="s">
        <v>269</v>
      </c>
      <c r="G132" s="61">
        <v>6.16</v>
      </c>
      <c r="H132" s="53"/>
      <c r="I132" s="54"/>
      <c r="J132" s="55">
        <f>VLOOKUP(C130,Recipes!$A$2:$N$4,10,FALSE())</f>
        <v>9.9053333333333331</v>
      </c>
      <c r="K132" s="56">
        <f>VLOOKUP(C132,Recipes!$A$2:$N$4,12,FALSE())</f>
        <v>5.0137397426368718E-2</v>
      </c>
      <c r="L132" s="55">
        <f t="shared" si="12"/>
        <v>9.7549211410542274</v>
      </c>
      <c r="M132" s="55">
        <f t="shared" si="13"/>
        <v>10.055745525612439</v>
      </c>
      <c r="N132" s="49" t="str">
        <f t="shared" si="14"/>
        <v>NG</v>
      </c>
      <c r="O132" s="57">
        <f t="shared" si="15"/>
        <v>1</v>
      </c>
      <c r="P132" s="55">
        <f t="shared" si="16"/>
        <v>3.745333333333333</v>
      </c>
      <c r="Q132" s="55">
        <f>IF(G132="","",ABS(P132-Components!$C$2))</f>
        <v>0.9920000000000031</v>
      </c>
      <c r="R132" s="55">
        <f>IF(G132="","",ABS(P132-Components!$C$3))</f>
        <v>0.29066666666666663</v>
      </c>
      <c r="S132" s="55">
        <f>IF(G132="","",ABS(P132-Components!$C$3))</f>
        <v>0.29066666666666663</v>
      </c>
      <c r="T132" s="55">
        <f>IF(G132="","",ABS(P132-Components!$C$5))</f>
        <v>0.81733333333333746</v>
      </c>
      <c r="U132" s="55">
        <f>IF(G132="","",ABS(P132-Components!$C$6))</f>
        <v>2.589666666666663</v>
      </c>
      <c r="V132" s="55">
        <f>IF(G132="","",ABS(P132-Components!$C$7))</f>
        <v>2.3710000000000031</v>
      </c>
      <c r="W132" s="49" t="str">
        <f>IF(G132="","",IF(N132="OK","NONE",INDEX({"S1","S2","W1","W2","N1","N2"},MATCH(MIN(Q132:V132),Q132:V132,0))))</f>
        <v>S2</v>
      </c>
      <c r="X132" s="57">
        <f t="shared" si="17"/>
        <v>0</v>
      </c>
    </row>
    <row r="133" spans="1:24">
      <c r="A133" s="49">
        <v>131</v>
      </c>
      <c r="B133" s="50">
        <v>19</v>
      </c>
      <c r="C133" s="49" t="s">
        <v>130</v>
      </c>
      <c r="D133" s="62" t="s">
        <v>240</v>
      </c>
      <c r="E133" s="49" t="s">
        <v>104</v>
      </c>
      <c r="F133" s="49" t="s">
        <v>270</v>
      </c>
      <c r="G133" s="52">
        <v>7.99</v>
      </c>
      <c r="H133" s="53"/>
      <c r="I133" s="54"/>
      <c r="J133" s="55">
        <f>VLOOKUP(C133,Recipes!$A$2:$N$4,10,FALSE())</f>
        <v>9.9053333333333331</v>
      </c>
      <c r="K133" s="56">
        <f>VLOOKUP(C133,Recipes!$A$2:$N$4,12,FALSE())</f>
        <v>5.0137397426368718E-2</v>
      </c>
      <c r="L133" s="55">
        <f t="shared" si="12"/>
        <v>9.7549211410542274</v>
      </c>
      <c r="M133" s="55">
        <f t="shared" si="13"/>
        <v>10.055745525612439</v>
      </c>
      <c r="N133" s="49" t="str">
        <f t="shared" si="14"/>
        <v>NG</v>
      </c>
      <c r="O133" s="57">
        <f t="shared" si="15"/>
        <v>1</v>
      </c>
      <c r="P133" s="55">
        <f t="shared" si="16"/>
        <v>1.9153333333333329</v>
      </c>
      <c r="Q133" s="55">
        <f>IF(G133="","",ABS(P133-Components!$C$2))</f>
        <v>0.83799999999999697</v>
      </c>
      <c r="R133" s="55">
        <f>IF(G133="","",ABS(P133-Components!$C$3))</f>
        <v>2.1206666666666667</v>
      </c>
      <c r="S133" s="55">
        <f>IF(G133="","",ABS(P133-Components!$C$4))</f>
        <v>0.92199999999999993</v>
      </c>
      <c r="T133" s="55">
        <f>IF(G133="","",ABS(P133-Components!$C$5))</f>
        <v>2.6473333333333375</v>
      </c>
      <c r="U133" s="55">
        <f>IF(G133="","",ABS(P133-Components!$C$6))</f>
        <v>0.75966666666666294</v>
      </c>
      <c r="V133" s="55">
        <f>IF(G133="","",ABS(P133-Components!$C$7))</f>
        <v>0.54100000000000281</v>
      </c>
      <c r="W133" s="49" t="str">
        <f>IF(G133="","",IF(N133="OK","NONE",INDEX({"S1","S2","W1","W2","N1","N2"},MATCH(MIN(Q133:V133),Q133:V133,0))))</f>
        <v>N2</v>
      </c>
      <c r="X133" s="57">
        <f t="shared" si="17"/>
        <v>0</v>
      </c>
    </row>
    <row r="134" spans="1:24">
      <c r="A134" s="49">
        <v>132</v>
      </c>
      <c r="B134" s="50">
        <v>32</v>
      </c>
      <c r="C134" s="49" t="s">
        <v>130</v>
      </c>
      <c r="D134" s="62" t="s">
        <v>240</v>
      </c>
      <c r="E134" s="49" t="s">
        <v>104</v>
      </c>
      <c r="F134" s="49" t="s">
        <v>271</v>
      </c>
      <c r="G134" s="52">
        <v>7.97</v>
      </c>
      <c r="H134" s="53"/>
      <c r="I134" s="54"/>
      <c r="J134" s="55">
        <f>VLOOKUP(C134,Recipes!$A$2:$N$4,10,FALSE())</f>
        <v>9.9053333333333331</v>
      </c>
      <c r="K134" s="56">
        <f>VLOOKUP(C134,Recipes!$A$2:$N$4,12,FALSE())</f>
        <v>5.0137397426368718E-2</v>
      </c>
      <c r="L134" s="55">
        <f t="shared" si="12"/>
        <v>9.7549211410542274</v>
      </c>
      <c r="M134" s="55">
        <f t="shared" si="13"/>
        <v>10.055745525612439</v>
      </c>
      <c r="N134" s="49" t="str">
        <f t="shared" si="14"/>
        <v>NG</v>
      </c>
      <c r="O134" s="57">
        <f t="shared" si="15"/>
        <v>1</v>
      </c>
      <c r="P134" s="55">
        <f t="shared" si="16"/>
        <v>1.9353333333333333</v>
      </c>
      <c r="Q134" s="55">
        <f>IF(G134="","",ABS(P134-Components!$C$2))</f>
        <v>0.81799999999999651</v>
      </c>
      <c r="R134" s="55">
        <f>IF(G134="","",ABS(P134-Components!$C$3))</f>
        <v>2.1006666666666662</v>
      </c>
      <c r="S134" s="55">
        <f>IF(G134="","",ABS(P134-Components!$C$4))</f>
        <v>0.94200000000000039</v>
      </c>
      <c r="T134" s="55">
        <f>IF(G134="","",ABS(P134-Components!$C$5))</f>
        <v>2.6273333333333371</v>
      </c>
      <c r="U134" s="55">
        <f>IF(G134="","",ABS(P134-Components!$C$6))</f>
        <v>0.7796666666666634</v>
      </c>
      <c r="V134" s="55">
        <f>IF(G134="","",ABS(P134-Components!$C$7))</f>
        <v>0.56100000000000327</v>
      </c>
      <c r="W134" s="49" t="str">
        <f>IF(G134="","",IF(N134="OK","NONE",INDEX({"S1","S2","W1","W2","N1","N2"},MATCH(MIN(Q134:V134),Q134:V134,0))))</f>
        <v>N2</v>
      </c>
      <c r="X134" s="57">
        <f t="shared" si="17"/>
        <v>0</v>
      </c>
    </row>
    <row r="135" spans="1:24">
      <c r="A135" s="49">
        <v>133</v>
      </c>
      <c r="B135" s="50">
        <v>37</v>
      </c>
      <c r="C135" s="49" t="s">
        <v>130</v>
      </c>
      <c r="D135" s="62" t="s">
        <v>240</v>
      </c>
      <c r="E135" s="49" t="s">
        <v>104</v>
      </c>
      <c r="F135" s="49" t="s">
        <v>272</v>
      </c>
      <c r="G135" s="52">
        <v>7.97</v>
      </c>
      <c r="H135" s="53"/>
      <c r="I135" s="54"/>
      <c r="J135" s="55">
        <f>VLOOKUP(C135,Recipes!$A$2:$N$4,10,FALSE())</f>
        <v>9.9053333333333331</v>
      </c>
      <c r="K135" s="56">
        <f>VLOOKUP(C135,Recipes!$A$2:$N$4,12,FALSE())</f>
        <v>5.0137397426368718E-2</v>
      </c>
      <c r="L135" s="55">
        <f t="shared" si="12"/>
        <v>9.7549211410542274</v>
      </c>
      <c r="M135" s="55">
        <f t="shared" si="13"/>
        <v>10.055745525612439</v>
      </c>
      <c r="N135" s="49" t="str">
        <f t="shared" si="14"/>
        <v>NG</v>
      </c>
      <c r="O135" s="57">
        <f t="shared" si="15"/>
        <v>1</v>
      </c>
      <c r="P135" s="55">
        <f t="shared" si="16"/>
        <v>1.9353333333333333</v>
      </c>
      <c r="Q135" s="55">
        <f>IF(G135="","",ABS(P135-Components!$C$2))</f>
        <v>0.81799999999999651</v>
      </c>
      <c r="R135" s="55">
        <f>IF(G135="","",ABS(P135-Components!$C$3))</f>
        <v>2.1006666666666662</v>
      </c>
      <c r="S135" s="55">
        <f>IF(G135="","",ABS(P135-Components!$C$4))</f>
        <v>0.94200000000000039</v>
      </c>
      <c r="T135" s="55">
        <f>IF(G135="","",ABS(P135-Components!$C$5))</f>
        <v>2.6273333333333371</v>
      </c>
      <c r="U135" s="55">
        <f>IF(G135="","",ABS(P135-Components!$C$6))</f>
        <v>0.7796666666666634</v>
      </c>
      <c r="V135" s="55">
        <f>IF(G135="","",ABS(P135-Components!$C$7))</f>
        <v>0.56100000000000327</v>
      </c>
      <c r="W135" s="49" t="str">
        <f>IF(G135="","",IF(N135="OK","NONE",INDEX({"S1","S2","W1","W2","N1","N2"},MATCH(MIN(Q135:V135),Q135:V135,0))))</f>
        <v>N2</v>
      </c>
      <c r="X135" s="57">
        <f t="shared" si="17"/>
        <v>0</v>
      </c>
    </row>
    <row r="136" spans="1:24">
      <c r="A136" s="49">
        <v>134</v>
      </c>
      <c r="B136" s="50">
        <v>27</v>
      </c>
      <c r="C136" s="49" t="s">
        <v>130</v>
      </c>
      <c r="D136" s="62" t="s">
        <v>240</v>
      </c>
      <c r="E136" s="49" t="s">
        <v>104</v>
      </c>
      <c r="F136" s="49" t="s">
        <v>273</v>
      </c>
      <c r="G136" s="52">
        <v>7.94</v>
      </c>
      <c r="H136" s="53"/>
      <c r="I136" s="54"/>
      <c r="J136" s="55">
        <f>VLOOKUP(C136,Recipes!$A$2:$N$4,10,FALSE())</f>
        <v>9.9053333333333331</v>
      </c>
      <c r="K136" s="56">
        <f>VLOOKUP(C136,Recipes!$A$2:$N$4,12,FALSE())</f>
        <v>5.0137397426368718E-2</v>
      </c>
      <c r="L136" s="55">
        <f t="shared" si="12"/>
        <v>9.7549211410542274</v>
      </c>
      <c r="M136" s="55">
        <f t="shared" si="13"/>
        <v>10.055745525612439</v>
      </c>
      <c r="N136" s="49" t="str">
        <f t="shared" si="14"/>
        <v>NG</v>
      </c>
      <c r="O136" s="57">
        <f t="shared" si="15"/>
        <v>1</v>
      </c>
      <c r="P136" s="55">
        <f t="shared" si="16"/>
        <v>1.9653333333333327</v>
      </c>
      <c r="Q136" s="55">
        <f>IF(G136="","",ABS(P136-Components!$C$2))</f>
        <v>0.78799999999999715</v>
      </c>
      <c r="R136" s="55">
        <f>IF(G136="","",ABS(P136-Components!$C$3))</f>
        <v>2.0706666666666669</v>
      </c>
      <c r="S136" s="55">
        <f>IF(G136="","",ABS(P136-Components!$C$4))</f>
        <v>0.97199999999999975</v>
      </c>
      <c r="T136" s="55">
        <f>IF(G136="","",ABS(P136-Components!$C$5))</f>
        <v>2.5973333333333377</v>
      </c>
      <c r="U136" s="55">
        <f>IF(G136="","",ABS(P136-Components!$C$6))</f>
        <v>0.80966666666666276</v>
      </c>
      <c r="V136" s="55">
        <f>IF(G136="","",ABS(P136-Components!$C$7))</f>
        <v>0.59100000000000263</v>
      </c>
      <c r="W136" s="49" t="str">
        <f>IF(G136="","",IF(N136="OK","NONE",INDEX({"S1","S2","W1","W2","N1","N2"},MATCH(MIN(Q136:V136),Q136:V136,0))))</f>
        <v>N2</v>
      </c>
      <c r="X136" s="57">
        <f t="shared" si="17"/>
        <v>0</v>
      </c>
    </row>
    <row r="137" spans="1:24">
      <c r="A137" s="49">
        <v>135</v>
      </c>
      <c r="B137" s="63">
        <v>48</v>
      </c>
      <c r="C137" s="63" t="s">
        <v>130</v>
      </c>
      <c r="D137" s="63" t="s">
        <v>240</v>
      </c>
      <c r="E137" s="63" t="s">
        <v>104</v>
      </c>
      <c r="F137" s="63" t="s">
        <v>274</v>
      </c>
      <c r="G137" s="61">
        <v>7.96</v>
      </c>
      <c r="H137" s="53"/>
      <c r="I137" s="54"/>
      <c r="J137" s="55">
        <f>VLOOKUP(C137,Recipes!$A$2:$N$4,10,FALSE())</f>
        <v>9.9053333333333331</v>
      </c>
      <c r="K137" s="56">
        <f>VLOOKUP(C137,Recipes!$A$2:$N$4,12,FALSE())</f>
        <v>5.0137397426368718E-2</v>
      </c>
      <c r="L137" s="55">
        <f t="shared" si="12"/>
        <v>9.7549211410542274</v>
      </c>
      <c r="M137" s="55">
        <f t="shared" si="13"/>
        <v>10.055745525612439</v>
      </c>
      <c r="N137" s="49" t="str">
        <f t="shared" si="14"/>
        <v>NG</v>
      </c>
      <c r="O137" s="57">
        <f t="shared" si="15"/>
        <v>1</v>
      </c>
      <c r="P137" s="55">
        <f t="shared" si="16"/>
        <v>1.9453333333333331</v>
      </c>
      <c r="Q137" s="55">
        <f>IF(G137="","",ABS(P137-Components!$C$2))</f>
        <v>0.80799999999999672</v>
      </c>
      <c r="R137" s="55">
        <f>IF(G137="","",ABS(P137-Components!$C$3))</f>
        <v>2.0906666666666665</v>
      </c>
      <c r="S137" s="55">
        <f>IF(G137="","",ABS(P137-Components!$C$4))</f>
        <v>0.95200000000000018</v>
      </c>
      <c r="T137" s="55">
        <f>IF(G137="","",ABS(P137-Components!$C$5))</f>
        <v>2.6173333333333373</v>
      </c>
      <c r="U137" s="55">
        <f>IF(G137="","",ABS(P137-Components!$C$6))</f>
        <v>0.78966666666666319</v>
      </c>
      <c r="V137" s="55">
        <f>IF(G137="","",ABS(P137-Components!$C$7))</f>
        <v>0.57100000000000306</v>
      </c>
      <c r="W137" s="49" t="str">
        <f>IF(G137="","",IF(N137="OK","NONE",INDEX({"S1","S2","W1","W2","N1","N2"},MATCH(MIN(Q137:V137),Q137:V137,0))))</f>
        <v>N2</v>
      </c>
      <c r="X137" s="57">
        <f t="shared" si="17"/>
        <v>0</v>
      </c>
    </row>
    <row r="138" spans="1:24">
      <c r="A138" s="49">
        <v>136</v>
      </c>
      <c r="B138" s="50">
        <v>13</v>
      </c>
      <c r="C138" s="49" t="s">
        <v>130</v>
      </c>
      <c r="D138" s="62" t="s">
        <v>240</v>
      </c>
      <c r="E138" s="49" t="s">
        <v>108</v>
      </c>
      <c r="F138" s="49" t="s">
        <v>275</v>
      </c>
      <c r="G138" s="52">
        <v>7.78</v>
      </c>
      <c r="H138" s="53"/>
      <c r="I138" s="54"/>
      <c r="J138" s="55">
        <f>VLOOKUP(C138,Recipes!$A$2:$N$4,10,FALSE())</f>
        <v>9.9053333333333331</v>
      </c>
      <c r="K138" s="56">
        <f>VLOOKUP(C138,Recipes!$A$2:$N$4,12,FALSE())</f>
        <v>5.0137397426368718E-2</v>
      </c>
      <c r="L138" s="55">
        <f t="shared" si="12"/>
        <v>9.7549211410542274</v>
      </c>
      <c r="M138" s="55">
        <f t="shared" si="13"/>
        <v>10.055745525612439</v>
      </c>
      <c r="N138" s="49" t="str">
        <f t="shared" si="14"/>
        <v>NG</v>
      </c>
      <c r="O138" s="57">
        <f t="shared" si="15"/>
        <v>1</v>
      </c>
      <c r="P138" s="55">
        <f t="shared" si="16"/>
        <v>2.1253333333333329</v>
      </c>
      <c r="Q138" s="55">
        <f>IF(G138="","",ABS(P138-Components!$C$2))</f>
        <v>0.62799999999999701</v>
      </c>
      <c r="R138" s="55">
        <f>IF(G138="","",ABS(P138-Components!$C$3))</f>
        <v>1.9106666666666667</v>
      </c>
      <c r="S138" s="55">
        <f>IF(G138="","",ABS(P138-Components!$C$4))</f>
        <v>1.1319999999999999</v>
      </c>
      <c r="T138" s="55">
        <f>IF(G138="","",ABS(P138-Components!$C$5))</f>
        <v>2.4373333333333376</v>
      </c>
      <c r="U138" s="55">
        <f>IF(G138="","",ABS(P138-Components!$C$6))</f>
        <v>0.9696666666666629</v>
      </c>
      <c r="V138" s="55">
        <f>IF(G138="","",ABS(P138-Components!$C$7))</f>
        <v>0.75100000000000278</v>
      </c>
      <c r="W138" s="49" t="str">
        <f>IF(G138="","",IF(N138="OK","NONE",INDEX({"S1","S2","W1","W2","N1","N2"},MATCH(MIN(Q138:V138),Q138:V138,0))))</f>
        <v>S1</v>
      </c>
      <c r="X138" s="57">
        <f t="shared" si="17"/>
        <v>0</v>
      </c>
    </row>
    <row r="139" spans="1:24">
      <c r="A139" s="49">
        <v>137</v>
      </c>
      <c r="B139" s="50">
        <v>40</v>
      </c>
      <c r="C139" s="49" t="s">
        <v>130</v>
      </c>
      <c r="D139" s="62" t="s">
        <v>240</v>
      </c>
      <c r="E139" s="49" t="s">
        <v>108</v>
      </c>
      <c r="F139" s="49" t="s">
        <v>276</v>
      </c>
      <c r="G139" s="52">
        <v>7.79</v>
      </c>
      <c r="H139" s="53"/>
      <c r="I139" s="54"/>
      <c r="J139" s="55">
        <f>VLOOKUP(C139,Recipes!$A$2:$N$4,10,FALSE())</f>
        <v>9.9053333333333331</v>
      </c>
      <c r="K139" s="56">
        <f>VLOOKUP(C139,Recipes!$A$2:$N$4,12,FALSE())</f>
        <v>5.0137397426368718E-2</v>
      </c>
      <c r="L139" s="55">
        <f t="shared" si="12"/>
        <v>9.7549211410542274</v>
      </c>
      <c r="M139" s="55">
        <f t="shared" si="13"/>
        <v>10.055745525612439</v>
      </c>
      <c r="N139" s="49" t="str">
        <f t="shared" si="14"/>
        <v>NG</v>
      </c>
      <c r="O139" s="57">
        <f t="shared" si="15"/>
        <v>1</v>
      </c>
      <c r="P139" s="55">
        <f t="shared" si="16"/>
        <v>2.1153333333333331</v>
      </c>
      <c r="Q139" s="55">
        <f>IF(G139="","",ABS(P139-Components!$C$2))</f>
        <v>0.63799999999999679</v>
      </c>
      <c r="R139" s="55">
        <f>IF(G139="","",ABS(P139-Components!$C$3))</f>
        <v>1.9206666666666665</v>
      </c>
      <c r="S139" s="55">
        <f>IF(G139="","",ABS(P139-Components!$C$4))</f>
        <v>1.1220000000000001</v>
      </c>
      <c r="T139" s="55">
        <f>IF(G139="","",ABS(P139-Components!$C$5))</f>
        <v>2.4473333333333374</v>
      </c>
      <c r="U139" s="55">
        <f>IF(G139="","",ABS(P139-Components!$C$6))</f>
        <v>0.95966666666666312</v>
      </c>
      <c r="V139" s="55">
        <f>IF(G139="","",ABS(P139-Components!$C$7))</f>
        <v>0.74100000000000299</v>
      </c>
      <c r="W139" s="49" t="str">
        <f>IF(G139="","",IF(N139="OK","NONE",INDEX({"S1","S2","W1","W2","N1","N2"},MATCH(MIN(Q139:V139),Q139:V139,0))))</f>
        <v>S1</v>
      </c>
      <c r="X139" s="57">
        <f t="shared" si="17"/>
        <v>0</v>
      </c>
    </row>
    <row r="140" spans="1:24">
      <c r="A140" s="49">
        <v>138</v>
      </c>
      <c r="B140" s="50">
        <v>33</v>
      </c>
      <c r="C140" s="49" t="s">
        <v>130</v>
      </c>
      <c r="D140" s="62" t="s">
        <v>240</v>
      </c>
      <c r="E140" s="49" t="s">
        <v>108</v>
      </c>
      <c r="F140" s="49" t="s">
        <v>277</v>
      </c>
      <c r="G140" s="52">
        <v>7.78</v>
      </c>
      <c r="H140" s="53"/>
      <c r="I140" s="54"/>
      <c r="J140" s="55">
        <f>VLOOKUP(C140,Recipes!$A$2:$N$4,10,FALSE())</f>
        <v>9.9053333333333331</v>
      </c>
      <c r="K140" s="56">
        <f>VLOOKUP(C140,Recipes!$A$2:$N$4,12,FALSE())</f>
        <v>5.0137397426368718E-2</v>
      </c>
      <c r="L140" s="55">
        <f t="shared" si="12"/>
        <v>9.7549211410542274</v>
      </c>
      <c r="M140" s="55">
        <f t="shared" si="13"/>
        <v>10.055745525612439</v>
      </c>
      <c r="N140" s="49" t="str">
        <f t="shared" si="14"/>
        <v>NG</v>
      </c>
      <c r="O140" s="57">
        <f t="shared" si="15"/>
        <v>1</v>
      </c>
      <c r="P140" s="55">
        <f t="shared" si="16"/>
        <v>2.1253333333333329</v>
      </c>
      <c r="Q140" s="55">
        <f>IF(G140="","",ABS(P140-Components!$C$2))</f>
        <v>0.62799999999999701</v>
      </c>
      <c r="R140" s="55">
        <f>IF(G140="","",ABS(P140-Components!$C$3))</f>
        <v>1.9106666666666667</v>
      </c>
      <c r="S140" s="55">
        <f>IF(G140="","",ABS(P140-Components!$C$4))</f>
        <v>1.1319999999999999</v>
      </c>
      <c r="T140" s="55">
        <f>IF(G140="","",ABS(P140-Components!$C$5))</f>
        <v>2.4373333333333376</v>
      </c>
      <c r="U140" s="55">
        <f>IF(G140="","",ABS(P140-Components!$C$6))</f>
        <v>0.9696666666666629</v>
      </c>
      <c r="V140" s="55">
        <f>IF(G140="","",ABS(P140-Components!$C$7))</f>
        <v>0.75100000000000278</v>
      </c>
      <c r="W140" s="49" t="str">
        <f>IF(G140="","",IF(N140="OK","NONE",INDEX({"S1","S2","W1","W2","N1","N2"},MATCH(MIN(Q140:V140),Q140:V140,0))))</f>
        <v>S1</v>
      </c>
      <c r="X140" s="57">
        <f t="shared" si="17"/>
        <v>0</v>
      </c>
    </row>
    <row r="141" spans="1:24">
      <c r="A141" s="49">
        <v>139</v>
      </c>
      <c r="B141" s="50">
        <v>49</v>
      </c>
      <c r="C141" s="49" t="s">
        <v>130</v>
      </c>
      <c r="D141" s="62" t="s">
        <v>240</v>
      </c>
      <c r="E141" s="49" t="s">
        <v>108</v>
      </c>
      <c r="F141" s="49" t="s">
        <v>278</v>
      </c>
      <c r="G141" s="52">
        <v>7.78</v>
      </c>
      <c r="H141" s="53"/>
      <c r="I141" s="54"/>
      <c r="J141" s="55">
        <f>VLOOKUP(C141,Recipes!$A$2:$N$4,10,FALSE())</f>
        <v>9.9053333333333331</v>
      </c>
      <c r="K141" s="56">
        <f>VLOOKUP(C141,Recipes!$A$2:$N$4,12,FALSE())</f>
        <v>5.0137397426368718E-2</v>
      </c>
      <c r="L141" s="55">
        <f t="shared" si="12"/>
        <v>9.7549211410542274</v>
      </c>
      <c r="M141" s="55">
        <f t="shared" si="13"/>
        <v>10.055745525612439</v>
      </c>
      <c r="N141" s="49" t="str">
        <f t="shared" si="14"/>
        <v>NG</v>
      </c>
      <c r="O141" s="57">
        <f t="shared" si="15"/>
        <v>1</v>
      </c>
      <c r="P141" s="55">
        <f t="shared" si="16"/>
        <v>2.1253333333333329</v>
      </c>
      <c r="Q141" s="55">
        <f>IF(G141="","",ABS(P141-Components!$C$2))</f>
        <v>0.62799999999999701</v>
      </c>
      <c r="R141" s="55">
        <f>IF(G141="","",ABS(P141-Components!$C$3))</f>
        <v>1.9106666666666667</v>
      </c>
      <c r="S141" s="55">
        <f>IF(G141="","",ABS(P141-Components!$C$4))</f>
        <v>1.1319999999999999</v>
      </c>
      <c r="T141" s="55">
        <f>IF(G141="","",ABS(P141-Components!$C$5))</f>
        <v>2.4373333333333376</v>
      </c>
      <c r="U141" s="55">
        <f>IF(G141="","",ABS(P141-Components!$C$6))</f>
        <v>0.9696666666666629</v>
      </c>
      <c r="V141" s="55">
        <f>IF(G141="","",ABS(P141-Components!$C$7))</f>
        <v>0.75100000000000278</v>
      </c>
      <c r="W141" s="49" t="str">
        <f>IF(G141="","",IF(N141="OK","NONE",INDEX({"S1","S2","W1","W2","N1","N2"},MATCH(MIN(Q141:V141),Q141:V141,0))))</f>
        <v>S1</v>
      </c>
      <c r="X141" s="57">
        <f t="shared" si="17"/>
        <v>0</v>
      </c>
    </row>
    <row r="142" spans="1:24">
      <c r="A142" s="49">
        <v>140</v>
      </c>
      <c r="B142" s="63">
        <v>2</v>
      </c>
      <c r="C142" s="63" t="s">
        <v>130</v>
      </c>
      <c r="D142" s="63" t="s">
        <v>240</v>
      </c>
      <c r="E142" s="63" t="s">
        <v>108</v>
      </c>
      <c r="F142" s="63" t="s">
        <v>279</v>
      </c>
      <c r="G142" s="52">
        <v>7.79</v>
      </c>
      <c r="H142" s="53"/>
      <c r="I142" s="54"/>
      <c r="J142" s="55">
        <f>VLOOKUP(C142,Recipes!$A$2:$N$4,10,FALSE())</f>
        <v>9.9053333333333331</v>
      </c>
      <c r="K142" s="56">
        <f>VLOOKUP(C142,Recipes!$A$2:$N$4,12,FALSE())</f>
        <v>5.0137397426368718E-2</v>
      </c>
      <c r="L142" s="55">
        <f t="shared" si="12"/>
        <v>9.7549211410542274</v>
      </c>
      <c r="M142" s="55">
        <f t="shared" si="13"/>
        <v>10.055745525612439</v>
      </c>
      <c r="N142" s="49" t="str">
        <f t="shared" si="14"/>
        <v>NG</v>
      </c>
      <c r="O142" s="57">
        <f t="shared" si="15"/>
        <v>1</v>
      </c>
      <c r="P142" s="55">
        <f t="shared" si="16"/>
        <v>2.1153333333333331</v>
      </c>
      <c r="Q142" s="55">
        <f>IF(G142="","",ABS(P142-Components!$C$2))</f>
        <v>0.63799999999999679</v>
      </c>
      <c r="R142" s="55">
        <f>IF(G142="","",ABS(P142-Components!$C$3))</f>
        <v>1.9206666666666665</v>
      </c>
      <c r="S142" s="55">
        <f>IF(G142="","",ABS(P142-Components!$C$4))</f>
        <v>1.1220000000000001</v>
      </c>
      <c r="T142" s="55">
        <f>IF(G142="","",ABS(P142-Components!$C$5))</f>
        <v>2.4473333333333374</v>
      </c>
      <c r="U142" s="55">
        <f>IF(G142="","",ABS(P142-Components!$C$6))</f>
        <v>0.95966666666666312</v>
      </c>
      <c r="V142" s="55">
        <f>IF(G142="","",ABS(P142-Components!$C$7))</f>
        <v>0.74100000000000299</v>
      </c>
      <c r="W142" s="49" t="str">
        <f>IF(G142="","",IF(N142="OK","NONE",INDEX({"S1","S2","W1","W2","N1","N2"},MATCH(MIN(Q142:V142),Q142:V142,0))))</f>
        <v>S1</v>
      </c>
      <c r="X142" s="57">
        <f t="shared" si="17"/>
        <v>0</v>
      </c>
    </row>
    <row r="143" spans="1:24">
      <c r="A143" s="49">
        <v>141</v>
      </c>
      <c r="B143" s="50">
        <v>14</v>
      </c>
      <c r="C143" s="49" t="s">
        <v>130</v>
      </c>
      <c r="D143" s="62" t="s">
        <v>240</v>
      </c>
      <c r="E143" s="49" t="s">
        <v>102</v>
      </c>
      <c r="F143" s="49" t="s">
        <v>280</v>
      </c>
      <c r="G143" s="52">
        <v>4.91</v>
      </c>
      <c r="H143" s="53"/>
      <c r="I143" s="54"/>
      <c r="J143" s="55">
        <f>VLOOKUP(C143,Recipes!$A$2:$N$4,10,FALSE())</f>
        <v>9.9053333333333331</v>
      </c>
      <c r="K143" s="56">
        <f>VLOOKUP(C143,Recipes!$A$2:$N$4,12,FALSE())</f>
        <v>5.0137397426368718E-2</v>
      </c>
      <c r="L143" s="55">
        <f t="shared" si="12"/>
        <v>9.7549211410542274</v>
      </c>
      <c r="M143" s="55">
        <f t="shared" si="13"/>
        <v>10.055745525612439</v>
      </c>
      <c r="N143" s="49" t="str">
        <f t="shared" si="14"/>
        <v>NG</v>
      </c>
      <c r="O143" s="57">
        <f t="shared" si="15"/>
        <v>1</v>
      </c>
      <c r="P143" s="55">
        <f t="shared" si="16"/>
        <v>4.995333333333333</v>
      </c>
      <c r="Q143" s="55">
        <f>IF(G143="","",ABS(P143-Components!$C$2))</f>
        <v>2.2420000000000031</v>
      </c>
      <c r="R143" s="55">
        <f>IF(G143="","",ABS(P143-Components!$C$3))</f>
        <v>0.95933333333333337</v>
      </c>
      <c r="S143" s="55">
        <f>IF(G143="","",ABS(P143-Components!$C$4))</f>
        <v>4.0019999999999998</v>
      </c>
      <c r="T143" s="55">
        <f>IF(G143="","",ABS(P143-Components!$C$5))</f>
        <v>0.43266666666666254</v>
      </c>
      <c r="U143" s="55">
        <f>IF(G143="","",ABS(P143-Components!$C$6))</f>
        <v>3.839666666666663</v>
      </c>
      <c r="V143" s="55">
        <f>IF(G143="","",ABS(P143-Components!$C$7))</f>
        <v>3.6210000000000031</v>
      </c>
      <c r="W143" s="49" t="str">
        <f>IF(G143="","",IF(N143="OK","NONE",INDEX({"S1","S2","W1","W2","N1","N2"},MATCH(MIN(Q143:V143),Q143:V143,0))))</f>
        <v>W2</v>
      </c>
      <c r="X143" s="57">
        <f t="shared" si="17"/>
        <v>0</v>
      </c>
    </row>
    <row r="144" spans="1:24">
      <c r="A144" s="49">
        <v>142</v>
      </c>
      <c r="B144" s="50">
        <v>46</v>
      </c>
      <c r="C144" s="49" t="s">
        <v>130</v>
      </c>
      <c r="D144" s="62" t="s">
        <v>240</v>
      </c>
      <c r="E144" s="49" t="s">
        <v>102</v>
      </c>
      <c r="F144" s="49" t="s">
        <v>281</v>
      </c>
      <c r="G144" s="52">
        <v>4.8899999999999997</v>
      </c>
      <c r="H144" s="53"/>
      <c r="I144" s="54"/>
      <c r="J144" s="55">
        <f>VLOOKUP(C144,Recipes!$A$2:$N$4,10,FALSE())</f>
        <v>9.9053333333333331</v>
      </c>
      <c r="K144" s="56">
        <f>VLOOKUP(C144,Recipes!$A$2:$N$4,12,FALSE())</f>
        <v>5.0137397426368718E-2</v>
      </c>
      <c r="L144" s="55">
        <f t="shared" si="12"/>
        <v>9.7549211410542274</v>
      </c>
      <c r="M144" s="55">
        <f t="shared" si="13"/>
        <v>10.055745525612439</v>
      </c>
      <c r="N144" s="49" t="str">
        <f t="shared" si="14"/>
        <v>NG</v>
      </c>
      <c r="O144" s="57">
        <f t="shared" si="15"/>
        <v>1</v>
      </c>
      <c r="P144" s="55">
        <f t="shared" si="16"/>
        <v>5.0153333333333334</v>
      </c>
      <c r="Q144" s="55">
        <f>IF(G144="","",ABS(P144-Components!$C$2))</f>
        <v>2.2620000000000036</v>
      </c>
      <c r="R144" s="55">
        <f>IF(G144="","",ABS(P144-Components!$C$3))</f>
        <v>0.97933333333333383</v>
      </c>
      <c r="S144" s="55">
        <f>IF(G144="","",ABS(P144-Components!$C$4))</f>
        <v>4.0220000000000002</v>
      </c>
      <c r="T144" s="55">
        <f>IF(G144="","",ABS(P144-Components!$C$5))</f>
        <v>0.452666666666663</v>
      </c>
      <c r="U144" s="55">
        <f>IF(G144="","",ABS(P144-Components!$C$6))</f>
        <v>3.8596666666666635</v>
      </c>
      <c r="V144" s="55">
        <f>IF(G144="","",ABS(P144-Components!$C$7))</f>
        <v>3.6410000000000036</v>
      </c>
      <c r="W144" s="49" t="str">
        <f>IF(G144="","",IF(N144="OK","NONE",INDEX({"S1","S2","W1","W2","N1","N2"},MATCH(MIN(Q144:V144),Q144:V144,0))))</f>
        <v>W2</v>
      </c>
      <c r="X144" s="57">
        <f t="shared" si="17"/>
        <v>0</v>
      </c>
    </row>
    <row r="145" spans="1:24">
      <c r="A145" s="49">
        <v>143</v>
      </c>
      <c r="B145" s="50">
        <v>53</v>
      </c>
      <c r="C145" s="49" t="s">
        <v>130</v>
      </c>
      <c r="D145" s="62" t="s">
        <v>240</v>
      </c>
      <c r="E145" s="49" t="s">
        <v>102</v>
      </c>
      <c r="F145" s="49" t="s">
        <v>282</v>
      </c>
      <c r="G145" s="52">
        <v>4.8899999999999997</v>
      </c>
      <c r="H145" s="53"/>
      <c r="I145" s="54"/>
      <c r="J145" s="55">
        <f>VLOOKUP(C145,Recipes!$A$2:$N$4,10,FALSE())</f>
        <v>9.9053333333333331</v>
      </c>
      <c r="K145" s="56">
        <f>VLOOKUP(C145,Recipes!$A$2:$N$4,12,FALSE())</f>
        <v>5.0137397426368718E-2</v>
      </c>
      <c r="L145" s="55">
        <f t="shared" si="12"/>
        <v>9.7549211410542274</v>
      </c>
      <c r="M145" s="55">
        <f t="shared" si="13"/>
        <v>10.055745525612439</v>
      </c>
      <c r="N145" s="49" t="str">
        <f t="shared" si="14"/>
        <v>NG</v>
      </c>
      <c r="O145" s="57">
        <f t="shared" si="15"/>
        <v>1</v>
      </c>
      <c r="P145" s="55">
        <f t="shared" si="16"/>
        <v>5.0153333333333334</v>
      </c>
      <c r="Q145" s="55">
        <f>IF(G145="","",ABS(P145-Components!$C$2))</f>
        <v>2.2620000000000036</v>
      </c>
      <c r="R145" s="55">
        <f>IF(G145="","",ABS(P145-Components!$C$3))</f>
        <v>0.97933333333333383</v>
      </c>
      <c r="S145" s="55">
        <f>IF(G145="","",ABS(P145-Components!$C$4))</f>
        <v>4.0220000000000002</v>
      </c>
      <c r="T145" s="55">
        <f>IF(G145="","",ABS(P145-Components!$C$5))</f>
        <v>0.452666666666663</v>
      </c>
      <c r="U145" s="55">
        <f>IF(G145="","",ABS(P145-Components!$C$6))</f>
        <v>3.8596666666666635</v>
      </c>
      <c r="V145" s="55">
        <f>IF(G145="","",ABS(P145-Components!$C$7))</f>
        <v>3.6410000000000036</v>
      </c>
      <c r="W145" s="49" t="str">
        <f>IF(G145="","",IF(N145="OK","NONE",INDEX({"S1","S2","W1","W2","N1","N2"},MATCH(MIN(Q145:V145),Q145:V145,0))))</f>
        <v>W2</v>
      </c>
      <c r="X145" s="57">
        <f t="shared" si="17"/>
        <v>0</v>
      </c>
    </row>
    <row r="146" spans="1:24">
      <c r="A146" s="49">
        <v>144</v>
      </c>
      <c r="B146" s="63">
        <v>33</v>
      </c>
      <c r="C146" s="63" t="s">
        <v>130</v>
      </c>
      <c r="D146" s="63" t="s">
        <v>240</v>
      </c>
      <c r="E146" s="63" t="s">
        <v>102</v>
      </c>
      <c r="F146" s="63" t="s">
        <v>283</v>
      </c>
      <c r="G146" s="61">
        <v>4.9000000000000004</v>
      </c>
      <c r="H146" s="53"/>
      <c r="I146" s="54"/>
      <c r="J146" s="55">
        <f>VLOOKUP(C146,Recipes!$A$2:$N$4,10,FALSE())</f>
        <v>9.9053333333333331</v>
      </c>
      <c r="K146" s="56">
        <f>VLOOKUP(C146,Recipes!$A$2:$N$4,12,FALSE())</f>
        <v>5.0137397426368718E-2</v>
      </c>
      <c r="L146" s="55">
        <f t="shared" si="12"/>
        <v>9.7549211410542274</v>
      </c>
      <c r="M146" s="55">
        <f t="shared" si="13"/>
        <v>10.055745525612439</v>
      </c>
      <c r="N146" s="49" t="str">
        <f t="shared" si="14"/>
        <v>NG</v>
      </c>
      <c r="O146" s="57">
        <f t="shared" si="15"/>
        <v>1</v>
      </c>
      <c r="P146" s="55">
        <f t="shared" si="16"/>
        <v>5.0053333333333327</v>
      </c>
      <c r="Q146" s="55">
        <f>IF(G146="","",ABS(P146-Components!$C$2))</f>
        <v>2.2520000000000029</v>
      </c>
      <c r="R146" s="55">
        <f>IF(G146="","",ABS(P146-Components!$C$3))</f>
        <v>0.96933333333333316</v>
      </c>
      <c r="S146" s="55">
        <f>IF(G146="","",ABS(P146-Components!$C$4))</f>
        <v>4.0119999999999996</v>
      </c>
      <c r="T146" s="55">
        <f>IF(G146="","",ABS(P146-Components!$C$5))</f>
        <v>0.44266666666666232</v>
      </c>
      <c r="U146" s="55">
        <f>IF(G146="","",ABS(P146-Components!$C$6))</f>
        <v>3.8496666666666628</v>
      </c>
      <c r="V146" s="55">
        <f>IF(G146="","",ABS(P146-Components!$C$7))</f>
        <v>3.6310000000000029</v>
      </c>
      <c r="W146" s="49" t="str">
        <f>IF(G146="","",IF(N146="OK","NONE",INDEX({"S1","S2","W1","W2","N1","N2"},MATCH(MIN(Q146:V146),Q146:V146,0))))</f>
        <v>W2</v>
      </c>
      <c r="X146" s="57">
        <f t="shared" si="17"/>
        <v>0</v>
      </c>
    </row>
    <row r="147" spans="1:24">
      <c r="A147" s="49">
        <v>145</v>
      </c>
      <c r="B147" s="63">
        <v>15</v>
      </c>
      <c r="C147" s="63" t="s">
        <v>130</v>
      </c>
      <c r="D147" s="63" t="s">
        <v>240</v>
      </c>
      <c r="E147" s="63" t="s">
        <v>102</v>
      </c>
      <c r="F147" s="63" t="s">
        <v>284</v>
      </c>
      <c r="G147" s="61">
        <v>4.91</v>
      </c>
      <c r="H147" s="53"/>
      <c r="I147" s="54"/>
      <c r="J147" s="55">
        <f>VLOOKUP(C147,Recipes!$A$2:$N$4,10,FALSE())</f>
        <v>9.9053333333333331</v>
      </c>
      <c r="K147" s="56">
        <f>VLOOKUP(C147,Recipes!$A$2:$N$4,12,FALSE())</f>
        <v>5.0137397426368718E-2</v>
      </c>
      <c r="L147" s="55">
        <f t="shared" si="12"/>
        <v>9.7549211410542274</v>
      </c>
      <c r="M147" s="55">
        <f t="shared" si="13"/>
        <v>10.055745525612439</v>
      </c>
      <c r="N147" s="49" t="str">
        <f t="shared" si="14"/>
        <v>NG</v>
      </c>
      <c r="O147" s="57">
        <f t="shared" si="15"/>
        <v>1</v>
      </c>
      <c r="P147" s="55">
        <f t="shared" si="16"/>
        <v>4.995333333333333</v>
      </c>
      <c r="Q147" s="55">
        <f>IF(G147="","",ABS(P147-Components!$C$2))</f>
        <v>2.2420000000000031</v>
      </c>
      <c r="R147" s="55">
        <f>IF(G147="","",ABS(P147-Components!$C$3))</f>
        <v>0.95933333333333337</v>
      </c>
      <c r="S147" s="55">
        <f>IF(G147="","",ABS(P147-Components!$C$4))</f>
        <v>4.0019999999999998</v>
      </c>
      <c r="T147" s="55">
        <f>IF(G147="","",ABS(P147-Components!$C$5))</f>
        <v>0.43266666666666254</v>
      </c>
      <c r="U147" s="55">
        <f>IF(G147="","",ABS(P147-Components!$C$6))</f>
        <v>3.839666666666663</v>
      </c>
      <c r="V147" s="55">
        <f>IF(G147="","",ABS(P147-Components!$C$7))</f>
        <v>3.6210000000000031</v>
      </c>
      <c r="W147" s="49" t="str">
        <f>IF(G147="","",IF(N147="OK","NONE",INDEX({"S1","S2","W1","W2","N1","N2"},MATCH(MIN(Q147:V147),Q147:V147,0))))</f>
        <v>W2</v>
      </c>
      <c r="X147" s="57">
        <f t="shared" si="17"/>
        <v>0</v>
      </c>
    </row>
    <row r="148" spans="1:24">
      <c r="A148" s="49">
        <v>146</v>
      </c>
      <c r="B148" s="50">
        <v>3</v>
      </c>
      <c r="C148" s="49" t="s">
        <v>132</v>
      </c>
      <c r="D148" s="51" t="s">
        <v>238</v>
      </c>
      <c r="E148" s="49" t="s">
        <v>239</v>
      </c>
      <c r="F148" s="49" t="s">
        <v>269</v>
      </c>
      <c r="G148" s="52">
        <v>8.65</v>
      </c>
      <c r="H148" s="53"/>
      <c r="I148" s="54"/>
      <c r="J148" s="55">
        <f>VLOOKUP(C148,Recipes!$A$2:$N$4,10,FALSE())</f>
        <v>9.6113333333333255</v>
      </c>
      <c r="K148" s="56">
        <f>VLOOKUP(C148,Recipes!$A$2:$N$4,12,FALSE())</f>
        <v>6.1509461004819709E-2</v>
      </c>
      <c r="L148" s="55">
        <f t="shared" si="12"/>
        <v>9.426804950318866</v>
      </c>
      <c r="M148" s="55">
        <f t="shared" si="13"/>
        <v>9.795861716347785</v>
      </c>
      <c r="N148" s="49" t="str">
        <f t="shared" si="14"/>
        <v>NG</v>
      </c>
      <c r="O148" s="57">
        <f t="shared" si="15"/>
        <v>0</v>
      </c>
      <c r="P148" s="55">
        <f t="shared" si="16"/>
        <v>0.96133333333332516</v>
      </c>
      <c r="Q148" s="55">
        <f>IF(G148="","",ABS(P148-Components!$C$2))</f>
        <v>1.7920000000000047</v>
      </c>
      <c r="R148" s="55">
        <f>IF(G148="","",ABS(P148-Components!$C$3))</f>
        <v>3.0746666666666744</v>
      </c>
      <c r="S148" s="55">
        <f>IF(G148="","",ABS(P148-Components!$C$4))</f>
        <v>3.20000000000078E-2</v>
      </c>
      <c r="T148" s="55">
        <f>IF(G148="","",ABS(P148-Components!$C$5))</f>
        <v>3.6013333333333453</v>
      </c>
      <c r="U148" s="55">
        <f>IF(G148="","",ABS(P148-Components!$C$6))</f>
        <v>0.19433333333334479</v>
      </c>
      <c r="V148" s="55">
        <f>IF(G148="","",ABS(P148-Components!$C$7))</f>
        <v>0.41300000000000492</v>
      </c>
      <c r="W148" s="49" t="str">
        <f>IF(G148="","",IF(N148="OK","NONE",INDEX({"S1","S2","W1","W2","N1","N2"},MATCH(MIN(Q148:V148),Q148:V148,0))))</f>
        <v>W1</v>
      </c>
      <c r="X148" s="57">
        <f t="shared" si="17"/>
        <v>0</v>
      </c>
    </row>
    <row r="149" spans="1:24">
      <c r="A149" s="49">
        <v>147</v>
      </c>
      <c r="B149" s="50">
        <v>28</v>
      </c>
      <c r="C149" s="49" t="s">
        <v>132</v>
      </c>
      <c r="D149" s="51" t="s">
        <v>238</v>
      </c>
      <c r="E149" s="49" t="s">
        <v>239</v>
      </c>
      <c r="F149" s="49" t="s">
        <v>274</v>
      </c>
      <c r="G149" s="52">
        <v>8.5299999999999994</v>
      </c>
      <c r="H149" s="53"/>
      <c r="I149" s="54"/>
      <c r="J149" s="55">
        <f>VLOOKUP(C149,Recipes!$A$2:$N$4,10,FALSE())</f>
        <v>9.6113333333333255</v>
      </c>
      <c r="K149" s="56">
        <f>VLOOKUP(C149,Recipes!$A$2:$N$4,12,FALSE())</f>
        <v>6.1509461004819709E-2</v>
      </c>
      <c r="L149" s="55">
        <f t="shared" si="12"/>
        <v>9.426804950318866</v>
      </c>
      <c r="M149" s="55">
        <f t="shared" si="13"/>
        <v>9.795861716347785</v>
      </c>
      <c r="N149" s="49" t="str">
        <f t="shared" si="14"/>
        <v>NG</v>
      </c>
      <c r="O149" s="57">
        <f t="shared" si="15"/>
        <v>0</v>
      </c>
      <c r="P149" s="55">
        <f t="shared" si="16"/>
        <v>1.0813333333333262</v>
      </c>
      <c r="Q149" s="55">
        <f>IF(G149="","",ABS(P149-Components!$C$2))</f>
        <v>1.6720000000000037</v>
      </c>
      <c r="R149" s="55">
        <f>IF(G149="","",ABS(P149-Components!$C$3))</f>
        <v>2.9546666666666734</v>
      </c>
      <c r="S149" s="55">
        <f>IF(G149="","",ABS(P149-Components!$C$4))</f>
        <v>8.7999999999993195E-2</v>
      </c>
      <c r="T149" s="55">
        <f>IF(G149="","",ABS(P149-Components!$C$5))</f>
        <v>3.4813333333333443</v>
      </c>
      <c r="U149" s="55">
        <f>IF(G149="","",ABS(P149-Components!$C$6))</f>
        <v>7.4333333333343798E-2</v>
      </c>
      <c r="V149" s="55">
        <f>IF(G149="","",ABS(P149-Components!$C$7))</f>
        <v>0.29300000000000392</v>
      </c>
      <c r="W149" s="49" t="str">
        <f>IF(G149="","",IF(N149="OK","NONE",INDEX({"S1","S2","W1","W2","N1","N2"},MATCH(MIN(Q149:V149),Q149:V149,0))))</f>
        <v>N1</v>
      </c>
      <c r="X149" s="57">
        <f t="shared" si="17"/>
        <v>0</v>
      </c>
    </row>
    <row r="150" spans="1:24">
      <c r="A150" s="49">
        <v>148</v>
      </c>
      <c r="B150" s="50">
        <v>38</v>
      </c>
      <c r="C150" s="49" t="s">
        <v>132</v>
      </c>
      <c r="D150" s="51" t="s">
        <v>238</v>
      </c>
      <c r="E150" s="49" t="s">
        <v>239</v>
      </c>
      <c r="F150" s="49" t="s">
        <v>279</v>
      </c>
      <c r="G150" s="52">
        <v>8.6300000000000008</v>
      </c>
      <c r="H150" s="53"/>
      <c r="I150" s="54"/>
      <c r="J150" s="55">
        <f>VLOOKUP(C150,Recipes!$A$2:$N$4,10,FALSE())</f>
        <v>9.6113333333333255</v>
      </c>
      <c r="K150" s="56">
        <f>VLOOKUP(C150,Recipes!$A$2:$N$4,12,FALSE())</f>
        <v>6.1509461004819709E-2</v>
      </c>
      <c r="L150" s="55">
        <f t="shared" si="12"/>
        <v>9.426804950318866</v>
      </c>
      <c r="M150" s="55">
        <f t="shared" si="13"/>
        <v>9.795861716347785</v>
      </c>
      <c r="N150" s="49" t="str">
        <f t="shared" si="14"/>
        <v>NG</v>
      </c>
      <c r="O150" s="57">
        <f t="shared" si="15"/>
        <v>0</v>
      </c>
      <c r="P150" s="55">
        <f t="shared" si="16"/>
        <v>0.98133333333332473</v>
      </c>
      <c r="Q150" s="55">
        <f>IF(G150="","",ABS(P150-Components!$C$2))</f>
        <v>1.7720000000000051</v>
      </c>
      <c r="R150" s="55">
        <f>IF(G150="","",ABS(P150-Components!$C$3))</f>
        <v>3.0546666666666749</v>
      </c>
      <c r="S150" s="55">
        <f>IF(G150="","",ABS(P150-Components!$C$4))</f>
        <v>1.2000000000008226E-2</v>
      </c>
      <c r="T150" s="55">
        <f>IF(G150="","",ABS(P150-Components!$C$5))</f>
        <v>3.5813333333333457</v>
      </c>
      <c r="U150" s="55">
        <f>IF(G150="","",ABS(P150-Components!$C$6))</f>
        <v>0.17433333333334522</v>
      </c>
      <c r="V150" s="55">
        <f>IF(G150="","",ABS(P150-Components!$C$7))</f>
        <v>0.39300000000000535</v>
      </c>
      <c r="W150" s="49" t="str">
        <f>IF(G150="","",IF(N150="OK","NONE",INDEX({"S1","S2","W1","W2","N1","N2"},MATCH(MIN(Q150:V150),Q150:V150,0))))</f>
        <v>W1</v>
      </c>
      <c r="X150" s="57">
        <f t="shared" si="17"/>
        <v>0</v>
      </c>
    </row>
    <row r="151" spans="1:24">
      <c r="A151" s="49">
        <v>149</v>
      </c>
      <c r="B151" s="63"/>
      <c r="C151" s="63" t="s">
        <v>132</v>
      </c>
      <c r="D151" s="63" t="s">
        <v>238</v>
      </c>
      <c r="E151" s="63" t="s">
        <v>239</v>
      </c>
      <c r="F151" s="63"/>
      <c r="G151" s="61">
        <v>8.6199999999999992</v>
      </c>
      <c r="H151" s="53"/>
      <c r="I151" s="54"/>
      <c r="J151" s="55">
        <f>VLOOKUP(C151,Recipes!$A$2:$N$4,10,FALSE())</f>
        <v>9.6113333333333255</v>
      </c>
      <c r="K151" s="56">
        <f>VLOOKUP(C151,Recipes!$A$2:$N$4,12,FALSE())</f>
        <v>6.1509461004819709E-2</v>
      </c>
      <c r="L151" s="55">
        <f t="shared" si="12"/>
        <v>9.426804950318866</v>
      </c>
      <c r="M151" s="55">
        <f t="shared" si="13"/>
        <v>9.795861716347785</v>
      </c>
      <c r="N151" s="49" t="str">
        <f t="shared" si="14"/>
        <v>NG</v>
      </c>
      <c r="O151" s="57">
        <f t="shared" si="15"/>
        <v>0</v>
      </c>
      <c r="P151" s="55">
        <f t="shared" si="16"/>
        <v>0.99133333333332629</v>
      </c>
      <c r="Q151" s="55">
        <f>IF(G151="","",ABS(P151-Components!$C$2))</f>
        <v>1.7620000000000036</v>
      </c>
      <c r="R151" s="55">
        <f>IF(G151="","",ABS(P151-Components!$C$3))</f>
        <v>3.0446666666666733</v>
      </c>
      <c r="S151" s="55">
        <f>IF(G151="","",ABS(P151-Components!$C$4))</f>
        <v>2.0000000000066631E-3</v>
      </c>
      <c r="T151" s="55">
        <f>IF(G151="","",ABS(P151-Components!$C$5))</f>
        <v>3.5713333333333441</v>
      </c>
      <c r="U151" s="55">
        <f>IF(G151="","",ABS(P151-Components!$C$6))</f>
        <v>0.16433333333334366</v>
      </c>
      <c r="V151" s="55">
        <f>IF(G151="","",ABS(P151-Components!$C$7))</f>
        <v>0.38300000000000378</v>
      </c>
      <c r="W151" s="49" t="str">
        <f>IF(G151="","",IF(N151="OK","NONE",INDEX({"S1","S2","W1","W2","N1","N2"},MATCH(MIN(Q151:V151),Q151:V151,0))))</f>
        <v>W1</v>
      </c>
      <c r="X151" s="57">
        <f t="shared" si="17"/>
        <v>0</v>
      </c>
    </row>
    <row r="152" spans="1:24">
      <c r="A152" s="49">
        <v>150</v>
      </c>
      <c r="B152" s="63"/>
      <c r="C152" s="63" t="s">
        <v>132</v>
      </c>
      <c r="D152" s="63" t="s">
        <v>238</v>
      </c>
      <c r="E152" s="63" t="s">
        <v>239</v>
      </c>
      <c r="F152" s="63"/>
      <c r="G152" s="61">
        <v>8.58</v>
      </c>
      <c r="H152" s="53"/>
      <c r="I152" s="54"/>
      <c r="J152" s="55">
        <f>VLOOKUP(C152,Recipes!$A$2:$N$4,10,FALSE())</f>
        <v>9.6113333333333255</v>
      </c>
      <c r="K152" s="56">
        <f>VLOOKUP(C152,Recipes!$A$2:$N$4,12,FALSE())</f>
        <v>6.1509461004819709E-2</v>
      </c>
      <c r="L152" s="55">
        <f t="shared" si="12"/>
        <v>9.426804950318866</v>
      </c>
      <c r="M152" s="55">
        <f t="shared" si="13"/>
        <v>9.795861716347785</v>
      </c>
      <c r="N152" s="49" t="str">
        <f t="shared" si="14"/>
        <v>NG</v>
      </c>
      <c r="O152" s="57">
        <f t="shared" si="15"/>
        <v>0</v>
      </c>
      <c r="P152" s="55">
        <f t="shared" si="16"/>
        <v>1.0313333333333254</v>
      </c>
      <c r="Q152" s="55">
        <f>IF(G152="","",ABS(P152-Components!$C$2))</f>
        <v>1.7220000000000044</v>
      </c>
      <c r="R152" s="55">
        <f>IF(G152="","",ABS(P152-Components!$C$3))</f>
        <v>3.0046666666666741</v>
      </c>
      <c r="S152" s="55">
        <f>IF(G152="","",ABS(P152-Components!$C$4))</f>
        <v>3.7999999999992484E-2</v>
      </c>
      <c r="T152" s="55">
        <f>IF(G152="","",ABS(P152-Components!$C$5))</f>
        <v>3.531333333333345</v>
      </c>
      <c r="U152" s="55">
        <f>IF(G152="","",ABS(P152-Components!$C$6))</f>
        <v>0.12433333333334451</v>
      </c>
      <c r="V152" s="55">
        <f>IF(G152="","",ABS(P152-Components!$C$7))</f>
        <v>0.34300000000000463</v>
      </c>
      <c r="W152" s="49" t="str">
        <f>IF(G152="","",IF(N152="OK","NONE",INDEX({"S1","S2","W1","W2","N1","N2"},MATCH(MIN(Q152:V152),Q152:V152,0))))</f>
        <v>W1</v>
      </c>
      <c r="X152" s="57">
        <f t="shared" si="17"/>
        <v>0</v>
      </c>
    </row>
    <row r="153" spans="1:24">
      <c r="A153" s="49">
        <v>151</v>
      </c>
      <c r="B153" s="50">
        <v>6</v>
      </c>
      <c r="C153" s="49" t="s">
        <v>132</v>
      </c>
      <c r="D153" s="62" t="s">
        <v>240</v>
      </c>
      <c r="E153" s="49" t="s">
        <v>99</v>
      </c>
      <c r="F153" s="49" t="s">
        <v>283</v>
      </c>
      <c r="G153" s="52">
        <v>5.89</v>
      </c>
      <c r="H153" s="53"/>
      <c r="I153" s="54"/>
      <c r="J153" s="55">
        <f>VLOOKUP(C153,Recipes!$A$2:$N$4,10,FALSE())</f>
        <v>9.6113333333333255</v>
      </c>
      <c r="K153" s="56">
        <f>VLOOKUP(C153,Recipes!$A$2:$N$4,12,FALSE())</f>
        <v>6.1509461004819709E-2</v>
      </c>
      <c r="L153" s="55">
        <f t="shared" si="12"/>
        <v>9.426804950318866</v>
      </c>
      <c r="M153" s="55">
        <f t="shared" si="13"/>
        <v>9.795861716347785</v>
      </c>
      <c r="N153" s="49" t="str">
        <f t="shared" si="14"/>
        <v>NG</v>
      </c>
      <c r="O153" s="57">
        <f t="shared" si="15"/>
        <v>1</v>
      </c>
      <c r="P153" s="55">
        <f t="shared" si="16"/>
        <v>3.7213333333333258</v>
      </c>
      <c r="Q153" s="55">
        <f>IF(G153="","",ABS(P153-Components!$C$2))</f>
        <v>0.96799999999999597</v>
      </c>
      <c r="R153" s="55">
        <f>IF(G153="","",ABS(P153-Components!$C$3))</f>
        <v>0.31466666666667376</v>
      </c>
      <c r="S153" s="55">
        <f>IF(G153="","",ABS(P153-Components!$C$4))</f>
        <v>2.7279999999999927</v>
      </c>
      <c r="T153" s="55">
        <f>IF(G153="","",ABS(P153-Components!$C$5))</f>
        <v>0.84133333333334459</v>
      </c>
      <c r="U153" s="55">
        <f>IF(G153="","",ABS(P153-Components!$C$6))</f>
        <v>2.5656666666666559</v>
      </c>
      <c r="V153" s="55">
        <f>IF(G153="","",ABS(P153-Components!$C$7))</f>
        <v>2.346999999999996</v>
      </c>
      <c r="W153" s="49" t="str">
        <f>IF(G153="","",IF(N153="OK","NONE",INDEX({"S1","S2","W1","W2","N1","N2"},MATCH(MIN(Q153:V153),Q153:V153,0))))</f>
        <v>S2</v>
      </c>
      <c r="X153" s="57">
        <f t="shared" si="17"/>
        <v>0</v>
      </c>
    </row>
    <row r="154" spans="1:24">
      <c r="A154" s="49">
        <v>152</v>
      </c>
      <c r="B154" s="50">
        <v>35</v>
      </c>
      <c r="C154" s="49" t="s">
        <v>132</v>
      </c>
      <c r="D154" s="62" t="s">
        <v>240</v>
      </c>
      <c r="E154" s="49" t="s">
        <v>99</v>
      </c>
      <c r="F154" s="49" t="s">
        <v>284</v>
      </c>
      <c r="G154" s="52">
        <v>5.89</v>
      </c>
      <c r="H154" s="53"/>
      <c r="I154" s="54"/>
      <c r="J154" s="55">
        <f>VLOOKUP(C154,Recipes!$A$2:$N$4,10,FALSE())</f>
        <v>9.6113333333333255</v>
      </c>
      <c r="K154" s="56">
        <f>VLOOKUP(C154,Recipes!$A$2:$N$4,12,FALSE())</f>
        <v>6.1509461004819709E-2</v>
      </c>
      <c r="L154" s="55">
        <f t="shared" si="12"/>
        <v>9.426804950318866</v>
      </c>
      <c r="M154" s="55">
        <f t="shared" si="13"/>
        <v>9.795861716347785</v>
      </c>
      <c r="N154" s="49" t="str">
        <f t="shared" si="14"/>
        <v>NG</v>
      </c>
      <c r="O154" s="57">
        <f t="shared" si="15"/>
        <v>1</v>
      </c>
      <c r="P154" s="55">
        <f t="shared" si="16"/>
        <v>3.7213333333333258</v>
      </c>
      <c r="Q154" s="55">
        <f>IF(G154="","",ABS(P154-Components!$C$2))</f>
        <v>0.96799999999999597</v>
      </c>
      <c r="R154" s="55">
        <f>IF(G154="","",ABS(P154-Components!$C$3))</f>
        <v>0.31466666666667376</v>
      </c>
      <c r="S154" s="55">
        <f>IF(G154="","",ABS(P154-Components!$C$4))</f>
        <v>2.7279999999999927</v>
      </c>
      <c r="T154" s="55">
        <f>IF(G154="","",ABS(P154-Components!$C$5))</f>
        <v>0.84133333333334459</v>
      </c>
      <c r="U154" s="55">
        <f>IF(G154="","",ABS(P154-Components!$C$6))</f>
        <v>2.5656666666666559</v>
      </c>
      <c r="V154" s="55">
        <f>IF(G154="","",ABS(P154-Components!$C$7))</f>
        <v>2.346999999999996</v>
      </c>
      <c r="W154" s="49" t="str">
        <f>IF(G154="","",IF(N154="OK","NONE",INDEX({"S1","S2","W1","W2","N1","N2"},MATCH(MIN(Q154:V154),Q154:V154,0))))</f>
        <v>S2</v>
      </c>
      <c r="X154" s="57">
        <f t="shared" si="17"/>
        <v>0</v>
      </c>
    </row>
    <row r="155" spans="1:24">
      <c r="A155" s="49">
        <v>153</v>
      </c>
      <c r="B155" s="63"/>
      <c r="C155" s="63" t="s">
        <v>132</v>
      </c>
      <c r="D155" s="63" t="s">
        <v>240</v>
      </c>
      <c r="E155" s="63" t="s">
        <v>99</v>
      </c>
      <c r="F155" s="63"/>
      <c r="G155" s="61">
        <v>5.9</v>
      </c>
      <c r="H155" s="53"/>
      <c r="I155" s="54"/>
      <c r="J155" s="55">
        <f>VLOOKUP(C155,Recipes!$A$2:$N$4,10,FALSE())</f>
        <v>9.6113333333333255</v>
      </c>
      <c r="K155" s="56">
        <f>VLOOKUP(C155,Recipes!$A$2:$N$4,12,FALSE())</f>
        <v>6.1509461004819709E-2</v>
      </c>
      <c r="L155" s="55">
        <f t="shared" si="12"/>
        <v>9.426804950318866</v>
      </c>
      <c r="M155" s="55">
        <f t="shared" si="13"/>
        <v>9.795861716347785</v>
      </c>
      <c r="N155" s="49" t="str">
        <f t="shared" si="14"/>
        <v>NG</v>
      </c>
      <c r="O155" s="57">
        <f t="shared" si="15"/>
        <v>1</v>
      </c>
      <c r="P155" s="55">
        <f t="shared" si="16"/>
        <v>3.7113333333333252</v>
      </c>
      <c r="Q155" s="55">
        <f>IF(G155="","",ABS(P155-Components!$C$2))</f>
        <v>0.9579999999999953</v>
      </c>
      <c r="R155" s="55">
        <f>IF(G155="","",ABS(P155-Components!$C$3))</f>
        <v>0.32466666666667443</v>
      </c>
      <c r="S155" s="55">
        <f>IF(G155="","",ABS(P155-Components!$C$4))</f>
        <v>2.717999999999992</v>
      </c>
      <c r="T155" s="55">
        <f>IF(G155="","",ABS(P155-Components!$C$5))</f>
        <v>0.85133333333334527</v>
      </c>
      <c r="U155" s="55">
        <f>IF(G155="","",ABS(P155-Components!$C$6))</f>
        <v>2.5556666666666552</v>
      </c>
      <c r="V155" s="55">
        <f>IF(G155="","",ABS(P155-Components!$C$7))</f>
        <v>2.3369999999999953</v>
      </c>
      <c r="W155" s="49" t="str">
        <f>IF(G155="","",IF(N155="OK","NONE",INDEX({"S1","S2","W1","W2","N1","N2"},MATCH(MIN(Q155:V155),Q155:V155,0))))</f>
        <v>S2</v>
      </c>
      <c r="X155" s="57">
        <f t="shared" si="17"/>
        <v>0</v>
      </c>
    </row>
    <row r="156" spans="1:24">
      <c r="A156" s="49">
        <v>154</v>
      </c>
      <c r="B156" s="63"/>
      <c r="C156" s="63" t="s">
        <v>132</v>
      </c>
      <c r="D156" s="63" t="s">
        <v>240</v>
      </c>
      <c r="E156" s="63" t="s">
        <v>99</v>
      </c>
      <c r="F156" s="63"/>
      <c r="G156" s="61">
        <v>5.88</v>
      </c>
      <c r="H156" s="53"/>
      <c r="I156" s="54"/>
      <c r="J156" s="55">
        <f>VLOOKUP(C156,Recipes!$A$2:$N$4,10,FALSE())</f>
        <v>9.6113333333333255</v>
      </c>
      <c r="K156" s="56">
        <f>VLOOKUP(C156,Recipes!$A$2:$N$4,12,FALSE())</f>
        <v>6.1509461004819709E-2</v>
      </c>
      <c r="L156" s="55">
        <f t="shared" si="12"/>
        <v>9.426804950318866</v>
      </c>
      <c r="M156" s="55">
        <f t="shared" si="13"/>
        <v>9.795861716347785</v>
      </c>
      <c r="N156" s="49" t="str">
        <f t="shared" si="14"/>
        <v>NG</v>
      </c>
      <c r="O156" s="57">
        <f t="shared" si="15"/>
        <v>1</v>
      </c>
      <c r="P156" s="55">
        <f t="shared" si="16"/>
        <v>3.7313333333333256</v>
      </c>
      <c r="Q156" s="55">
        <f>IF(G156="","",ABS(P156-Components!$C$2))</f>
        <v>0.97799999999999576</v>
      </c>
      <c r="R156" s="55">
        <f>IF(G156="","",ABS(P156-Components!$C$3))</f>
        <v>0.30466666666667397</v>
      </c>
      <c r="S156" s="55">
        <f>IF(G156="","",ABS(P156-Components!$C$4))</f>
        <v>2.7379999999999924</v>
      </c>
      <c r="T156" s="55">
        <f>IF(G156="","",ABS(P156-Components!$C$5))</f>
        <v>0.8313333333333448</v>
      </c>
      <c r="U156" s="55">
        <f>IF(G156="","",ABS(P156-Components!$C$6))</f>
        <v>2.5756666666666557</v>
      </c>
      <c r="V156" s="55">
        <f>IF(G156="","",ABS(P156-Components!$C$7))</f>
        <v>2.3569999999999958</v>
      </c>
      <c r="W156" s="49" t="str">
        <f>IF(G156="","",IF(N156="OK","NONE",INDEX({"S1","S2","W1","W2","N1","N2"},MATCH(MIN(Q156:V156),Q156:V156,0))))</f>
        <v>S2</v>
      </c>
      <c r="X156" s="57">
        <f t="shared" si="17"/>
        <v>0</v>
      </c>
    </row>
    <row r="157" spans="1:24">
      <c r="A157" s="49">
        <v>155</v>
      </c>
      <c r="B157" s="63"/>
      <c r="C157" s="63" t="s">
        <v>132</v>
      </c>
      <c r="D157" s="63" t="s">
        <v>240</v>
      </c>
      <c r="E157" s="63" t="s">
        <v>99</v>
      </c>
      <c r="F157" s="63"/>
      <c r="G157" s="61">
        <v>5.91</v>
      </c>
      <c r="H157" s="53"/>
      <c r="I157" s="54"/>
      <c r="J157" s="55">
        <f>VLOOKUP(C157,Recipes!$A$2:$N$4,10,FALSE())</f>
        <v>9.6113333333333255</v>
      </c>
      <c r="K157" s="56">
        <f>VLOOKUP(C157,Recipes!$A$2:$N$4,12,FALSE())</f>
        <v>6.1509461004819709E-2</v>
      </c>
      <c r="L157" s="55">
        <f t="shared" si="12"/>
        <v>9.426804950318866</v>
      </c>
      <c r="M157" s="55">
        <f t="shared" si="13"/>
        <v>9.795861716347785</v>
      </c>
      <c r="N157" s="49" t="str">
        <f t="shared" si="14"/>
        <v>NG</v>
      </c>
      <c r="O157" s="57">
        <f t="shared" si="15"/>
        <v>1</v>
      </c>
      <c r="P157" s="55">
        <f t="shared" si="16"/>
        <v>3.7013333333333254</v>
      </c>
      <c r="Q157" s="55">
        <f>IF(G157="","",ABS(P157-Components!$C$2))</f>
        <v>0.94799999999999551</v>
      </c>
      <c r="R157" s="55">
        <f>IF(G157="","",ABS(P157-Components!$C$3))</f>
        <v>0.33466666666667422</v>
      </c>
      <c r="S157" s="55">
        <f>IF(G157="","",ABS(P157-Components!$C$4))</f>
        <v>2.7079999999999922</v>
      </c>
      <c r="T157" s="55">
        <f>IF(G157="","",ABS(P157-Components!$C$5))</f>
        <v>0.86133333333334505</v>
      </c>
      <c r="U157" s="55">
        <f>IF(G157="","",ABS(P157-Components!$C$6))</f>
        <v>2.5456666666666554</v>
      </c>
      <c r="V157" s="55">
        <f>IF(G157="","",ABS(P157-Components!$C$7))</f>
        <v>2.3269999999999955</v>
      </c>
      <c r="W157" s="49" t="str">
        <f>IF(G157="","",IF(N157="OK","NONE",INDEX({"S1","S2","W1","W2","N1","N2"},MATCH(MIN(Q157:V157),Q157:V157,0))))</f>
        <v>S2</v>
      </c>
      <c r="X157" s="57">
        <f t="shared" si="17"/>
        <v>0</v>
      </c>
    </row>
    <row r="158" spans="1:24">
      <c r="A158" s="49">
        <v>156</v>
      </c>
      <c r="B158" s="50">
        <v>44</v>
      </c>
      <c r="C158" s="49" t="s">
        <v>132</v>
      </c>
      <c r="D158" s="62" t="s">
        <v>240</v>
      </c>
      <c r="E158" s="49" t="s">
        <v>104</v>
      </c>
      <c r="F158" s="49" t="s">
        <v>285</v>
      </c>
      <c r="G158" s="52">
        <v>7.38</v>
      </c>
      <c r="H158" s="53"/>
      <c r="I158" s="54"/>
      <c r="J158" s="55">
        <f>VLOOKUP(C158,Recipes!$A$2:$N$4,10,FALSE())</f>
        <v>9.6113333333333255</v>
      </c>
      <c r="K158" s="56">
        <f>VLOOKUP(C158,Recipes!$A$2:$N$4,12,FALSE())</f>
        <v>6.1509461004819709E-2</v>
      </c>
      <c r="L158" s="55">
        <f t="shared" si="12"/>
        <v>9.426804950318866</v>
      </c>
      <c r="M158" s="55">
        <f t="shared" si="13"/>
        <v>9.795861716347785</v>
      </c>
      <c r="N158" s="49" t="str">
        <f t="shared" si="14"/>
        <v>NG</v>
      </c>
      <c r="O158" s="57">
        <f t="shared" si="15"/>
        <v>1</v>
      </c>
      <c r="P158" s="55">
        <f t="shared" si="16"/>
        <v>2.2313333333333256</v>
      </c>
      <c r="Q158" s="55">
        <f>IF(G158="","",ABS(P158-Components!$C$2))</f>
        <v>0.52200000000000424</v>
      </c>
      <c r="R158" s="55">
        <f>IF(G158="","",ABS(P158-Components!$C$3))</f>
        <v>1.804666666666674</v>
      </c>
      <c r="S158" s="55">
        <f>IF(G158="","",ABS(P158-Components!$C$4))</f>
        <v>1.2379999999999927</v>
      </c>
      <c r="T158" s="55">
        <f>IF(G158="","",ABS(P158-Components!$C$5))</f>
        <v>2.3313333333333448</v>
      </c>
      <c r="U158" s="55">
        <f>IF(G158="","",ABS(P158-Components!$C$6))</f>
        <v>1.0756666666666557</v>
      </c>
      <c r="V158" s="55">
        <f>IF(G158="","",ABS(P158-Components!$C$7))</f>
        <v>0.85699999999999554</v>
      </c>
      <c r="W158" s="49" t="str">
        <f>IF(G158="","",IF(N158="OK","NONE",INDEX({"S1","S2","W1","W2","N1","N2"},MATCH(MIN(Q158:V158),Q158:V158,0))))</f>
        <v>S1</v>
      </c>
      <c r="X158" s="57">
        <f t="shared" si="17"/>
        <v>0</v>
      </c>
    </row>
    <row r="159" spans="1:24">
      <c r="A159" s="49">
        <v>157</v>
      </c>
      <c r="B159" s="50">
        <v>7</v>
      </c>
      <c r="C159" s="49" t="s">
        <v>132</v>
      </c>
      <c r="D159" s="62" t="s">
        <v>240</v>
      </c>
      <c r="E159" s="49" t="s">
        <v>104</v>
      </c>
      <c r="F159" s="49" t="s">
        <v>286</v>
      </c>
      <c r="G159" s="52">
        <v>7.54</v>
      </c>
      <c r="H159" s="53"/>
      <c r="I159" s="54"/>
      <c r="J159" s="55">
        <f>VLOOKUP(C159,Recipes!$A$2:$N$4,10,FALSE())</f>
        <v>9.6113333333333255</v>
      </c>
      <c r="K159" s="56">
        <f>VLOOKUP(C159,Recipes!$A$2:$N$4,12,FALSE())</f>
        <v>6.1509461004819709E-2</v>
      </c>
      <c r="L159" s="55">
        <f t="shared" si="12"/>
        <v>9.426804950318866</v>
      </c>
      <c r="M159" s="55">
        <f t="shared" si="13"/>
        <v>9.795861716347785</v>
      </c>
      <c r="N159" s="49" t="str">
        <f t="shared" si="14"/>
        <v>NG</v>
      </c>
      <c r="O159" s="57">
        <f t="shared" si="15"/>
        <v>1</v>
      </c>
      <c r="P159" s="55">
        <f t="shared" si="16"/>
        <v>2.0713333333333255</v>
      </c>
      <c r="Q159" s="55">
        <f>IF(G159="","",ABS(P159-Components!$C$2))</f>
        <v>0.68200000000000438</v>
      </c>
      <c r="R159" s="55">
        <f>IF(G159="","",ABS(P159-Components!$C$3))</f>
        <v>1.9646666666666741</v>
      </c>
      <c r="S159" s="55">
        <f>IF(G159="","",ABS(P159-Components!$C$4))</f>
        <v>1.0779999999999925</v>
      </c>
      <c r="T159" s="55">
        <f>IF(G159="","",ABS(P159-Components!$C$5))</f>
        <v>2.4913333333333449</v>
      </c>
      <c r="U159" s="55">
        <f>IF(G159="","",ABS(P159-Components!$C$6))</f>
        <v>0.91566666666665553</v>
      </c>
      <c r="V159" s="55">
        <f>IF(G159="","",ABS(P159-Components!$C$7))</f>
        <v>0.6969999999999954</v>
      </c>
      <c r="W159" s="49" t="str">
        <f>IF(G159="","",IF(N159="OK","NONE",INDEX({"S1","S2","W1","W2","N1","N2"},MATCH(MIN(Q159:V159),Q159:V159,0))))</f>
        <v>S1</v>
      </c>
      <c r="X159" s="57">
        <f t="shared" si="17"/>
        <v>0</v>
      </c>
    </row>
    <row r="160" spans="1:24">
      <c r="A160" s="49">
        <v>158</v>
      </c>
      <c r="B160" s="50">
        <v>9</v>
      </c>
      <c r="C160" s="49" t="s">
        <v>132</v>
      </c>
      <c r="D160" s="62" t="s">
        <v>240</v>
      </c>
      <c r="E160" s="49" t="s">
        <v>104</v>
      </c>
      <c r="F160" s="49" t="s">
        <v>287</v>
      </c>
      <c r="G160" s="52">
        <v>7.65</v>
      </c>
      <c r="H160" s="53"/>
      <c r="I160" s="54"/>
      <c r="J160" s="55">
        <f>VLOOKUP(C160,Recipes!$A$2:$N$4,10,FALSE())</f>
        <v>9.6113333333333255</v>
      </c>
      <c r="K160" s="56">
        <f>VLOOKUP(C160,Recipes!$A$2:$N$4,12,FALSE())</f>
        <v>6.1509461004819709E-2</v>
      </c>
      <c r="L160" s="55">
        <f t="shared" si="12"/>
        <v>9.426804950318866</v>
      </c>
      <c r="M160" s="55">
        <f t="shared" si="13"/>
        <v>9.795861716347785</v>
      </c>
      <c r="N160" s="49" t="str">
        <f t="shared" si="14"/>
        <v>NG</v>
      </c>
      <c r="O160" s="57">
        <f t="shared" si="15"/>
        <v>1</v>
      </c>
      <c r="P160" s="55">
        <f t="shared" si="16"/>
        <v>1.9613333333333252</v>
      </c>
      <c r="Q160" s="55">
        <f>IF(G160="","",ABS(P160-Components!$C$2))</f>
        <v>0.7920000000000047</v>
      </c>
      <c r="R160" s="55">
        <f>IF(G160="","",ABS(P160-Components!$C$3))</f>
        <v>2.0746666666666744</v>
      </c>
      <c r="S160" s="55">
        <f>IF(G160="","",ABS(P160-Components!$C$4))</f>
        <v>0.9679999999999922</v>
      </c>
      <c r="T160" s="55">
        <f>IF(G160="","",ABS(P160-Components!$C$5))</f>
        <v>2.6013333333333453</v>
      </c>
      <c r="U160" s="55">
        <f>IF(G160="","",ABS(P160-Components!$C$6))</f>
        <v>0.80566666666665521</v>
      </c>
      <c r="V160" s="55">
        <f>IF(G160="","",ABS(P160-Components!$C$7))</f>
        <v>0.58699999999999508</v>
      </c>
      <c r="W160" s="49" t="str">
        <f>IF(G160="","",IF(N160="OK","NONE",INDEX({"S1","S2","W1","W2","N1","N2"},MATCH(MIN(Q160:V160),Q160:V160,0))))</f>
        <v>N2</v>
      </c>
      <c r="X160" s="57">
        <f t="shared" si="17"/>
        <v>0</v>
      </c>
    </row>
    <row r="161" spans="1:24">
      <c r="A161" s="49">
        <v>159</v>
      </c>
      <c r="B161" s="50">
        <v>8</v>
      </c>
      <c r="C161" s="49" t="s">
        <v>132</v>
      </c>
      <c r="D161" s="62" t="s">
        <v>240</v>
      </c>
      <c r="E161" s="49" t="s">
        <v>104</v>
      </c>
      <c r="F161" s="49" t="s">
        <v>288</v>
      </c>
      <c r="G161" s="52">
        <v>7.34</v>
      </c>
      <c r="H161" s="53"/>
      <c r="I161" s="54"/>
      <c r="J161" s="55">
        <f>VLOOKUP(C161,Recipes!$A$2:$N$4,10,FALSE())</f>
        <v>9.6113333333333255</v>
      </c>
      <c r="K161" s="56">
        <f>VLOOKUP(C161,Recipes!$A$2:$N$4,12,FALSE())</f>
        <v>6.1509461004819709E-2</v>
      </c>
      <c r="L161" s="55">
        <f t="shared" si="12"/>
        <v>9.426804950318866</v>
      </c>
      <c r="M161" s="55">
        <f t="shared" si="13"/>
        <v>9.795861716347785</v>
      </c>
      <c r="N161" s="49" t="str">
        <f t="shared" si="14"/>
        <v>NG</v>
      </c>
      <c r="O161" s="57">
        <f t="shared" si="15"/>
        <v>1</v>
      </c>
      <c r="P161" s="55">
        <f t="shared" si="16"/>
        <v>2.2713333333333257</v>
      </c>
      <c r="Q161" s="55">
        <f>IF(G161="","",ABS(P161-Components!$C$2))</f>
        <v>0.4820000000000042</v>
      </c>
      <c r="R161" s="55">
        <f>IF(G161="","",ABS(P161-Components!$C$3))</f>
        <v>1.7646666666666739</v>
      </c>
      <c r="S161" s="55">
        <f>IF(G161="","",ABS(P161-Components!$C$4))</f>
        <v>1.2779999999999927</v>
      </c>
      <c r="T161" s="55">
        <f>IF(G161="","",ABS(P161-Components!$C$5))</f>
        <v>2.2913333333333448</v>
      </c>
      <c r="U161" s="55">
        <f>IF(G161="","",ABS(P161-Components!$C$6))</f>
        <v>1.1156666666666557</v>
      </c>
      <c r="V161" s="55">
        <f>IF(G161="","",ABS(P161-Components!$C$7))</f>
        <v>0.89699999999999558</v>
      </c>
      <c r="W161" s="49" t="str">
        <f>IF(G161="","",IF(N161="OK","NONE",INDEX({"S1","S2","W1","W2","N1","N2"},MATCH(MIN(Q161:V161),Q161:V161,0))))</f>
        <v>S1</v>
      </c>
      <c r="X161" s="57">
        <f t="shared" si="17"/>
        <v>0</v>
      </c>
    </row>
    <row r="162" spans="1:24">
      <c r="A162" s="49">
        <v>160</v>
      </c>
      <c r="B162" s="50">
        <v>41</v>
      </c>
      <c r="C162" s="49" t="s">
        <v>132</v>
      </c>
      <c r="D162" s="62" t="s">
        <v>240</v>
      </c>
      <c r="E162" s="49" t="s">
        <v>104</v>
      </c>
      <c r="F162" s="49" t="s">
        <v>289</v>
      </c>
      <c r="G162" s="52">
        <v>7.68</v>
      </c>
      <c r="H162" s="53"/>
      <c r="I162" s="54"/>
      <c r="J162" s="55">
        <f>VLOOKUP(C162,Recipes!$A$2:$N$4,10,FALSE())</f>
        <v>9.6113333333333255</v>
      </c>
      <c r="K162" s="56">
        <f>VLOOKUP(C162,Recipes!$A$2:$N$4,12,FALSE())</f>
        <v>6.1509461004819709E-2</v>
      </c>
      <c r="L162" s="55">
        <f t="shared" si="12"/>
        <v>9.426804950318866</v>
      </c>
      <c r="M162" s="55">
        <f t="shared" si="13"/>
        <v>9.795861716347785</v>
      </c>
      <c r="N162" s="49" t="str">
        <f t="shared" si="14"/>
        <v>NG</v>
      </c>
      <c r="O162" s="57">
        <f t="shared" si="15"/>
        <v>1</v>
      </c>
      <c r="P162" s="55">
        <f t="shared" si="16"/>
        <v>1.9313333333333258</v>
      </c>
      <c r="Q162" s="55">
        <f>IF(G162="","",ABS(P162-Components!$C$2))</f>
        <v>0.82200000000000406</v>
      </c>
      <c r="R162" s="55">
        <f>IF(G162="","",ABS(P162-Components!$C$3))</f>
        <v>2.1046666666666738</v>
      </c>
      <c r="S162" s="55">
        <f>IF(G162="","",ABS(P162-Components!$C$4))</f>
        <v>0.93799999999999284</v>
      </c>
      <c r="T162" s="55">
        <f>IF(G162="","",ABS(P162-Components!$C$5))</f>
        <v>2.6313333333333446</v>
      </c>
      <c r="U162" s="55">
        <f>IF(G162="","",ABS(P162-Components!$C$6))</f>
        <v>0.77566666666665585</v>
      </c>
      <c r="V162" s="55">
        <f>IF(G162="","",ABS(P162-Components!$C$7))</f>
        <v>0.55699999999999572</v>
      </c>
      <c r="W162" s="49" t="str">
        <f>IF(G162="","",IF(N162="OK","NONE",INDEX({"S1","S2","W1","W2","N1","N2"},MATCH(MIN(Q162:V162),Q162:V162,0))))</f>
        <v>N2</v>
      </c>
      <c r="X162" s="57">
        <f t="shared" si="17"/>
        <v>0</v>
      </c>
    </row>
    <row r="163" spans="1:24">
      <c r="A163" s="49">
        <v>161</v>
      </c>
      <c r="B163" s="50">
        <v>15</v>
      </c>
      <c r="C163" s="49" t="s">
        <v>132</v>
      </c>
      <c r="D163" s="62" t="s">
        <v>240</v>
      </c>
      <c r="E163" s="49" t="s">
        <v>110</v>
      </c>
      <c r="F163" s="49" t="s">
        <v>290</v>
      </c>
      <c r="G163" s="52">
        <v>7.29</v>
      </c>
      <c r="H163" s="53"/>
      <c r="I163" s="54"/>
      <c r="J163" s="55">
        <f>VLOOKUP(C163,Recipes!$A$2:$N$4,10,FALSE())</f>
        <v>9.6113333333333255</v>
      </c>
      <c r="K163" s="56">
        <f>VLOOKUP(C163,Recipes!$A$2:$N$4,12,FALSE())</f>
        <v>6.1509461004819709E-2</v>
      </c>
      <c r="L163" s="55">
        <f t="shared" si="12"/>
        <v>9.426804950318866</v>
      </c>
      <c r="M163" s="55">
        <f t="shared" si="13"/>
        <v>9.795861716347785</v>
      </c>
      <c r="N163" s="49" t="str">
        <f t="shared" si="14"/>
        <v>NG</v>
      </c>
      <c r="O163" s="57">
        <f t="shared" si="15"/>
        <v>1</v>
      </c>
      <c r="P163" s="55">
        <f t="shared" si="16"/>
        <v>2.3213333333333255</v>
      </c>
      <c r="Q163" s="55">
        <f>IF(G163="","",ABS(P163-Components!$C$2))</f>
        <v>0.43200000000000438</v>
      </c>
      <c r="R163" s="55">
        <f>IF(G163="","",ABS(P163-Components!$C$3))</f>
        <v>1.7146666666666741</v>
      </c>
      <c r="S163" s="55">
        <f>IF(G163="","",ABS(P163-Components!$C$4))</f>
        <v>1.3279999999999925</v>
      </c>
      <c r="T163" s="55">
        <f>IF(G163="","",ABS(P163-Components!$C$5))</f>
        <v>2.2413333333333449</v>
      </c>
      <c r="U163" s="55">
        <f>IF(G163="","",ABS(P163-Components!$C$6))</f>
        <v>1.1656666666666555</v>
      </c>
      <c r="V163" s="55">
        <f>IF(G163="","",ABS(P163-Components!$C$7))</f>
        <v>0.9469999999999954</v>
      </c>
      <c r="W163" s="49" t="str">
        <f>IF(G163="","",IF(N163="OK","NONE",INDEX({"S1","S2","W1","W2","N1","N2"},MATCH(MIN(Q163:V163),Q163:V163,0))))</f>
        <v>S1</v>
      </c>
      <c r="X163" s="57">
        <f t="shared" si="17"/>
        <v>0</v>
      </c>
    </row>
    <row r="164" spans="1:24">
      <c r="A164" s="49">
        <v>162</v>
      </c>
      <c r="B164" s="50">
        <v>16</v>
      </c>
      <c r="C164" s="49" t="s">
        <v>132</v>
      </c>
      <c r="D164" s="62" t="s">
        <v>240</v>
      </c>
      <c r="E164" s="49" t="s">
        <v>110</v>
      </c>
      <c r="F164" s="49" t="s">
        <v>291</v>
      </c>
      <c r="G164" s="52">
        <v>7.16</v>
      </c>
      <c r="H164" s="53"/>
      <c r="I164" s="54"/>
      <c r="J164" s="55">
        <f>VLOOKUP(C164,Recipes!$A$2:$N$4,10,FALSE())</f>
        <v>9.6113333333333255</v>
      </c>
      <c r="K164" s="56">
        <f>VLOOKUP(C164,Recipes!$A$2:$N$4,12,FALSE())</f>
        <v>6.1509461004819709E-2</v>
      </c>
      <c r="L164" s="55">
        <f t="shared" si="12"/>
        <v>9.426804950318866</v>
      </c>
      <c r="M164" s="55">
        <f t="shared" si="13"/>
        <v>9.795861716347785</v>
      </c>
      <c r="N164" s="49" t="str">
        <f t="shared" si="14"/>
        <v>NG</v>
      </c>
      <c r="O164" s="57">
        <f t="shared" si="15"/>
        <v>1</v>
      </c>
      <c r="P164" s="55">
        <f t="shared" si="16"/>
        <v>2.4513333333333254</v>
      </c>
      <c r="Q164" s="55">
        <f>IF(G164="","",ABS(P164-Components!$C$2))</f>
        <v>0.30200000000000449</v>
      </c>
      <c r="R164" s="55">
        <f>IF(G164="","",ABS(P164-Components!$C$3))</f>
        <v>1.5846666666666742</v>
      </c>
      <c r="S164" s="55">
        <f>IF(G164="","",ABS(P164-Components!$C$4))</f>
        <v>1.4579999999999924</v>
      </c>
      <c r="T164" s="55">
        <f>IF(G164="","",ABS(P164-Components!$C$5))</f>
        <v>2.1113333333333451</v>
      </c>
      <c r="U164" s="55">
        <f>IF(G164="","",ABS(P164-Components!$C$6))</f>
        <v>1.2956666666666554</v>
      </c>
      <c r="V164" s="55">
        <f>IF(G164="","",ABS(P164-Components!$C$7))</f>
        <v>1.0769999999999953</v>
      </c>
      <c r="W164" s="49" t="str">
        <f>IF(G164="","",IF(N164="OK","NONE",INDEX({"S1","S2","W1","W2","N1","N2"},MATCH(MIN(Q164:V164),Q164:V164,0))))</f>
        <v>S1</v>
      </c>
      <c r="X164" s="57">
        <f t="shared" si="17"/>
        <v>0</v>
      </c>
    </row>
    <row r="165" spans="1:24">
      <c r="A165" s="49">
        <v>163</v>
      </c>
      <c r="B165" s="50">
        <v>18</v>
      </c>
      <c r="C165" s="49" t="s">
        <v>132</v>
      </c>
      <c r="D165" s="62" t="s">
        <v>240</v>
      </c>
      <c r="E165" s="49" t="s">
        <v>110</v>
      </c>
      <c r="F165" s="49" t="s">
        <v>292</v>
      </c>
      <c r="G165" s="52">
        <v>7.23</v>
      </c>
      <c r="H165" s="53"/>
      <c r="I165" s="54"/>
      <c r="J165" s="55">
        <f>VLOOKUP(C165,Recipes!$A$2:$N$4,10,FALSE())</f>
        <v>9.6113333333333255</v>
      </c>
      <c r="K165" s="56">
        <f>VLOOKUP(C165,Recipes!$A$2:$N$4,12,FALSE())</f>
        <v>6.1509461004819709E-2</v>
      </c>
      <c r="L165" s="55">
        <f t="shared" si="12"/>
        <v>9.426804950318866</v>
      </c>
      <c r="M165" s="55">
        <f t="shared" si="13"/>
        <v>9.795861716347785</v>
      </c>
      <c r="N165" s="49" t="str">
        <f t="shared" si="14"/>
        <v>NG</v>
      </c>
      <c r="O165" s="57">
        <f t="shared" si="15"/>
        <v>1</v>
      </c>
      <c r="P165" s="55">
        <f t="shared" si="16"/>
        <v>2.3813333333333251</v>
      </c>
      <c r="Q165" s="55">
        <f>IF(G165="","",ABS(P165-Components!$C$2))</f>
        <v>0.37200000000000477</v>
      </c>
      <c r="R165" s="55">
        <f>IF(G165="","",ABS(P165-Components!$C$3))</f>
        <v>1.6546666666666745</v>
      </c>
      <c r="S165" s="55">
        <f>IF(G165="","",ABS(P165-Components!$C$4))</f>
        <v>1.3879999999999921</v>
      </c>
      <c r="T165" s="55">
        <f>IF(G165="","",ABS(P165-Components!$C$5))</f>
        <v>2.1813333333333453</v>
      </c>
      <c r="U165" s="55">
        <f>IF(G165="","",ABS(P165-Components!$C$6))</f>
        <v>1.2256666666666551</v>
      </c>
      <c r="V165" s="55">
        <f>IF(G165="","",ABS(P165-Components!$C$7))</f>
        <v>1.006999999999995</v>
      </c>
      <c r="W165" s="49" t="str">
        <f>IF(G165="","",IF(N165="OK","NONE",INDEX({"S1","S2","W1","W2","N1","N2"},MATCH(MIN(Q165:V165),Q165:V165,0))))</f>
        <v>S1</v>
      </c>
      <c r="X165" s="57">
        <f t="shared" si="17"/>
        <v>0</v>
      </c>
    </row>
    <row r="166" spans="1:24">
      <c r="A166" s="49">
        <v>164</v>
      </c>
      <c r="B166" s="63"/>
      <c r="C166" s="63" t="s">
        <v>132</v>
      </c>
      <c r="D166" s="63" t="s">
        <v>240</v>
      </c>
      <c r="E166" s="63" t="s">
        <v>110</v>
      </c>
      <c r="F166" s="63"/>
      <c r="G166" s="61">
        <v>7.25</v>
      </c>
      <c r="H166" s="53"/>
      <c r="I166" s="54"/>
      <c r="J166" s="55">
        <f>VLOOKUP(C166,Recipes!$A$2:$N$4,10,FALSE())</f>
        <v>9.6113333333333255</v>
      </c>
      <c r="K166" s="56">
        <f>VLOOKUP(C166,Recipes!$A$2:$N$4,12,FALSE())</f>
        <v>6.1509461004819709E-2</v>
      </c>
      <c r="L166" s="55">
        <f t="shared" si="12"/>
        <v>9.426804950318866</v>
      </c>
      <c r="M166" s="55">
        <f t="shared" si="13"/>
        <v>9.795861716347785</v>
      </c>
      <c r="N166" s="49" t="str">
        <f t="shared" si="14"/>
        <v>NG</v>
      </c>
      <c r="O166" s="57">
        <f t="shared" si="15"/>
        <v>1</v>
      </c>
      <c r="P166" s="55">
        <f t="shared" si="16"/>
        <v>2.3613333333333255</v>
      </c>
      <c r="Q166" s="55">
        <f>IF(G166="","",ABS(P166-Components!$C$2))</f>
        <v>0.39200000000000434</v>
      </c>
      <c r="R166" s="55">
        <f>IF(G166="","",ABS(P166-Components!$C$3))</f>
        <v>1.6746666666666741</v>
      </c>
      <c r="S166" s="55">
        <f>IF(G166="","",ABS(P166-Components!$C$4))</f>
        <v>1.3679999999999926</v>
      </c>
      <c r="T166" s="55">
        <f>IF(G166="","",ABS(P166-Components!$C$5))</f>
        <v>2.2013333333333449</v>
      </c>
      <c r="U166" s="55">
        <f>IF(G166="","",ABS(P166-Components!$C$6))</f>
        <v>1.2056666666666556</v>
      </c>
      <c r="V166" s="55">
        <f>IF(G166="","",ABS(P166-Components!$C$7))</f>
        <v>0.98699999999999544</v>
      </c>
      <c r="W166" s="49" t="str">
        <f>IF(G166="","",IF(N166="OK","NONE",INDEX({"S1","S2","W1","W2","N1","N2"},MATCH(MIN(Q166:V166),Q166:V166,0))))</f>
        <v>S1</v>
      </c>
      <c r="X166" s="57">
        <f t="shared" si="17"/>
        <v>0</v>
      </c>
    </row>
    <row r="167" spans="1:24">
      <c r="A167" s="49">
        <v>165</v>
      </c>
      <c r="B167" s="63"/>
      <c r="C167" s="63" t="s">
        <v>132</v>
      </c>
      <c r="D167" s="63" t="s">
        <v>240</v>
      </c>
      <c r="E167" s="63" t="s">
        <v>110</v>
      </c>
      <c r="F167" s="63"/>
      <c r="G167" s="61">
        <v>7.2</v>
      </c>
      <c r="H167" s="53"/>
      <c r="I167" s="54"/>
      <c r="J167" s="55">
        <f>VLOOKUP(C167,Recipes!$A$2:$N$4,10,FALSE())</f>
        <v>9.6113333333333255</v>
      </c>
      <c r="K167" s="56">
        <f>VLOOKUP(C167,Recipes!$A$2:$N$4,12,FALSE())</f>
        <v>6.1509461004819709E-2</v>
      </c>
      <c r="L167" s="55">
        <f t="shared" si="12"/>
        <v>9.426804950318866</v>
      </c>
      <c r="M167" s="55">
        <f t="shared" si="13"/>
        <v>9.795861716347785</v>
      </c>
      <c r="N167" s="49" t="str">
        <f t="shared" si="14"/>
        <v>NG</v>
      </c>
      <c r="O167" s="57">
        <f t="shared" si="15"/>
        <v>1</v>
      </c>
      <c r="P167" s="55">
        <f t="shared" si="16"/>
        <v>2.4113333333333253</v>
      </c>
      <c r="Q167" s="55">
        <f>IF(G167="","",ABS(P167-Components!$C$2))</f>
        <v>0.34200000000000452</v>
      </c>
      <c r="R167" s="55">
        <f>IF(G167="","",ABS(P167-Components!$C$3))</f>
        <v>1.6246666666666743</v>
      </c>
      <c r="S167" s="55">
        <f>IF(G167="","",ABS(P167-Components!$C$4))</f>
        <v>1.4179999999999924</v>
      </c>
      <c r="T167" s="55">
        <f>IF(G167="","",ABS(P167-Components!$C$5))</f>
        <v>2.1513333333333451</v>
      </c>
      <c r="U167" s="55">
        <f>IF(G167="","",ABS(P167-Components!$C$6))</f>
        <v>1.2556666666666554</v>
      </c>
      <c r="V167" s="55">
        <f>IF(G167="","",ABS(P167-Components!$C$7))</f>
        <v>1.0369999999999953</v>
      </c>
      <c r="W167" s="49" t="str">
        <f>IF(G167="","",IF(N167="OK","NONE",INDEX({"S1","S2","W1","W2","N1","N2"},MATCH(MIN(Q167:V167),Q167:V167,0))))</f>
        <v>S1</v>
      </c>
      <c r="X167" s="57">
        <f t="shared" si="17"/>
        <v>0</v>
      </c>
    </row>
    <row r="168" spans="1:24">
      <c r="A168" s="49">
        <v>166</v>
      </c>
      <c r="B168" s="50">
        <v>48</v>
      </c>
      <c r="C168" s="49" t="s">
        <v>132</v>
      </c>
      <c r="D168" s="62" t="s">
        <v>240</v>
      </c>
      <c r="E168" s="49" t="s">
        <v>108</v>
      </c>
      <c r="F168" s="49" t="s">
        <v>293</v>
      </c>
      <c r="G168" s="52">
        <v>7.45</v>
      </c>
      <c r="H168" s="53"/>
      <c r="I168" s="54"/>
      <c r="J168" s="55">
        <f>VLOOKUP(C168,Recipes!$A$2:$N$4,10,FALSE())</f>
        <v>9.6113333333333255</v>
      </c>
      <c r="K168" s="56">
        <f>VLOOKUP(C168,Recipes!$A$2:$N$4,12,FALSE())</f>
        <v>6.1509461004819709E-2</v>
      </c>
      <c r="L168" s="55">
        <f t="shared" si="12"/>
        <v>9.426804950318866</v>
      </c>
      <c r="M168" s="55">
        <f t="shared" si="13"/>
        <v>9.795861716347785</v>
      </c>
      <c r="N168" s="49" t="str">
        <f t="shared" si="14"/>
        <v>NG</v>
      </c>
      <c r="O168" s="57">
        <f t="shared" si="15"/>
        <v>1</v>
      </c>
      <c r="P168" s="55">
        <f t="shared" si="16"/>
        <v>2.1613333333333253</v>
      </c>
      <c r="Q168" s="55">
        <f>IF(G168="","",ABS(P168-Components!$C$2))</f>
        <v>0.59200000000000452</v>
      </c>
      <c r="R168" s="55">
        <f>IF(G168="","",ABS(P168-Components!$C$3))</f>
        <v>1.8746666666666743</v>
      </c>
      <c r="S168" s="55">
        <f>IF(G168="","",ABS(P168-Components!$C$4))</f>
        <v>1.1679999999999924</v>
      </c>
      <c r="T168" s="55">
        <f>IF(G168="","",ABS(P168-Components!$C$5))</f>
        <v>2.4013333333333451</v>
      </c>
      <c r="U168" s="55">
        <f>IF(G168="","",ABS(P168-Components!$C$6))</f>
        <v>1.0056666666666554</v>
      </c>
      <c r="V168" s="55">
        <f>IF(G168="","",ABS(P168-Components!$C$7))</f>
        <v>0.78699999999999526</v>
      </c>
      <c r="W168" s="49" t="str">
        <f>IF(G168="","",IF(N168="OK","NONE",INDEX({"S1","S2","W1","W2","N1","N2"},MATCH(MIN(Q168:V168),Q168:V168,0))))</f>
        <v>S1</v>
      </c>
      <c r="X168" s="57">
        <f t="shared" si="17"/>
        <v>0</v>
      </c>
    </row>
    <row r="169" spans="1:24">
      <c r="A169" s="49">
        <v>167</v>
      </c>
      <c r="B169" s="50">
        <v>2</v>
      </c>
      <c r="C169" s="49" t="s">
        <v>132</v>
      </c>
      <c r="D169" s="62" t="s">
        <v>240</v>
      </c>
      <c r="E169" s="49" t="s">
        <v>108</v>
      </c>
      <c r="F169" s="49" t="s">
        <v>294</v>
      </c>
      <c r="G169" s="52">
        <v>7.45</v>
      </c>
      <c r="H169" s="53"/>
      <c r="I169" s="54"/>
      <c r="J169" s="55">
        <f>VLOOKUP(C169,Recipes!$A$2:$N$4,10,FALSE())</f>
        <v>9.6113333333333255</v>
      </c>
      <c r="K169" s="56">
        <f>VLOOKUP(C169,Recipes!$A$2:$N$4,12,FALSE())</f>
        <v>6.1509461004819709E-2</v>
      </c>
      <c r="L169" s="55">
        <f t="shared" si="12"/>
        <v>9.426804950318866</v>
      </c>
      <c r="M169" s="55">
        <f t="shared" si="13"/>
        <v>9.795861716347785</v>
      </c>
      <c r="N169" s="49" t="str">
        <f t="shared" si="14"/>
        <v>NG</v>
      </c>
      <c r="O169" s="57">
        <f t="shared" si="15"/>
        <v>1</v>
      </c>
      <c r="P169" s="55">
        <f t="shared" si="16"/>
        <v>2.1613333333333253</v>
      </c>
      <c r="Q169" s="55">
        <f>IF(G169="","",ABS(P169-Components!$C$2))</f>
        <v>0.59200000000000452</v>
      </c>
      <c r="R169" s="55">
        <f>IF(G169="","",ABS(P169-Components!$C$3))</f>
        <v>1.8746666666666743</v>
      </c>
      <c r="S169" s="55">
        <f>IF(G169="","",ABS(P169-Components!$C$4))</f>
        <v>1.1679999999999924</v>
      </c>
      <c r="T169" s="55">
        <f>IF(G169="","",ABS(P169-Components!$C$5))</f>
        <v>2.4013333333333451</v>
      </c>
      <c r="U169" s="55">
        <f>IF(G169="","",ABS(P169-Components!$C$6))</f>
        <v>1.0056666666666554</v>
      </c>
      <c r="V169" s="55">
        <f>IF(G169="","",ABS(P169-Components!$C$7))</f>
        <v>0.78699999999999526</v>
      </c>
      <c r="W169" s="49" t="str">
        <f>IF(G169="","",IF(N169="OK","NONE",INDEX({"S1","S2","W1","W2","N1","N2"},MATCH(MIN(Q169:V169),Q169:V169,0))))</f>
        <v>S1</v>
      </c>
      <c r="X169" s="57">
        <f t="shared" si="17"/>
        <v>0</v>
      </c>
    </row>
    <row r="170" spans="1:24">
      <c r="A170" s="49">
        <v>168</v>
      </c>
      <c r="B170" s="63"/>
      <c r="C170" s="63" t="s">
        <v>132</v>
      </c>
      <c r="D170" s="63" t="s">
        <v>240</v>
      </c>
      <c r="E170" s="63" t="s">
        <v>108</v>
      </c>
      <c r="F170" s="63"/>
      <c r="G170" s="61">
        <v>7.44</v>
      </c>
      <c r="H170" s="53"/>
      <c r="I170" s="54"/>
      <c r="J170" s="55">
        <f>VLOOKUP(C170,Recipes!$A$2:$N$4,10,FALSE())</f>
        <v>9.6113333333333255</v>
      </c>
      <c r="K170" s="56">
        <f>VLOOKUP(C170,Recipes!$A$2:$N$4,12,FALSE())</f>
        <v>6.1509461004819709E-2</v>
      </c>
      <c r="L170" s="55">
        <f t="shared" si="12"/>
        <v>9.426804950318866</v>
      </c>
      <c r="M170" s="55">
        <f t="shared" si="13"/>
        <v>9.795861716347785</v>
      </c>
      <c r="N170" s="49" t="str">
        <f t="shared" si="14"/>
        <v>NG</v>
      </c>
      <c r="O170" s="57">
        <f t="shared" si="15"/>
        <v>1</v>
      </c>
      <c r="P170" s="55">
        <f t="shared" si="16"/>
        <v>2.1713333333333251</v>
      </c>
      <c r="Q170" s="55">
        <f>IF(G170="","",ABS(P170-Components!$C$2))</f>
        <v>0.58200000000000474</v>
      </c>
      <c r="R170" s="55">
        <f>IF(G170="","",ABS(P170-Components!$C$3))</f>
        <v>1.8646666666666745</v>
      </c>
      <c r="S170" s="55">
        <f>IF(G170="","",ABS(P170-Components!$C$4))</f>
        <v>1.1779999999999922</v>
      </c>
      <c r="T170" s="55">
        <f>IF(G170="","",ABS(P170-Components!$C$5))</f>
        <v>2.3913333333333453</v>
      </c>
      <c r="U170" s="55">
        <f>IF(G170="","",ABS(P170-Components!$C$6))</f>
        <v>1.0156666666666552</v>
      </c>
      <c r="V170" s="55">
        <f>IF(G170="","",ABS(P170-Components!$C$7))</f>
        <v>0.79699999999999505</v>
      </c>
      <c r="W170" s="49" t="str">
        <f>IF(G170="","",IF(N170="OK","NONE",INDEX({"S1","S2","W1","W2","N1","N2"},MATCH(MIN(Q170:V170),Q170:V170,0))))</f>
        <v>S1</v>
      </c>
      <c r="X170" s="57">
        <f t="shared" si="17"/>
        <v>0</v>
      </c>
    </row>
    <row r="171" spans="1:24">
      <c r="A171" s="49">
        <v>169</v>
      </c>
      <c r="B171" s="63"/>
      <c r="C171" s="63" t="s">
        <v>132</v>
      </c>
      <c r="D171" s="63" t="s">
        <v>240</v>
      </c>
      <c r="E171" s="63" t="s">
        <v>108</v>
      </c>
      <c r="F171" s="63"/>
      <c r="G171" s="61">
        <v>7.46</v>
      </c>
      <c r="H171" s="53"/>
      <c r="I171" s="54"/>
      <c r="J171" s="55">
        <f>VLOOKUP(C171,Recipes!$A$2:$N$4,10,FALSE())</f>
        <v>9.6113333333333255</v>
      </c>
      <c r="K171" s="56">
        <f>VLOOKUP(C171,Recipes!$A$2:$N$4,12,FALSE())</f>
        <v>6.1509461004819709E-2</v>
      </c>
      <c r="L171" s="55">
        <f t="shared" si="12"/>
        <v>9.426804950318866</v>
      </c>
      <c r="M171" s="55">
        <f t="shared" si="13"/>
        <v>9.795861716347785</v>
      </c>
      <c r="N171" s="49" t="str">
        <f t="shared" si="14"/>
        <v>NG</v>
      </c>
      <c r="O171" s="57">
        <f t="shared" si="15"/>
        <v>1</v>
      </c>
      <c r="P171" s="55">
        <f t="shared" si="16"/>
        <v>2.1513333333333255</v>
      </c>
      <c r="Q171" s="55">
        <f>IF(G171="","",ABS(P171-Components!$C$2))</f>
        <v>0.60200000000000431</v>
      </c>
      <c r="R171" s="55">
        <f>IF(G171="","",ABS(P171-Components!$C$3))</f>
        <v>1.884666666666674</v>
      </c>
      <c r="S171" s="55">
        <f>IF(G171="","",ABS(P171-Components!$C$4))</f>
        <v>1.1579999999999926</v>
      </c>
      <c r="T171" s="55">
        <f>IF(G171="","",ABS(P171-Components!$C$5))</f>
        <v>2.4113333333333449</v>
      </c>
      <c r="U171" s="55">
        <f>IF(G171="","",ABS(P171-Components!$C$6))</f>
        <v>0.9956666666666556</v>
      </c>
      <c r="V171" s="55">
        <f>IF(G171="","",ABS(P171-Components!$C$7))</f>
        <v>0.77699999999999547</v>
      </c>
      <c r="W171" s="49" t="str">
        <f>IF(G171="","",IF(N171="OK","NONE",INDEX({"S1","S2","W1","W2","N1","N2"},MATCH(MIN(Q171:V171),Q171:V171,0))))</f>
        <v>S1</v>
      </c>
      <c r="X171" s="57">
        <f t="shared" si="17"/>
        <v>0</v>
      </c>
    </row>
    <row r="172" spans="1:24">
      <c r="A172" s="49">
        <v>170</v>
      </c>
      <c r="B172" s="73"/>
      <c r="C172" s="63" t="s">
        <v>132</v>
      </c>
      <c r="D172" s="63" t="s">
        <v>240</v>
      </c>
      <c r="E172" s="63" t="s">
        <v>108</v>
      </c>
      <c r="F172" s="73"/>
      <c r="G172" s="61">
        <v>7.47</v>
      </c>
      <c r="H172" s="64"/>
      <c r="I172" s="65"/>
      <c r="J172" s="55">
        <f>VLOOKUP(C172,Recipes!$A$2:$N$4,10,FALSE())</f>
        <v>9.6113333333333255</v>
      </c>
      <c r="K172" s="56">
        <f>VLOOKUP(C172,Recipes!$A$2:$N$4,12,FALSE())</f>
        <v>6.1509461004819709E-2</v>
      </c>
      <c r="L172" s="55">
        <f t="shared" si="12"/>
        <v>9.426804950318866</v>
      </c>
      <c r="M172" s="55">
        <f t="shared" si="13"/>
        <v>9.795861716347785</v>
      </c>
      <c r="N172" s="49" t="str">
        <f t="shared" si="14"/>
        <v>NG</v>
      </c>
      <c r="O172" s="57">
        <f t="shared" si="15"/>
        <v>1</v>
      </c>
      <c r="P172" s="55">
        <f t="shared" si="16"/>
        <v>2.1413333333333258</v>
      </c>
      <c r="Q172" s="55">
        <f>IF(G172="","",ABS(P172-Components!$C$2))</f>
        <v>0.6120000000000041</v>
      </c>
      <c r="R172" s="55">
        <f>IF(G172="","",ABS(P172-Components!$C$3))</f>
        <v>1.8946666666666738</v>
      </c>
      <c r="S172" s="55">
        <f>IF(G172="","",ABS(P172-Components!$C$4))</f>
        <v>1.1479999999999928</v>
      </c>
      <c r="T172" s="55">
        <f>IF(G172="","",ABS(P172-Components!$C$5))</f>
        <v>2.4213333333333447</v>
      </c>
      <c r="U172" s="55">
        <f>IF(G172="","",ABS(P172-Components!$C$6))</f>
        <v>0.98566666666665581</v>
      </c>
      <c r="V172" s="55">
        <f>IF(G172="","",ABS(P172-Components!$C$7))</f>
        <v>0.76699999999999569</v>
      </c>
      <c r="W172" s="49" t="str">
        <f>IF(G172="","",IF(N172="OK","NONE",INDEX({"S1","S2","W1","W2","N1","N2"},MATCH(MIN(Q172:V172),Q172:V172,0))))</f>
        <v>S1</v>
      </c>
      <c r="X172" s="57">
        <f t="shared" si="17"/>
        <v>0</v>
      </c>
    </row>
    <row r="173" spans="1:24">
      <c r="A173" s="49">
        <v>171</v>
      </c>
      <c r="B173" s="74"/>
      <c r="C173" s="75"/>
      <c r="D173" s="75"/>
      <c r="E173" s="75"/>
      <c r="F173" s="75"/>
      <c r="G173" s="76"/>
      <c r="H173" s="77"/>
      <c r="I173" s="78"/>
      <c r="J173" s="70" t="e">
        <f>VLOOKUP(C173,Recipes!$A$2:$N$4,10,FALSE())</f>
        <v>#N/A</v>
      </c>
      <c r="K173" s="70" t="e">
        <f>VLOOKUP(C173,Recipes!$A$2:$N$4,12,FALSE())</f>
        <v>#N/A</v>
      </c>
      <c r="L173" s="71" t="e">
        <f t="shared" si="12"/>
        <v>#N/A</v>
      </c>
      <c r="M173" s="71" t="e">
        <f t="shared" si="13"/>
        <v>#N/A</v>
      </c>
      <c r="N173" s="7" t="str">
        <f t="shared" si="14"/>
        <v/>
      </c>
      <c r="O173" s="79" t="str">
        <f t="shared" si="15"/>
        <v/>
      </c>
      <c r="P173" s="71" t="str">
        <f t="shared" si="16"/>
        <v/>
      </c>
      <c r="Q173" s="72" t="str">
        <f>IF(G173="","",ABS(P173-Components!$C$2))</f>
        <v/>
      </c>
      <c r="R173" s="72" t="str">
        <f>IF(G173="","",ABS(P173-Components!$C$3))</f>
        <v/>
      </c>
      <c r="S173" s="72" t="str">
        <f>IF(G173="","",ABS(P173-Components!$C$4))</f>
        <v/>
      </c>
      <c r="T173" s="72" t="str">
        <f>IF(G173="","",ABS(P173-Components!$C$5))</f>
        <v/>
      </c>
      <c r="U173" s="72" t="str">
        <f>IF(G173="","",ABS(P173-Components!$C$6))</f>
        <v/>
      </c>
      <c r="V173" s="72" t="str">
        <f>IF(G173="","",ABS(P173-Components!$C$7))</f>
        <v/>
      </c>
      <c r="W173" s="7" t="str">
        <f>IF(G173="","",IF(N173="OK","NONE",INDEX({"S1","S2","W1","W2","N1","N2"},MATCH(MIN(Q173:V173),Q173:V173,0))))</f>
        <v/>
      </c>
      <c r="X173" s="80" t="str">
        <f t="shared" si="17"/>
        <v/>
      </c>
    </row>
    <row r="174" spans="1:24">
      <c r="A174" s="49">
        <v>172</v>
      </c>
      <c r="B174" s="74"/>
      <c r="C174" s="75"/>
      <c r="D174" s="75"/>
      <c r="E174" s="75"/>
      <c r="F174" s="75"/>
      <c r="G174" s="76"/>
      <c r="H174" s="77"/>
      <c r="I174" s="78"/>
      <c r="J174" s="70" t="e">
        <f>VLOOKUP(C174,Recipes!$A$2:$N$4,10,FALSE())</f>
        <v>#N/A</v>
      </c>
      <c r="K174" s="70" t="e">
        <f>VLOOKUP(C174,Recipes!$A$2:$N$4,12,FALSE())</f>
        <v>#N/A</v>
      </c>
      <c r="L174" s="71" t="e">
        <f t="shared" si="12"/>
        <v>#N/A</v>
      </c>
      <c r="M174" s="71" t="e">
        <f t="shared" si="13"/>
        <v>#N/A</v>
      </c>
      <c r="N174" s="7" t="str">
        <f t="shared" si="14"/>
        <v/>
      </c>
      <c r="O174" s="79" t="str">
        <f t="shared" si="15"/>
        <v/>
      </c>
      <c r="P174" s="71" t="str">
        <f t="shared" si="16"/>
        <v/>
      </c>
      <c r="Q174" s="72" t="str">
        <f>IF(G174="","",ABS(P174-Components!$C$2))</f>
        <v/>
      </c>
      <c r="R174" s="72" t="str">
        <f>IF(G174="","",ABS(P174-Components!$C$3))</f>
        <v/>
      </c>
      <c r="S174" s="72" t="str">
        <f>IF(G174="","",ABS(P174-Components!$C$4))</f>
        <v/>
      </c>
      <c r="T174" s="72" t="str">
        <f>IF(G174="","",ABS(P174-Components!$C$5))</f>
        <v/>
      </c>
      <c r="U174" s="72" t="str">
        <f>IF(G174="","",ABS(P174-Components!$C$6))</f>
        <v/>
      </c>
      <c r="V174" s="72" t="str">
        <f>IF(G174="","",ABS(P174-Components!$C$7))</f>
        <v/>
      </c>
      <c r="W174" s="7" t="str">
        <f>IF(G174="","",IF(N174="OK","NONE",INDEX({"S1","S2","W1","W2","N1","N2"},MATCH(MIN(Q174:V174),Q174:V174,0))))</f>
        <v/>
      </c>
      <c r="X174" s="80" t="str">
        <f t="shared" si="17"/>
        <v/>
      </c>
    </row>
    <row r="175" spans="1:24">
      <c r="A175" s="49">
        <v>173</v>
      </c>
      <c r="B175" s="74"/>
      <c r="C175" s="75"/>
      <c r="D175" s="75"/>
      <c r="E175" s="75"/>
      <c r="F175" s="75"/>
      <c r="G175" s="76"/>
      <c r="H175" s="77"/>
      <c r="I175" s="78"/>
      <c r="J175" s="70" t="e">
        <f>VLOOKUP(C175,Recipes!$A$2:$N$4,10,FALSE())</f>
        <v>#N/A</v>
      </c>
      <c r="K175" s="70" t="e">
        <f>VLOOKUP(C175,Recipes!$A$2:$N$4,12,FALSE())</f>
        <v>#N/A</v>
      </c>
      <c r="L175" s="71" t="e">
        <f t="shared" si="12"/>
        <v>#N/A</v>
      </c>
      <c r="M175" s="71" t="e">
        <f t="shared" si="13"/>
        <v>#N/A</v>
      </c>
      <c r="N175" s="7" t="str">
        <f t="shared" si="14"/>
        <v/>
      </c>
      <c r="O175" s="79" t="str">
        <f t="shared" si="15"/>
        <v/>
      </c>
      <c r="P175" s="71" t="str">
        <f t="shared" si="16"/>
        <v/>
      </c>
      <c r="Q175" s="72" t="str">
        <f>IF(G175="","",ABS(P175-Components!$C$2))</f>
        <v/>
      </c>
      <c r="R175" s="72" t="str">
        <f>IF(G175="","",ABS(P175-Components!$C$3))</f>
        <v/>
      </c>
      <c r="S175" s="72" t="str">
        <f>IF(G175="","",ABS(P175-Components!$C$4))</f>
        <v/>
      </c>
      <c r="T175" s="72" t="str">
        <f>IF(G175="","",ABS(P175-Components!$C$5))</f>
        <v/>
      </c>
      <c r="U175" s="72" t="str">
        <f>IF(G175="","",ABS(P175-Components!$C$6))</f>
        <v/>
      </c>
      <c r="V175" s="72" t="str">
        <f>IF(G175="","",ABS(P175-Components!$C$7))</f>
        <v/>
      </c>
      <c r="W175" s="7" t="str">
        <f>IF(G175="","",IF(N175="OK","NONE",INDEX({"S1","S2","W1","W2","N1","N2"},MATCH(MIN(Q175:V175),Q175:V175,0))))</f>
        <v/>
      </c>
      <c r="X175" s="80" t="str">
        <f t="shared" si="17"/>
        <v/>
      </c>
    </row>
    <row r="176" spans="1:24">
      <c r="A176" s="49">
        <v>174</v>
      </c>
      <c r="B176" s="74"/>
      <c r="C176" s="75"/>
      <c r="D176" s="75"/>
      <c r="E176" s="75"/>
      <c r="F176" s="75"/>
      <c r="G176" s="76"/>
      <c r="H176" s="77"/>
      <c r="I176" s="78"/>
      <c r="J176" s="70" t="e">
        <f>VLOOKUP(C176,Recipes!$A$2:$N$4,10,FALSE())</f>
        <v>#N/A</v>
      </c>
      <c r="K176" s="70" t="e">
        <f>VLOOKUP(C176,Recipes!$A$2:$N$4,12,FALSE())</f>
        <v>#N/A</v>
      </c>
      <c r="L176" s="71" t="e">
        <f t="shared" si="12"/>
        <v>#N/A</v>
      </c>
      <c r="M176" s="71" t="e">
        <f t="shared" si="13"/>
        <v>#N/A</v>
      </c>
      <c r="N176" s="7" t="str">
        <f t="shared" si="14"/>
        <v/>
      </c>
      <c r="O176" s="79" t="str">
        <f t="shared" si="15"/>
        <v/>
      </c>
      <c r="P176" s="71" t="str">
        <f t="shared" si="16"/>
        <v/>
      </c>
      <c r="Q176" s="72" t="str">
        <f>IF(G176="","",ABS(P176-Components!$C$2))</f>
        <v/>
      </c>
      <c r="R176" s="72" t="str">
        <f>IF(G176="","",ABS(P176-Components!$C$3))</f>
        <v/>
      </c>
      <c r="S176" s="72" t="str">
        <f>IF(G176="","",ABS(P176-Components!$C$4))</f>
        <v/>
      </c>
      <c r="T176" s="72" t="str">
        <f>IF(G176="","",ABS(P176-Components!$C$5))</f>
        <v/>
      </c>
      <c r="U176" s="72" t="str">
        <f>IF(G176="","",ABS(P176-Components!$C$6))</f>
        <v/>
      </c>
      <c r="V176" s="72" t="str">
        <f>IF(G176="","",ABS(P176-Components!$C$7))</f>
        <v/>
      </c>
      <c r="W176" s="7" t="str">
        <f>IF(G176="","",IF(N176="OK","NONE",INDEX({"S1","S2","W1","W2","N1","N2"},MATCH(MIN(Q176:V176),Q176:V176,0))))</f>
        <v/>
      </c>
      <c r="X176" s="80" t="str">
        <f t="shared" si="17"/>
        <v/>
      </c>
    </row>
    <row r="177" spans="1:24">
      <c r="A177" s="49">
        <v>175</v>
      </c>
      <c r="B177" s="74"/>
      <c r="C177" s="75"/>
      <c r="D177" s="75"/>
      <c r="E177" s="75"/>
      <c r="F177" s="75"/>
      <c r="G177" s="76"/>
      <c r="H177" s="77"/>
      <c r="I177" s="78"/>
      <c r="J177" s="70" t="e">
        <f>VLOOKUP(C177,Recipes!$A$2:$N$4,10,FALSE())</f>
        <v>#N/A</v>
      </c>
      <c r="K177" s="70" t="e">
        <f>VLOOKUP(C177,Recipes!$A$2:$N$4,12,FALSE())</f>
        <v>#N/A</v>
      </c>
      <c r="L177" s="71" t="e">
        <f t="shared" si="12"/>
        <v>#N/A</v>
      </c>
      <c r="M177" s="71" t="e">
        <f t="shared" si="13"/>
        <v>#N/A</v>
      </c>
      <c r="N177" s="7" t="str">
        <f t="shared" si="14"/>
        <v/>
      </c>
      <c r="O177" s="79" t="str">
        <f t="shared" si="15"/>
        <v/>
      </c>
      <c r="P177" s="71" t="str">
        <f t="shared" si="16"/>
        <v/>
      </c>
      <c r="Q177" s="72" t="str">
        <f>IF(G177="","",ABS(P177-Components!$C$2))</f>
        <v/>
      </c>
      <c r="R177" s="72" t="str">
        <f>IF(G177="","",ABS(P177-Components!$C$3))</f>
        <v/>
      </c>
      <c r="S177" s="72" t="str">
        <f>IF(G177="","",ABS(P177-Components!$C$4))</f>
        <v/>
      </c>
      <c r="T177" s="72" t="str">
        <f>IF(G177="","",ABS(P177-Components!$C$5))</f>
        <v/>
      </c>
      <c r="U177" s="72" t="str">
        <f>IF(G177="","",ABS(P177-Components!$C$6))</f>
        <v/>
      </c>
      <c r="V177" s="72" t="str">
        <f>IF(G177="","",ABS(P177-Components!$C$7))</f>
        <v/>
      </c>
      <c r="W177" s="7" t="str">
        <f>IF(G177="","",IF(N177="OK","NONE",INDEX({"S1","S2","W1","W2","N1","N2"},MATCH(MIN(Q177:V177),Q177:V177,0))))</f>
        <v/>
      </c>
      <c r="X177" s="80" t="str">
        <f t="shared" si="17"/>
        <v/>
      </c>
    </row>
    <row r="178" spans="1:24">
      <c r="A178" s="49">
        <v>176</v>
      </c>
      <c r="B178" s="74"/>
      <c r="C178" s="75"/>
      <c r="D178" s="75"/>
      <c r="E178" s="75"/>
      <c r="F178" s="75"/>
      <c r="G178" s="76"/>
      <c r="H178" s="77"/>
      <c r="I178" s="78"/>
      <c r="J178" s="70" t="e">
        <f>VLOOKUP(C178,Recipes!$A$2:$N$4,10,FALSE())</f>
        <v>#N/A</v>
      </c>
      <c r="K178" s="70" t="e">
        <f>VLOOKUP(C178,Recipes!$A$2:$N$4,12,FALSE())</f>
        <v>#N/A</v>
      </c>
      <c r="L178" s="71" t="e">
        <f t="shared" si="12"/>
        <v>#N/A</v>
      </c>
      <c r="M178" s="71" t="e">
        <f t="shared" si="13"/>
        <v>#N/A</v>
      </c>
      <c r="N178" s="7" t="str">
        <f t="shared" si="14"/>
        <v/>
      </c>
      <c r="O178" s="79" t="str">
        <f t="shared" si="15"/>
        <v/>
      </c>
      <c r="P178" s="71" t="str">
        <f t="shared" si="16"/>
        <v/>
      </c>
      <c r="Q178" s="72" t="str">
        <f>IF(G178="","",ABS(P178-Components!$C$2))</f>
        <v/>
      </c>
      <c r="R178" s="72" t="str">
        <f>IF(G178="","",ABS(P178-Components!$C$3))</f>
        <v/>
      </c>
      <c r="S178" s="72" t="str">
        <f>IF(G178="","",ABS(P178-Components!$C$4))</f>
        <v/>
      </c>
      <c r="T178" s="72" t="str">
        <f>IF(G178="","",ABS(P178-Components!$C$5))</f>
        <v/>
      </c>
      <c r="U178" s="72" t="str">
        <f>IF(G178="","",ABS(P178-Components!$C$6))</f>
        <v/>
      </c>
      <c r="V178" s="72" t="str">
        <f>IF(G178="","",ABS(P178-Components!$C$7))</f>
        <v/>
      </c>
      <c r="W178" s="7" t="str">
        <f>IF(G178="","",IF(N178="OK","NONE",INDEX({"S1","S2","W1","W2","N1","N2"},MATCH(MIN(Q178:V178),Q178:V178,0))))</f>
        <v/>
      </c>
      <c r="X178" s="80" t="str">
        <f t="shared" si="17"/>
        <v/>
      </c>
    </row>
    <row r="179" spans="1:24">
      <c r="A179" s="49">
        <v>177</v>
      </c>
      <c r="B179" s="74"/>
      <c r="C179" s="75"/>
      <c r="D179" s="75"/>
      <c r="E179" s="75"/>
      <c r="F179" s="75"/>
      <c r="G179" s="76"/>
      <c r="H179" s="77"/>
      <c r="I179" s="78"/>
      <c r="J179" s="70" t="e">
        <f>VLOOKUP(C179,Recipes!$A$2:$N$4,10,FALSE())</f>
        <v>#N/A</v>
      </c>
      <c r="K179" s="70" t="e">
        <f>VLOOKUP(C179,Recipes!$A$2:$N$4,12,FALSE())</f>
        <v>#N/A</v>
      </c>
      <c r="L179" s="71" t="e">
        <f t="shared" si="12"/>
        <v>#N/A</v>
      </c>
      <c r="M179" s="71" t="e">
        <f t="shared" si="13"/>
        <v>#N/A</v>
      </c>
      <c r="N179" s="7" t="str">
        <f t="shared" si="14"/>
        <v/>
      </c>
      <c r="O179" s="79" t="str">
        <f t="shared" si="15"/>
        <v/>
      </c>
      <c r="P179" s="71" t="str">
        <f t="shared" si="16"/>
        <v/>
      </c>
      <c r="Q179" s="72" t="str">
        <f>IF(G179="","",ABS(P179-Components!$C$2))</f>
        <v/>
      </c>
      <c r="R179" s="72" t="str">
        <f>IF(G179="","",ABS(P179-Components!$C$3))</f>
        <v/>
      </c>
      <c r="S179" s="72" t="str">
        <f>IF(G179="","",ABS(P179-Components!$C$4))</f>
        <v/>
      </c>
      <c r="T179" s="72" t="str">
        <f>IF(G179="","",ABS(P179-Components!$C$5))</f>
        <v/>
      </c>
      <c r="U179" s="72" t="str">
        <f>IF(G179="","",ABS(P179-Components!$C$6))</f>
        <v/>
      </c>
      <c r="V179" s="72" t="str">
        <f>IF(G179="","",ABS(P179-Components!$C$7))</f>
        <v/>
      </c>
      <c r="W179" s="7" t="str">
        <f>IF(G179="","",IF(N179="OK","NONE",INDEX({"S1","S2","W1","W2","N1","N2"},MATCH(MIN(Q179:V179),Q179:V179,0))))</f>
        <v/>
      </c>
      <c r="X179" s="80" t="str">
        <f t="shared" si="17"/>
        <v/>
      </c>
    </row>
    <row r="180" spans="1:24">
      <c r="A180" s="49">
        <v>178</v>
      </c>
      <c r="B180" s="74"/>
      <c r="C180" s="75"/>
      <c r="D180" s="75"/>
      <c r="E180" s="75"/>
      <c r="F180" s="75"/>
      <c r="G180" s="76"/>
      <c r="H180" s="77"/>
      <c r="I180" s="78"/>
      <c r="J180" s="70" t="e">
        <f>VLOOKUP(C180,Recipes!$A$2:$N$4,10,FALSE())</f>
        <v>#N/A</v>
      </c>
      <c r="K180" s="70" t="e">
        <f>VLOOKUP(C180,Recipes!$A$2:$N$4,12,FALSE())</f>
        <v>#N/A</v>
      </c>
      <c r="L180" s="71" t="e">
        <f t="shared" si="12"/>
        <v>#N/A</v>
      </c>
      <c r="M180" s="71" t="e">
        <f t="shared" si="13"/>
        <v>#N/A</v>
      </c>
      <c r="N180" s="7" t="str">
        <f t="shared" si="14"/>
        <v/>
      </c>
      <c r="O180" s="79" t="str">
        <f t="shared" si="15"/>
        <v/>
      </c>
      <c r="P180" s="71" t="str">
        <f t="shared" si="16"/>
        <v/>
      </c>
      <c r="Q180" s="72" t="str">
        <f>IF(G180="","",ABS(P180-Components!$C$2))</f>
        <v/>
      </c>
      <c r="R180" s="72" t="str">
        <f>IF(G180="","",ABS(P180-Components!$C$3))</f>
        <v/>
      </c>
      <c r="S180" s="72" t="str">
        <f>IF(G180="","",ABS(P180-Components!$C$4))</f>
        <v/>
      </c>
      <c r="T180" s="72" t="str">
        <f>IF(G180="","",ABS(P180-Components!$C$5))</f>
        <v/>
      </c>
      <c r="U180" s="72" t="str">
        <f>IF(G180="","",ABS(P180-Components!$C$6))</f>
        <v/>
      </c>
      <c r="V180" s="72" t="str">
        <f>IF(G180="","",ABS(P180-Components!$C$7))</f>
        <v/>
      </c>
      <c r="W180" s="7" t="str">
        <f>IF(G180="","",IF(N180="OK","NONE",INDEX({"S1","S2","W1","W2","N1","N2"},MATCH(MIN(Q180:V180),Q180:V180,0))))</f>
        <v/>
      </c>
      <c r="X180" s="80" t="str">
        <f t="shared" si="17"/>
        <v/>
      </c>
    </row>
    <row r="181" spans="1:24">
      <c r="A181" s="49">
        <v>179</v>
      </c>
      <c r="B181" s="74"/>
      <c r="C181" s="75"/>
      <c r="D181" s="75"/>
      <c r="E181" s="75"/>
      <c r="F181" s="75"/>
      <c r="G181" s="76"/>
      <c r="H181" s="77"/>
      <c r="I181" s="78"/>
      <c r="J181" s="70" t="e">
        <f>VLOOKUP(C181,Recipes!$A$2:$N$4,10,FALSE())</f>
        <v>#N/A</v>
      </c>
      <c r="K181" s="70" t="e">
        <f>VLOOKUP(C181,Recipes!$A$2:$N$4,12,FALSE())</f>
        <v>#N/A</v>
      </c>
      <c r="L181" s="71" t="e">
        <f t="shared" si="12"/>
        <v>#N/A</v>
      </c>
      <c r="M181" s="71" t="e">
        <f t="shared" si="13"/>
        <v>#N/A</v>
      </c>
      <c r="N181" s="7" t="str">
        <f t="shared" si="14"/>
        <v/>
      </c>
      <c r="O181" s="79" t="str">
        <f t="shared" si="15"/>
        <v/>
      </c>
      <c r="P181" s="71" t="str">
        <f t="shared" si="16"/>
        <v/>
      </c>
      <c r="Q181" s="72" t="str">
        <f>IF(G181="","",ABS(P181-Components!$C$2))</f>
        <v/>
      </c>
      <c r="R181" s="72" t="str">
        <f>IF(G181="","",ABS(P181-Components!$C$3))</f>
        <v/>
      </c>
      <c r="S181" s="72" t="str">
        <f>IF(G181="","",ABS(P181-Components!$C$4))</f>
        <v/>
      </c>
      <c r="T181" s="72" t="str">
        <f>IF(G181="","",ABS(P181-Components!$C$5))</f>
        <v/>
      </c>
      <c r="U181" s="72" t="str">
        <f>IF(G181="","",ABS(P181-Components!$C$6))</f>
        <v/>
      </c>
      <c r="V181" s="72" t="str">
        <f>IF(G181="","",ABS(P181-Components!$C$7))</f>
        <v/>
      </c>
      <c r="W181" s="7" t="str">
        <f>IF(G181="","",IF(N181="OK","NONE",INDEX({"S1","S2","W1","W2","N1","N2"},MATCH(MIN(Q181:V181),Q181:V181,0))))</f>
        <v/>
      </c>
      <c r="X181" s="80" t="str">
        <f t="shared" si="17"/>
        <v/>
      </c>
    </row>
    <row r="182" spans="1:24">
      <c r="A182" s="49">
        <v>180</v>
      </c>
      <c r="B182" s="74"/>
      <c r="C182" s="75"/>
      <c r="D182" s="75"/>
      <c r="E182" s="75"/>
      <c r="F182" s="75"/>
      <c r="G182" s="76"/>
      <c r="H182" s="77"/>
      <c r="I182" s="78"/>
      <c r="J182" s="70" t="e">
        <f>VLOOKUP(C182,Recipes!$A$2:$N$4,10,FALSE())</f>
        <v>#N/A</v>
      </c>
      <c r="K182" s="70" t="e">
        <f>VLOOKUP(C182,Recipes!$A$2:$N$4,12,FALSE())</f>
        <v>#N/A</v>
      </c>
      <c r="L182" s="71" t="e">
        <f t="shared" si="12"/>
        <v>#N/A</v>
      </c>
      <c r="M182" s="71" t="e">
        <f t="shared" si="13"/>
        <v>#N/A</v>
      </c>
      <c r="N182" s="7" t="str">
        <f t="shared" si="14"/>
        <v/>
      </c>
      <c r="O182" s="79" t="str">
        <f t="shared" si="15"/>
        <v/>
      </c>
      <c r="P182" s="71" t="str">
        <f t="shared" si="16"/>
        <v/>
      </c>
      <c r="Q182" s="72" t="str">
        <f>IF(G182="","",ABS(P182-Components!$C$2))</f>
        <v/>
      </c>
      <c r="R182" s="72" t="str">
        <f>IF(G182="","",ABS(P182-Components!$C$3))</f>
        <v/>
      </c>
      <c r="S182" s="72" t="str">
        <f>IF(G182="","",ABS(P182-Components!$C$4))</f>
        <v/>
      </c>
      <c r="T182" s="72" t="str">
        <f>IF(G182="","",ABS(P182-Components!$C$5))</f>
        <v/>
      </c>
      <c r="U182" s="72" t="str">
        <f>IF(G182="","",ABS(P182-Components!$C$6))</f>
        <v/>
      </c>
      <c r="V182" s="72" t="str">
        <f>IF(G182="","",ABS(P182-Components!$C$7))</f>
        <v/>
      </c>
      <c r="W182" s="7" t="str">
        <f>IF(G182="","",IF(N182="OK","NONE",INDEX({"S1","S2","W1","W2","N1","N2"},MATCH(MIN(Q182:V182),Q182:V182,0))))</f>
        <v/>
      </c>
      <c r="X182" s="80" t="str">
        <f t="shared" si="17"/>
        <v/>
      </c>
    </row>
    <row r="183" spans="1:24">
      <c r="A183" s="49">
        <v>181</v>
      </c>
      <c r="B183" s="74"/>
      <c r="C183" s="75"/>
      <c r="D183" s="75"/>
      <c r="E183" s="75"/>
      <c r="F183" s="75"/>
      <c r="G183" s="76"/>
      <c r="H183" s="77"/>
      <c r="I183" s="78"/>
      <c r="J183" s="70" t="e">
        <f>VLOOKUP(C183,Recipes!$A$2:$N$4,10,FALSE())</f>
        <v>#N/A</v>
      </c>
      <c r="K183" s="70" t="e">
        <f>VLOOKUP(C183,Recipes!$A$2:$N$4,12,FALSE())</f>
        <v>#N/A</v>
      </c>
      <c r="L183" s="71" t="e">
        <f t="shared" si="12"/>
        <v>#N/A</v>
      </c>
      <c r="M183" s="71" t="e">
        <f t="shared" si="13"/>
        <v>#N/A</v>
      </c>
      <c r="N183" s="7" t="str">
        <f t="shared" si="14"/>
        <v/>
      </c>
      <c r="O183" s="79" t="str">
        <f t="shared" si="15"/>
        <v/>
      </c>
      <c r="P183" s="71" t="str">
        <f t="shared" si="16"/>
        <v/>
      </c>
      <c r="Q183" s="72" t="str">
        <f>IF(G183="","",ABS(P183-Components!$C$2))</f>
        <v/>
      </c>
      <c r="R183" s="72" t="str">
        <f>IF(G183="","",ABS(P183-Components!$C$3))</f>
        <v/>
      </c>
      <c r="S183" s="72" t="str">
        <f>IF(G183="","",ABS(P183-Components!$C$4))</f>
        <v/>
      </c>
      <c r="T183" s="72" t="str">
        <f>IF(G183="","",ABS(P183-Components!$C$5))</f>
        <v/>
      </c>
      <c r="U183" s="72" t="str">
        <f>IF(G183="","",ABS(P183-Components!$C$6))</f>
        <v/>
      </c>
      <c r="V183" s="72" t="str">
        <f>IF(G183="","",ABS(P183-Components!$C$7))</f>
        <v/>
      </c>
      <c r="W183" s="7" t="str">
        <f>IF(G183="","",IF(N183="OK","NONE",INDEX({"S1","S2","W1","W2","N1","N2"},MATCH(MIN(Q183:V183),Q183:V183,0))))</f>
        <v/>
      </c>
      <c r="X183" s="80" t="str">
        <f t="shared" si="17"/>
        <v/>
      </c>
    </row>
    <row r="184" spans="1:24">
      <c r="A184" s="49">
        <v>182</v>
      </c>
      <c r="B184" s="74"/>
      <c r="C184" s="75"/>
      <c r="D184" s="75"/>
      <c r="E184" s="75"/>
      <c r="F184" s="75"/>
      <c r="G184" s="76"/>
      <c r="H184" s="77"/>
      <c r="I184" s="78"/>
      <c r="J184" s="70" t="e">
        <f>VLOOKUP(C184,Recipes!$A$2:$N$4,10,FALSE())</f>
        <v>#N/A</v>
      </c>
      <c r="K184" s="70" t="e">
        <f>VLOOKUP(C184,Recipes!$A$2:$N$4,12,FALSE())</f>
        <v>#N/A</v>
      </c>
      <c r="L184" s="71" t="e">
        <f t="shared" si="12"/>
        <v>#N/A</v>
      </c>
      <c r="M184" s="71" t="e">
        <f t="shared" si="13"/>
        <v>#N/A</v>
      </c>
      <c r="N184" s="7" t="str">
        <f t="shared" si="14"/>
        <v/>
      </c>
      <c r="O184" s="79" t="str">
        <f t="shared" si="15"/>
        <v/>
      </c>
      <c r="P184" s="71" t="str">
        <f t="shared" si="16"/>
        <v/>
      </c>
      <c r="Q184" s="72" t="str">
        <f>IF(G184="","",ABS(P184-Components!$C$2))</f>
        <v/>
      </c>
      <c r="R184" s="72" t="str">
        <f>IF(G184="","",ABS(P184-Components!$C$3))</f>
        <v/>
      </c>
      <c r="S184" s="72" t="str">
        <f>IF(G184="","",ABS(P184-Components!$C$4))</f>
        <v/>
      </c>
      <c r="T184" s="72" t="str">
        <f>IF(G184="","",ABS(P184-Components!$C$5))</f>
        <v/>
      </c>
      <c r="U184" s="72" t="str">
        <f>IF(G184="","",ABS(P184-Components!$C$6))</f>
        <v/>
      </c>
      <c r="V184" s="72" t="str">
        <f>IF(G184="","",ABS(P184-Components!$C$7))</f>
        <v/>
      </c>
      <c r="W184" s="7" t="str">
        <f>IF(G184="","",IF(N184="OK","NONE",INDEX({"S1","S2","W1","W2","N1","N2"},MATCH(MIN(Q184:V184),Q184:V184,0))))</f>
        <v/>
      </c>
      <c r="X184" s="80" t="str">
        <f t="shared" si="17"/>
        <v/>
      </c>
    </row>
    <row r="185" spans="1:24">
      <c r="A185" s="49">
        <v>183</v>
      </c>
      <c r="B185" s="74"/>
      <c r="C185" s="75"/>
      <c r="D185" s="75"/>
      <c r="E185" s="75"/>
      <c r="F185" s="75"/>
      <c r="G185" s="76"/>
      <c r="H185" s="77"/>
      <c r="I185" s="78"/>
      <c r="J185" s="70" t="e">
        <f>VLOOKUP(C185,Recipes!$A$2:$N$4,10,FALSE())</f>
        <v>#N/A</v>
      </c>
      <c r="K185" s="70" t="e">
        <f>VLOOKUP(C185,Recipes!$A$2:$N$4,12,FALSE())</f>
        <v>#N/A</v>
      </c>
      <c r="L185" s="71" t="e">
        <f t="shared" si="12"/>
        <v>#N/A</v>
      </c>
      <c r="M185" s="71" t="e">
        <f t="shared" si="13"/>
        <v>#N/A</v>
      </c>
      <c r="N185" s="7" t="str">
        <f t="shared" si="14"/>
        <v/>
      </c>
      <c r="O185" s="79" t="str">
        <f t="shared" si="15"/>
        <v/>
      </c>
      <c r="P185" s="71" t="str">
        <f t="shared" si="16"/>
        <v/>
      </c>
      <c r="Q185" s="72" t="str">
        <f>IF(G185="","",ABS(P185-Components!$C$2))</f>
        <v/>
      </c>
      <c r="R185" s="72" t="str">
        <f>IF(G185="","",ABS(P185-Components!$C$3))</f>
        <v/>
      </c>
      <c r="S185" s="72" t="str">
        <f>IF(G185="","",ABS(P185-Components!$C$4))</f>
        <v/>
      </c>
      <c r="T185" s="72" t="str">
        <f>IF(G185="","",ABS(P185-Components!$C$5))</f>
        <v/>
      </c>
      <c r="U185" s="72" t="str">
        <f>IF(G185="","",ABS(P185-Components!$C$6))</f>
        <v/>
      </c>
      <c r="V185" s="72" t="str">
        <f>IF(G185="","",ABS(P185-Components!$C$7))</f>
        <v/>
      </c>
      <c r="W185" s="7" t="str">
        <f>IF(G185="","",IF(N185="OK","NONE",INDEX({"S1","S2","W1","W2","N1","N2"},MATCH(MIN(Q185:V185),Q185:V185,0))))</f>
        <v/>
      </c>
      <c r="X185" s="80" t="str">
        <f t="shared" si="17"/>
        <v/>
      </c>
    </row>
    <row r="186" spans="1:24">
      <c r="A186" s="49">
        <v>184</v>
      </c>
      <c r="B186" s="74"/>
      <c r="C186" s="75"/>
      <c r="D186" s="75"/>
      <c r="E186" s="75"/>
      <c r="F186" s="75"/>
      <c r="G186" s="76"/>
      <c r="H186" s="77"/>
      <c r="I186" s="78"/>
      <c r="J186" s="70" t="e">
        <f>VLOOKUP(C186,Recipes!$A$2:$N$4,10,FALSE())</f>
        <v>#N/A</v>
      </c>
      <c r="K186" s="70" t="e">
        <f>VLOOKUP(C186,Recipes!$A$2:$N$4,12,FALSE())</f>
        <v>#N/A</v>
      </c>
      <c r="L186" s="71" t="e">
        <f t="shared" si="12"/>
        <v>#N/A</v>
      </c>
      <c r="M186" s="71" t="e">
        <f t="shared" si="13"/>
        <v>#N/A</v>
      </c>
      <c r="N186" s="7" t="str">
        <f t="shared" si="14"/>
        <v/>
      </c>
      <c r="O186" s="79" t="str">
        <f t="shared" si="15"/>
        <v/>
      </c>
      <c r="P186" s="71" t="str">
        <f t="shared" si="16"/>
        <v/>
      </c>
      <c r="Q186" s="72" t="str">
        <f>IF(G186="","",ABS(P186-Components!$C$2))</f>
        <v/>
      </c>
      <c r="R186" s="72" t="str">
        <f>IF(G186="","",ABS(P186-Components!$C$3))</f>
        <v/>
      </c>
      <c r="S186" s="72" t="str">
        <f>IF(G186="","",ABS(P186-Components!$C$4))</f>
        <v/>
      </c>
      <c r="T186" s="72" t="str">
        <f>IF(G186="","",ABS(P186-Components!$C$5))</f>
        <v/>
      </c>
      <c r="U186" s="72" t="str">
        <f>IF(G186="","",ABS(P186-Components!$C$6))</f>
        <v/>
      </c>
      <c r="V186" s="72" t="str">
        <f>IF(G186="","",ABS(P186-Components!$C$7))</f>
        <v/>
      </c>
      <c r="W186" s="7" t="str">
        <f>IF(G186="","",IF(N186="OK","NONE",INDEX({"S1","S2","W1","W2","N1","N2"},MATCH(MIN(Q186:V186),Q186:V186,0))))</f>
        <v/>
      </c>
      <c r="X186" s="80" t="str">
        <f t="shared" si="17"/>
        <v/>
      </c>
    </row>
    <row r="187" spans="1:24">
      <c r="A187" s="49">
        <v>185</v>
      </c>
      <c r="B187" s="74"/>
      <c r="C187" s="75"/>
      <c r="D187" s="75"/>
      <c r="E187" s="75"/>
      <c r="F187" s="75"/>
      <c r="G187" s="76"/>
      <c r="H187" s="77"/>
      <c r="I187" s="78"/>
      <c r="J187" s="70" t="e">
        <f>VLOOKUP(C187,Recipes!$A$2:$N$4,10,FALSE())</f>
        <v>#N/A</v>
      </c>
      <c r="K187" s="70" t="e">
        <f>VLOOKUP(C187,Recipes!$A$2:$N$4,12,FALSE())</f>
        <v>#N/A</v>
      </c>
      <c r="L187" s="71" t="e">
        <f t="shared" si="12"/>
        <v>#N/A</v>
      </c>
      <c r="M187" s="71" t="e">
        <f t="shared" si="13"/>
        <v>#N/A</v>
      </c>
      <c r="N187" s="7" t="str">
        <f t="shared" si="14"/>
        <v/>
      </c>
      <c r="O187" s="79" t="str">
        <f t="shared" si="15"/>
        <v/>
      </c>
      <c r="P187" s="71" t="str">
        <f t="shared" si="16"/>
        <v/>
      </c>
      <c r="Q187" s="72" t="str">
        <f>IF(G187="","",ABS(P187-Components!$C$2))</f>
        <v/>
      </c>
      <c r="R187" s="72" t="str">
        <f>IF(G187="","",ABS(P187-Components!$C$3))</f>
        <v/>
      </c>
      <c r="S187" s="72" t="str">
        <f>IF(G187="","",ABS(P187-Components!$C$4))</f>
        <v/>
      </c>
      <c r="T187" s="72" t="str">
        <f>IF(G187="","",ABS(P187-Components!$C$5))</f>
        <v/>
      </c>
      <c r="U187" s="72" t="str">
        <f>IF(G187="","",ABS(P187-Components!$C$6))</f>
        <v/>
      </c>
      <c r="V187" s="72" t="str">
        <f>IF(G187="","",ABS(P187-Components!$C$7))</f>
        <v/>
      </c>
      <c r="W187" s="7" t="str">
        <f>IF(G187="","",IF(N187="OK","NONE",INDEX({"S1","S2","W1","W2","N1","N2"},MATCH(MIN(Q187:V187),Q187:V187,0))))</f>
        <v/>
      </c>
      <c r="X187" s="80" t="str">
        <f t="shared" si="17"/>
        <v/>
      </c>
    </row>
    <row r="188" spans="1:24">
      <c r="A188" s="49">
        <v>186</v>
      </c>
      <c r="B188" s="74"/>
      <c r="C188" s="75"/>
      <c r="D188" s="75"/>
      <c r="E188" s="75"/>
      <c r="F188" s="75"/>
      <c r="G188" s="76"/>
      <c r="H188" s="77"/>
      <c r="I188" s="78"/>
      <c r="J188" s="70" t="e">
        <f>VLOOKUP(C188,Recipes!$A$2:$N$4,10,FALSE())</f>
        <v>#N/A</v>
      </c>
      <c r="K188" s="70" t="e">
        <f>VLOOKUP(C188,Recipes!$A$2:$N$4,12,FALSE())</f>
        <v>#N/A</v>
      </c>
      <c r="L188" s="71" t="e">
        <f t="shared" si="12"/>
        <v>#N/A</v>
      </c>
      <c r="M188" s="71" t="e">
        <f t="shared" si="13"/>
        <v>#N/A</v>
      </c>
      <c r="N188" s="7" t="str">
        <f t="shared" si="14"/>
        <v/>
      </c>
      <c r="O188" s="79" t="str">
        <f t="shared" si="15"/>
        <v/>
      </c>
      <c r="P188" s="71" t="str">
        <f t="shared" si="16"/>
        <v/>
      </c>
      <c r="Q188" s="72" t="str">
        <f>IF(G188="","",ABS(P188-Components!$C$2))</f>
        <v/>
      </c>
      <c r="R188" s="72" t="str">
        <f>IF(G188="","",ABS(P188-Components!$C$3))</f>
        <v/>
      </c>
      <c r="S188" s="72" t="str">
        <f>IF(G188="","",ABS(P188-Components!$C$4))</f>
        <v/>
      </c>
      <c r="T188" s="72" t="str">
        <f>IF(G188="","",ABS(P188-Components!$C$5))</f>
        <v/>
      </c>
      <c r="U188" s="72" t="str">
        <f>IF(G188="","",ABS(P188-Components!$C$6))</f>
        <v/>
      </c>
      <c r="V188" s="72" t="str">
        <f>IF(G188="","",ABS(P188-Components!$C$7))</f>
        <v/>
      </c>
      <c r="W188" s="7" t="str">
        <f>IF(G188="","",IF(N188="OK","NONE",INDEX({"S1","S2","W1","W2","N1","N2"},MATCH(MIN(Q188:V188),Q188:V188,0))))</f>
        <v/>
      </c>
      <c r="X188" s="80" t="str">
        <f t="shared" si="17"/>
        <v/>
      </c>
    </row>
    <row r="189" spans="1:24">
      <c r="A189" s="49">
        <v>187</v>
      </c>
      <c r="B189" s="74"/>
      <c r="C189" s="75"/>
      <c r="D189" s="75"/>
      <c r="E189" s="75"/>
      <c r="F189" s="75"/>
      <c r="G189" s="76"/>
      <c r="H189" s="77"/>
      <c r="I189" s="78"/>
      <c r="J189" s="70" t="e">
        <f>VLOOKUP(C189,Recipes!$A$2:$N$4,10,FALSE())</f>
        <v>#N/A</v>
      </c>
      <c r="K189" s="70" t="e">
        <f>VLOOKUP(C189,Recipes!$A$2:$N$4,12,FALSE())</f>
        <v>#N/A</v>
      </c>
      <c r="L189" s="71" t="e">
        <f t="shared" si="12"/>
        <v>#N/A</v>
      </c>
      <c r="M189" s="71" t="e">
        <f t="shared" si="13"/>
        <v>#N/A</v>
      </c>
      <c r="N189" s="7" t="str">
        <f t="shared" si="14"/>
        <v/>
      </c>
      <c r="O189" s="79" t="str">
        <f t="shared" si="15"/>
        <v/>
      </c>
      <c r="P189" s="71" t="str">
        <f t="shared" si="16"/>
        <v/>
      </c>
      <c r="Q189" s="72" t="str">
        <f>IF(G189="","",ABS(P189-Components!$C$2))</f>
        <v/>
      </c>
      <c r="R189" s="72" t="str">
        <f>IF(G189="","",ABS(P189-Components!$C$3))</f>
        <v/>
      </c>
      <c r="S189" s="72" t="str">
        <f>IF(G189="","",ABS(P189-Components!$C$4))</f>
        <v/>
      </c>
      <c r="T189" s="72" t="str">
        <f>IF(G189="","",ABS(P189-Components!$C$5))</f>
        <v/>
      </c>
      <c r="U189" s="72" t="str">
        <f>IF(G189="","",ABS(P189-Components!$C$6))</f>
        <v/>
      </c>
      <c r="V189" s="72" t="str">
        <f>IF(G189="","",ABS(P189-Components!$C$7))</f>
        <v/>
      </c>
      <c r="W189" s="7" t="str">
        <f>IF(G189="","",IF(N189="OK","NONE",INDEX({"S1","S2","W1","W2","N1","N2"},MATCH(MIN(Q189:V189),Q189:V189,0))))</f>
        <v/>
      </c>
      <c r="X189" s="80" t="str">
        <f t="shared" si="17"/>
        <v/>
      </c>
    </row>
    <row r="190" spans="1:24">
      <c r="A190" s="49">
        <v>188</v>
      </c>
      <c r="B190" s="74"/>
      <c r="C190" s="75"/>
      <c r="D190" s="75"/>
      <c r="E190" s="75"/>
      <c r="F190" s="75"/>
      <c r="G190" s="76"/>
      <c r="H190" s="77"/>
      <c r="I190" s="78"/>
      <c r="J190" s="70" t="e">
        <f>VLOOKUP(C190,Recipes!$A$2:$N$4,10,FALSE())</f>
        <v>#N/A</v>
      </c>
      <c r="K190" s="70" t="e">
        <f>VLOOKUP(C190,Recipes!$A$2:$N$4,12,FALSE())</f>
        <v>#N/A</v>
      </c>
      <c r="L190" s="71" t="e">
        <f t="shared" si="12"/>
        <v>#N/A</v>
      </c>
      <c r="M190" s="71" t="e">
        <f t="shared" si="13"/>
        <v>#N/A</v>
      </c>
      <c r="N190" s="7" t="str">
        <f t="shared" si="14"/>
        <v/>
      </c>
      <c r="O190" s="79" t="str">
        <f t="shared" si="15"/>
        <v/>
      </c>
      <c r="P190" s="71" t="str">
        <f t="shared" si="16"/>
        <v/>
      </c>
      <c r="Q190" s="72" t="str">
        <f>IF(G190="","",ABS(P190-Components!$C$2))</f>
        <v/>
      </c>
      <c r="R190" s="72" t="str">
        <f>IF(G190="","",ABS(P190-Components!$C$3))</f>
        <v/>
      </c>
      <c r="S190" s="72" t="str">
        <f>IF(G190="","",ABS(P190-Components!$C$4))</f>
        <v/>
      </c>
      <c r="T190" s="72" t="str">
        <f>IF(G190="","",ABS(P190-Components!$C$5))</f>
        <v/>
      </c>
      <c r="U190" s="72" t="str">
        <f>IF(G190="","",ABS(P190-Components!$C$6))</f>
        <v/>
      </c>
      <c r="V190" s="72" t="str">
        <f>IF(G190="","",ABS(P190-Components!$C$7))</f>
        <v/>
      </c>
      <c r="W190" s="7" t="str">
        <f>IF(G190="","",IF(N190="OK","NONE",INDEX({"S1","S2","W1","W2","N1","N2"},MATCH(MIN(Q190:V190),Q190:V190,0))))</f>
        <v/>
      </c>
      <c r="X190" s="80" t="str">
        <f t="shared" si="17"/>
        <v/>
      </c>
    </row>
    <row r="191" spans="1:24">
      <c r="A191" s="49">
        <v>189</v>
      </c>
      <c r="B191" s="74"/>
      <c r="C191" s="75"/>
      <c r="D191" s="75"/>
      <c r="E191" s="75"/>
      <c r="F191" s="75"/>
      <c r="G191" s="76"/>
      <c r="H191" s="77"/>
      <c r="I191" s="78"/>
      <c r="J191" s="70" t="e">
        <f>VLOOKUP(C191,Recipes!$A$2:$N$4,10,FALSE())</f>
        <v>#N/A</v>
      </c>
      <c r="K191" s="70" t="e">
        <f>VLOOKUP(C191,Recipes!$A$2:$N$4,12,FALSE())</f>
        <v>#N/A</v>
      </c>
      <c r="L191" s="71" t="e">
        <f t="shared" si="12"/>
        <v>#N/A</v>
      </c>
      <c r="M191" s="71" t="e">
        <f t="shared" si="13"/>
        <v>#N/A</v>
      </c>
      <c r="N191" s="7" t="str">
        <f t="shared" si="14"/>
        <v/>
      </c>
      <c r="O191" s="79" t="str">
        <f t="shared" si="15"/>
        <v/>
      </c>
      <c r="P191" s="71" t="str">
        <f t="shared" si="16"/>
        <v/>
      </c>
      <c r="Q191" s="72" t="str">
        <f>IF(G191="","",ABS(P191-Components!$C$2))</f>
        <v/>
      </c>
      <c r="R191" s="72" t="str">
        <f>IF(G191="","",ABS(P191-Components!$C$3))</f>
        <v/>
      </c>
      <c r="S191" s="72" t="str">
        <f>IF(G191="","",ABS(P191-Components!$C$4))</f>
        <v/>
      </c>
      <c r="T191" s="72" t="str">
        <f>IF(G191="","",ABS(P191-Components!$C$5))</f>
        <v/>
      </c>
      <c r="U191" s="72" t="str">
        <f>IF(G191="","",ABS(P191-Components!$C$6))</f>
        <v/>
      </c>
      <c r="V191" s="72" t="str">
        <f>IF(G191="","",ABS(P191-Components!$C$7))</f>
        <v/>
      </c>
      <c r="W191" s="7" t="str">
        <f>IF(G191="","",IF(N191="OK","NONE",INDEX({"S1","S2","W1","W2","N1","N2"},MATCH(MIN(Q191:V191),Q191:V191,0))))</f>
        <v/>
      </c>
      <c r="X191" s="80" t="str">
        <f t="shared" si="17"/>
        <v/>
      </c>
    </row>
    <row r="192" spans="1:24">
      <c r="A192" s="49">
        <v>190</v>
      </c>
      <c r="B192" s="74"/>
      <c r="C192" s="75"/>
      <c r="D192" s="75"/>
      <c r="E192" s="75"/>
      <c r="F192" s="75"/>
      <c r="G192" s="76"/>
      <c r="H192" s="77"/>
      <c r="I192" s="78"/>
      <c r="J192" s="70" t="e">
        <f>VLOOKUP(C192,Recipes!$A$2:$N$4,10,FALSE())</f>
        <v>#N/A</v>
      </c>
      <c r="K192" s="70" t="e">
        <f>VLOOKUP(C192,Recipes!$A$2:$N$4,12,FALSE())</f>
        <v>#N/A</v>
      </c>
      <c r="L192" s="71" t="e">
        <f t="shared" si="12"/>
        <v>#N/A</v>
      </c>
      <c r="M192" s="71" t="e">
        <f t="shared" si="13"/>
        <v>#N/A</v>
      </c>
      <c r="N192" s="7" t="str">
        <f t="shared" si="14"/>
        <v/>
      </c>
      <c r="O192" s="79" t="str">
        <f t="shared" si="15"/>
        <v/>
      </c>
      <c r="P192" s="71" t="str">
        <f t="shared" si="16"/>
        <v/>
      </c>
      <c r="Q192" s="72" t="str">
        <f>IF(G192="","",ABS(P192-Components!$C$2))</f>
        <v/>
      </c>
      <c r="R192" s="72" t="str">
        <f>IF(G192="","",ABS(P192-Components!$C$3))</f>
        <v/>
      </c>
      <c r="S192" s="72" t="str">
        <f>IF(G192="","",ABS(P192-Components!$C$4))</f>
        <v/>
      </c>
      <c r="T192" s="72" t="str">
        <f>IF(G192="","",ABS(P192-Components!$C$5))</f>
        <v/>
      </c>
      <c r="U192" s="72" t="str">
        <f>IF(G192="","",ABS(P192-Components!$C$6))</f>
        <v/>
      </c>
      <c r="V192" s="72" t="str">
        <f>IF(G192="","",ABS(P192-Components!$C$7))</f>
        <v/>
      </c>
      <c r="W192" s="7" t="str">
        <f>IF(G192="","",IF(N192="OK","NONE",INDEX({"S1","S2","W1","W2","N1","N2"},MATCH(MIN(Q192:V192),Q192:V192,0))))</f>
        <v/>
      </c>
      <c r="X192" s="80" t="str">
        <f t="shared" si="17"/>
        <v/>
      </c>
    </row>
    <row r="193" spans="1:24">
      <c r="A193" s="49">
        <v>191</v>
      </c>
      <c r="B193" s="74"/>
      <c r="C193" s="75"/>
      <c r="D193" s="75"/>
      <c r="E193" s="75"/>
      <c r="F193" s="75"/>
      <c r="G193" s="76"/>
      <c r="H193" s="77"/>
      <c r="I193" s="78"/>
      <c r="J193" s="70" t="e">
        <f>VLOOKUP(C193,Recipes!$A$2:$N$4,10,FALSE())</f>
        <v>#N/A</v>
      </c>
      <c r="K193" s="70" t="e">
        <f>VLOOKUP(C193,Recipes!$A$2:$N$4,12,FALSE())</f>
        <v>#N/A</v>
      </c>
      <c r="L193" s="71" t="e">
        <f t="shared" si="12"/>
        <v>#N/A</v>
      </c>
      <c r="M193" s="71" t="e">
        <f t="shared" si="13"/>
        <v>#N/A</v>
      </c>
      <c r="N193" s="7" t="str">
        <f t="shared" si="14"/>
        <v/>
      </c>
      <c r="O193" s="79" t="str">
        <f t="shared" si="15"/>
        <v/>
      </c>
      <c r="P193" s="71" t="str">
        <f t="shared" si="16"/>
        <v/>
      </c>
      <c r="Q193" s="72" t="str">
        <f>IF(G193="","",ABS(P193-Components!$C$2))</f>
        <v/>
      </c>
      <c r="R193" s="72" t="str">
        <f>IF(G193="","",ABS(P193-Components!$C$3))</f>
        <v/>
      </c>
      <c r="S193" s="72" t="str">
        <f>IF(G193="","",ABS(P193-Components!$C$4))</f>
        <v/>
      </c>
      <c r="T193" s="72" t="str">
        <f>IF(G193="","",ABS(P193-Components!$C$5))</f>
        <v/>
      </c>
      <c r="U193" s="72" t="str">
        <f>IF(G193="","",ABS(P193-Components!$C$6))</f>
        <v/>
      </c>
      <c r="V193" s="72" t="str">
        <f>IF(G193="","",ABS(P193-Components!$C$7))</f>
        <v/>
      </c>
      <c r="W193" s="7" t="str">
        <f>IF(G193="","",IF(N193="OK","NONE",INDEX({"S1","S2","W1","W2","N1","N2"},MATCH(MIN(Q193:V193),Q193:V193,0))))</f>
        <v/>
      </c>
      <c r="X193" s="80" t="str">
        <f t="shared" si="17"/>
        <v/>
      </c>
    </row>
    <row r="194" spans="1:24">
      <c r="A194" s="49">
        <v>192</v>
      </c>
      <c r="B194" s="74"/>
      <c r="C194" s="75"/>
      <c r="D194" s="75"/>
      <c r="E194" s="75"/>
      <c r="F194" s="75"/>
      <c r="G194" s="76"/>
      <c r="H194" s="77"/>
      <c r="I194" s="78"/>
      <c r="J194" s="70" t="e">
        <f>VLOOKUP(C194,Recipes!$A$2:$N$4,10,FALSE())</f>
        <v>#N/A</v>
      </c>
      <c r="K194" s="70" t="e">
        <f>VLOOKUP(C194,Recipes!$A$2:$N$4,12,FALSE())</f>
        <v>#N/A</v>
      </c>
      <c r="L194" s="71" t="e">
        <f t="shared" si="12"/>
        <v>#N/A</v>
      </c>
      <c r="M194" s="71" t="e">
        <f t="shared" si="13"/>
        <v>#N/A</v>
      </c>
      <c r="N194" s="7" t="str">
        <f t="shared" si="14"/>
        <v/>
      </c>
      <c r="O194" s="79" t="str">
        <f t="shared" si="15"/>
        <v/>
      </c>
      <c r="P194" s="71" t="str">
        <f t="shared" si="16"/>
        <v/>
      </c>
      <c r="Q194" s="72" t="str">
        <f>IF(G194="","",ABS(P194-Components!$C$2))</f>
        <v/>
      </c>
      <c r="R194" s="72" t="str">
        <f>IF(G194="","",ABS(P194-Components!$C$3))</f>
        <v/>
      </c>
      <c r="S194" s="72" t="str">
        <f>IF(G194="","",ABS(P194-Components!$C$4))</f>
        <v/>
      </c>
      <c r="T194" s="72" t="str">
        <f>IF(G194="","",ABS(P194-Components!$C$5))</f>
        <v/>
      </c>
      <c r="U194" s="72" t="str">
        <f>IF(G194="","",ABS(P194-Components!$C$6))</f>
        <v/>
      </c>
      <c r="V194" s="72" t="str">
        <f>IF(G194="","",ABS(P194-Components!$C$7))</f>
        <v/>
      </c>
      <c r="W194" s="7" t="str">
        <f>IF(G194="","",IF(N194="OK","NONE",INDEX({"S1","S2","W1","W2","N1","N2"},MATCH(MIN(Q194:V194),Q194:V194,0))))</f>
        <v/>
      </c>
      <c r="X194" s="80" t="str">
        <f t="shared" si="17"/>
        <v/>
      </c>
    </row>
    <row r="195" spans="1:24">
      <c r="A195" s="49">
        <v>193</v>
      </c>
      <c r="B195" s="74"/>
      <c r="C195" s="75"/>
      <c r="D195" s="75"/>
      <c r="E195" s="75"/>
      <c r="F195" s="75"/>
      <c r="G195" s="76"/>
      <c r="H195" s="77"/>
      <c r="I195" s="78"/>
      <c r="J195" s="70" t="e">
        <f>VLOOKUP(C195,Recipes!$A$2:$N$4,10,FALSE())</f>
        <v>#N/A</v>
      </c>
      <c r="K195" s="70" t="e">
        <f>VLOOKUP(C195,Recipes!$A$2:$N$4,12,FALSE())</f>
        <v>#N/A</v>
      </c>
      <c r="L195" s="71" t="e">
        <f t="shared" ref="L195:L258" si="18">J195-3*K195</f>
        <v>#N/A</v>
      </c>
      <c r="M195" s="71" t="e">
        <f t="shared" ref="M195:M258" si="19">J195+3*K195</f>
        <v>#N/A</v>
      </c>
      <c r="N195" s="7" t="str">
        <f t="shared" ref="N195:N258" si="20">IF(G195="","",IF(AND(G195&gt;=L195,G195&lt;=M195),"OK","NG"))</f>
        <v/>
      </c>
      <c r="O195" s="79" t="str">
        <f t="shared" ref="O195:O258" si="21">IF(N195="","",IF(N195=D195,1,0))</f>
        <v/>
      </c>
      <c r="P195" s="71" t="str">
        <f t="shared" ref="P195:P258" si="22">IF(G195="","",J195-G195)</f>
        <v/>
      </c>
      <c r="Q195" s="72" t="str">
        <f>IF(G195="","",ABS(P195-Components!$C$2))</f>
        <v/>
      </c>
      <c r="R195" s="72" t="str">
        <f>IF(G195="","",ABS(P195-Components!$C$3))</f>
        <v/>
      </c>
      <c r="S195" s="72" t="str">
        <f>IF(G195="","",ABS(P195-Components!$C$4))</f>
        <v/>
      </c>
      <c r="T195" s="72" t="str">
        <f>IF(G195="","",ABS(P195-Components!$C$5))</f>
        <v/>
      </c>
      <c r="U195" s="72" t="str">
        <f>IF(G195="","",ABS(P195-Components!$C$6))</f>
        <v/>
      </c>
      <c r="V195" s="72" t="str">
        <f>IF(G195="","",ABS(P195-Components!$C$7))</f>
        <v/>
      </c>
      <c r="W195" s="7" t="str">
        <f>IF(G195="","",IF(N195="OK","NONE",INDEX({"S1","S2","W1","W2","N1","N2"},MATCH(MIN(Q195:V195),Q195:V195,0))))</f>
        <v/>
      </c>
      <c r="X195" s="80" t="str">
        <f t="shared" ref="X195:X258" si="23">IF(G195="","",IF(W195=E195,1,0))</f>
        <v/>
      </c>
    </row>
    <row r="196" spans="1:24">
      <c r="A196" s="49">
        <v>194</v>
      </c>
      <c r="B196" s="74"/>
      <c r="C196" s="75"/>
      <c r="D196" s="75"/>
      <c r="E196" s="75"/>
      <c r="F196" s="75"/>
      <c r="G196" s="76"/>
      <c r="H196" s="77"/>
      <c r="I196" s="78"/>
      <c r="J196" s="70" t="e">
        <f>VLOOKUP(C196,Recipes!$A$2:$N$4,10,FALSE())</f>
        <v>#N/A</v>
      </c>
      <c r="K196" s="70" t="e">
        <f>VLOOKUP(C196,Recipes!$A$2:$N$4,12,FALSE())</f>
        <v>#N/A</v>
      </c>
      <c r="L196" s="71" t="e">
        <f t="shared" si="18"/>
        <v>#N/A</v>
      </c>
      <c r="M196" s="71" t="e">
        <f t="shared" si="19"/>
        <v>#N/A</v>
      </c>
      <c r="N196" s="7" t="str">
        <f t="shared" si="20"/>
        <v/>
      </c>
      <c r="O196" s="79" t="str">
        <f t="shared" si="21"/>
        <v/>
      </c>
      <c r="P196" s="71" t="str">
        <f t="shared" si="22"/>
        <v/>
      </c>
      <c r="Q196" s="72" t="str">
        <f>IF(G196="","",ABS(P196-Components!$C$2))</f>
        <v/>
      </c>
      <c r="R196" s="72" t="str">
        <f>IF(G196="","",ABS(P196-Components!$C$3))</f>
        <v/>
      </c>
      <c r="S196" s="72" t="str">
        <f>IF(G196="","",ABS(P196-Components!$C$4))</f>
        <v/>
      </c>
      <c r="T196" s="72" t="str">
        <f>IF(G196="","",ABS(P196-Components!$C$5))</f>
        <v/>
      </c>
      <c r="U196" s="72" t="str">
        <f>IF(G196="","",ABS(P196-Components!$C$6))</f>
        <v/>
      </c>
      <c r="V196" s="72" t="str">
        <f>IF(G196="","",ABS(P196-Components!$C$7))</f>
        <v/>
      </c>
      <c r="W196" s="7" t="str">
        <f>IF(G196="","",IF(N196="OK","NONE",INDEX({"S1","S2","W1","W2","N1","N2"},MATCH(MIN(Q196:V196),Q196:V196,0))))</f>
        <v/>
      </c>
      <c r="X196" s="80" t="str">
        <f t="shared" si="23"/>
        <v/>
      </c>
    </row>
    <row r="197" spans="1:24">
      <c r="A197" s="49">
        <v>195</v>
      </c>
      <c r="B197" s="74"/>
      <c r="C197" s="75"/>
      <c r="D197" s="75"/>
      <c r="E197" s="75"/>
      <c r="F197" s="75"/>
      <c r="G197" s="76"/>
      <c r="H197" s="77"/>
      <c r="I197" s="78"/>
      <c r="J197" s="70" t="e">
        <f>VLOOKUP(C197,Recipes!$A$2:$N$4,10,FALSE())</f>
        <v>#N/A</v>
      </c>
      <c r="K197" s="70" t="e">
        <f>VLOOKUP(C197,Recipes!$A$2:$N$4,12,FALSE())</f>
        <v>#N/A</v>
      </c>
      <c r="L197" s="71" t="e">
        <f t="shared" si="18"/>
        <v>#N/A</v>
      </c>
      <c r="M197" s="71" t="e">
        <f t="shared" si="19"/>
        <v>#N/A</v>
      </c>
      <c r="N197" s="7" t="str">
        <f t="shared" si="20"/>
        <v/>
      </c>
      <c r="O197" s="79" t="str">
        <f t="shared" si="21"/>
        <v/>
      </c>
      <c r="P197" s="71" t="str">
        <f t="shared" si="22"/>
        <v/>
      </c>
      <c r="Q197" s="72" t="str">
        <f>IF(G197="","",ABS(P197-Components!$C$2))</f>
        <v/>
      </c>
      <c r="R197" s="72" t="str">
        <f>IF(G197="","",ABS(P197-Components!$C$3))</f>
        <v/>
      </c>
      <c r="S197" s="72" t="str">
        <f>IF(G197="","",ABS(P197-Components!$C$4))</f>
        <v/>
      </c>
      <c r="T197" s="72" t="str">
        <f>IF(G197="","",ABS(P197-Components!$C$5))</f>
        <v/>
      </c>
      <c r="U197" s="72" t="str">
        <f>IF(G197="","",ABS(P197-Components!$C$6))</f>
        <v/>
      </c>
      <c r="V197" s="72" t="str">
        <f>IF(G197="","",ABS(P197-Components!$C$7))</f>
        <v/>
      </c>
      <c r="W197" s="7" t="str">
        <f>IF(G197="","",IF(N197="OK","NONE",INDEX({"S1","S2","W1","W2","N1","N2"},MATCH(MIN(Q197:V197),Q197:V197,0))))</f>
        <v/>
      </c>
      <c r="X197" s="80" t="str">
        <f t="shared" si="23"/>
        <v/>
      </c>
    </row>
    <row r="198" spans="1:24">
      <c r="A198" s="49">
        <v>196</v>
      </c>
      <c r="B198" s="74"/>
      <c r="C198" s="75"/>
      <c r="D198" s="75"/>
      <c r="E198" s="75"/>
      <c r="F198" s="75"/>
      <c r="G198" s="76"/>
      <c r="H198" s="77"/>
      <c r="I198" s="78"/>
      <c r="J198" s="70" t="e">
        <f>VLOOKUP(C198,Recipes!$A$2:$N$4,10,FALSE())</f>
        <v>#N/A</v>
      </c>
      <c r="K198" s="70" t="e">
        <f>VLOOKUP(C198,Recipes!$A$2:$N$4,12,FALSE())</f>
        <v>#N/A</v>
      </c>
      <c r="L198" s="71" t="e">
        <f t="shared" si="18"/>
        <v>#N/A</v>
      </c>
      <c r="M198" s="71" t="e">
        <f t="shared" si="19"/>
        <v>#N/A</v>
      </c>
      <c r="N198" s="7" t="str">
        <f t="shared" si="20"/>
        <v/>
      </c>
      <c r="O198" s="79" t="str">
        <f t="shared" si="21"/>
        <v/>
      </c>
      <c r="P198" s="71" t="str">
        <f t="shared" si="22"/>
        <v/>
      </c>
      <c r="Q198" s="72" t="str">
        <f>IF(G198="","",ABS(P198-Components!$C$2))</f>
        <v/>
      </c>
      <c r="R198" s="72" t="str">
        <f>IF(G198="","",ABS(P198-Components!$C$3))</f>
        <v/>
      </c>
      <c r="S198" s="72" t="str">
        <f>IF(G198="","",ABS(P198-Components!$C$4))</f>
        <v/>
      </c>
      <c r="T198" s="72" t="str">
        <f>IF(G198="","",ABS(P198-Components!$C$5))</f>
        <v/>
      </c>
      <c r="U198" s="72" t="str">
        <f>IF(G198="","",ABS(P198-Components!$C$6))</f>
        <v/>
      </c>
      <c r="V198" s="72" t="str">
        <f>IF(G198="","",ABS(P198-Components!$C$7))</f>
        <v/>
      </c>
      <c r="W198" s="7" t="str">
        <f>IF(G198="","",IF(N198="OK","NONE",INDEX({"S1","S2","W1","W2","N1","N2"},MATCH(MIN(Q198:V198),Q198:V198,0))))</f>
        <v/>
      </c>
      <c r="X198" s="80" t="str">
        <f t="shared" si="23"/>
        <v/>
      </c>
    </row>
    <row r="199" spans="1:24">
      <c r="A199" s="49">
        <v>197</v>
      </c>
      <c r="B199" s="74"/>
      <c r="C199" s="75"/>
      <c r="D199" s="75"/>
      <c r="E199" s="75"/>
      <c r="F199" s="75"/>
      <c r="G199" s="76"/>
      <c r="H199" s="77"/>
      <c r="I199" s="78"/>
      <c r="J199" s="70" t="e">
        <f>VLOOKUP(C199,Recipes!$A$2:$N$4,10,FALSE())</f>
        <v>#N/A</v>
      </c>
      <c r="K199" s="70" t="e">
        <f>VLOOKUP(C199,Recipes!$A$2:$N$4,12,FALSE())</f>
        <v>#N/A</v>
      </c>
      <c r="L199" s="71" t="e">
        <f t="shared" si="18"/>
        <v>#N/A</v>
      </c>
      <c r="M199" s="71" t="e">
        <f t="shared" si="19"/>
        <v>#N/A</v>
      </c>
      <c r="N199" s="7" t="str">
        <f t="shared" si="20"/>
        <v/>
      </c>
      <c r="O199" s="79" t="str">
        <f t="shared" si="21"/>
        <v/>
      </c>
      <c r="P199" s="71" t="str">
        <f t="shared" si="22"/>
        <v/>
      </c>
      <c r="Q199" s="72" t="str">
        <f>IF(G199="","",ABS(P199-Components!$C$2))</f>
        <v/>
      </c>
      <c r="R199" s="72" t="str">
        <f>IF(G199="","",ABS(P199-Components!$C$3))</f>
        <v/>
      </c>
      <c r="S199" s="72" t="str">
        <f>IF(G199="","",ABS(P199-Components!$C$4))</f>
        <v/>
      </c>
      <c r="T199" s="72" t="str">
        <f>IF(G199="","",ABS(P199-Components!$C$5))</f>
        <v/>
      </c>
      <c r="U199" s="72" t="str">
        <f>IF(G199="","",ABS(P199-Components!$C$6))</f>
        <v/>
      </c>
      <c r="V199" s="72" t="str">
        <f>IF(G199="","",ABS(P199-Components!$C$7))</f>
        <v/>
      </c>
      <c r="W199" s="7" t="str">
        <f>IF(G199="","",IF(N199="OK","NONE",INDEX({"S1","S2","W1","W2","N1","N2"},MATCH(MIN(Q199:V199),Q199:V199,0))))</f>
        <v/>
      </c>
      <c r="X199" s="80" t="str">
        <f t="shared" si="23"/>
        <v/>
      </c>
    </row>
    <row r="200" spans="1:24">
      <c r="A200" s="49">
        <v>198</v>
      </c>
      <c r="B200" s="74"/>
      <c r="C200" s="75"/>
      <c r="D200" s="75"/>
      <c r="E200" s="75"/>
      <c r="F200" s="75"/>
      <c r="G200" s="76"/>
      <c r="H200" s="77"/>
      <c r="I200" s="78"/>
      <c r="J200" s="70" t="e">
        <f>VLOOKUP(C200,Recipes!$A$2:$N$4,10,FALSE())</f>
        <v>#N/A</v>
      </c>
      <c r="K200" s="70" t="e">
        <f>VLOOKUP(C200,Recipes!$A$2:$N$4,12,FALSE())</f>
        <v>#N/A</v>
      </c>
      <c r="L200" s="71" t="e">
        <f t="shared" si="18"/>
        <v>#N/A</v>
      </c>
      <c r="M200" s="71" t="e">
        <f t="shared" si="19"/>
        <v>#N/A</v>
      </c>
      <c r="N200" s="7" t="str">
        <f t="shared" si="20"/>
        <v/>
      </c>
      <c r="O200" s="79" t="str">
        <f t="shared" si="21"/>
        <v/>
      </c>
      <c r="P200" s="71" t="str">
        <f t="shared" si="22"/>
        <v/>
      </c>
      <c r="Q200" s="72" t="str">
        <f>IF(G200="","",ABS(P200-Components!$C$2))</f>
        <v/>
      </c>
      <c r="R200" s="72" t="str">
        <f>IF(G200="","",ABS(P200-Components!$C$3))</f>
        <v/>
      </c>
      <c r="S200" s="72" t="str">
        <f>IF(G200="","",ABS(P200-Components!$C$4))</f>
        <v/>
      </c>
      <c r="T200" s="72" t="str">
        <f>IF(G200="","",ABS(P200-Components!$C$5))</f>
        <v/>
      </c>
      <c r="U200" s="72" t="str">
        <f>IF(G200="","",ABS(P200-Components!$C$6))</f>
        <v/>
      </c>
      <c r="V200" s="72" t="str">
        <f>IF(G200="","",ABS(P200-Components!$C$7))</f>
        <v/>
      </c>
      <c r="W200" s="7" t="str">
        <f>IF(G200="","",IF(N200="OK","NONE",INDEX({"S1","S2","W1","W2","N1","N2"},MATCH(MIN(Q200:V200),Q200:V200,0))))</f>
        <v/>
      </c>
      <c r="X200" s="80" t="str">
        <f t="shared" si="23"/>
        <v/>
      </c>
    </row>
    <row r="201" spans="1:24">
      <c r="A201" s="49">
        <v>199</v>
      </c>
      <c r="B201" s="74"/>
      <c r="C201" s="75"/>
      <c r="D201" s="75"/>
      <c r="E201" s="75"/>
      <c r="F201" s="75"/>
      <c r="G201" s="76"/>
      <c r="H201" s="77"/>
      <c r="I201" s="78"/>
      <c r="J201" s="70" t="e">
        <f>VLOOKUP(C201,Recipes!$A$2:$N$4,10,FALSE())</f>
        <v>#N/A</v>
      </c>
      <c r="K201" s="70" t="e">
        <f>VLOOKUP(C201,Recipes!$A$2:$N$4,12,FALSE())</f>
        <v>#N/A</v>
      </c>
      <c r="L201" s="71" t="e">
        <f t="shared" si="18"/>
        <v>#N/A</v>
      </c>
      <c r="M201" s="71" t="e">
        <f t="shared" si="19"/>
        <v>#N/A</v>
      </c>
      <c r="N201" s="7" t="str">
        <f t="shared" si="20"/>
        <v/>
      </c>
      <c r="O201" s="79" t="str">
        <f t="shared" si="21"/>
        <v/>
      </c>
      <c r="P201" s="71" t="str">
        <f t="shared" si="22"/>
        <v/>
      </c>
      <c r="Q201" s="72" t="str">
        <f>IF(G201="","",ABS(P201-Components!$C$2))</f>
        <v/>
      </c>
      <c r="R201" s="72" t="str">
        <f>IF(G201="","",ABS(P201-Components!$C$3))</f>
        <v/>
      </c>
      <c r="S201" s="72" t="str">
        <f>IF(G201="","",ABS(P201-Components!$C$4))</f>
        <v/>
      </c>
      <c r="T201" s="72" t="str">
        <f>IF(G201="","",ABS(P201-Components!$C$5))</f>
        <v/>
      </c>
      <c r="U201" s="72" t="str">
        <f>IF(G201="","",ABS(P201-Components!$C$6))</f>
        <v/>
      </c>
      <c r="V201" s="72" t="str">
        <f>IF(G201="","",ABS(P201-Components!$C$7))</f>
        <v/>
      </c>
      <c r="W201" s="7" t="str">
        <f>IF(G201="","",IF(N201="OK","NONE",INDEX({"S1","S2","W1","W2","N1","N2"},MATCH(MIN(Q201:V201),Q201:V201,0))))</f>
        <v/>
      </c>
      <c r="X201" s="80" t="str">
        <f t="shared" si="23"/>
        <v/>
      </c>
    </row>
    <row r="202" spans="1:24">
      <c r="A202" s="49">
        <v>200</v>
      </c>
      <c r="B202" s="74"/>
      <c r="C202" s="75"/>
      <c r="D202" s="75"/>
      <c r="E202" s="75"/>
      <c r="F202" s="75"/>
      <c r="G202" s="76"/>
      <c r="H202" s="77"/>
      <c r="I202" s="78"/>
      <c r="J202" s="70" t="e">
        <f>VLOOKUP(C202,Recipes!$A$2:$N$4,10,FALSE())</f>
        <v>#N/A</v>
      </c>
      <c r="K202" s="70" t="e">
        <f>VLOOKUP(C202,Recipes!$A$2:$N$4,12,FALSE())</f>
        <v>#N/A</v>
      </c>
      <c r="L202" s="71" t="e">
        <f t="shared" si="18"/>
        <v>#N/A</v>
      </c>
      <c r="M202" s="71" t="e">
        <f t="shared" si="19"/>
        <v>#N/A</v>
      </c>
      <c r="N202" s="7" t="str">
        <f t="shared" si="20"/>
        <v/>
      </c>
      <c r="O202" s="79" t="str">
        <f t="shared" si="21"/>
        <v/>
      </c>
      <c r="P202" s="71" t="str">
        <f t="shared" si="22"/>
        <v/>
      </c>
      <c r="Q202" s="72" t="str">
        <f>IF(G202="","",ABS(P202-Components!$C$2))</f>
        <v/>
      </c>
      <c r="R202" s="72" t="str">
        <f>IF(G202="","",ABS(P202-Components!$C$3))</f>
        <v/>
      </c>
      <c r="S202" s="72" t="str">
        <f>IF(G202="","",ABS(P202-Components!$C$4))</f>
        <v/>
      </c>
      <c r="T202" s="72" t="str">
        <f>IF(G202="","",ABS(P202-Components!$C$5))</f>
        <v/>
      </c>
      <c r="U202" s="72" t="str">
        <f>IF(G202="","",ABS(P202-Components!$C$6))</f>
        <v/>
      </c>
      <c r="V202" s="72" t="str">
        <f>IF(G202="","",ABS(P202-Components!$C$7))</f>
        <v/>
      </c>
      <c r="W202" s="7" t="str">
        <f>IF(G202="","",IF(N202="OK","NONE",INDEX({"S1","S2","W1","W2","N1","N2"},MATCH(MIN(Q202:V202),Q202:V202,0))))</f>
        <v/>
      </c>
      <c r="X202" s="80" t="str">
        <f t="shared" si="23"/>
        <v/>
      </c>
    </row>
    <row r="203" spans="1:24">
      <c r="A203" s="49">
        <v>201</v>
      </c>
      <c r="B203" s="74"/>
      <c r="C203" s="75"/>
      <c r="D203" s="75"/>
      <c r="E203" s="75"/>
      <c r="F203" s="75"/>
      <c r="G203" s="76"/>
      <c r="H203" s="77"/>
      <c r="I203" s="78"/>
      <c r="J203" s="70" t="e">
        <f>VLOOKUP(C203,Recipes!$A$2:$N$4,10,FALSE())</f>
        <v>#N/A</v>
      </c>
      <c r="K203" s="70" t="e">
        <f>VLOOKUP(C203,Recipes!$A$2:$N$4,12,FALSE())</f>
        <v>#N/A</v>
      </c>
      <c r="L203" s="71" t="e">
        <f t="shared" si="18"/>
        <v>#N/A</v>
      </c>
      <c r="M203" s="71" t="e">
        <f t="shared" si="19"/>
        <v>#N/A</v>
      </c>
      <c r="N203" s="7" t="str">
        <f t="shared" si="20"/>
        <v/>
      </c>
      <c r="O203" s="79" t="str">
        <f t="shared" si="21"/>
        <v/>
      </c>
      <c r="P203" s="71" t="str">
        <f t="shared" si="22"/>
        <v/>
      </c>
      <c r="Q203" s="72" t="str">
        <f>IF(G203="","",ABS(P203-Components!$C$2))</f>
        <v/>
      </c>
      <c r="R203" s="72" t="str">
        <f>IF(G203="","",ABS(P203-Components!$C$3))</f>
        <v/>
      </c>
      <c r="S203" s="72" t="str">
        <f>IF(G203="","",ABS(P203-Components!$C$4))</f>
        <v/>
      </c>
      <c r="T203" s="72" t="str">
        <f>IF(G203="","",ABS(P203-Components!$C$5))</f>
        <v/>
      </c>
      <c r="U203" s="72" t="str">
        <f>IF(G203="","",ABS(P203-Components!$C$6))</f>
        <v/>
      </c>
      <c r="V203" s="72" t="str">
        <f>IF(G203="","",ABS(P203-Components!$C$7))</f>
        <v/>
      </c>
      <c r="W203" s="7" t="str">
        <f>IF(G203="","",IF(N203="OK","NONE",INDEX({"S1","S2","W1","W2","N1","N2"},MATCH(MIN(Q203:V203),Q203:V203,0))))</f>
        <v/>
      </c>
      <c r="X203" s="80" t="str">
        <f t="shared" si="23"/>
        <v/>
      </c>
    </row>
    <row r="204" spans="1:24">
      <c r="A204" s="49">
        <v>202</v>
      </c>
      <c r="B204" s="74"/>
      <c r="C204" s="75"/>
      <c r="D204" s="75"/>
      <c r="E204" s="75"/>
      <c r="F204" s="75"/>
      <c r="G204" s="76"/>
      <c r="H204" s="77"/>
      <c r="I204" s="78"/>
      <c r="J204" s="70" t="e">
        <f>VLOOKUP(C204,Recipes!$A$2:$N$4,10,FALSE())</f>
        <v>#N/A</v>
      </c>
      <c r="K204" s="70" t="e">
        <f>VLOOKUP(C204,Recipes!$A$2:$N$4,12,FALSE())</f>
        <v>#N/A</v>
      </c>
      <c r="L204" s="71" t="e">
        <f t="shared" si="18"/>
        <v>#N/A</v>
      </c>
      <c r="M204" s="71" t="e">
        <f t="shared" si="19"/>
        <v>#N/A</v>
      </c>
      <c r="N204" s="7" t="str">
        <f t="shared" si="20"/>
        <v/>
      </c>
      <c r="O204" s="79" t="str">
        <f t="shared" si="21"/>
        <v/>
      </c>
      <c r="P204" s="71" t="str">
        <f t="shared" si="22"/>
        <v/>
      </c>
      <c r="Q204" s="72" t="str">
        <f>IF(G204="","",ABS(P204-Components!$C$2))</f>
        <v/>
      </c>
      <c r="R204" s="72" t="str">
        <f>IF(G204="","",ABS(P204-Components!$C$3))</f>
        <v/>
      </c>
      <c r="S204" s="72" t="str">
        <f>IF(G204="","",ABS(P204-Components!$C$4))</f>
        <v/>
      </c>
      <c r="T204" s="72" t="str">
        <f>IF(G204="","",ABS(P204-Components!$C$5))</f>
        <v/>
      </c>
      <c r="U204" s="72" t="str">
        <f>IF(G204="","",ABS(P204-Components!$C$6))</f>
        <v/>
      </c>
      <c r="V204" s="72" t="str">
        <f>IF(G204="","",ABS(P204-Components!$C$7))</f>
        <v/>
      </c>
      <c r="W204" s="7" t="str">
        <f>IF(G204="","",IF(N204="OK","NONE",INDEX({"S1","S2","W1","W2","N1","N2"},MATCH(MIN(Q204:V204),Q204:V204,0))))</f>
        <v/>
      </c>
      <c r="X204" s="80" t="str">
        <f t="shared" si="23"/>
        <v/>
      </c>
    </row>
    <row r="205" spans="1:24">
      <c r="A205" s="49">
        <v>203</v>
      </c>
      <c r="B205" s="74"/>
      <c r="C205" s="75"/>
      <c r="D205" s="75"/>
      <c r="E205" s="75"/>
      <c r="F205" s="75"/>
      <c r="G205" s="76"/>
      <c r="H205" s="77"/>
      <c r="I205" s="78"/>
      <c r="J205" s="70" t="e">
        <f>VLOOKUP(C205,Recipes!$A$2:$N$4,10,FALSE())</f>
        <v>#N/A</v>
      </c>
      <c r="K205" s="70" t="e">
        <f>VLOOKUP(C205,Recipes!$A$2:$N$4,12,FALSE())</f>
        <v>#N/A</v>
      </c>
      <c r="L205" s="71" t="e">
        <f t="shared" si="18"/>
        <v>#N/A</v>
      </c>
      <c r="M205" s="71" t="e">
        <f t="shared" si="19"/>
        <v>#N/A</v>
      </c>
      <c r="N205" s="7" t="str">
        <f t="shared" si="20"/>
        <v/>
      </c>
      <c r="O205" s="79" t="str">
        <f t="shared" si="21"/>
        <v/>
      </c>
      <c r="P205" s="71" t="str">
        <f t="shared" si="22"/>
        <v/>
      </c>
      <c r="Q205" s="72" t="str">
        <f>IF(G205="","",ABS(P205-Components!$C$2))</f>
        <v/>
      </c>
      <c r="R205" s="72" t="str">
        <f>IF(G205="","",ABS(P205-Components!$C$3))</f>
        <v/>
      </c>
      <c r="S205" s="72" t="str">
        <f>IF(G205="","",ABS(P205-Components!$C$4))</f>
        <v/>
      </c>
      <c r="T205" s="72" t="str">
        <f>IF(G205="","",ABS(P205-Components!$C$5))</f>
        <v/>
      </c>
      <c r="U205" s="72" t="str">
        <f>IF(G205="","",ABS(P205-Components!$C$6))</f>
        <v/>
      </c>
      <c r="V205" s="72" t="str">
        <f>IF(G205="","",ABS(P205-Components!$C$7))</f>
        <v/>
      </c>
      <c r="W205" s="7" t="str">
        <f>IF(G205="","",IF(N205="OK","NONE",INDEX({"S1","S2","W1","W2","N1","N2"},MATCH(MIN(Q205:V205),Q205:V205,0))))</f>
        <v/>
      </c>
      <c r="X205" s="80" t="str">
        <f t="shared" si="23"/>
        <v/>
      </c>
    </row>
    <row r="206" spans="1:24">
      <c r="A206" s="49">
        <v>204</v>
      </c>
      <c r="B206" s="74"/>
      <c r="C206" s="75"/>
      <c r="D206" s="75"/>
      <c r="E206" s="75"/>
      <c r="F206" s="75"/>
      <c r="G206" s="76"/>
      <c r="H206" s="77"/>
      <c r="I206" s="78"/>
      <c r="J206" s="70" t="e">
        <f>VLOOKUP(C206,Recipes!$A$2:$N$4,10,FALSE())</f>
        <v>#N/A</v>
      </c>
      <c r="K206" s="70" t="e">
        <f>VLOOKUP(C206,Recipes!$A$2:$N$4,12,FALSE())</f>
        <v>#N/A</v>
      </c>
      <c r="L206" s="71" t="e">
        <f t="shared" si="18"/>
        <v>#N/A</v>
      </c>
      <c r="M206" s="71" t="e">
        <f t="shared" si="19"/>
        <v>#N/A</v>
      </c>
      <c r="N206" s="7" t="str">
        <f t="shared" si="20"/>
        <v/>
      </c>
      <c r="O206" s="79" t="str">
        <f t="shared" si="21"/>
        <v/>
      </c>
      <c r="P206" s="71" t="str">
        <f t="shared" si="22"/>
        <v/>
      </c>
      <c r="Q206" s="72" t="str">
        <f>IF(G206="","",ABS(P206-Components!$C$2))</f>
        <v/>
      </c>
      <c r="R206" s="72" t="str">
        <f>IF(G206="","",ABS(P206-Components!$C$3))</f>
        <v/>
      </c>
      <c r="S206" s="72" t="str">
        <f>IF(G206="","",ABS(P206-Components!$C$4))</f>
        <v/>
      </c>
      <c r="T206" s="72" t="str">
        <f>IF(G206="","",ABS(P206-Components!$C$5))</f>
        <v/>
      </c>
      <c r="U206" s="72" t="str">
        <f>IF(G206="","",ABS(P206-Components!$C$6))</f>
        <v/>
      </c>
      <c r="V206" s="72" t="str">
        <f>IF(G206="","",ABS(P206-Components!$C$7))</f>
        <v/>
      </c>
      <c r="W206" s="7" t="str">
        <f>IF(G206="","",IF(N206="OK","NONE",INDEX({"S1","S2","W1","W2","N1","N2"},MATCH(MIN(Q206:V206),Q206:V206,0))))</f>
        <v/>
      </c>
      <c r="X206" s="80" t="str">
        <f t="shared" si="23"/>
        <v/>
      </c>
    </row>
    <row r="207" spans="1:24">
      <c r="A207" s="49">
        <v>205</v>
      </c>
      <c r="B207" s="74"/>
      <c r="C207" s="75"/>
      <c r="D207" s="75"/>
      <c r="E207" s="75"/>
      <c r="F207" s="75"/>
      <c r="G207" s="76"/>
      <c r="H207" s="77"/>
      <c r="I207" s="78"/>
      <c r="J207" s="70" t="e">
        <f>VLOOKUP(C207,Recipes!$A$2:$N$4,10,FALSE())</f>
        <v>#N/A</v>
      </c>
      <c r="K207" s="70" t="e">
        <f>VLOOKUP(C207,Recipes!$A$2:$N$4,12,FALSE())</f>
        <v>#N/A</v>
      </c>
      <c r="L207" s="71" t="e">
        <f t="shared" si="18"/>
        <v>#N/A</v>
      </c>
      <c r="M207" s="71" t="e">
        <f t="shared" si="19"/>
        <v>#N/A</v>
      </c>
      <c r="N207" s="7" t="str">
        <f t="shared" si="20"/>
        <v/>
      </c>
      <c r="O207" s="79" t="str">
        <f t="shared" si="21"/>
        <v/>
      </c>
      <c r="P207" s="71" t="str">
        <f t="shared" si="22"/>
        <v/>
      </c>
      <c r="Q207" s="72" t="str">
        <f>IF(G207="","",ABS(P207-Components!$C$2))</f>
        <v/>
      </c>
      <c r="R207" s="72" t="str">
        <f>IF(G207="","",ABS(P207-Components!$C$3))</f>
        <v/>
      </c>
      <c r="S207" s="72" t="str">
        <f>IF(G207="","",ABS(P207-Components!$C$4))</f>
        <v/>
      </c>
      <c r="T207" s="72" t="str">
        <f>IF(G207="","",ABS(P207-Components!$C$5))</f>
        <v/>
      </c>
      <c r="U207" s="72" t="str">
        <f>IF(G207="","",ABS(P207-Components!$C$6))</f>
        <v/>
      </c>
      <c r="V207" s="72" t="str">
        <f>IF(G207="","",ABS(P207-Components!$C$7))</f>
        <v/>
      </c>
      <c r="W207" s="7" t="str">
        <f>IF(G207="","",IF(N207="OK","NONE",INDEX({"S1","S2","W1","W2","N1","N2"},MATCH(MIN(Q207:V207),Q207:V207,0))))</f>
        <v/>
      </c>
      <c r="X207" s="80" t="str">
        <f t="shared" si="23"/>
        <v/>
      </c>
    </row>
    <row r="208" spans="1:24">
      <c r="A208" s="49">
        <v>206</v>
      </c>
      <c r="B208" s="74"/>
      <c r="C208" s="75"/>
      <c r="D208" s="75"/>
      <c r="E208" s="75"/>
      <c r="F208" s="75"/>
      <c r="G208" s="76"/>
      <c r="H208" s="77"/>
      <c r="I208" s="78"/>
      <c r="J208" s="70" t="e">
        <f>VLOOKUP(C208,Recipes!$A$2:$N$4,10,FALSE())</f>
        <v>#N/A</v>
      </c>
      <c r="K208" s="70" t="e">
        <f>VLOOKUP(C208,Recipes!$A$2:$N$4,12,FALSE())</f>
        <v>#N/A</v>
      </c>
      <c r="L208" s="71" t="e">
        <f t="shared" si="18"/>
        <v>#N/A</v>
      </c>
      <c r="M208" s="71" t="e">
        <f t="shared" si="19"/>
        <v>#N/A</v>
      </c>
      <c r="N208" s="7" t="str">
        <f t="shared" si="20"/>
        <v/>
      </c>
      <c r="O208" s="79" t="str">
        <f t="shared" si="21"/>
        <v/>
      </c>
      <c r="P208" s="71" t="str">
        <f t="shared" si="22"/>
        <v/>
      </c>
      <c r="Q208" s="72" t="str">
        <f>IF(G208="","",ABS(P208-Components!$C$2))</f>
        <v/>
      </c>
      <c r="R208" s="72" t="str">
        <f>IF(G208="","",ABS(P208-Components!$C$3))</f>
        <v/>
      </c>
      <c r="S208" s="72" t="str">
        <f>IF(G208="","",ABS(P208-Components!$C$4))</f>
        <v/>
      </c>
      <c r="T208" s="72" t="str">
        <f>IF(G208="","",ABS(P208-Components!$C$5))</f>
        <v/>
      </c>
      <c r="U208" s="72" t="str">
        <f>IF(G208="","",ABS(P208-Components!$C$6))</f>
        <v/>
      </c>
      <c r="V208" s="72" t="str">
        <f>IF(G208="","",ABS(P208-Components!$C$7))</f>
        <v/>
      </c>
      <c r="W208" s="7" t="str">
        <f>IF(G208="","",IF(N208="OK","NONE",INDEX({"S1","S2","W1","W2","N1","N2"},MATCH(MIN(Q208:V208),Q208:V208,0))))</f>
        <v/>
      </c>
      <c r="X208" s="80" t="str">
        <f t="shared" si="23"/>
        <v/>
      </c>
    </row>
    <row r="209" spans="1:24">
      <c r="A209" s="49">
        <v>207</v>
      </c>
      <c r="B209" s="74"/>
      <c r="C209" s="75"/>
      <c r="D209" s="75"/>
      <c r="E209" s="75"/>
      <c r="F209" s="75"/>
      <c r="G209" s="76"/>
      <c r="H209" s="77"/>
      <c r="I209" s="78"/>
      <c r="J209" s="70" t="e">
        <f>VLOOKUP(C209,Recipes!$A$2:$N$4,10,FALSE())</f>
        <v>#N/A</v>
      </c>
      <c r="K209" s="70" t="e">
        <f>VLOOKUP(C209,Recipes!$A$2:$N$4,12,FALSE())</f>
        <v>#N/A</v>
      </c>
      <c r="L209" s="71" t="e">
        <f t="shared" si="18"/>
        <v>#N/A</v>
      </c>
      <c r="M209" s="71" t="e">
        <f t="shared" si="19"/>
        <v>#N/A</v>
      </c>
      <c r="N209" s="7" t="str">
        <f t="shared" si="20"/>
        <v/>
      </c>
      <c r="O209" s="79" t="str">
        <f t="shared" si="21"/>
        <v/>
      </c>
      <c r="P209" s="71" t="str">
        <f t="shared" si="22"/>
        <v/>
      </c>
      <c r="Q209" s="72" t="str">
        <f>IF(G209="","",ABS(P209-Components!$C$2))</f>
        <v/>
      </c>
      <c r="R209" s="72" t="str">
        <f>IF(G209="","",ABS(P209-Components!$C$3))</f>
        <v/>
      </c>
      <c r="S209" s="72" t="str">
        <f>IF(G209="","",ABS(P209-Components!$C$4))</f>
        <v/>
      </c>
      <c r="T209" s="72" t="str">
        <f>IF(G209="","",ABS(P209-Components!$C$5))</f>
        <v/>
      </c>
      <c r="U209" s="72" t="str">
        <f>IF(G209="","",ABS(P209-Components!$C$6))</f>
        <v/>
      </c>
      <c r="V209" s="72" t="str">
        <f>IF(G209="","",ABS(P209-Components!$C$7))</f>
        <v/>
      </c>
      <c r="W209" s="7" t="str">
        <f>IF(G209="","",IF(N209="OK","NONE",INDEX({"S1","S2","W1","W2","N1","N2"},MATCH(MIN(Q209:V209),Q209:V209,0))))</f>
        <v/>
      </c>
      <c r="X209" s="80" t="str">
        <f t="shared" si="23"/>
        <v/>
      </c>
    </row>
    <row r="210" spans="1:24">
      <c r="A210" s="49">
        <v>208</v>
      </c>
      <c r="B210" s="74"/>
      <c r="C210" s="75"/>
      <c r="D210" s="75"/>
      <c r="E210" s="75"/>
      <c r="F210" s="75"/>
      <c r="G210" s="76"/>
      <c r="H210" s="77"/>
      <c r="I210" s="78"/>
      <c r="J210" s="70" t="e">
        <f>VLOOKUP(C210,Recipes!$A$2:$N$4,10,FALSE())</f>
        <v>#N/A</v>
      </c>
      <c r="K210" s="70" t="e">
        <f>VLOOKUP(C210,Recipes!$A$2:$N$4,12,FALSE())</f>
        <v>#N/A</v>
      </c>
      <c r="L210" s="71" t="e">
        <f t="shared" si="18"/>
        <v>#N/A</v>
      </c>
      <c r="M210" s="71" t="e">
        <f t="shared" si="19"/>
        <v>#N/A</v>
      </c>
      <c r="N210" s="7" t="str">
        <f t="shared" si="20"/>
        <v/>
      </c>
      <c r="O210" s="79" t="str">
        <f t="shared" si="21"/>
        <v/>
      </c>
      <c r="P210" s="71" t="str">
        <f t="shared" si="22"/>
        <v/>
      </c>
      <c r="Q210" s="72" t="str">
        <f>IF(G210="","",ABS(P210-Components!$C$2))</f>
        <v/>
      </c>
      <c r="R210" s="72" t="str">
        <f>IF(G210="","",ABS(P210-Components!$C$3))</f>
        <v/>
      </c>
      <c r="S210" s="72" t="str">
        <f>IF(G210="","",ABS(P210-Components!$C$4))</f>
        <v/>
      </c>
      <c r="T210" s="72" t="str">
        <f>IF(G210="","",ABS(P210-Components!$C$5))</f>
        <v/>
      </c>
      <c r="U210" s="72" t="str">
        <f>IF(G210="","",ABS(P210-Components!$C$6))</f>
        <v/>
      </c>
      <c r="V210" s="72" t="str">
        <f>IF(G210="","",ABS(P210-Components!$C$7))</f>
        <v/>
      </c>
      <c r="W210" s="7" t="str">
        <f>IF(G210="","",IF(N210="OK","NONE",INDEX({"S1","S2","W1","W2","N1","N2"},MATCH(MIN(Q210:V210),Q210:V210,0))))</f>
        <v/>
      </c>
      <c r="X210" s="80" t="str">
        <f t="shared" si="23"/>
        <v/>
      </c>
    </row>
    <row r="211" spans="1:24">
      <c r="A211" s="49">
        <v>209</v>
      </c>
      <c r="B211" s="74"/>
      <c r="C211" s="75"/>
      <c r="D211" s="75"/>
      <c r="E211" s="75"/>
      <c r="F211" s="75"/>
      <c r="G211" s="76"/>
      <c r="H211" s="77"/>
      <c r="I211" s="78"/>
      <c r="J211" s="70" t="e">
        <f>VLOOKUP(C211,Recipes!$A$2:$N$4,10,FALSE())</f>
        <v>#N/A</v>
      </c>
      <c r="K211" s="70" t="e">
        <f>VLOOKUP(C211,Recipes!$A$2:$N$4,12,FALSE())</f>
        <v>#N/A</v>
      </c>
      <c r="L211" s="71" t="e">
        <f t="shared" si="18"/>
        <v>#N/A</v>
      </c>
      <c r="M211" s="71" t="e">
        <f t="shared" si="19"/>
        <v>#N/A</v>
      </c>
      <c r="N211" s="7" t="str">
        <f t="shared" si="20"/>
        <v/>
      </c>
      <c r="O211" s="79" t="str">
        <f t="shared" si="21"/>
        <v/>
      </c>
      <c r="P211" s="71" t="str">
        <f t="shared" si="22"/>
        <v/>
      </c>
      <c r="Q211" s="72" t="str">
        <f>IF(G211="","",ABS(P211-Components!$C$2))</f>
        <v/>
      </c>
      <c r="R211" s="72" t="str">
        <f>IF(G211="","",ABS(P211-Components!$C$3))</f>
        <v/>
      </c>
      <c r="S211" s="72" t="str">
        <f>IF(G211="","",ABS(P211-Components!$C$4))</f>
        <v/>
      </c>
      <c r="T211" s="72" t="str">
        <f>IF(G211="","",ABS(P211-Components!$C$5))</f>
        <v/>
      </c>
      <c r="U211" s="72" t="str">
        <f>IF(G211="","",ABS(P211-Components!$C$6))</f>
        <v/>
      </c>
      <c r="V211" s="72" t="str">
        <f>IF(G211="","",ABS(P211-Components!$C$7))</f>
        <v/>
      </c>
      <c r="W211" s="7" t="str">
        <f>IF(G211="","",IF(N211="OK","NONE",INDEX({"S1","S2","W1","W2","N1","N2"},MATCH(MIN(Q211:V211),Q211:V211,0))))</f>
        <v/>
      </c>
      <c r="X211" s="80" t="str">
        <f t="shared" si="23"/>
        <v/>
      </c>
    </row>
    <row r="212" spans="1:24">
      <c r="A212" s="49">
        <v>210</v>
      </c>
      <c r="B212" s="74"/>
      <c r="C212" s="75"/>
      <c r="D212" s="75"/>
      <c r="E212" s="75"/>
      <c r="F212" s="75"/>
      <c r="G212" s="76"/>
      <c r="H212" s="77"/>
      <c r="I212" s="78"/>
      <c r="J212" s="70" t="e">
        <f>VLOOKUP(C212,Recipes!$A$2:$N$4,10,FALSE())</f>
        <v>#N/A</v>
      </c>
      <c r="K212" s="70" t="e">
        <f>VLOOKUP(C212,Recipes!$A$2:$N$4,12,FALSE())</f>
        <v>#N/A</v>
      </c>
      <c r="L212" s="71" t="e">
        <f t="shared" si="18"/>
        <v>#N/A</v>
      </c>
      <c r="M212" s="71" t="e">
        <f t="shared" si="19"/>
        <v>#N/A</v>
      </c>
      <c r="N212" s="7" t="str">
        <f t="shared" si="20"/>
        <v/>
      </c>
      <c r="O212" s="79" t="str">
        <f t="shared" si="21"/>
        <v/>
      </c>
      <c r="P212" s="71" t="str">
        <f t="shared" si="22"/>
        <v/>
      </c>
      <c r="Q212" s="72" t="str">
        <f>IF(G212="","",ABS(P212-Components!$C$2))</f>
        <v/>
      </c>
      <c r="R212" s="72" t="str">
        <f>IF(G212="","",ABS(P212-Components!$C$3))</f>
        <v/>
      </c>
      <c r="S212" s="72" t="str">
        <f>IF(G212="","",ABS(P212-Components!$C$4))</f>
        <v/>
      </c>
      <c r="T212" s="72" t="str">
        <f>IF(G212="","",ABS(P212-Components!$C$5))</f>
        <v/>
      </c>
      <c r="U212" s="72" t="str">
        <f>IF(G212="","",ABS(P212-Components!$C$6))</f>
        <v/>
      </c>
      <c r="V212" s="72" t="str">
        <f>IF(G212="","",ABS(P212-Components!$C$7))</f>
        <v/>
      </c>
      <c r="W212" s="7" t="str">
        <f>IF(G212="","",IF(N212="OK","NONE",INDEX({"S1","S2","W1","W2","N1","N2"},MATCH(MIN(Q212:V212),Q212:V212,0))))</f>
        <v/>
      </c>
      <c r="X212" s="80" t="str">
        <f t="shared" si="23"/>
        <v/>
      </c>
    </row>
    <row r="213" spans="1:24">
      <c r="A213" s="49">
        <v>211</v>
      </c>
      <c r="B213" s="74"/>
      <c r="C213" s="75"/>
      <c r="D213" s="75"/>
      <c r="E213" s="75"/>
      <c r="F213" s="75"/>
      <c r="G213" s="76"/>
      <c r="H213" s="77"/>
      <c r="I213" s="78"/>
      <c r="J213" s="70" t="e">
        <f>VLOOKUP(C213,Recipes!$A$2:$N$4,10,FALSE())</f>
        <v>#N/A</v>
      </c>
      <c r="K213" s="70" t="e">
        <f>VLOOKUP(C213,Recipes!$A$2:$N$4,12,FALSE())</f>
        <v>#N/A</v>
      </c>
      <c r="L213" s="71" t="e">
        <f t="shared" si="18"/>
        <v>#N/A</v>
      </c>
      <c r="M213" s="71" t="e">
        <f t="shared" si="19"/>
        <v>#N/A</v>
      </c>
      <c r="N213" s="7" t="str">
        <f t="shared" si="20"/>
        <v/>
      </c>
      <c r="O213" s="79" t="str">
        <f t="shared" si="21"/>
        <v/>
      </c>
      <c r="P213" s="71" t="str">
        <f t="shared" si="22"/>
        <v/>
      </c>
      <c r="Q213" s="72" t="str">
        <f>IF(G213="","",ABS(P213-Components!$C$2))</f>
        <v/>
      </c>
      <c r="R213" s="72" t="str">
        <f>IF(G213="","",ABS(P213-Components!$C$3))</f>
        <v/>
      </c>
      <c r="S213" s="72" t="str">
        <f>IF(G213="","",ABS(P213-Components!$C$4))</f>
        <v/>
      </c>
      <c r="T213" s="72" t="str">
        <f>IF(G213="","",ABS(P213-Components!$C$5))</f>
        <v/>
      </c>
      <c r="U213" s="72" t="str">
        <f>IF(G213="","",ABS(P213-Components!$C$6))</f>
        <v/>
      </c>
      <c r="V213" s="72" t="str">
        <f>IF(G213="","",ABS(P213-Components!$C$7))</f>
        <v/>
      </c>
      <c r="W213" s="7" t="str">
        <f>IF(G213="","",IF(N213="OK","NONE",INDEX({"S1","S2","W1","W2","N1","N2"},MATCH(MIN(Q213:V213),Q213:V213,0))))</f>
        <v/>
      </c>
      <c r="X213" s="80" t="str">
        <f t="shared" si="23"/>
        <v/>
      </c>
    </row>
    <row r="214" spans="1:24">
      <c r="A214" s="49">
        <v>212</v>
      </c>
      <c r="B214" s="74"/>
      <c r="C214" s="75"/>
      <c r="D214" s="75"/>
      <c r="E214" s="75"/>
      <c r="F214" s="75"/>
      <c r="G214" s="76"/>
      <c r="H214" s="77"/>
      <c r="I214" s="78"/>
      <c r="J214" s="70" t="e">
        <f>VLOOKUP(C214,Recipes!$A$2:$N$4,10,FALSE())</f>
        <v>#N/A</v>
      </c>
      <c r="K214" s="70" t="e">
        <f>VLOOKUP(C214,Recipes!$A$2:$N$4,12,FALSE())</f>
        <v>#N/A</v>
      </c>
      <c r="L214" s="71" t="e">
        <f t="shared" si="18"/>
        <v>#N/A</v>
      </c>
      <c r="M214" s="71" t="e">
        <f t="shared" si="19"/>
        <v>#N/A</v>
      </c>
      <c r="N214" s="7" t="str">
        <f t="shared" si="20"/>
        <v/>
      </c>
      <c r="O214" s="79" t="str">
        <f t="shared" si="21"/>
        <v/>
      </c>
      <c r="P214" s="71" t="str">
        <f t="shared" si="22"/>
        <v/>
      </c>
      <c r="Q214" s="72" t="str">
        <f>IF(G214="","",ABS(P214-Components!$C$2))</f>
        <v/>
      </c>
      <c r="R214" s="72" t="str">
        <f>IF(G214="","",ABS(P214-Components!$C$3))</f>
        <v/>
      </c>
      <c r="S214" s="72" t="str">
        <f>IF(G214="","",ABS(P214-Components!$C$4))</f>
        <v/>
      </c>
      <c r="T214" s="72" t="str">
        <f>IF(G214="","",ABS(P214-Components!$C$5))</f>
        <v/>
      </c>
      <c r="U214" s="72" t="str">
        <f>IF(G214="","",ABS(P214-Components!$C$6))</f>
        <v/>
      </c>
      <c r="V214" s="72" t="str">
        <f>IF(G214="","",ABS(P214-Components!$C$7))</f>
        <v/>
      </c>
      <c r="W214" s="7" t="str">
        <f>IF(G214="","",IF(N214="OK","NONE",INDEX({"S1","S2","W1","W2","N1","N2"},MATCH(MIN(Q214:V214),Q214:V214,0))))</f>
        <v/>
      </c>
      <c r="X214" s="80" t="str">
        <f t="shared" si="23"/>
        <v/>
      </c>
    </row>
    <row r="215" spans="1:24">
      <c r="A215" s="49">
        <v>213</v>
      </c>
      <c r="B215" s="74"/>
      <c r="C215" s="75"/>
      <c r="D215" s="75"/>
      <c r="E215" s="75"/>
      <c r="F215" s="75"/>
      <c r="G215" s="76"/>
      <c r="H215" s="77"/>
      <c r="I215" s="78"/>
      <c r="J215" s="70" t="e">
        <f>VLOOKUP(C215,Recipes!$A$2:$N$4,10,FALSE())</f>
        <v>#N/A</v>
      </c>
      <c r="K215" s="70" t="e">
        <f>VLOOKUP(C215,Recipes!$A$2:$N$4,12,FALSE())</f>
        <v>#N/A</v>
      </c>
      <c r="L215" s="71" t="e">
        <f t="shared" si="18"/>
        <v>#N/A</v>
      </c>
      <c r="M215" s="71" t="e">
        <f t="shared" si="19"/>
        <v>#N/A</v>
      </c>
      <c r="N215" s="7" t="str">
        <f t="shared" si="20"/>
        <v/>
      </c>
      <c r="O215" s="79" t="str">
        <f t="shared" si="21"/>
        <v/>
      </c>
      <c r="P215" s="71" t="str">
        <f t="shared" si="22"/>
        <v/>
      </c>
      <c r="Q215" s="72" t="str">
        <f>IF(G215="","",ABS(P215-Components!$C$2))</f>
        <v/>
      </c>
      <c r="R215" s="72" t="str">
        <f>IF(G215="","",ABS(P215-Components!$C$3))</f>
        <v/>
      </c>
      <c r="S215" s="72" t="str">
        <f>IF(G215="","",ABS(P215-Components!$C$4))</f>
        <v/>
      </c>
      <c r="T215" s="72" t="str">
        <f>IF(G215="","",ABS(P215-Components!$C$5))</f>
        <v/>
      </c>
      <c r="U215" s="72" t="str">
        <f>IF(G215="","",ABS(P215-Components!$C$6))</f>
        <v/>
      </c>
      <c r="V215" s="72" t="str">
        <f>IF(G215="","",ABS(P215-Components!$C$7))</f>
        <v/>
      </c>
      <c r="W215" s="7" t="str">
        <f>IF(G215="","",IF(N215="OK","NONE",INDEX({"S1","S2","W1","W2","N1","N2"},MATCH(MIN(Q215:V215),Q215:V215,0))))</f>
        <v/>
      </c>
      <c r="X215" s="80" t="str">
        <f t="shared" si="23"/>
        <v/>
      </c>
    </row>
    <row r="216" spans="1:24">
      <c r="A216" s="49">
        <v>214</v>
      </c>
      <c r="B216" s="74"/>
      <c r="C216" s="75"/>
      <c r="D216" s="75"/>
      <c r="E216" s="75"/>
      <c r="F216" s="75"/>
      <c r="G216" s="76"/>
      <c r="H216" s="77"/>
      <c r="I216" s="78"/>
      <c r="J216" s="70" t="e">
        <f>VLOOKUP(C216,Recipes!$A$2:$N$4,10,FALSE())</f>
        <v>#N/A</v>
      </c>
      <c r="K216" s="70" t="e">
        <f>VLOOKUP(C216,Recipes!$A$2:$N$4,12,FALSE())</f>
        <v>#N/A</v>
      </c>
      <c r="L216" s="71" t="e">
        <f t="shared" si="18"/>
        <v>#N/A</v>
      </c>
      <c r="M216" s="71" t="e">
        <f t="shared" si="19"/>
        <v>#N/A</v>
      </c>
      <c r="N216" s="7" t="str">
        <f t="shared" si="20"/>
        <v/>
      </c>
      <c r="O216" s="79" t="str">
        <f t="shared" si="21"/>
        <v/>
      </c>
      <c r="P216" s="71" t="str">
        <f t="shared" si="22"/>
        <v/>
      </c>
      <c r="Q216" s="72" t="str">
        <f>IF(G216="","",ABS(P216-Components!$C$2))</f>
        <v/>
      </c>
      <c r="R216" s="72" t="str">
        <f>IF(G216="","",ABS(P216-Components!$C$3))</f>
        <v/>
      </c>
      <c r="S216" s="72" t="str">
        <f>IF(G216="","",ABS(P216-Components!$C$4))</f>
        <v/>
      </c>
      <c r="T216" s="72" t="str">
        <f>IF(G216="","",ABS(P216-Components!$C$5))</f>
        <v/>
      </c>
      <c r="U216" s="72" t="str">
        <f>IF(G216="","",ABS(P216-Components!$C$6))</f>
        <v/>
      </c>
      <c r="V216" s="72" t="str">
        <f>IF(G216="","",ABS(P216-Components!$C$7))</f>
        <v/>
      </c>
      <c r="W216" s="7" t="str">
        <f>IF(G216="","",IF(N216="OK","NONE",INDEX({"S1","S2","W1","W2","N1","N2"},MATCH(MIN(Q216:V216),Q216:V216,0))))</f>
        <v/>
      </c>
      <c r="X216" s="80" t="str">
        <f t="shared" si="23"/>
        <v/>
      </c>
    </row>
    <row r="217" spans="1:24">
      <c r="A217" s="49">
        <v>215</v>
      </c>
      <c r="B217" s="74"/>
      <c r="C217" s="75"/>
      <c r="D217" s="75"/>
      <c r="E217" s="75"/>
      <c r="F217" s="75"/>
      <c r="G217" s="76"/>
      <c r="H217" s="77"/>
      <c r="I217" s="78"/>
      <c r="J217" s="70" t="e">
        <f>VLOOKUP(C217,Recipes!$A$2:$N$4,10,FALSE())</f>
        <v>#N/A</v>
      </c>
      <c r="K217" s="70" t="e">
        <f>VLOOKUP(C217,Recipes!$A$2:$N$4,12,FALSE())</f>
        <v>#N/A</v>
      </c>
      <c r="L217" s="71" t="e">
        <f t="shared" si="18"/>
        <v>#N/A</v>
      </c>
      <c r="M217" s="71" t="e">
        <f t="shared" si="19"/>
        <v>#N/A</v>
      </c>
      <c r="N217" s="7" t="str">
        <f t="shared" si="20"/>
        <v/>
      </c>
      <c r="O217" s="79" t="str">
        <f t="shared" si="21"/>
        <v/>
      </c>
      <c r="P217" s="71" t="str">
        <f t="shared" si="22"/>
        <v/>
      </c>
      <c r="Q217" s="72" t="str">
        <f>IF(G217="","",ABS(P217-Components!$C$2))</f>
        <v/>
      </c>
      <c r="R217" s="72" t="str">
        <f>IF(G217="","",ABS(P217-Components!$C$3))</f>
        <v/>
      </c>
      <c r="S217" s="72" t="str">
        <f>IF(G217="","",ABS(P217-Components!$C$4))</f>
        <v/>
      </c>
      <c r="T217" s="72" t="str">
        <f>IF(G217="","",ABS(P217-Components!$C$5))</f>
        <v/>
      </c>
      <c r="U217" s="72" t="str">
        <f>IF(G217="","",ABS(P217-Components!$C$6))</f>
        <v/>
      </c>
      <c r="V217" s="72" t="str">
        <f>IF(G217="","",ABS(P217-Components!$C$7))</f>
        <v/>
      </c>
      <c r="W217" s="7" t="str">
        <f>IF(G217="","",IF(N217="OK","NONE",INDEX({"S1","S2","W1","W2","N1","N2"},MATCH(MIN(Q217:V217),Q217:V217,0))))</f>
        <v/>
      </c>
      <c r="X217" s="80" t="str">
        <f t="shared" si="23"/>
        <v/>
      </c>
    </row>
    <row r="218" spans="1:24">
      <c r="A218" s="49">
        <v>216</v>
      </c>
      <c r="B218" s="74"/>
      <c r="C218" s="75"/>
      <c r="D218" s="75"/>
      <c r="E218" s="75"/>
      <c r="F218" s="75"/>
      <c r="G218" s="76"/>
      <c r="H218" s="77"/>
      <c r="I218" s="78"/>
      <c r="J218" s="70" t="e">
        <f>VLOOKUP(C218,Recipes!$A$2:$N$4,10,FALSE())</f>
        <v>#N/A</v>
      </c>
      <c r="K218" s="70" t="e">
        <f>VLOOKUP(C218,Recipes!$A$2:$N$4,12,FALSE())</f>
        <v>#N/A</v>
      </c>
      <c r="L218" s="71" t="e">
        <f t="shared" si="18"/>
        <v>#N/A</v>
      </c>
      <c r="M218" s="71" t="e">
        <f t="shared" si="19"/>
        <v>#N/A</v>
      </c>
      <c r="N218" s="7" t="str">
        <f t="shared" si="20"/>
        <v/>
      </c>
      <c r="O218" s="79" t="str">
        <f t="shared" si="21"/>
        <v/>
      </c>
      <c r="P218" s="71" t="str">
        <f t="shared" si="22"/>
        <v/>
      </c>
      <c r="Q218" s="72" t="str">
        <f>IF(G218="","",ABS(P218-Components!$C$2))</f>
        <v/>
      </c>
      <c r="R218" s="72" t="str">
        <f>IF(G218="","",ABS(P218-Components!$C$3))</f>
        <v/>
      </c>
      <c r="S218" s="72" t="str">
        <f>IF(G218="","",ABS(P218-Components!$C$4))</f>
        <v/>
      </c>
      <c r="T218" s="72" t="str">
        <f>IF(G218="","",ABS(P218-Components!$C$5))</f>
        <v/>
      </c>
      <c r="U218" s="72" t="str">
        <f>IF(G218="","",ABS(P218-Components!$C$6))</f>
        <v/>
      </c>
      <c r="V218" s="72" t="str">
        <f>IF(G218="","",ABS(P218-Components!$C$7))</f>
        <v/>
      </c>
      <c r="W218" s="7" t="str">
        <f>IF(G218="","",IF(N218="OK","NONE",INDEX({"S1","S2","W1","W2","N1","N2"},MATCH(MIN(Q218:V218),Q218:V218,0))))</f>
        <v/>
      </c>
      <c r="X218" s="80" t="str">
        <f t="shared" si="23"/>
        <v/>
      </c>
    </row>
    <row r="219" spans="1:24">
      <c r="A219" s="49">
        <v>217</v>
      </c>
      <c r="B219" s="74"/>
      <c r="C219" s="75"/>
      <c r="D219" s="75"/>
      <c r="E219" s="75"/>
      <c r="F219" s="75"/>
      <c r="G219" s="76"/>
      <c r="H219" s="77"/>
      <c r="I219" s="78"/>
      <c r="J219" s="70" t="e">
        <f>VLOOKUP(C219,Recipes!$A$2:$N$4,10,FALSE())</f>
        <v>#N/A</v>
      </c>
      <c r="K219" s="70" t="e">
        <f>VLOOKUP(C219,Recipes!$A$2:$N$4,12,FALSE())</f>
        <v>#N/A</v>
      </c>
      <c r="L219" s="71" t="e">
        <f t="shared" si="18"/>
        <v>#N/A</v>
      </c>
      <c r="M219" s="71" t="e">
        <f t="shared" si="19"/>
        <v>#N/A</v>
      </c>
      <c r="N219" s="7" t="str">
        <f t="shared" si="20"/>
        <v/>
      </c>
      <c r="O219" s="79" t="str">
        <f t="shared" si="21"/>
        <v/>
      </c>
      <c r="P219" s="71" t="str">
        <f t="shared" si="22"/>
        <v/>
      </c>
      <c r="Q219" s="72" t="str">
        <f>IF(G219="","",ABS(P219-Components!$C$2))</f>
        <v/>
      </c>
      <c r="R219" s="72" t="str">
        <f>IF(G219="","",ABS(P219-Components!$C$3))</f>
        <v/>
      </c>
      <c r="S219" s="72" t="str">
        <f>IF(G219="","",ABS(P219-Components!$C$4))</f>
        <v/>
      </c>
      <c r="T219" s="72" t="str">
        <f>IF(G219="","",ABS(P219-Components!$C$5))</f>
        <v/>
      </c>
      <c r="U219" s="72" t="str">
        <f>IF(G219="","",ABS(P219-Components!$C$6))</f>
        <v/>
      </c>
      <c r="V219" s="72" t="str">
        <f>IF(G219="","",ABS(P219-Components!$C$7))</f>
        <v/>
      </c>
      <c r="W219" s="7" t="str">
        <f>IF(G219="","",IF(N219="OK","NONE",INDEX({"S1","S2","W1","W2","N1","N2"},MATCH(MIN(Q219:V219),Q219:V219,0))))</f>
        <v/>
      </c>
      <c r="X219" s="80" t="str">
        <f t="shared" si="23"/>
        <v/>
      </c>
    </row>
    <row r="220" spans="1:24">
      <c r="A220" s="49">
        <v>218</v>
      </c>
      <c r="B220" s="74"/>
      <c r="C220" s="75"/>
      <c r="D220" s="75"/>
      <c r="E220" s="75"/>
      <c r="F220" s="75"/>
      <c r="G220" s="76"/>
      <c r="H220" s="77"/>
      <c r="I220" s="78"/>
      <c r="J220" s="70" t="e">
        <f>VLOOKUP(C220,Recipes!$A$2:$N$4,10,FALSE())</f>
        <v>#N/A</v>
      </c>
      <c r="K220" s="70" t="e">
        <f>VLOOKUP(C220,Recipes!$A$2:$N$4,12,FALSE())</f>
        <v>#N/A</v>
      </c>
      <c r="L220" s="71" t="e">
        <f t="shared" si="18"/>
        <v>#N/A</v>
      </c>
      <c r="M220" s="71" t="e">
        <f t="shared" si="19"/>
        <v>#N/A</v>
      </c>
      <c r="N220" s="7" t="str">
        <f t="shared" si="20"/>
        <v/>
      </c>
      <c r="O220" s="79" t="str">
        <f t="shared" si="21"/>
        <v/>
      </c>
      <c r="P220" s="71" t="str">
        <f t="shared" si="22"/>
        <v/>
      </c>
      <c r="Q220" s="72" t="str">
        <f>IF(G220="","",ABS(P220-Components!$C$2))</f>
        <v/>
      </c>
      <c r="R220" s="72" t="str">
        <f>IF(G220="","",ABS(P220-Components!$C$3))</f>
        <v/>
      </c>
      <c r="S220" s="72" t="str">
        <f>IF(G220="","",ABS(P220-Components!$C$4))</f>
        <v/>
      </c>
      <c r="T220" s="72" t="str">
        <f>IF(G220="","",ABS(P220-Components!$C$5))</f>
        <v/>
      </c>
      <c r="U220" s="72" t="str">
        <f>IF(G220="","",ABS(P220-Components!$C$6))</f>
        <v/>
      </c>
      <c r="V220" s="72" t="str">
        <f>IF(G220="","",ABS(P220-Components!$C$7))</f>
        <v/>
      </c>
      <c r="W220" s="7" t="str">
        <f>IF(G220="","",IF(N220="OK","NONE",INDEX({"S1","S2","W1","W2","N1","N2"},MATCH(MIN(Q220:V220),Q220:V220,0))))</f>
        <v/>
      </c>
      <c r="X220" s="80" t="str">
        <f t="shared" si="23"/>
        <v/>
      </c>
    </row>
    <row r="221" spans="1:24">
      <c r="A221" s="49">
        <v>219</v>
      </c>
      <c r="B221" s="74"/>
      <c r="C221" s="75"/>
      <c r="D221" s="75"/>
      <c r="E221" s="75"/>
      <c r="F221" s="75"/>
      <c r="G221" s="76"/>
      <c r="H221" s="77"/>
      <c r="I221" s="78"/>
      <c r="J221" s="70" t="e">
        <f>VLOOKUP(C221,Recipes!$A$2:$N$4,10,FALSE())</f>
        <v>#N/A</v>
      </c>
      <c r="K221" s="70" t="e">
        <f>VLOOKUP(C221,Recipes!$A$2:$N$4,12,FALSE())</f>
        <v>#N/A</v>
      </c>
      <c r="L221" s="71" t="e">
        <f t="shared" si="18"/>
        <v>#N/A</v>
      </c>
      <c r="M221" s="71" t="e">
        <f t="shared" si="19"/>
        <v>#N/A</v>
      </c>
      <c r="N221" s="7" t="str">
        <f t="shared" si="20"/>
        <v/>
      </c>
      <c r="O221" s="79" t="str">
        <f t="shared" si="21"/>
        <v/>
      </c>
      <c r="P221" s="71" t="str">
        <f t="shared" si="22"/>
        <v/>
      </c>
      <c r="Q221" s="72" t="str">
        <f>IF(G221="","",ABS(P221-Components!$C$2))</f>
        <v/>
      </c>
      <c r="R221" s="72" t="str">
        <f>IF(G221="","",ABS(P221-Components!$C$3))</f>
        <v/>
      </c>
      <c r="S221" s="72" t="str">
        <f>IF(G221="","",ABS(P221-Components!$C$4))</f>
        <v/>
      </c>
      <c r="T221" s="72" t="str">
        <f>IF(G221="","",ABS(P221-Components!$C$5))</f>
        <v/>
      </c>
      <c r="U221" s="72" t="str">
        <f>IF(G221="","",ABS(P221-Components!$C$6))</f>
        <v/>
      </c>
      <c r="V221" s="72" t="str">
        <f>IF(G221="","",ABS(P221-Components!$C$7))</f>
        <v/>
      </c>
      <c r="W221" s="7" t="str">
        <f>IF(G221="","",IF(N221="OK","NONE",INDEX({"S1","S2","W1","W2","N1","N2"},MATCH(MIN(Q221:V221),Q221:V221,0))))</f>
        <v/>
      </c>
      <c r="X221" s="80" t="str">
        <f t="shared" si="23"/>
        <v/>
      </c>
    </row>
    <row r="222" spans="1:24">
      <c r="A222" s="49">
        <v>220</v>
      </c>
      <c r="B222" s="74"/>
      <c r="C222" s="75"/>
      <c r="D222" s="75"/>
      <c r="E222" s="75"/>
      <c r="F222" s="75"/>
      <c r="G222" s="76"/>
      <c r="H222" s="77"/>
      <c r="I222" s="78"/>
      <c r="J222" s="70" t="e">
        <f>VLOOKUP(C222,Recipes!$A$2:$N$4,10,FALSE())</f>
        <v>#N/A</v>
      </c>
      <c r="K222" s="70" t="e">
        <f>VLOOKUP(C222,Recipes!$A$2:$N$4,12,FALSE())</f>
        <v>#N/A</v>
      </c>
      <c r="L222" s="71" t="e">
        <f t="shared" si="18"/>
        <v>#N/A</v>
      </c>
      <c r="M222" s="71" t="e">
        <f t="shared" si="19"/>
        <v>#N/A</v>
      </c>
      <c r="N222" s="7" t="str">
        <f t="shared" si="20"/>
        <v/>
      </c>
      <c r="O222" s="79" t="str">
        <f t="shared" si="21"/>
        <v/>
      </c>
      <c r="P222" s="71" t="str">
        <f t="shared" si="22"/>
        <v/>
      </c>
      <c r="Q222" s="72" t="str">
        <f>IF(G222="","",ABS(P222-Components!$C$2))</f>
        <v/>
      </c>
      <c r="R222" s="72" t="str">
        <f>IF(G222="","",ABS(P222-Components!$C$3))</f>
        <v/>
      </c>
      <c r="S222" s="72" t="str">
        <f>IF(G222="","",ABS(P222-Components!$C$4))</f>
        <v/>
      </c>
      <c r="T222" s="72" t="str">
        <f>IF(G222="","",ABS(P222-Components!$C$5))</f>
        <v/>
      </c>
      <c r="U222" s="72" t="str">
        <f>IF(G222="","",ABS(P222-Components!$C$6))</f>
        <v/>
      </c>
      <c r="V222" s="72" t="str">
        <f>IF(G222="","",ABS(P222-Components!$C$7))</f>
        <v/>
      </c>
      <c r="W222" s="7" t="str">
        <f>IF(G222="","",IF(N222="OK","NONE",INDEX({"S1","S2","W1","W2","N1","N2"},MATCH(MIN(Q222:V222),Q222:V222,0))))</f>
        <v/>
      </c>
      <c r="X222" s="80" t="str">
        <f t="shared" si="23"/>
        <v/>
      </c>
    </row>
    <row r="223" spans="1:24">
      <c r="A223" s="49">
        <v>221</v>
      </c>
      <c r="B223" s="74"/>
      <c r="C223" s="75"/>
      <c r="D223" s="75"/>
      <c r="E223" s="75"/>
      <c r="F223" s="75"/>
      <c r="G223" s="76"/>
      <c r="H223" s="77"/>
      <c r="I223" s="78"/>
      <c r="J223" s="70" t="e">
        <f>VLOOKUP(C223,Recipes!$A$2:$N$4,10,FALSE())</f>
        <v>#N/A</v>
      </c>
      <c r="K223" s="70" t="e">
        <f>VLOOKUP(C223,Recipes!$A$2:$N$4,12,FALSE())</f>
        <v>#N/A</v>
      </c>
      <c r="L223" s="71" t="e">
        <f t="shared" si="18"/>
        <v>#N/A</v>
      </c>
      <c r="M223" s="71" t="e">
        <f t="shared" si="19"/>
        <v>#N/A</v>
      </c>
      <c r="N223" s="7" t="str">
        <f t="shared" si="20"/>
        <v/>
      </c>
      <c r="O223" s="79" t="str">
        <f t="shared" si="21"/>
        <v/>
      </c>
      <c r="P223" s="71" t="str">
        <f t="shared" si="22"/>
        <v/>
      </c>
      <c r="Q223" s="72" t="str">
        <f>IF(G223="","",ABS(P223-Components!$C$2))</f>
        <v/>
      </c>
      <c r="R223" s="72" t="str">
        <f>IF(G223="","",ABS(P223-Components!$C$3))</f>
        <v/>
      </c>
      <c r="S223" s="72" t="str">
        <f>IF(G223="","",ABS(P223-Components!$C$4))</f>
        <v/>
      </c>
      <c r="T223" s="72" t="str">
        <f>IF(G223="","",ABS(P223-Components!$C$5))</f>
        <v/>
      </c>
      <c r="U223" s="72" t="str">
        <f>IF(G223="","",ABS(P223-Components!$C$6))</f>
        <v/>
      </c>
      <c r="V223" s="72" t="str">
        <f>IF(G223="","",ABS(P223-Components!$C$7))</f>
        <v/>
      </c>
      <c r="W223" s="7" t="str">
        <f>IF(G223="","",IF(N223="OK","NONE",INDEX({"S1","S2","W1","W2","N1","N2"},MATCH(MIN(Q223:V223),Q223:V223,0))))</f>
        <v/>
      </c>
      <c r="X223" s="80" t="str">
        <f t="shared" si="23"/>
        <v/>
      </c>
    </row>
    <row r="224" spans="1:24">
      <c r="A224" s="49">
        <v>222</v>
      </c>
      <c r="B224" s="74"/>
      <c r="C224" s="75"/>
      <c r="D224" s="75"/>
      <c r="E224" s="75"/>
      <c r="F224" s="75"/>
      <c r="G224" s="76"/>
      <c r="H224" s="77"/>
      <c r="I224" s="78"/>
      <c r="J224" s="70" t="e">
        <f>VLOOKUP(C224,Recipes!$A$2:$N$4,10,FALSE())</f>
        <v>#N/A</v>
      </c>
      <c r="K224" s="70" t="e">
        <f>VLOOKUP(C224,Recipes!$A$2:$N$4,12,FALSE())</f>
        <v>#N/A</v>
      </c>
      <c r="L224" s="71" t="e">
        <f t="shared" si="18"/>
        <v>#N/A</v>
      </c>
      <c r="M224" s="71" t="e">
        <f t="shared" si="19"/>
        <v>#N/A</v>
      </c>
      <c r="N224" s="7" t="str">
        <f t="shared" si="20"/>
        <v/>
      </c>
      <c r="O224" s="79" t="str">
        <f t="shared" si="21"/>
        <v/>
      </c>
      <c r="P224" s="71" t="str">
        <f t="shared" si="22"/>
        <v/>
      </c>
      <c r="Q224" s="72" t="str">
        <f>IF(G224="","",ABS(P224-Components!$C$2))</f>
        <v/>
      </c>
      <c r="R224" s="72" t="str">
        <f>IF(G224="","",ABS(P224-Components!$C$3))</f>
        <v/>
      </c>
      <c r="S224" s="72" t="str">
        <f>IF(G224="","",ABS(P224-Components!$C$4))</f>
        <v/>
      </c>
      <c r="T224" s="72" t="str">
        <f>IF(G224="","",ABS(P224-Components!$C$5))</f>
        <v/>
      </c>
      <c r="U224" s="72" t="str">
        <f>IF(G224="","",ABS(P224-Components!$C$6))</f>
        <v/>
      </c>
      <c r="V224" s="72" t="str">
        <f>IF(G224="","",ABS(P224-Components!$C$7))</f>
        <v/>
      </c>
      <c r="W224" s="7" t="str">
        <f>IF(G224="","",IF(N224="OK","NONE",INDEX({"S1","S2","W1","W2","N1","N2"},MATCH(MIN(Q224:V224),Q224:V224,0))))</f>
        <v/>
      </c>
      <c r="X224" s="80" t="str">
        <f t="shared" si="23"/>
        <v/>
      </c>
    </row>
    <row r="225" spans="1:24">
      <c r="A225" s="49">
        <v>223</v>
      </c>
      <c r="B225" s="74"/>
      <c r="C225" s="75"/>
      <c r="D225" s="75"/>
      <c r="E225" s="75"/>
      <c r="F225" s="75"/>
      <c r="G225" s="76"/>
      <c r="H225" s="77"/>
      <c r="I225" s="78"/>
      <c r="J225" s="70" t="e">
        <f>VLOOKUP(C225,Recipes!$A$2:$N$4,10,FALSE())</f>
        <v>#N/A</v>
      </c>
      <c r="K225" s="70" t="e">
        <f>VLOOKUP(C225,Recipes!$A$2:$N$4,12,FALSE())</f>
        <v>#N/A</v>
      </c>
      <c r="L225" s="71" t="e">
        <f t="shared" si="18"/>
        <v>#N/A</v>
      </c>
      <c r="M225" s="71" t="e">
        <f t="shared" si="19"/>
        <v>#N/A</v>
      </c>
      <c r="N225" s="7" t="str">
        <f t="shared" si="20"/>
        <v/>
      </c>
      <c r="O225" s="79" t="str">
        <f t="shared" si="21"/>
        <v/>
      </c>
      <c r="P225" s="71" t="str">
        <f t="shared" si="22"/>
        <v/>
      </c>
      <c r="Q225" s="72" t="str">
        <f>IF(G225="","",ABS(P225-Components!$C$2))</f>
        <v/>
      </c>
      <c r="R225" s="72" t="str">
        <f>IF(G225="","",ABS(P225-Components!$C$3))</f>
        <v/>
      </c>
      <c r="S225" s="72" t="str">
        <f>IF(G225="","",ABS(P225-Components!$C$4))</f>
        <v/>
      </c>
      <c r="T225" s="72" t="str">
        <f>IF(G225="","",ABS(P225-Components!$C$5))</f>
        <v/>
      </c>
      <c r="U225" s="72" t="str">
        <f>IF(G225="","",ABS(P225-Components!$C$6))</f>
        <v/>
      </c>
      <c r="V225" s="72" t="str">
        <f>IF(G225="","",ABS(P225-Components!$C$7))</f>
        <v/>
      </c>
      <c r="W225" s="7" t="str">
        <f>IF(G225="","",IF(N225="OK","NONE",INDEX({"S1","S2","W1","W2","N1","N2"},MATCH(MIN(Q225:V225),Q225:V225,0))))</f>
        <v/>
      </c>
      <c r="X225" s="80" t="str">
        <f t="shared" si="23"/>
        <v/>
      </c>
    </row>
    <row r="226" spans="1:24">
      <c r="A226" s="49">
        <v>224</v>
      </c>
      <c r="B226" s="74"/>
      <c r="C226" s="75"/>
      <c r="D226" s="75"/>
      <c r="E226" s="75"/>
      <c r="F226" s="75"/>
      <c r="G226" s="76"/>
      <c r="H226" s="77"/>
      <c r="I226" s="78"/>
      <c r="J226" s="70" t="e">
        <f>VLOOKUP(C226,Recipes!$A$2:$N$4,10,FALSE())</f>
        <v>#N/A</v>
      </c>
      <c r="K226" s="70" t="e">
        <f>VLOOKUP(C226,Recipes!$A$2:$N$4,12,FALSE())</f>
        <v>#N/A</v>
      </c>
      <c r="L226" s="71" t="e">
        <f t="shared" si="18"/>
        <v>#N/A</v>
      </c>
      <c r="M226" s="71" t="e">
        <f t="shared" si="19"/>
        <v>#N/A</v>
      </c>
      <c r="N226" s="7" t="str">
        <f t="shared" si="20"/>
        <v/>
      </c>
      <c r="O226" s="79" t="str">
        <f t="shared" si="21"/>
        <v/>
      </c>
      <c r="P226" s="71" t="str">
        <f t="shared" si="22"/>
        <v/>
      </c>
      <c r="Q226" s="72" t="str">
        <f>IF(G226="","",ABS(P226-Components!$C$2))</f>
        <v/>
      </c>
      <c r="R226" s="72" t="str">
        <f>IF(G226="","",ABS(P226-Components!$C$3))</f>
        <v/>
      </c>
      <c r="S226" s="72" t="str">
        <f>IF(G226="","",ABS(P226-Components!$C$4))</f>
        <v/>
      </c>
      <c r="T226" s="72" t="str">
        <f>IF(G226="","",ABS(P226-Components!$C$5))</f>
        <v/>
      </c>
      <c r="U226" s="72" t="str">
        <f>IF(G226="","",ABS(P226-Components!$C$6))</f>
        <v/>
      </c>
      <c r="V226" s="72" t="str">
        <f>IF(G226="","",ABS(P226-Components!$C$7))</f>
        <v/>
      </c>
      <c r="W226" s="7" t="str">
        <f>IF(G226="","",IF(N226="OK","NONE",INDEX({"S1","S2","W1","W2","N1","N2"},MATCH(MIN(Q226:V226),Q226:V226,0))))</f>
        <v/>
      </c>
      <c r="X226" s="80" t="str">
        <f t="shared" si="23"/>
        <v/>
      </c>
    </row>
    <row r="227" spans="1:24">
      <c r="A227" s="49">
        <v>225</v>
      </c>
      <c r="B227" s="74"/>
      <c r="C227" s="75"/>
      <c r="D227" s="75"/>
      <c r="E227" s="75"/>
      <c r="F227" s="75"/>
      <c r="G227" s="76"/>
      <c r="H227" s="77"/>
      <c r="I227" s="78"/>
      <c r="J227" s="70" t="e">
        <f>VLOOKUP(C227,Recipes!$A$2:$N$4,10,FALSE())</f>
        <v>#N/A</v>
      </c>
      <c r="K227" s="70" t="e">
        <f>VLOOKUP(C227,Recipes!$A$2:$N$4,12,FALSE())</f>
        <v>#N/A</v>
      </c>
      <c r="L227" s="71" t="e">
        <f t="shared" si="18"/>
        <v>#N/A</v>
      </c>
      <c r="M227" s="71" t="e">
        <f t="shared" si="19"/>
        <v>#N/A</v>
      </c>
      <c r="N227" s="7" t="str">
        <f t="shared" si="20"/>
        <v/>
      </c>
      <c r="O227" s="79" t="str">
        <f t="shared" si="21"/>
        <v/>
      </c>
      <c r="P227" s="71" t="str">
        <f t="shared" si="22"/>
        <v/>
      </c>
      <c r="Q227" s="72" t="str">
        <f>IF(G227="","",ABS(P227-Components!$C$2))</f>
        <v/>
      </c>
      <c r="R227" s="72" t="str">
        <f>IF(G227="","",ABS(P227-Components!$C$3))</f>
        <v/>
      </c>
      <c r="S227" s="72" t="str">
        <f>IF(G227="","",ABS(P227-Components!$C$4))</f>
        <v/>
      </c>
      <c r="T227" s="72" t="str">
        <f>IF(G227="","",ABS(P227-Components!$C$5))</f>
        <v/>
      </c>
      <c r="U227" s="72" t="str">
        <f>IF(G227="","",ABS(P227-Components!$C$6))</f>
        <v/>
      </c>
      <c r="V227" s="72" t="str">
        <f>IF(G227="","",ABS(P227-Components!$C$7))</f>
        <v/>
      </c>
      <c r="W227" s="7" t="str">
        <f>IF(G227="","",IF(N227="OK","NONE",INDEX({"S1","S2","W1","W2","N1","N2"},MATCH(MIN(Q227:V227),Q227:V227,0))))</f>
        <v/>
      </c>
      <c r="X227" s="80" t="str">
        <f t="shared" si="23"/>
        <v/>
      </c>
    </row>
    <row r="228" spans="1:24">
      <c r="A228" s="49">
        <v>226</v>
      </c>
      <c r="B228" s="74"/>
      <c r="C228" s="75"/>
      <c r="D228" s="75"/>
      <c r="E228" s="75"/>
      <c r="F228" s="75"/>
      <c r="G228" s="76"/>
      <c r="H228" s="77"/>
      <c r="I228" s="78"/>
      <c r="J228" s="70" t="e">
        <f>VLOOKUP(C228,Recipes!$A$2:$N$4,10,FALSE())</f>
        <v>#N/A</v>
      </c>
      <c r="K228" s="70" t="e">
        <f>VLOOKUP(C228,Recipes!$A$2:$N$4,12,FALSE())</f>
        <v>#N/A</v>
      </c>
      <c r="L228" s="71" t="e">
        <f t="shared" si="18"/>
        <v>#N/A</v>
      </c>
      <c r="M228" s="71" t="e">
        <f t="shared" si="19"/>
        <v>#N/A</v>
      </c>
      <c r="N228" s="7" t="str">
        <f t="shared" si="20"/>
        <v/>
      </c>
      <c r="O228" s="79" t="str">
        <f t="shared" si="21"/>
        <v/>
      </c>
      <c r="P228" s="71" t="str">
        <f t="shared" si="22"/>
        <v/>
      </c>
      <c r="Q228" s="72" t="str">
        <f>IF(G228="","",ABS(P228-Components!$C$2))</f>
        <v/>
      </c>
      <c r="R228" s="72" t="str">
        <f>IF(G228="","",ABS(P228-Components!$C$3))</f>
        <v/>
      </c>
      <c r="S228" s="72" t="str">
        <f>IF(G228="","",ABS(P228-Components!$C$4))</f>
        <v/>
      </c>
      <c r="T228" s="72" t="str">
        <f>IF(G228="","",ABS(P228-Components!$C$5))</f>
        <v/>
      </c>
      <c r="U228" s="72" t="str">
        <f>IF(G228="","",ABS(P228-Components!$C$6))</f>
        <v/>
      </c>
      <c r="V228" s="72" t="str">
        <f>IF(G228="","",ABS(P228-Components!$C$7))</f>
        <v/>
      </c>
      <c r="W228" s="7" t="str">
        <f>IF(G228="","",IF(N228="OK","NONE",INDEX({"S1","S2","W1","W2","N1","N2"},MATCH(MIN(Q228:V228),Q228:V228,0))))</f>
        <v/>
      </c>
      <c r="X228" s="80" t="str">
        <f t="shared" si="23"/>
        <v/>
      </c>
    </row>
    <row r="229" spans="1:24">
      <c r="A229" s="49">
        <v>227</v>
      </c>
      <c r="B229" s="74"/>
      <c r="C229" s="75"/>
      <c r="D229" s="75"/>
      <c r="E229" s="75"/>
      <c r="F229" s="75"/>
      <c r="G229" s="76"/>
      <c r="H229" s="77"/>
      <c r="I229" s="78"/>
      <c r="J229" s="70" t="e">
        <f>VLOOKUP(C229,Recipes!$A$2:$N$4,10,FALSE())</f>
        <v>#N/A</v>
      </c>
      <c r="K229" s="70" t="e">
        <f>VLOOKUP(C229,Recipes!$A$2:$N$4,12,FALSE())</f>
        <v>#N/A</v>
      </c>
      <c r="L229" s="71" t="e">
        <f t="shared" si="18"/>
        <v>#N/A</v>
      </c>
      <c r="M229" s="71" t="e">
        <f t="shared" si="19"/>
        <v>#N/A</v>
      </c>
      <c r="N229" s="7" t="str">
        <f t="shared" si="20"/>
        <v/>
      </c>
      <c r="O229" s="79" t="str">
        <f t="shared" si="21"/>
        <v/>
      </c>
      <c r="P229" s="71" t="str">
        <f t="shared" si="22"/>
        <v/>
      </c>
      <c r="Q229" s="72" t="str">
        <f>IF(G229="","",ABS(P229-Components!$C$2))</f>
        <v/>
      </c>
      <c r="R229" s="72" t="str">
        <f>IF(G229="","",ABS(P229-Components!$C$3))</f>
        <v/>
      </c>
      <c r="S229" s="72" t="str">
        <f>IF(G229="","",ABS(P229-Components!$C$4))</f>
        <v/>
      </c>
      <c r="T229" s="72" t="str">
        <f>IF(G229="","",ABS(P229-Components!$C$5))</f>
        <v/>
      </c>
      <c r="U229" s="72" t="str">
        <f>IF(G229="","",ABS(P229-Components!$C$6))</f>
        <v/>
      </c>
      <c r="V229" s="72" t="str">
        <f>IF(G229="","",ABS(P229-Components!$C$7))</f>
        <v/>
      </c>
      <c r="W229" s="7" t="str">
        <f>IF(G229="","",IF(N229="OK","NONE",INDEX({"S1","S2","W1","W2","N1","N2"},MATCH(MIN(Q229:V229),Q229:V229,0))))</f>
        <v/>
      </c>
      <c r="X229" s="80" t="str">
        <f t="shared" si="23"/>
        <v/>
      </c>
    </row>
    <row r="230" spans="1:24">
      <c r="A230" s="49">
        <v>228</v>
      </c>
      <c r="B230" s="74"/>
      <c r="C230" s="75"/>
      <c r="D230" s="75"/>
      <c r="E230" s="75"/>
      <c r="F230" s="75"/>
      <c r="G230" s="76"/>
      <c r="H230" s="77"/>
      <c r="I230" s="78"/>
      <c r="J230" s="70" t="e">
        <f>VLOOKUP(C230,Recipes!$A$2:$N$4,10,FALSE())</f>
        <v>#N/A</v>
      </c>
      <c r="K230" s="70" t="e">
        <f>VLOOKUP(C230,Recipes!$A$2:$N$4,12,FALSE())</f>
        <v>#N/A</v>
      </c>
      <c r="L230" s="71" t="e">
        <f t="shared" si="18"/>
        <v>#N/A</v>
      </c>
      <c r="M230" s="71" t="e">
        <f t="shared" si="19"/>
        <v>#N/A</v>
      </c>
      <c r="N230" s="7" t="str">
        <f t="shared" si="20"/>
        <v/>
      </c>
      <c r="O230" s="79" t="str">
        <f t="shared" si="21"/>
        <v/>
      </c>
      <c r="P230" s="71" t="str">
        <f t="shared" si="22"/>
        <v/>
      </c>
      <c r="Q230" s="72" t="str">
        <f>IF(G230="","",ABS(P230-Components!$C$2))</f>
        <v/>
      </c>
      <c r="R230" s="72" t="str">
        <f>IF(G230="","",ABS(P230-Components!$C$3))</f>
        <v/>
      </c>
      <c r="S230" s="72" t="str">
        <f>IF(G230="","",ABS(P230-Components!$C$4))</f>
        <v/>
      </c>
      <c r="T230" s="72" t="str">
        <f>IF(G230="","",ABS(P230-Components!$C$5))</f>
        <v/>
      </c>
      <c r="U230" s="72" t="str">
        <f>IF(G230="","",ABS(P230-Components!$C$6))</f>
        <v/>
      </c>
      <c r="V230" s="72" t="str">
        <f>IF(G230="","",ABS(P230-Components!$C$7))</f>
        <v/>
      </c>
      <c r="W230" s="7" t="str">
        <f>IF(G230="","",IF(N230="OK","NONE",INDEX({"S1","S2","W1","W2","N1","N2"},MATCH(MIN(Q230:V230),Q230:V230,0))))</f>
        <v/>
      </c>
      <c r="X230" s="80" t="str">
        <f t="shared" si="23"/>
        <v/>
      </c>
    </row>
    <row r="231" spans="1:24">
      <c r="A231" s="49">
        <v>229</v>
      </c>
      <c r="B231" s="74"/>
      <c r="C231" s="75"/>
      <c r="D231" s="75"/>
      <c r="E231" s="75"/>
      <c r="F231" s="75"/>
      <c r="G231" s="76"/>
      <c r="H231" s="77"/>
      <c r="I231" s="78"/>
      <c r="J231" s="70" t="e">
        <f>VLOOKUP(C231,Recipes!$A$2:$N$4,10,FALSE())</f>
        <v>#N/A</v>
      </c>
      <c r="K231" s="70" t="e">
        <f>VLOOKUP(C231,Recipes!$A$2:$N$4,12,FALSE())</f>
        <v>#N/A</v>
      </c>
      <c r="L231" s="71" t="e">
        <f t="shared" si="18"/>
        <v>#N/A</v>
      </c>
      <c r="M231" s="71" t="e">
        <f t="shared" si="19"/>
        <v>#N/A</v>
      </c>
      <c r="N231" s="7" t="str">
        <f t="shared" si="20"/>
        <v/>
      </c>
      <c r="O231" s="79" t="str">
        <f t="shared" si="21"/>
        <v/>
      </c>
      <c r="P231" s="71" t="str">
        <f t="shared" si="22"/>
        <v/>
      </c>
      <c r="Q231" s="72" t="str">
        <f>IF(G231="","",ABS(P231-Components!$C$2))</f>
        <v/>
      </c>
      <c r="R231" s="72" t="str">
        <f>IF(G231="","",ABS(P231-Components!$C$3))</f>
        <v/>
      </c>
      <c r="S231" s="72" t="str">
        <f>IF(G231="","",ABS(P231-Components!$C$4))</f>
        <v/>
      </c>
      <c r="T231" s="72" t="str">
        <f>IF(G231="","",ABS(P231-Components!$C$5))</f>
        <v/>
      </c>
      <c r="U231" s="72" t="str">
        <f>IF(G231="","",ABS(P231-Components!$C$6))</f>
        <v/>
      </c>
      <c r="V231" s="72" t="str">
        <f>IF(G231="","",ABS(P231-Components!$C$7))</f>
        <v/>
      </c>
      <c r="W231" s="7" t="str">
        <f>IF(G231="","",IF(N231="OK","NONE",INDEX({"S1","S2","W1","W2","N1","N2"},MATCH(MIN(Q231:V231),Q231:V231,0))))</f>
        <v/>
      </c>
      <c r="X231" s="80" t="str">
        <f t="shared" si="23"/>
        <v/>
      </c>
    </row>
    <row r="232" spans="1:24">
      <c r="A232" s="49">
        <v>230</v>
      </c>
      <c r="B232" s="74"/>
      <c r="C232" s="75"/>
      <c r="D232" s="75"/>
      <c r="E232" s="75"/>
      <c r="F232" s="75"/>
      <c r="G232" s="76"/>
      <c r="H232" s="77"/>
      <c r="I232" s="78"/>
      <c r="J232" s="70" t="e">
        <f>VLOOKUP(C232,Recipes!$A$2:$N$4,10,FALSE())</f>
        <v>#N/A</v>
      </c>
      <c r="K232" s="70" t="e">
        <f>VLOOKUP(C232,Recipes!$A$2:$N$4,12,FALSE())</f>
        <v>#N/A</v>
      </c>
      <c r="L232" s="71" t="e">
        <f t="shared" si="18"/>
        <v>#N/A</v>
      </c>
      <c r="M232" s="71" t="e">
        <f t="shared" si="19"/>
        <v>#N/A</v>
      </c>
      <c r="N232" s="7" t="str">
        <f t="shared" si="20"/>
        <v/>
      </c>
      <c r="O232" s="79" t="str">
        <f t="shared" si="21"/>
        <v/>
      </c>
      <c r="P232" s="71" t="str">
        <f t="shared" si="22"/>
        <v/>
      </c>
      <c r="Q232" s="72" t="str">
        <f>IF(G232="","",ABS(P232-Components!$C$2))</f>
        <v/>
      </c>
      <c r="R232" s="72" t="str">
        <f>IF(G232="","",ABS(P232-Components!$C$3))</f>
        <v/>
      </c>
      <c r="S232" s="72" t="str">
        <f>IF(G232="","",ABS(P232-Components!$C$4))</f>
        <v/>
      </c>
      <c r="T232" s="72" t="str">
        <f>IF(G232="","",ABS(P232-Components!$C$5))</f>
        <v/>
      </c>
      <c r="U232" s="72" t="str">
        <f>IF(G232="","",ABS(P232-Components!$C$6))</f>
        <v/>
      </c>
      <c r="V232" s="72" t="str">
        <f>IF(G232="","",ABS(P232-Components!$C$7))</f>
        <v/>
      </c>
      <c r="W232" s="7" t="str">
        <f>IF(G232="","",IF(N232="OK","NONE",INDEX({"S1","S2","W1","W2","N1","N2"},MATCH(MIN(Q232:V232),Q232:V232,0))))</f>
        <v/>
      </c>
      <c r="X232" s="80" t="str">
        <f t="shared" si="23"/>
        <v/>
      </c>
    </row>
    <row r="233" spans="1:24">
      <c r="A233" s="49">
        <v>231</v>
      </c>
      <c r="B233" s="74"/>
      <c r="C233" s="75"/>
      <c r="D233" s="75"/>
      <c r="E233" s="75"/>
      <c r="F233" s="75"/>
      <c r="G233" s="76"/>
      <c r="H233" s="77"/>
      <c r="I233" s="78"/>
      <c r="J233" s="70" t="e">
        <f>VLOOKUP(C233,Recipes!$A$2:$N$4,10,FALSE())</f>
        <v>#N/A</v>
      </c>
      <c r="K233" s="70" t="e">
        <f>VLOOKUP(C233,Recipes!$A$2:$N$4,12,FALSE())</f>
        <v>#N/A</v>
      </c>
      <c r="L233" s="71" t="e">
        <f t="shared" si="18"/>
        <v>#N/A</v>
      </c>
      <c r="M233" s="71" t="e">
        <f t="shared" si="19"/>
        <v>#N/A</v>
      </c>
      <c r="N233" s="7" t="str">
        <f t="shared" si="20"/>
        <v/>
      </c>
      <c r="O233" s="79" t="str">
        <f t="shared" si="21"/>
        <v/>
      </c>
      <c r="P233" s="71" t="str">
        <f t="shared" si="22"/>
        <v/>
      </c>
      <c r="Q233" s="72" t="str">
        <f>IF(G233="","",ABS(P233-Components!$C$2))</f>
        <v/>
      </c>
      <c r="R233" s="72" t="str">
        <f>IF(G233="","",ABS(P233-Components!$C$3))</f>
        <v/>
      </c>
      <c r="S233" s="72" t="str">
        <f>IF(G233="","",ABS(P233-Components!$C$4))</f>
        <v/>
      </c>
      <c r="T233" s="72" t="str">
        <f>IF(G233="","",ABS(P233-Components!$C$5))</f>
        <v/>
      </c>
      <c r="U233" s="72" t="str">
        <f>IF(G233="","",ABS(P233-Components!$C$6))</f>
        <v/>
      </c>
      <c r="V233" s="72" t="str">
        <f>IF(G233="","",ABS(P233-Components!$C$7))</f>
        <v/>
      </c>
      <c r="W233" s="7" t="str">
        <f>IF(G233="","",IF(N233="OK","NONE",INDEX({"S1","S2","W1","W2","N1","N2"},MATCH(MIN(Q233:V233),Q233:V233,0))))</f>
        <v/>
      </c>
      <c r="X233" s="80" t="str">
        <f t="shared" si="23"/>
        <v/>
      </c>
    </row>
    <row r="234" spans="1:24">
      <c r="A234" s="49">
        <v>232</v>
      </c>
      <c r="B234" s="74"/>
      <c r="C234" s="75"/>
      <c r="D234" s="75"/>
      <c r="E234" s="75"/>
      <c r="F234" s="75"/>
      <c r="G234" s="76"/>
      <c r="H234" s="77"/>
      <c r="I234" s="78"/>
      <c r="J234" s="70" t="e">
        <f>VLOOKUP(C234,Recipes!$A$2:$N$4,10,FALSE())</f>
        <v>#N/A</v>
      </c>
      <c r="K234" s="70" t="e">
        <f>VLOOKUP(C234,Recipes!$A$2:$N$4,12,FALSE())</f>
        <v>#N/A</v>
      </c>
      <c r="L234" s="71" t="e">
        <f t="shared" si="18"/>
        <v>#N/A</v>
      </c>
      <c r="M234" s="71" t="e">
        <f t="shared" si="19"/>
        <v>#N/A</v>
      </c>
      <c r="N234" s="7" t="str">
        <f t="shared" si="20"/>
        <v/>
      </c>
      <c r="O234" s="79" t="str">
        <f t="shared" si="21"/>
        <v/>
      </c>
      <c r="P234" s="71" t="str">
        <f t="shared" si="22"/>
        <v/>
      </c>
      <c r="Q234" s="72" t="str">
        <f>IF(G234="","",ABS(P234-Components!$C$2))</f>
        <v/>
      </c>
      <c r="R234" s="72" t="str">
        <f>IF(G234="","",ABS(P234-Components!$C$3))</f>
        <v/>
      </c>
      <c r="S234" s="72" t="str">
        <f>IF(G234="","",ABS(P234-Components!$C$4))</f>
        <v/>
      </c>
      <c r="T234" s="72" t="str">
        <f>IF(G234="","",ABS(P234-Components!$C$5))</f>
        <v/>
      </c>
      <c r="U234" s="72" t="str">
        <f>IF(G234="","",ABS(P234-Components!$C$6))</f>
        <v/>
      </c>
      <c r="V234" s="72" t="str">
        <f>IF(G234="","",ABS(P234-Components!$C$7))</f>
        <v/>
      </c>
      <c r="W234" s="7" t="str">
        <f>IF(G234="","",IF(N234="OK","NONE",INDEX({"S1","S2","W1","W2","N1","N2"},MATCH(MIN(Q234:V234),Q234:V234,0))))</f>
        <v/>
      </c>
      <c r="X234" s="80" t="str">
        <f t="shared" si="23"/>
        <v/>
      </c>
    </row>
    <row r="235" spans="1:24">
      <c r="A235" s="49">
        <v>233</v>
      </c>
      <c r="B235" s="74"/>
      <c r="C235" s="75"/>
      <c r="D235" s="75"/>
      <c r="E235" s="75"/>
      <c r="F235" s="75"/>
      <c r="G235" s="76"/>
      <c r="H235" s="77"/>
      <c r="I235" s="78"/>
      <c r="J235" s="70" t="e">
        <f>VLOOKUP(C235,Recipes!$A$2:$N$4,10,FALSE())</f>
        <v>#N/A</v>
      </c>
      <c r="K235" s="70" t="e">
        <f>VLOOKUP(C235,Recipes!$A$2:$N$4,12,FALSE())</f>
        <v>#N/A</v>
      </c>
      <c r="L235" s="71" t="e">
        <f t="shared" si="18"/>
        <v>#N/A</v>
      </c>
      <c r="M235" s="71" t="e">
        <f t="shared" si="19"/>
        <v>#N/A</v>
      </c>
      <c r="N235" s="7" t="str">
        <f t="shared" si="20"/>
        <v/>
      </c>
      <c r="O235" s="79" t="str">
        <f t="shared" si="21"/>
        <v/>
      </c>
      <c r="P235" s="71" t="str">
        <f t="shared" si="22"/>
        <v/>
      </c>
      <c r="Q235" s="72" t="str">
        <f>IF(G235="","",ABS(P235-Components!$C$2))</f>
        <v/>
      </c>
      <c r="R235" s="72" t="str">
        <f>IF(G235="","",ABS(P235-Components!$C$3))</f>
        <v/>
      </c>
      <c r="S235" s="72" t="str">
        <f>IF(G235="","",ABS(P235-Components!$C$4))</f>
        <v/>
      </c>
      <c r="T235" s="72" t="str">
        <f>IF(G235="","",ABS(P235-Components!$C$5))</f>
        <v/>
      </c>
      <c r="U235" s="72" t="str">
        <f>IF(G235="","",ABS(P235-Components!$C$6))</f>
        <v/>
      </c>
      <c r="V235" s="72" t="str">
        <f>IF(G235="","",ABS(P235-Components!$C$7))</f>
        <v/>
      </c>
      <c r="W235" s="7" t="str">
        <f>IF(G235="","",IF(N235="OK","NONE",INDEX({"S1","S2","W1","W2","N1","N2"},MATCH(MIN(Q235:V235),Q235:V235,0))))</f>
        <v/>
      </c>
      <c r="X235" s="80" t="str">
        <f t="shared" si="23"/>
        <v/>
      </c>
    </row>
    <row r="236" spans="1:24">
      <c r="A236" s="49">
        <v>234</v>
      </c>
      <c r="B236" s="74"/>
      <c r="C236" s="75"/>
      <c r="D236" s="75"/>
      <c r="E236" s="75"/>
      <c r="F236" s="75"/>
      <c r="G236" s="76"/>
      <c r="H236" s="77"/>
      <c r="I236" s="78"/>
      <c r="J236" s="70" t="e">
        <f>VLOOKUP(C236,Recipes!$A$2:$N$4,10,FALSE())</f>
        <v>#N/A</v>
      </c>
      <c r="K236" s="70" t="e">
        <f>VLOOKUP(C236,Recipes!$A$2:$N$4,12,FALSE())</f>
        <v>#N/A</v>
      </c>
      <c r="L236" s="71" t="e">
        <f t="shared" si="18"/>
        <v>#N/A</v>
      </c>
      <c r="M236" s="71" t="e">
        <f t="shared" si="19"/>
        <v>#N/A</v>
      </c>
      <c r="N236" s="7" t="str">
        <f t="shared" si="20"/>
        <v/>
      </c>
      <c r="O236" s="79" t="str">
        <f t="shared" si="21"/>
        <v/>
      </c>
      <c r="P236" s="71" t="str">
        <f t="shared" si="22"/>
        <v/>
      </c>
      <c r="Q236" s="72" t="str">
        <f>IF(G236="","",ABS(P236-Components!$C$2))</f>
        <v/>
      </c>
      <c r="R236" s="72" t="str">
        <f>IF(G236="","",ABS(P236-Components!$C$3))</f>
        <v/>
      </c>
      <c r="S236" s="72" t="str">
        <f>IF(G236="","",ABS(P236-Components!$C$4))</f>
        <v/>
      </c>
      <c r="T236" s="72" t="str">
        <f>IF(G236="","",ABS(P236-Components!$C$5))</f>
        <v/>
      </c>
      <c r="U236" s="72" t="str">
        <f>IF(G236="","",ABS(P236-Components!$C$6))</f>
        <v/>
      </c>
      <c r="V236" s="72" t="str">
        <f>IF(G236="","",ABS(P236-Components!$C$7))</f>
        <v/>
      </c>
      <c r="W236" s="7" t="str">
        <f>IF(G236="","",IF(N236="OK","NONE",INDEX({"S1","S2","W1","W2","N1","N2"},MATCH(MIN(Q236:V236),Q236:V236,0))))</f>
        <v/>
      </c>
      <c r="X236" s="80" t="str">
        <f t="shared" si="23"/>
        <v/>
      </c>
    </row>
    <row r="237" spans="1:24">
      <c r="A237" s="49">
        <v>235</v>
      </c>
      <c r="B237" s="74"/>
      <c r="C237" s="75"/>
      <c r="D237" s="75"/>
      <c r="E237" s="75"/>
      <c r="F237" s="75"/>
      <c r="G237" s="76"/>
      <c r="H237" s="77"/>
      <c r="I237" s="78"/>
      <c r="J237" s="70" t="e">
        <f>VLOOKUP(C237,Recipes!$A$2:$N$4,10,FALSE())</f>
        <v>#N/A</v>
      </c>
      <c r="K237" s="70" t="e">
        <f>VLOOKUP(C237,Recipes!$A$2:$N$4,12,FALSE())</f>
        <v>#N/A</v>
      </c>
      <c r="L237" s="71" t="e">
        <f t="shared" si="18"/>
        <v>#N/A</v>
      </c>
      <c r="M237" s="71" t="e">
        <f t="shared" si="19"/>
        <v>#N/A</v>
      </c>
      <c r="N237" s="7" t="str">
        <f t="shared" si="20"/>
        <v/>
      </c>
      <c r="O237" s="79" t="str">
        <f t="shared" si="21"/>
        <v/>
      </c>
      <c r="P237" s="71" t="str">
        <f t="shared" si="22"/>
        <v/>
      </c>
      <c r="Q237" s="72" t="str">
        <f>IF(G237="","",ABS(P237-Components!$C$2))</f>
        <v/>
      </c>
      <c r="R237" s="72" t="str">
        <f>IF(G237="","",ABS(P237-Components!$C$3))</f>
        <v/>
      </c>
      <c r="S237" s="72" t="str">
        <f>IF(G237="","",ABS(P237-Components!$C$4))</f>
        <v/>
      </c>
      <c r="T237" s="72" t="str">
        <f>IF(G237="","",ABS(P237-Components!$C$5))</f>
        <v/>
      </c>
      <c r="U237" s="72" t="str">
        <f>IF(G237="","",ABS(P237-Components!$C$6))</f>
        <v/>
      </c>
      <c r="V237" s="72" t="str">
        <f>IF(G237="","",ABS(P237-Components!$C$7))</f>
        <v/>
      </c>
      <c r="W237" s="7" t="str">
        <f>IF(G237="","",IF(N237="OK","NONE",INDEX({"S1","S2","W1","W2","N1","N2"},MATCH(MIN(Q237:V237),Q237:V237,0))))</f>
        <v/>
      </c>
      <c r="X237" s="80" t="str">
        <f t="shared" si="23"/>
        <v/>
      </c>
    </row>
    <row r="238" spans="1:24">
      <c r="A238" s="49">
        <v>236</v>
      </c>
      <c r="B238" s="74"/>
      <c r="C238" s="75"/>
      <c r="D238" s="75"/>
      <c r="E238" s="75"/>
      <c r="F238" s="75"/>
      <c r="G238" s="76"/>
      <c r="H238" s="77"/>
      <c r="I238" s="78"/>
      <c r="J238" s="70" t="e">
        <f>VLOOKUP(C238,Recipes!$A$2:$N$4,10,FALSE())</f>
        <v>#N/A</v>
      </c>
      <c r="K238" s="70" t="e">
        <f>VLOOKUP(C238,Recipes!$A$2:$N$4,12,FALSE())</f>
        <v>#N/A</v>
      </c>
      <c r="L238" s="71" t="e">
        <f t="shared" si="18"/>
        <v>#N/A</v>
      </c>
      <c r="M238" s="71" t="e">
        <f t="shared" si="19"/>
        <v>#N/A</v>
      </c>
      <c r="N238" s="7" t="str">
        <f t="shared" si="20"/>
        <v/>
      </c>
      <c r="O238" s="79" t="str">
        <f t="shared" si="21"/>
        <v/>
      </c>
      <c r="P238" s="71" t="str">
        <f t="shared" si="22"/>
        <v/>
      </c>
      <c r="Q238" s="72" t="str">
        <f>IF(G238="","",ABS(P238-Components!$C$2))</f>
        <v/>
      </c>
      <c r="R238" s="72" t="str">
        <f>IF(G238="","",ABS(P238-Components!$C$3))</f>
        <v/>
      </c>
      <c r="S238" s="72" t="str">
        <f>IF(G238="","",ABS(P238-Components!$C$4))</f>
        <v/>
      </c>
      <c r="T238" s="72" t="str">
        <f>IF(G238="","",ABS(P238-Components!$C$5))</f>
        <v/>
      </c>
      <c r="U238" s="72" t="str">
        <f>IF(G238="","",ABS(P238-Components!$C$6))</f>
        <v/>
      </c>
      <c r="V238" s="72" t="str">
        <f>IF(G238="","",ABS(P238-Components!$C$7))</f>
        <v/>
      </c>
      <c r="W238" s="7" t="str">
        <f>IF(G238="","",IF(N238="OK","NONE",INDEX({"S1","S2","W1","W2","N1","N2"},MATCH(MIN(Q238:V238),Q238:V238,0))))</f>
        <v/>
      </c>
      <c r="X238" s="80" t="str">
        <f t="shared" si="23"/>
        <v/>
      </c>
    </row>
    <row r="239" spans="1:24">
      <c r="A239" s="49">
        <v>237</v>
      </c>
      <c r="B239" s="74"/>
      <c r="C239" s="75"/>
      <c r="D239" s="75"/>
      <c r="E239" s="75"/>
      <c r="F239" s="75"/>
      <c r="G239" s="76"/>
      <c r="H239" s="77"/>
      <c r="I239" s="78"/>
      <c r="J239" s="70" t="e">
        <f>VLOOKUP(C239,Recipes!$A$2:$N$4,10,FALSE())</f>
        <v>#N/A</v>
      </c>
      <c r="K239" s="70" t="e">
        <f>VLOOKUP(C239,Recipes!$A$2:$N$4,12,FALSE())</f>
        <v>#N/A</v>
      </c>
      <c r="L239" s="71" t="e">
        <f t="shared" si="18"/>
        <v>#N/A</v>
      </c>
      <c r="M239" s="71" t="e">
        <f t="shared" si="19"/>
        <v>#N/A</v>
      </c>
      <c r="N239" s="7" t="str">
        <f t="shared" si="20"/>
        <v/>
      </c>
      <c r="O239" s="79" t="str">
        <f t="shared" si="21"/>
        <v/>
      </c>
      <c r="P239" s="71" t="str">
        <f t="shared" si="22"/>
        <v/>
      </c>
      <c r="Q239" s="72" t="str">
        <f>IF(G239="","",ABS(P239-Components!$C$2))</f>
        <v/>
      </c>
      <c r="R239" s="72" t="str">
        <f>IF(G239="","",ABS(P239-Components!$C$3))</f>
        <v/>
      </c>
      <c r="S239" s="72" t="str">
        <f>IF(G239="","",ABS(P239-Components!$C$4))</f>
        <v/>
      </c>
      <c r="T239" s="72" t="str">
        <f>IF(G239="","",ABS(P239-Components!$C$5))</f>
        <v/>
      </c>
      <c r="U239" s="72" t="str">
        <f>IF(G239="","",ABS(P239-Components!$C$6))</f>
        <v/>
      </c>
      <c r="V239" s="72" t="str">
        <f>IF(G239="","",ABS(P239-Components!$C$7))</f>
        <v/>
      </c>
      <c r="W239" s="7" t="str">
        <f>IF(G239="","",IF(N239="OK","NONE",INDEX({"S1","S2","W1","W2","N1","N2"},MATCH(MIN(Q239:V239),Q239:V239,0))))</f>
        <v/>
      </c>
      <c r="X239" s="80" t="str">
        <f t="shared" si="23"/>
        <v/>
      </c>
    </row>
    <row r="240" spans="1:24">
      <c r="A240" s="49">
        <v>238</v>
      </c>
      <c r="B240" s="74"/>
      <c r="C240" s="75"/>
      <c r="D240" s="75"/>
      <c r="E240" s="75"/>
      <c r="F240" s="75"/>
      <c r="G240" s="76"/>
      <c r="H240" s="77"/>
      <c r="I240" s="78"/>
      <c r="J240" s="70" t="e">
        <f>VLOOKUP(C240,Recipes!$A$2:$N$4,10,FALSE())</f>
        <v>#N/A</v>
      </c>
      <c r="K240" s="70" t="e">
        <f>VLOOKUP(C240,Recipes!$A$2:$N$4,12,FALSE())</f>
        <v>#N/A</v>
      </c>
      <c r="L240" s="71" t="e">
        <f t="shared" si="18"/>
        <v>#N/A</v>
      </c>
      <c r="M240" s="71" t="e">
        <f t="shared" si="19"/>
        <v>#N/A</v>
      </c>
      <c r="N240" s="7" t="str">
        <f t="shared" si="20"/>
        <v/>
      </c>
      <c r="O240" s="79" t="str">
        <f t="shared" si="21"/>
        <v/>
      </c>
      <c r="P240" s="71" t="str">
        <f t="shared" si="22"/>
        <v/>
      </c>
      <c r="Q240" s="72" t="str">
        <f>IF(G240="","",ABS(P240-Components!$C$2))</f>
        <v/>
      </c>
      <c r="R240" s="72" t="str">
        <f>IF(G240="","",ABS(P240-Components!$C$3))</f>
        <v/>
      </c>
      <c r="S240" s="72" t="str">
        <f>IF(G240="","",ABS(P240-Components!$C$4))</f>
        <v/>
      </c>
      <c r="T240" s="72" t="str">
        <f>IF(G240="","",ABS(P240-Components!$C$5))</f>
        <v/>
      </c>
      <c r="U240" s="72" t="str">
        <f>IF(G240="","",ABS(P240-Components!$C$6))</f>
        <v/>
      </c>
      <c r="V240" s="72" t="str">
        <f>IF(G240="","",ABS(P240-Components!$C$7))</f>
        <v/>
      </c>
      <c r="W240" s="7" t="str">
        <f>IF(G240="","",IF(N240="OK","NONE",INDEX({"S1","S2","W1","W2","N1","N2"},MATCH(MIN(Q240:V240),Q240:V240,0))))</f>
        <v/>
      </c>
      <c r="X240" s="80" t="str">
        <f t="shared" si="23"/>
        <v/>
      </c>
    </row>
    <row r="241" spans="1:24">
      <c r="A241" s="49">
        <v>239</v>
      </c>
      <c r="B241" s="74"/>
      <c r="C241" s="75"/>
      <c r="D241" s="75"/>
      <c r="E241" s="75"/>
      <c r="F241" s="75"/>
      <c r="G241" s="76"/>
      <c r="H241" s="77"/>
      <c r="I241" s="78"/>
      <c r="J241" s="70" t="e">
        <f>VLOOKUP(C241,Recipes!$A$2:$N$4,10,FALSE())</f>
        <v>#N/A</v>
      </c>
      <c r="K241" s="70" t="e">
        <f>VLOOKUP(C241,Recipes!$A$2:$N$4,12,FALSE())</f>
        <v>#N/A</v>
      </c>
      <c r="L241" s="71" t="e">
        <f t="shared" si="18"/>
        <v>#N/A</v>
      </c>
      <c r="M241" s="71" t="e">
        <f t="shared" si="19"/>
        <v>#N/A</v>
      </c>
      <c r="N241" s="7" t="str">
        <f t="shared" si="20"/>
        <v/>
      </c>
      <c r="O241" s="79" t="str">
        <f t="shared" si="21"/>
        <v/>
      </c>
      <c r="P241" s="71" t="str">
        <f t="shared" si="22"/>
        <v/>
      </c>
      <c r="Q241" s="72" t="str">
        <f>IF(G241="","",ABS(P241-Components!$C$2))</f>
        <v/>
      </c>
      <c r="R241" s="72" t="str">
        <f>IF(G241="","",ABS(P241-Components!$C$3))</f>
        <v/>
      </c>
      <c r="S241" s="72" t="str">
        <f>IF(G241="","",ABS(P241-Components!$C$4))</f>
        <v/>
      </c>
      <c r="T241" s="72" t="str">
        <f>IF(G241="","",ABS(P241-Components!$C$5))</f>
        <v/>
      </c>
      <c r="U241" s="72" t="str">
        <f>IF(G241="","",ABS(P241-Components!$C$6))</f>
        <v/>
      </c>
      <c r="V241" s="72" t="str">
        <f>IF(G241="","",ABS(P241-Components!$C$7))</f>
        <v/>
      </c>
      <c r="W241" s="7" t="str">
        <f>IF(G241="","",IF(N241="OK","NONE",INDEX({"S1","S2","W1","W2","N1","N2"},MATCH(MIN(Q241:V241),Q241:V241,0))))</f>
        <v/>
      </c>
      <c r="X241" s="80" t="str">
        <f t="shared" si="23"/>
        <v/>
      </c>
    </row>
    <row r="242" spans="1:24">
      <c r="A242" s="49">
        <v>240</v>
      </c>
      <c r="B242" s="74"/>
      <c r="C242" s="75"/>
      <c r="D242" s="75"/>
      <c r="E242" s="75"/>
      <c r="F242" s="75"/>
      <c r="G242" s="76"/>
      <c r="H242" s="77"/>
      <c r="I242" s="78"/>
      <c r="J242" s="70" t="e">
        <f>VLOOKUP(C242,Recipes!$A$2:$N$4,10,FALSE())</f>
        <v>#N/A</v>
      </c>
      <c r="K242" s="70" t="e">
        <f>VLOOKUP(C242,Recipes!$A$2:$N$4,12,FALSE())</f>
        <v>#N/A</v>
      </c>
      <c r="L242" s="71" t="e">
        <f t="shared" si="18"/>
        <v>#N/A</v>
      </c>
      <c r="M242" s="71" t="e">
        <f t="shared" si="19"/>
        <v>#N/A</v>
      </c>
      <c r="N242" s="7" t="str">
        <f t="shared" si="20"/>
        <v/>
      </c>
      <c r="O242" s="79" t="str">
        <f t="shared" si="21"/>
        <v/>
      </c>
      <c r="P242" s="71" t="str">
        <f t="shared" si="22"/>
        <v/>
      </c>
      <c r="Q242" s="72" t="str">
        <f>IF(G242="","",ABS(P242-Components!$C$2))</f>
        <v/>
      </c>
      <c r="R242" s="72" t="str">
        <f>IF(G242="","",ABS(P242-Components!$C$3))</f>
        <v/>
      </c>
      <c r="S242" s="72" t="str">
        <f>IF(G242="","",ABS(P242-Components!$C$4))</f>
        <v/>
      </c>
      <c r="T242" s="72" t="str">
        <f>IF(G242="","",ABS(P242-Components!$C$5))</f>
        <v/>
      </c>
      <c r="U242" s="72" t="str">
        <f>IF(G242="","",ABS(P242-Components!$C$6))</f>
        <v/>
      </c>
      <c r="V242" s="72" t="str">
        <f>IF(G242="","",ABS(P242-Components!$C$7))</f>
        <v/>
      </c>
      <c r="W242" s="7" t="str">
        <f>IF(G242="","",IF(N242="OK","NONE",INDEX({"S1","S2","W1","W2","N1","N2"},MATCH(MIN(Q242:V242),Q242:V242,0))))</f>
        <v/>
      </c>
      <c r="X242" s="80" t="str">
        <f t="shared" si="23"/>
        <v/>
      </c>
    </row>
    <row r="243" spans="1:24">
      <c r="A243" s="49">
        <v>241</v>
      </c>
      <c r="B243" s="74"/>
      <c r="C243" s="75"/>
      <c r="D243" s="75"/>
      <c r="E243" s="75"/>
      <c r="F243" s="75"/>
      <c r="G243" s="76"/>
      <c r="H243" s="77"/>
      <c r="I243" s="78"/>
      <c r="J243" s="70" t="e">
        <f>VLOOKUP(C243,Recipes!$A$2:$N$4,10,FALSE())</f>
        <v>#N/A</v>
      </c>
      <c r="K243" s="70" t="e">
        <f>VLOOKUP(C243,Recipes!$A$2:$N$4,12,FALSE())</f>
        <v>#N/A</v>
      </c>
      <c r="L243" s="71" t="e">
        <f t="shared" si="18"/>
        <v>#N/A</v>
      </c>
      <c r="M243" s="71" t="e">
        <f t="shared" si="19"/>
        <v>#N/A</v>
      </c>
      <c r="N243" s="7" t="str">
        <f t="shared" si="20"/>
        <v/>
      </c>
      <c r="O243" s="79" t="str">
        <f t="shared" si="21"/>
        <v/>
      </c>
      <c r="P243" s="71" t="str">
        <f t="shared" si="22"/>
        <v/>
      </c>
      <c r="Q243" s="72" t="str">
        <f>IF(G243="","",ABS(P243-Components!$C$2))</f>
        <v/>
      </c>
      <c r="R243" s="72" t="str">
        <f>IF(G243="","",ABS(P243-Components!$C$3))</f>
        <v/>
      </c>
      <c r="S243" s="72" t="str">
        <f>IF(G243="","",ABS(P243-Components!$C$4))</f>
        <v/>
      </c>
      <c r="T243" s="72" t="str">
        <f>IF(G243="","",ABS(P243-Components!$C$5))</f>
        <v/>
      </c>
      <c r="U243" s="72" t="str">
        <f>IF(G243="","",ABS(P243-Components!$C$6))</f>
        <v/>
      </c>
      <c r="V243" s="72" t="str">
        <f>IF(G243="","",ABS(P243-Components!$C$7))</f>
        <v/>
      </c>
      <c r="W243" s="7" t="str">
        <f>IF(G243="","",IF(N243="OK","NONE",INDEX({"S1","S2","W1","W2","N1","N2"},MATCH(MIN(Q243:V243),Q243:V243,0))))</f>
        <v/>
      </c>
      <c r="X243" s="80" t="str">
        <f t="shared" si="23"/>
        <v/>
      </c>
    </row>
    <row r="244" spans="1:24">
      <c r="A244" s="49">
        <v>242</v>
      </c>
      <c r="B244" s="74"/>
      <c r="C244" s="75"/>
      <c r="D244" s="75"/>
      <c r="E244" s="75"/>
      <c r="F244" s="75"/>
      <c r="G244" s="76"/>
      <c r="H244" s="77"/>
      <c r="I244" s="78"/>
      <c r="J244" s="70" t="e">
        <f>VLOOKUP(C244,Recipes!$A$2:$N$4,10,FALSE())</f>
        <v>#N/A</v>
      </c>
      <c r="K244" s="70" t="e">
        <f>VLOOKUP(C244,Recipes!$A$2:$N$4,12,FALSE())</f>
        <v>#N/A</v>
      </c>
      <c r="L244" s="71" t="e">
        <f t="shared" si="18"/>
        <v>#N/A</v>
      </c>
      <c r="M244" s="71" t="e">
        <f t="shared" si="19"/>
        <v>#N/A</v>
      </c>
      <c r="N244" s="7" t="str">
        <f t="shared" si="20"/>
        <v/>
      </c>
      <c r="O244" s="79" t="str">
        <f t="shared" si="21"/>
        <v/>
      </c>
      <c r="P244" s="71" t="str">
        <f t="shared" si="22"/>
        <v/>
      </c>
      <c r="Q244" s="72" t="str">
        <f>IF(G244="","",ABS(P244-Components!$C$2))</f>
        <v/>
      </c>
      <c r="R244" s="72" t="str">
        <f>IF(G244="","",ABS(P244-Components!$C$3))</f>
        <v/>
      </c>
      <c r="S244" s="72" t="str">
        <f>IF(G244="","",ABS(P244-Components!$C$4))</f>
        <v/>
      </c>
      <c r="T244" s="72" t="str">
        <f>IF(G244="","",ABS(P244-Components!$C$5))</f>
        <v/>
      </c>
      <c r="U244" s="72" t="str">
        <f>IF(G244="","",ABS(P244-Components!$C$6))</f>
        <v/>
      </c>
      <c r="V244" s="72" t="str">
        <f>IF(G244="","",ABS(P244-Components!$C$7))</f>
        <v/>
      </c>
      <c r="W244" s="7" t="str">
        <f>IF(G244="","",IF(N244="OK","NONE",INDEX({"S1","S2","W1","W2","N1","N2"},MATCH(MIN(Q244:V244),Q244:V244,0))))</f>
        <v/>
      </c>
      <c r="X244" s="80" t="str">
        <f t="shared" si="23"/>
        <v/>
      </c>
    </row>
    <row r="245" spans="1:24">
      <c r="A245" s="49">
        <v>243</v>
      </c>
      <c r="B245" s="74"/>
      <c r="C245" s="75"/>
      <c r="D245" s="75"/>
      <c r="E245" s="75"/>
      <c r="F245" s="75"/>
      <c r="G245" s="76"/>
      <c r="H245" s="77"/>
      <c r="I245" s="78"/>
      <c r="J245" s="70" t="e">
        <f>VLOOKUP(C245,Recipes!$A$2:$N$4,10,FALSE())</f>
        <v>#N/A</v>
      </c>
      <c r="K245" s="70" t="e">
        <f>VLOOKUP(C245,Recipes!$A$2:$N$4,12,FALSE())</f>
        <v>#N/A</v>
      </c>
      <c r="L245" s="71" t="e">
        <f t="shared" si="18"/>
        <v>#N/A</v>
      </c>
      <c r="M245" s="71" t="e">
        <f t="shared" si="19"/>
        <v>#N/A</v>
      </c>
      <c r="N245" s="7" t="str">
        <f t="shared" si="20"/>
        <v/>
      </c>
      <c r="O245" s="79" t="str">
        <f t="shared" si="21"/>
        <v/>
      </c>
      <c r="P245" s="71" t="str">
        <f t="shared" si="22"/>
        <v/>
      </c>
      <c r="Q245" s="72" t="str">
        <f>IF(G245="","",ABS(P245-Components!$C$2))</f>
        <v/>
      </c>
      <c r="R245" s="72" t="str">
        <f>IF(G245="","",ABS(P245-Components!$C$3))</f>
        <v/>
      </c>
      <c r="S245" s="72" t="str">
        <f>IF(G245="","",ABS(P245-Components!$C$4))</f>
        <v/>
      </c>
      <c r="T245" s="72" t="str">
        <f>IF(G245="","",ABS(P245-Components!$C$5))</f>
        <v/>
      </c>
      <c r="U245" s="72" t="str">
        <f>IF(G245="","",ABS(P245-Components!$C$6))</f>
        <v/>
      </c>
      <c r="V245" s="72" t="str">
        <f>IF(G245="","",ABS(P245-Components!$C$7))</f>
        <v/>
      </c>
      <c r="W245" s="7" t="str">
        <f>IF(G245="","",IF(N245="OK","NONE",INDEX({"S1","S2","W1","W2","N1","N2"},MATCH(MIN(Q245:V245),Q245:V245,0))))</f>
        <v/>
      </c>
      <c r="X245" s="80" t="str">
        <f t="shared" si="23"/>
        <v/>
      </c>
    </row>
    <row r="246" spans="1:24">
      <c r="A246" s="49">
        <v>244</v>
      </c>
      <c r="B246" s="74"/>
      <c r="C246" s="75"/>
      <c r="D246" s="75"/>
      <c r="E246" s="75"/>
      <c r="F246" s="75"/>
      <c r="G246" s="76"/>
      <c r="H246" s="77"/>
      <c r="I246" s="78"/>
      <c r="J246" s="70" t="e">
        <f>VLOOKUP(C246,Recipes!$A$2:$N$4,10,FALSE())</f>
        <v>#N/A</v>
      </c>
      <c r="K246" s="70" t="e">
        <f>VLOOKUP(C246,Recipes!$A$2:$N$4,12,FALSE())</f>
        <v>#N/A</v>
      </c>
      <c r="L246" s="71" t="e">
        <f t="shared" si="18"/>
        <v>#N/A</v>
      </c>
      <c r="M246" s="71" t="e">
        <f t="shared" si="19"/>
        <v>#N/A</v>
      </c>
      <c r="N246" s="7" t="str">
        <f t="shared" si="20"/>
        <v/>
      </c>
      <c r="O246" s="79" t="str">
        <f t="shared" si="21"/>
        <v/>
      </c>
      <c r="P246" s="71" t="str">
        <f t="shared" si="22"/>
        <v/>
      </c>
      <c r="Q246" s="72" t="str">
        <f>IF(G246="","",ABS(P246-Components!$C$2))</f>
        <v/>
      </c>
      <c r="R246" s="72" t="str">
        <f>IF(G246="","",ABS(P246-Components!$C$3))</f>
        <v/>
      </c>
      <c r="S246" s="72" t="str">
        <f>IF(G246="","",ABS(P246-Components!$C$4))</f>
        <v/>
      </c>
      <c r="T246" s="72" t="str">
        <f>IF(G246="","",ABS(P246-Components!$C$5))</f>
        <v/>
      </c>
      <c r="U246" s="72" t="str">
        <f>IF(G246="","",ABS(P246-Components!$C$6))</f>
        <v/>
      </c>
      <c r="V246" s="72" t="str">
        <f>IF(G246="","",ABS(P246-Components!$C$7))</f>
        <v/>
      </c>
      <c r="W246" s="7" t="str">
        <f>IF(G246="","",IF(N246="OK","NONE",INDEX({"S1","S2","W1","W2","N1","N2"},MATCH(MIN(Q246:V246),Q246:V246,0))))</f>
        <v/>
      </c>
      <c r="X246" s="80" t="str">
        <f t="shared" si="23"/>
        <v/>
      </c>
    </row>
    <row r="247" spans="1:24">
      <c r="A247" s="49">
        <v>245</v>
      </c>
      <c r="B247" s="74"/>
      <c r="C247" s="75"/>
      <c r="D247" s="75"/>
      <c r="E247" s="75"/>
      <c r="F247" s="75"/>
      <c r="G247" s="76"/>
      <c r="H247" s="77"/>
      <c r="I247" s="78"/>
      <c r="J247" s="70" t="e">
        <f>VLOOKUP(C247,Recipes!$A$2:$N$4,10,FALSE())</f>
        <v>#N/A</v>
      </c>
      <c r="K247" s="70" t="e">
        <f>VLOOKUP(C247,Recipes!$A$2:$N$4,12,FALSE())</f>
        <v>#N/A</v>
      </c>
      <c r="L247" s="71" t="e">
        <f t="shared" si="18"/>
        <v>#N/A</v>
      </c>
      <c r="M247" s="71" t="e">
        <f t="shared" si="19"/>
        <v>#N/A</v>
      </c>
      <c r="N247" s="7" t="str">
        <f t="shared" si="20"/>
        <v/>
      </c>
      <c r="O247" s="79" t="str">
        <f t="shared" si="21"/>
        <v/>
      </c>
      <c r="P247" s="71" t="str">
        <f t="shared" si="22"/>
        <v/>
      </c>
      <c r="Q247" s="72" t="str">
        <f>IF(G247="","",ABS(P247-Components!$C$2))</f>
        <v/>
      </c>
      <c r="R247" s="72" t="str">
        <f>IF(G247="","",ABS(P247-Components!$C$3))</f>
        <v/>
      </c>
      <c r="S247" s="72" t="str">
        <f>IF(G247="","",ABS(P247-Components!$C$4))</f>
        <v/>
      </c>
      <c r="T247" s="72" t="str">
        <f>IF(G247="","",ABS(P247-Components!$C$5))</f>
        <v/>
      </c>
      <c r="U247" s="72" t="str">
        <f>IF(G247="","",ABS(P247-Components!$C$6))</f>
        <v/>
      </c>
      <c r="V247" s="72" t="str">
        <f>IF(G247="","",ABS(P247-Components!$C$7))</f>
        <v/>
      </c>
      <c r="W247" s="7" t="str">
        <f>IF(G247="","",IF(N247="OK","NONE",INDEX({"S1","S2","W1","W2","N1","N2"},MATCH(MIN(Q247:V247),Q247:V247,0))))</f>
        <v/>
      </c>
      <c r="X247" s="80" t="str">
        <f t="shared" si="23"/>
        <v/>
      </c>
    </row>
    <row r="248" spans="1:24">
      <c r="A248" s="49">
        <v>246</v>
      </c>
      <c r="B248" s="74"/>
      <c r="C248" s="75"/>
      <c r="D248" s="75"/>
      <c r="E248" s="75"/>
      <c r="F248" s="75"/>
      <c r="G248" s="76"/>
      <c r="H248" s="77"/>
      <c r="I248" s="78"/>
      <c r="J248" s="70" t="e">
        <f>VLOOKUP(C248,Recipes!$A$2:$N$4,10,FALSE())</f>
        <v>#N/A</v>
      </c>
      <c r="K248" s="70" t="e">
        <f>VLOOKUP(C248,Recipes!$A$2:$N$4,12,FALSE())</f>
        <v>#N/A</v>
      </c>
      <c r="L248" s="71" t="e">
        <f t="shared" si="18"/>
        <v>#N/A</v>
      </c>
      <c r="M248" s="71" t="e">
        <f t="shared" si="19"/>
        <v>#N/A</v>
      </c>
      <c r="N248" s="7" t="str">
        <f t="shared" si="20"/>
        <v/>
      </c>
      <c r="O248" s="79" t="str">
        <f t="shared" si="21"/>
        <v/>
      </c>
      <c r="P248" s="71" t="str">
        <f t="shared" si="22"/>
        <v/>
      </c>
      <c r="Q248" s="72" t="str">
        <f>IF(G248="","",ABS(P248-Components!$C$2))</f>
        <v/>
      </c>
      <c r="R248" s="72" t="str">
        <f>IF(G248="","",ABS(P248-Components!$C$3))</f>
        <v/>
      </c>
      <c r="S248" s="72" t="str">
        <f>IF(G248="","",ABS(P248-Components!$C$4))</f>
        <v/>
      </c>
      <c r="T248" s="72" t="str">
        <f>IF(G248="","",ABS(P248-Components!$C$5))</f>
        <v/>
      </c>
      <c r="U248" s="72" t="str">
        <f>IF(G248="","",ABS(P248-Components!$C$6))</f>
        <v/>
      </c>
      <c r="V248" s="72" t="str">
        <f>IF(G248="","",ABS(P248-Components!$C$7))</f>
        <v/>
      </c>
      <c r="W248" s="7" t="str">
        <f>IF(G248="","",IF(N248="OK","NONE",INDEX({"S1","S2","W1","W2","N1","N2"},MATCH(MIN(Q248:V248),Q248:V248,0))))</f>
        <v/>
      </c>
      <c r="X248" s="80" t="str">
        <f t="shared" si="23"/>
        <v/>
      </c>
    </row>
    <row r="249" spans="1:24">
      <c r="A249" s="49">
        <v>247</v>
      </c>
      <c r="B249" s="74"/>
      <c r="C249" s="75"/>
      <c r="D249" s="75"/>
      <c r="E249" s="75"/>
      <c r="F249" s="75"/>
      <c r="G249" s="76"/>
      <c r="H249" s="77"/>
      <c r="I249" s="78"/>
      <c r="J249" s="70" t="e">
        <f>VLOOKUP(C249,Recipes!$A$2:$N$4,10,FALSE())</f>
        <v>#N/A</v>
      </c>
      <c r="K249" s="70" t="e">
        <f>VLOOKUP(C249,Recipes!$A$2:$N$4,12,FALSE())</f>
        <v>#N/A</v>
      </c>
      <c r="L249" s="71" t="e">
        <f t="shared" si="18"/>
        <v>#N/A</v>
      </c>
      <c r="M249" s="71" t="e">
        <f t="shared" si="19"/>
        <v>#N/A</v>
      </c>
      <c r="N249" s="7" t="str">
        <f t="shared" si="20"/>
        <v/>
      </c>
      <c r="O249" s="79" t="str">
        <f t="shared" si="21"/>
        <v/>
      </c>
      <c r="P249" s="71" t="str">
        <f t="shared" si="22"/>
        <v/>
      </c>
      <c r="Q249" s="72" t="str">
        <f>IF(G249="","",ABS(P249-Components!$C$2))</f>
        <v/>
      </c>
      <c r="R249" s="72" t="str">
        <f>IF(G249="","",ABS(P249-Components!$C$3))</f>
        <v/>
      </c>
      <c r="S249" s="72" t="str">
        <f>IF(G249="","",ABS(P249-Components!$C$4))</f>
        <v/>
      </c>
      <c r="T249" s="72" t="str">
        <f>IF(G249="","",ABS(P249-Components!$C$5))</f>
        <v/>
      </c>
      <c r="U249" s="72" t="str">
        <f>IF(G249="","",ABS(P249-Components!$C$6))</f>
        <v/>
      </c>
      <c r="V249" s="72" t="str">
        <f>IF(G249="","",ABS(P249-Components!$C$7))</f>
        <v/>
      </c>
      <c r="W249" s="7" t="str">
        <f>IF(G249="","",IF(N249="OK","NONE",INDEX({"S1","S2","W1","W2","N1","N2"},MATCH(MIN(Q249:V249),Q249:V249,0))))</f>
        <v/>
      </c>
      <c r="X249" s="80" t="str">
        <f t="shared" si="23"/>
        <v/>
      </c>
    </row>
    <row r="250" spans="1:24">
      <c r="A250" s="49">
        <v>248</v>
      </c>
      <c r="B250" s="74"/>
      <c r="C250" s="75"/>
      <c r="D250" s="75"/>
      <c r="E250" s="75"/>
      <c r="F250" s="75"/>
      <c r="G250" s="76"/>
      <c r="H250" s="77"/>
      <c r="I250" s="78"/>
      <c r="J250" s="70" t="e">
        <f>VLOOKUP(C250,Recipes!$A$2:$N$4,10,FALSE())</f>
        <v>#N/A</v>
      </c>
      <c r="K250" s="70" t="e">
        <f>VLOOKUP(C250,Recipes!$A$2:$N$4,12,FALSE())</f>
        <v>#N/A</v>
      </c>
      <c r="L250" s="71" t="e">
        <f t="shared" si="18"/>
        <v>#N/A</v>
      </c>
      <c r="M250" s="71" t="e">
        <f t="shared" si="19"/>
        <v>#N/A</v>
      </c>
      <c r="N250" s="7" t="str">
        <f t="shared" si="20"/>
        <v/>
      </c>
      <c r="O250" s="79" t="str">
        <f t="shared" si="21"/>
        <v/>
      </c>
      <c r="P250" s="71" t="str">
        <f t="shared" si="22"/>
        <v/>
      </c>
      <c r="Q250" s="72" t="str">
        <f>IF(G250="","",ABS(P250-Components!$C$2))</f>
        <v/>
      </c>
      <c r="R250" s="72" t="str">
        <f>IF(G250="","",ABS(P250-Components!$C$3))</f>
        <v/>
      </c>
      <c r="S250" s="72" t="str">
        <f>IF(G250="","",ABS(P250-Components!$C$4))</f>
        <v/>
      </c>
      <c r="T250" s="72" t="str">
        <f>IF(G250="","",ABS(P250-Components!$C$5))</f>
        <v/>
      </c>
      <c r="U250" s="72" t="str">
        <f>IF(G250="","",ABS(P250-Components!$C$6))</f>
        <v/>
      </c>
      <c r="V250" s="72" t="str">
        <f>IF(G250="","",ABS(P250-Components!$C$7))</f>
        <v/>
      </c>
      <c r="W250" s="7" t="str">
        <f>IF(G250="","",IF(N250="OK","NONE",INDEX({"S1","S2","W1","W2","N1","N2"},MATCH(MIN(Q250:V250),Q250:V250,0))))</f>
        <v/>
      </c>
      <c r="X250" s="80" t="str">
        <f t="shared" si="23"/>
        <v/>
      </c>
    </row>
    <row r="251" spans="1:24">
      <c r="A251" s="49">
        <v>249</v>
      </c>
      <c r="B251" s="74"/>
      <c r="C251" s="75"/>
      <c r="D251" s="75"/>
      <c r="E251" s="75"/>
      <c r="F251" s="75"/>
      <c r="G251" s="76"/>
      <c r="H251" s="77"/>
      <c r="I251" s="78"/>
      <c r="J251" s="70" t="e">
        <f>VLOOKUP(C251,Recipes!$A$2:$N$4,10,FALSE())</f>
        <v>#N/A</v>
      </c>
      <c r="K251" s="70" t="e">
        <f>VLOOKUP(C251,Recipes!$A$2:$N$4,12,FALSE())</f>
        <v>#N/A</v>
      </c>
      <c r="L251" s="71" t="e">
        <f t="shared" si="18"/>
        <v>#N/A</v>
      </c>
      <c r="M251" s="71" t="e">
        <f t="shared" si="19"/>
        <v>#N/A</v>
      </c>
      <c r="N251" s="7" t="str">
        <f t="shared" si="20"/>
        <v/>
      </c>
      <c r="O251" s="79" t="str">
        <f t="shared" si="21"/>
        <v/>
      </c>
      <c r="P251" s="71" t="str">
        <f t="shared" si="22"/>
        <v/>
      </c>
      <c r="Q251" s="72" t="str">
        <f>IF(G251="","",ABS(P251-Components!$C$2))</f>
        <v/>
      </c>
      <c r="R251" s="72" t="str">
        <f>IF(G251="","",ABS(P251-Components!$C$3))</f>
        <v/>
      </c>
      <c r="S251" s="72" t="str">
        <f>IF(G251="","",ABS(P251-Components!$C$4))</f>
        <v/>
      </c>
      <c r="T251" s="72" t="str">
        <f>IF(G251="","",ABS(P251-Components!$C$5))</f>
        <v/>
      </c>
      <c r="U251" s="72" t="str">
        <f>IF(G251="","",ABS(P251-Components!$C$6))</f>
        <v/>
      </c>
      <c r="V251" s="72" t="str">
        <f>IF(G251="","",ABS(P251-Components!$C$7))</f>
        <v/>
      </c>
      <c r="W251" s="7" t="str">
        <f>IF(G251="","",IF(N251="OK","NONE",INDEX({"S1","S2","W1","W2","N1","N2"},MATCH(MIN(Q251:V251),Q251:V251,0))))</f>
        <v/>
      </c>
      <c r="X251" s="80" t="str">
        <f t="shared" si="23"/>
        <v/>
      </c>
    </row>
    <row r="252" spans="1:24">
      <c r="A252" s="49">
        <v>250</v>
      </c>
      <c r="B252" s="74"/>
      <c r="C252" s="75"/>
      <c r="D252" s="75"/>
      <c r="E252" s="75"/>
      <c r="F252" s="75"/>
      <c r="G252" s="76"/>
      <c r="H252" s="77"/>
      <c r="I252" s="78"/>
      <c r="J252" s="70" t="e">
        <f>VLOOKUP(C252,Recipes!$A$2:$N$4,10,FALSE())</f>
        <v>#N/A</v>
      </c>
      <c r="K252" s="70" t="e">
        <f>VLOOKUP(C252,Recipes!$A$2:$N$4,12,FALSE())</f>
        <v>#N/A</v>
      </c>
      <c r="L252" s="71" t="e">
        <f t="shared" si="18"/>
        <v>#N/A</v>
      </c>
      <c r="M252" s="71" t="e">
        <f t="shared" si="19"/>
        <v>#N/A</v>
      </c>
      <c r="N252" s="7" t="str">
        <f t="shared" si="20"/>
        <v/>
      </c>
      <c r="O252" s="79" t="str">
        <f t="shared" si="21"/>
        <v/>
      </c>
      <c r="P252" s="71" t="str">
        <f t="shared" si="22"/>
        <v/>
      </c>
      <c r="Q252" s="72" t="str">
        <f>IF(G252="","",ABS(P252-Components!$C$2))</f>
        <v/>
      </c>
      <c r="R252" s="72" t="str">
        <f>IF(G252="","",ABS(P252-Components!$C$3))</f>
        <v/>
      </c>
      <c r="S252" s="72" t="str">
        <f>IF(G252="","",ABS(P252-Components!$C$4))</f>
        <v/>
      </c>
      <c r="T252" s="72" t="str">
        <f>IF(G252="","",ABS(P252-Components!$C$5))</f>
        <v/>
      </c>
      <c r="U252" s="72" t="str">
        <f>IF(G252="","",ABS(P252-Components!$C$6))</f>
        <v/>
      </c>
      <c r="V252" s="72" t="str">
        <f>IF(G252="","",ABS(P252-Components!$C$7))</f>
        <v/>
      </c>
      <c r="W252" s="7" t="str">
        <f>IF(G252="","",IF(N252="OK","NONE",INDEX({"S1","S2","W1","W2","N1","N2"},MATCH(MIN(Q252:V252),Q252:V252,0))))</f>
        <v/>
      </c>
      <c r="X252" s="80" t="str">
        <f t="shared" si="23"/>
        <v/>
      </c>
    </row>
    <row r="253" spans="1:24">
      <c r="A253" s="49">
        <v>251</v>
      </c>
      <c r="B253" s="74"/>
      <c r="C253" s="75"/>
      <c r="D253" s="75"/>
      <c r="E253" s="75"/>
      <c r="F253" s="75"/>
      <c r="G253" s="76"/>
      <c r="H253" s="77"/>
      <c r="I253" s="78"/>
      <c r="J253" s="70" t="e">
        <f>VLOOKUP(C253,Recipes!$A$2:$N$4,10,FALSE())</f>
        <v>#N/A</v>
      </c>
      <c r="K253" s="70" t="e">
        <f>VLOOKUP(C253,Recipes!$A$2:$N$4,12,FALSE())</f>
        <v>#N/A</v>
      </c>
      <c r="L253" s="71" t="e">
        <f t="shared" si="18"/>
        <v>#N/A</v>
      </c>
      <c r="M253" s="71" t="e">
        <f t="shared" si="19"/>
        <v>#N/A</v>
      </c>
      <c r="N253" s="7" t="str">
        <f t="shared" si="20"/>
        <v/>
      </c>
      <c r="O253" s="79" t="str">
        <f t="shared" si="21"/>
        <v/>
      </c>
      <c r="P253" s="71" t="str">
        <f t="shared" si="22"/>
        <v/>
      </c>
      <c r="Q253" s="72" t="str">
        <f>IF(G253="","",ABS(P253-Components!$C$2))</f>
        <v/>
      </c>
      <c r="R253" s="72" t="str">
        <f>IF(G253="","",ABS(P253-Components!$C$3))</f>
        <v/>
      </c>
      <c r="S253" s="72" t="str">
        <f>IF(G253="","",ABS(P253-Components!$C$4))</f>
        <v/>
      </c>
      <c r="T253" s="72" t="str">
        <f>IF(G253="","",ABS(P253-Components!$C$5))</f>
        <v/>
      </c>
      <c r="U253" s="72" t="str">
        <f>IF(G253="","",ABS(P253-Components!$C$6))</f>
        <v/>
      </c>
      <c r="V253" s="72" t="str">
        <f>IF(G253="","",ABS(P253-Components!$C$7))</f>
        <v/>
      </c>
      <c r="W253" s="7" t="str">
        <f>IF(G253="","",IF(N253="OK","NONE",INDEX({"S1","S2","W1","W2","N1","N2"},MATCH(MIN(Q253:V253),Q253:V253,0))))</f>
        <v/>
      </c>
      <c r="X253" s="80" t="str">
        <f t="shared" si="23"/>
        <v/>
      </c>
    </row>
    <row r="254" spans="1:24">
      <c r="A254" s="49">
        <v>252</v>
      </c>
      <c r="B254" s="74"/>
      <c r="C254" s="75"/>
      <c r="D254" s="75"/>
      <c r="E254" s="75"/>
      <c r="F254" s="75"/>
      <c r="G254" s="76"/>
      <c r="H254" s="77"/>
      <c r="I254" s="78"/>
      <c r="J254" s="70" t="e">
        <f>VLOOKUP(C254,Recipes!$A$2:$N$4,10,FALSE())</f>
        <v>#N/A</v>
      </c>
      <c r="K254" s="70" t="e">
        <f>VLOOKUP(C254,Recipes!$A$2:$N$4,12,FALSE())</f>
        <v>#N/A</v>
      </c>
      <c r="L254" s="71" t="e">
        <f t="shared" si="18"/>
        <v>#N/A</v>
      </c>
      <c r="M254" s="71" t="e">
        <f t="shared" si="19"/>
        <v>#N/A</v>
      </c>
      <c r="N254" s="7" t="str">
        <f t="shared" si="20"/>
        <v/>
      </c>
      <c r="O254" s="79" t="str">
        <f t="shared" si="21"/>
        <v/>
      </c>
      <c r="P254" s="71" t="str">
        <f t="shared" si="22"/>
        <v/>
      </c>
      <c r="Q254" s="72" t="str">
        <f>IF(G254="","",ABS(P254-Components!$C$2))</f>
        <v/>
      </c>
      <c r="R254" s="72" t="str">
        <f>IF(G254="","",ABS(P254-Components!$C$3))</f>
        <v/>
      </c>
      <c r="S254" s="72" t="str">
        <f>IF(G254="","",ABS(P254-Components!$C$4))</f>
        <v/>
      </c>
      <c r="T254" s="72" t="str">
        <f>IF(G254="","",ABS(P254-Components!$C$5))</f>
        <v/>
      </c>
      <c r="U254" s="72" t="str">
        <f>IF(G254="","",ABS(P254-Components!$C$6))</f>
        <v/>
      </c>
      <c r="V254" s="72" t="str">
        <f>IF(G254="","",ABS(P254-Components!$C$7))</f>
        <v/>
      </c>
      <c r="W254" s="7" t="str">
        <f>IF(G254="","",IF(N254="OK","NONE",INDEX({"S1","S2","W1","W2","N1","N2"},MATCH(MIN(Q254:V254),Q254:V254,0))))</f>
        <v/>
      </c>
      <c r="X254" s="80" t="str">
        <f t="shared" si="23"/>
        <v/>
      </c>
    </row>
    <row r="255" spans="1:24">
      <c r="A255" s="49">
        <v>253</v>
      </c>
      <c r="B255" s="74"/>
      <c r="C255" s="75"/>
      <c r="D255" s="75"/>
      <c r="E255" s="75"/>
      <c r="F255" s="75"/>
      <c r="G255" s="76"/>
      <c r="H255" s="77"/>
      <c r="I255" s="78"/>
      <c r="J255" s="70" t="e">
        <f>VLOOKUP(C255,Recipes!$A$2:$N$4,10,FALSE())</f>
        <v>#N/A</v>
      </c>
      <c r="K255" s="70" t="e">
        <f>VLOOKUP(C255,Recipes!$A$2:$N$4,12,FALSE())</f>
        <v>#N/A</v>
      </c>
      <c r="L255" s="71" t="e">
        <f t="shared" si="18"/>
        <v>#N/A</v>
      </c>
      <c r="M255" s="71" t="e">
        <f t="shared" si="19"/>
        <v>#N/A</v>
      </c>
      <c r="N255" s="7" t="str">
        <f t="shared" si="20"/>
        <v/>
      </c>
      <c r="O255" s="79" t="str">
        <f t="shared" si="21"/>
        <v/>
      </c>
      <c r="P255" s="71" t="str">
        <f t="shared" si="22"/>
        <v/>
      </c>
      <c r="Q255" s="72" t="str">
        <f>IF(G255="","",ABS(P255-Components!$C$2))</f>
        <v/>
      </c>
      <c r="R255" s="72" t="str">
        <f>IF(G255="","",ABS(P255-Components!$C$3))</f>
        <v/>
      </c>
      <c r="S255" s="72" t="str">
        <f>IF(G255="","",ABS(P255-Components!$C$4))</f>
        <v/>
      </c>
      <c r="T255" s="72" t="str">
        <f>IF(G255="","",ABS(P255-Components!$C$5))</f>
        <v/>
      </c>
      <c r="U255" s="72" t="str">
        <f>IF(G255="","",ABS(P255-Components!$C$6))</f>
        <v/>
      </c>
      <c r="V255" s="72" t="str">
        <f>IF(G255="","",ABS(P255-Components!$C$7))</f>
        <v/>
      </c>
      <c r="W255" s="7" t="str">
        <f>IF(G255="","",IF(N255="OK","NONE",INDEX({"S1","S2","W1","W2","N1","N2"},MATCH(MIN(Q255:V255),Q255:V255,0))))</f>
        <v/>
      </c>
      <c r="X255" s="80" t="str">
        <f t="shared" si="23"/>
        <v/>
      </c>
    </row>
    <row r="256" spans="1:24">
      <c r="A256" s="49">
        <v>254</v>
      </c>
      <c r="B256" s="74"/>
      <c r="C256" s="75"/>
      <c r="D256" s="75"/>
      <c r="E256" s="75"/>
      <c r="F256" s="75"/>
      <c r="G256" s="76"/>
      <c r="H256" s="77"/>
      <c r="I256" s="78"/>
      <c r="J256" s="70" t="e">
        <f>VLOOKUP(C256,Recipes!$A$2:$N$4,10,FALSE())</f>
        <v>#N/A</v>
      </c>
      <c r="K256" s="70" t="e">
        <f>VLOOKUP(C256,Recipes!$A$2:$N$4,12,FALSE())</f>
        <v>#N/A</v>
      </c>
      <c r="L256" s="71" t="e">
        <f t="shared" si="18"/>
        <v>#N/A</v>
      </c>
      <c r="M256" s="71" t="e">
        <f t="shared" si="19"/>
        <v>#N/A</v>
      </c>
      <c r="N256" s="7" t="str">
        <f t="shared" si="20"/>
        <v/>
      </c>
      <c r="O256" s="79" t="str">
        <f t="shared" si="21"/>
        <v/>
      </c>
      <c r="P256" s="71" t="str">
        <f t="shared" si="22"/>
        <v/>
      </c>
      <c r="Q256" s="72" t="str">
        <f>IF(G256="","",ABS(P256-Components!$C$2))</f>
        <v/>
      </c>
      <c r="R256" s="72" t="str">
        <f>IF(G256="","",ABS(P256-Components!$C$3))</f>
        <v/>
      </c>
      <c r="S256" s="72" t="str">
        <f>IF(G256="","",ABS(P256-Components!$C$4))</f>
        <v/>
      </c>
      <c r="T256" s="72" t="str">
        <f>IF(G256="","",ABS(P256-Components!$C$5))</f>
        <v/>
      </c>
      <c r="U256" s="72" t="str">
        <f>IF(G256="","",ABS(P256-Components!$C$6))</f>
        <v/>
      </c>
      <c r="V256" s="72" t="str">
        <f>IF(G256="","",ABS(P256-Components!$C$7))</f>
        <v/>
      </c>
      <c r="W256" s="7" t="str">
        <f>IF(G256="","",IF(N256="OK","NONE",INDEX({"S1","S2","W1","W2","N1","N2"},MATCH(MIN(Q256:V256),Q256:V256,0))))</f>
        <v/>
      </c>
      <c r="X256" s="80" t="str">
        <f t="shared" si="23"/>
        <v/>
      </c>
    </row>
    <row r="257" spans="1:24">
      <c r="A257" s="49">
        <v>255</v>
      </c>
      <c r="B257" s="74"/>
      <c r="C257" s="75"/>
      <c r="D257" s="75"/>
      <c r="E257" s="75"/>
      <c r="F257" s="75"/>
      <c r="G257" s="76"/>
      <c r="H257" s="77"/>
      <c r="I257" s="78"/>
      <c r="J257" s="70" t="e">
        <f>VLOOKUP(C257,Recipes!$A$2:$N$4,10,FALSE())</f>
        <v>#N/A</v>
      </c>
      <c r="K257" s="70" t="e">
        <f>VLOOKUP(C257,Recipes!$A$2:$N$4,12,FALSE())</f>
        <v>#N/A</v>
      </c>
      <c r="L257" s="71" t="e">
        <f t="shared" si="18"/>
        <v>#N/A</v>
      </c>
      <c r="M257" s="71" t="e">
        <f t="shared" si="19"/>
        <v>#N/A</v>
      </c>
      <c r="N257" s="7" t="str">
        <f t="shared" si="20"/>
        <v/>
      </c>
      <c r="O257" s="79" t="str">
        <f t="shared" si="21"/>
        <v/>
      </c>
      <c r="P257" s="71" t="str">
        <f t="shared" si="22"/>
        <v/>
      </c>
      <c r="Q257" s="72" t="str">
        <f>IF(G257="","",ABS(P257-Components!$C$2))</f>
        <v/>
      </c>
      <c r="R257" s="72" t="str">
        <f>IF(G257="","",ABS(P257-Components!$C$3))</f>
        <v/>
      </c>
      <c r="S257" s="72" t="str">
        <f>IF(G257="","",ABS(P257-Components!$C$4))</f>
        <v/>
      </c>
      <c r="T257" s="72" t="str">
        <f>IF(G257="","",ABS(P257-Components!$C$5))</f>
        <v/>
      </c>
      <c r="U257" s="72" t="str">
        <f>IF(G257="","",ABS(P257-Components!$C$6))</f>
        <v/>
      </c>
      <c r="V257" s="72" t="str">
        <f>IF(G257="","",ABS(P257-Components!$C$7))</f>
        <v/>
      </c>
      <c r="W257" s="7" t="str">
        <f>IF(G257="","",IF(N257="OK","NONE",INDEX({"S1","S2","W1","W2","N1","N2"},MATCH(MIN(Q257:V257),Q257:V257,0))))</f>
        <v/>
      </c>
      <c r="X257" s="80" t="str">
        <f t="shared" si="23"/>
        <v/>
      </c>
    </row>
    <row r="258" spans="1:24">
      <c r="A258" s="49">
        <v>256</v>
      </c>
      <c r="B258" s="74"/>
      <c r="C258" s="75"/>
      <c r="D258" s="75"/>
      <c r="E258" s="75"/>
      <c r="F258" s="75"/>
      <c r="G258" s="76"/>
      <c r="H258" s="77"/>
      <c r="I258" s="78"/>
      <c r="J258" s="70" t="e">
        <f>VLOOKUP(C258,Recipes!$A$2:$N$4,10,FALSE())</f>
        <v>#N/A</v>
      </c>
      <c r="K258" s="70" t="e">
        <f>VLOOKUP(C258,Recipes!$A$2:$N$4,12,FALSE())</f>
        <v>#N/A</v>
      </c>
      <c r="L258" s="71" t="e">
        <f t="shared" si="18"/>
        <v>#N/A</v>
      </c>
      <c r="M258" s="71" t="e">
        <f t="shared" si="19"/>
        <v>#N/A</v>
      </c>
      <c r="N258" s="7" t="str">
        <f t="shared" si="20"/>
        <v/>
      </c>
      <c r="O258" s="79" t="str">
        <f t="shared" si="21"/>
        <v/>
      </c>
      <c r="P258" s="71" t="str">
        <f t="shared" si="22"/>
        <v/>
      </c>
      <c r="Q258" s="72" t="str">
        <f>IF(G258="","",ABS(P258-Components!$C$2))</f>
        <v/>
      </c>
      <c r="R258" s="72" t="str">
        <f>IF(G258="","",ABS(P258-Components!$C$3))</f>
        <v/>
      </c>
      <c r="S258" s="72" t="str">
        <f>IF(G258="","",ABS(P258-Components!$C$4))</f>
        <v/>
      </c>
      <c r="T258" s="72" t="str">
        <f>IF(G258="","",ABS(P258-Components!$C$5))</f>
        <v/>
      </c>
      <c r="U258" s="72" t="str">
        <f>IF(G258="","",ABS(P258-Components!$C$6))</f>
        <v/>
      </c>
      <c r="V258" s="72" t="str">
        <f>IF(G258="","",ABS(P258-Components!$C$7))</f>
        <v/>
      </c>
      <c r="W258" s="7" t="str">
        <f>IF(G258="","",IF(N258="OK","NONE",INDEX({"S1","S2","W1","W2","N1","N2"},MATCH(MIN(Q258:V258),Q258:V258,0))))</f>
        <v/>
      </c>
      <c r="X258" s="80" t="str">
        <f t="shared" si="23"/>
        <v/>
      </c>
    </row>
    <row r="259" spans="1:24">
      <c r="A259" s="49">
        <v>257</v>
      </c>
      <c r="B259" s="74"/>
      <c r="C259" s="75"/>
      <c r="D259" s="75"/>
      <c r="E259" s="75"/>
      <c r="F259" s="75"/>
      <c r="G259" s="76"/>
      <c r="H259" s="77"/>
      <c r="I259" s="78"/>
      <c r="J259" s="70" t="e">
        <f>VLOOKUP(C259,Recipes!$A$2:$N$4,10,FALSE())</f>
        <v>#N/A</v>
      </c>
      <c r="K259" s="70" t="e">
        <f>VLOOKUP(C259,Recipes!$A$2:$N$4,12,FALSE())</f>
        <v>#N/A</v>
      </c>
      <c r="L259" s="71" t="e">
        <f t="shared" ref="L259:L322" si="24">J259-3*K259</f>
        <v>#N/A</v>
      </c>
      <c r="M259" s="71" t="e">
        <f t="shared" ref="M259:M322" si="25">J259+3*K259</f>
        <v>#N/A</v>
      </c>
      <c r="N259" s="7" t="str">
        <f t="shared" ref="N259:N322" si="26">IF(G259="","",IF(AND(G259&gt;=L259,G259&lt;=M259),"OK","NG"))</f>
        <v/>
      </c>
      <c r="O259" s="79" t="str">
        <f t="shared" ref="O259:O322" si="27">IF(N259="","",IF(N259=D259,1,0))</f>
        <v/>
      </c>
      <c r="P259" s="71" t="str">
        <f t="shared" ref="P259:P322" si="28">IF(G259="","",J259-G259)</f>
        <v/>
      </c>
      <c r="Q259" s="72" t="str">
        <f>IF(G259="","",ABS(P259-Components!$C$2))</f>
        <v/>
      </c>
      <c r="R259" s="72" t="str">
        <f>IF(G259="","",ABS(P259-Components!$C$3))</f>
        <v/>
      </c>
      <c r="S259" s="72" t="str">
        <f>IF(G259="","",ABS(P259-Components!$C$4))</f>
        <v/>
      </c>
      <c r="T259" s="72" t="str">
        <f>IF(G259="","",ABS(P259-Components!$C$5))</f>
        <v/>
      </c>
      <c r="U259" s="72" t="str">
        <f>IF(G259="","",ABS(P259-Components!$C$6))</f>
        <v/>
      </c>
      <c r="V259" s="72" t="str">
        <f>IF(G259="","",ABS(P259-Components!$C$7))</f>
        <v/>
      </c>
      <c r="W259" s="7" t="str">
        <f>IF(G259="","",IF(N259="OK","NONE",INDEX({"S1","S2","W1","W2","N1","N2"},MATCH(MIN(Q259:V259),Q259:V259,0))))</f>
        <v/>
      </c>
      <c r="X259" s="80" t="str">
        <f t="shared" ref="X259:X322" si="29">IF(G259="","",IF(W259=E259,1,0))</f>
        <v/>
      </c>
    </row>
    <row r="260" spans="1:24">
      <c r="A260" s="49">
        <v>258</v>
      </c>
      <c r="B260" s="74"/>
      <c r="C260" s="75"/>
      <c r="D260" s="75"/>
      <c r="E260" s="75"/>
      <c r="F260" s="75"/>
      <c r="G260" s="76"/>
      <c r="H260" s="77"/>
      <c r="I260" s="78"/>
      <c r="J260" s="70" t="e">
        <f>VLOOKUP(C260,Recipes!$A$2:$N$4,10,FALSE())</f>
        <v>#N/A</v>
      </c>
      <c r="K260" s="70" t="e">
        <f>VLOOKUP(C260,Recipes!$A$2:$N$4,12,FALSE())</f>
        <v>#N/A</v>
      </c>
      <c r="L260" s="71" t="e">
        <f t="shared" si="24"/>
        <v>#N/A</v>
      </c>
      <c r="M260" s="71" t="e">
        <f t="shared" si="25"/>
        <v>#N/A</v>
      </c>
      <c r="N260" s="7" t="str">
        <f t="shared" si="26"/>
        <v/>
      </c>
      <c r="O260" s="79" t="str">
        <f t="shared" si="27"/>
        <v/>
      </c>
      <c r="P260" s="71" t="str">
        <f t="shared" si="28"/>
        <v/>
      </c>
      <c r="Q260" s="72" t="str">
        <f>IF(G260="","",ABS(P260-Components!$C$2))</f>
        <v/>
      </c>
      <c r="R260" s="72" t="str">
        <f>IF(G260="","",ABS(P260-Components!$C$3))</f>
        <v/>
      </c>
      <c r="S260" s="72" t="str">
        <f>IF(G260="","",ABS(P260-Components!$C$4))</f>
        <v/>
      </c>
      <c r="T260" s="72" t="str">
        <f>IF(G260="","",ABS(P260-Components!$C$5))</f>
        <v/>
      </c>
      <c r="U260" s="72" t="str">
        <f>IF(G260="","",ABS(P260-Components!$C$6))</f>
        <v/>
      </c>
      <c r="V260" s="72" t="str">
        <f>IF(G260="","",ABS(P260-Components!$C$7))</f>
        <v/>
      </c>
      <c r="W260" s="7" t="str">
        <f>IF(G260="","",IF(N260="OK","NONE",INDEX({"S1","S2","W1","W2","N1","N2"},MATCH(MIN(Q260:V260),Q260:V260,0))))</f>
        <v/>
      </c>
      <c r="X260" s="80" t="str">
        <f t="shared" si="29"/>
        <v/>
      </c>
    </row>
    <row r="261" spans="1:24">
      <c r="A261" s="49">
        <v>259</v>
      </c>
      <c r="B261" s="74"/>
      <c r="C261" s="75"/>
      <c r="D261" s="75"/>
      <c r="E261" s="75"/>
      <c r="F261" s="75"/>
      <c r="G261" s="76"/>
      <c r="H261" s="77"/>
      <c r="I261" s="78"/>
      <c r="J261" s="70" t="e">
        <f>VLOOKUP(C261,Recipes!$A$2:$N$4,10,FALSE())</f>
        <v>#N/A</v>
      </c>
      <c r="K261" s="70" t="e">
        <f>VLOOKUP(C261,Recipes!$A$2:$N$4,12,FALSE())</f>
        <v>#N/A</v>
      </c>
      <c r="L261" s="71" t="e">
        <f t="shared" si="24"/>
        <v>#N/A</v>
      </c>
      <c r="M261" s="71" t="e">
        <f t="shared" si="25"/>
        <v>#N/A</v>
      </c>
      <c r="N261" s="7" t="str">
        <f t="shared" si="26"/>
        <v/>
      </c>
      <c r="O261" s="79" t="str">
        <f t="shared" si="27"/>
        <v/>
      </c>
      <c r="P261" s="71" t="str">
        <f t="shared" si="28"/>
        <v/>
      </c>
      <c r="Q261" s="72" t="str">
        <f>IF(G261="","",ABS(P261-Components!$C$2))</f>
        <v/>
      </c>
      <c r="R261" s="72" t="str">
        <f>IF(G261="","",ABS(P261-Components!$C$3))</f>
        <v/>
      </c>
      <c r="S261" s="72" t="str">
        <f>IF(G261="","",ABS(P261-Components!$C$4))</f>
        <v/>
      </c>
      <c r="T261" s="72" t="str">
        <f>IF(G261="","",ABS(P261-Components!$C$5))</f>
        <v/>
      </c>
      <c r="U261" s="72" t="str">
        <f>IF(G261="","",ABS(P261-Components!$C$6))</f>
        <v/>
      </c>
      <c r="V261" s="72" t="str">
        <f>IF(G261="","",ABS(P261-Components!$C$7))</f>
        <v/>
      </c>
      <c r="W261" s="7" t="str">
        <f>IF(G261="","",IF(N261="OK","NONE",INDEX({"S1","S2","W1","W2","N1","N2"},MATCH(MIN(Q261:V261),Q261:V261,0))))</f>
        <v/>
      </c>
      <c r="X261" s="80" t="str">
        <f t="shared" si="29"/>
        <v/>
      </c>
    </row>
    <row r="262" spans="1:24">
      <c r="A262" s="49">
        <v>260</v>
      </c>
      <c r="B262" s="74"/>
      <c r="C262" s="75"/>
      <c r="D262" s="75"/>
      <c r="E262" s="75"/>
      <c r="F262" s="75"/>
      <c r="G262" s="76"/>
      <c r="H262" s="77"/>
      <c r="I262" s="78"/>
      <c r="J262" s="70" t="e">
        <f>VLOOKUP(C262,Recipes!$A$2:$N$4,10,FALSE())</f>
        <v>#N/A</v>
      </c>
      <c r="K262" s="70" t="e">
        <f>VLOOKUP(C262,Recipes!$A$2:$N$4,12,FALSE())</f>
        <v>#N/A</v>
      </c>
      <c r="L262" s="71" t="e">
        <f t="shared" si="24"/>
        <v>#N/A</v>
      </c>
      <c r="M262" s="71" t="e">
        <f t="shared" si="25"/>
        <v>#N/A</v>
      </c>
      <c r="N262" s="7" t="str">
        <f t="shared" si="26"/>
        <v/>
      </c>
      <c r="O262" s="79" t="str">
        <f t="shared" si="27"/>
        <v/>
      </c>
      <c r="P262" s="71" t="str">
        <f t="shared" si="28"/>
        <v/>
      </c>
      <c r="Q262" s="72" t="str">
        <f>IF(G262="","",ABS(P262-Components!$C$2))</f>
        <v/>
      </c>
      <c r="R262" s="72" t="str">
        <f>IF(G262="","",ABS(P262-Components!$C$3))</f>
        <v/>
      </c>
      <c r="S262" s="72" t="str">
        <f>IF(G262="","",ABS(P262-Components!$C$4))</f>
        <v/>
      </c>
      <c r="T262" s="72" t="str">
        <f>IF(G262="","",ABS(P262-Components!$C$5))</f>
        <v/>
      </c>
      <c r="U262" s="72" t="str">
        <f>IF(G262="","",ABS(P262-Components!$C$6))</f>
        <v/>
      </c>
      <c r="V262" s="72" t="str">
        <f>IF(G262="","",ABS(P262-Components!$C$7))</f>
        <v/>
      </c>
      <c r="W262" s="7" t="str">
        <f>IF(G262="","",IF(N262="OK","NONE",INDEX({"S1","S2","W1","W2","N1","N2"},MATCH(MIN(Q262:V262),Q262:V262,0))))</f>
        <v/>
      </c>
      <c r="X262" s="80" t="str">
        <f t="shared" si="29"/>
        <v/>
      </c>
    </row>
    <row r="263" spans="1:24">
      <c r="A263" s="49">
        <v>261</v>
      </c>
      <c r="B263" s="74"/>
      <c r="C263" s="75"/>
      <c r="D263" s="75"/>
      <c r="E263" s="75"/>
      <c r="F263" s="75"/>
      <c r="G263" s="76"/>
      <c r="H263" s="77"/>
      <c r="I263" s="78"/>
      <c r="J263" s="70" t="e">
        <f>VLOOKUP(C263,Recipes!$A$2:$N$4,10,FALSE())</f>
        <v>#N/A</v>
      </c>
      <c r="K263" s="70" t="e">
        <f>VLOOKUP(C263,Recipes!$A$2:$N$4,12,FALSE())</f>
        <v>#N/A</v>
      </c>
      <c r="L263" s="71" t="e">
        <f t="shared" si="24"/>
        <v>#N/A</v>
      </c>
      <c r="M263" s="71" t="e">
        <f t="shared" si="25"/>
        <v>#N/A</v>
      </c>
      <c r="N263" s="7" t="str">
        <f t="shared" si="26"/>
        <v/>
      </c>
      <c r="O263" s="79" t="str">
        <f t="shared" si="27"/>
        <v/>
      </c>
      <c r="P263" s="71" t="str">
        <f t="shared" si="28"/>
        <v/>
      </c>
      <c r="Q263" s="72" t="str">
        <f>IF(G263="","",ABS(P263-Components!$C$2))</f>
        <v/>
      </c>
      <c r="R263" s="72" t="str">
        <f>IF(G263="","",ABS(P263-Components!$C$3))</f>
        <v/>
      </c>
      <c r="S263" s="72" t="str">
        <f>IF(G263="","",ABS(P263-Components!$C$4))</f>
        <v/>
      </c>
      <c r="T263" s="72" t="str">
        <f>IF(G263="","",ABS(P263-Components!$C$5))</f>
        <v/>
      </c>
      <c r="U263" s="72" t="str">
        <f>IF(G263="","",ABS(P263-Components!$C$6))</f>
        <v/>
      </c>
      <c r="V263" s="72" t="str">
        <f>IF(G263="","",ABS(P263-Components!$C$7))</f>
        <v/>
      </c>
      <c r="W263" s="7" t="str">
        <f>IF(G263="","",IF(N263="OK","NONE",INDEX({"S1","S2","W1","W2","N1","N2"},MATCH(MIN(Q263:V263),Q263:V263,0))))</f>
        <v/>
      </c>
      <c r="X263" s="80" t="str">
        <f t="shared" si="29"/>
        <v/>
      </c>
    </row>
    <row r="264" spans="1:24">
      <c r="A264" s="49">
        <v>262</v>
      </c>
      <c r="B264" s="74"/>
      <c r="C264" s="75"/>
      <c r="D264" s="75"/>
      <c r="E264" s="75"/>
      <c r="F264" s="75"/>
      <c r="G264" s="76"/>
      <c r="H264" s="77"/>
      <c r="I264" s="78"/>
      <c r="J264" s="70" t="e">
        <f>VLOOKUP(C264,Recipes!$A$2:$N$4,10,FALSE())</f>
        <v>#N/A</v>
      </c>
      <c r="K264" s="70" t="e">
        <f>VLOOKUP(C264,Recipes!$A$2:$N$4,12,FALSE())</f>
        <v>#N/A</v>
      </c>
      <c r="L264" s="71" t="e">
        <f t="shared" si="24"/>
        <v>#N/A</v>
      </c>
      <c r="M264" s="71" t="e">
        <f t="shared" si="25"/>
        <v>#N/A</v>
      </c>
      <c r="N264" s="7" t="str">
        <f t="shared" si="26"/>
        <v/>
      </c>
      <c r="O264" s="79" t="str">
        <f t="shared" si="27"/>
        <v/>
      </c>
      <c r="P264" s="71" t="str">
        <f t="shared" si="28"/>
        <v/>
      </c>
      <c r="Q264" s="72" t="str">
        <f>IF(G264="","",ABS(P264-Components!$C$2))</f>
        <v/>
      </c>
      <c r="R264" s="72" t="str">
        <f>IF(G264="","",ABS(P264-Components!$C$3))</f>
        <v/>
      </c>
      <c r="S264" s="72" t="str">
        <f>IF(G264="","",ABS(P264-Components!$C$4))</f>
        <v/>
      </c>
      <c r="T264" s="72" t="str">
        <f>IF(G264="","",ABS(P264-Components!$C$5))</f>
        <v/>
      </c>
      <c r="U264" s="72" t="str">
        <f>IF(G264="","",ABS(P264-Components!$C$6))</f>
        <v/>
      </c>
      <c r="V264" s="72" t="str">
        <f>IF(G264="","",ABS(P264-Components!$C$7))</f>
        <v/>
      </c>
      <c r="W264" s="7" t="str">
        <f>IF(G264="","",IF(N264="OK","NONE",INDEX({"S1","S2","W1","W2","N1","N2"},MATCH(MIN(Q264:V264),Q264:V264,0))))</f>
        <v/>
      </c>
      <c r="X264" s="80" t="str">
        <f t="shared" si="29"/>
        <v/>
      </c>
    </row>
    <row r="265" spans="1:24">
      <c r="A265" s="49">
        <v>263</v>
      </c>
      <c r="B265" s="74"/>
      <c r="C265" s="75"/>
      <c r="D265" s="75"/>
      <c r="E265" s="75"/>
      <c r="F265" s="75"/>
      <c r="G265" s="76"/>
      <c r="H265" s="77"/>
      <c r="I265" s="78"/>
      <c r="J265" s="70" t="e">
        <f>VLOOKUP(C265,Recipes!$A$2:$N$4,10,FALSE())</f>
        <v>#N/A</v>
      </c>
      <c r="K265" s="70" t="e">
        <f>VLOOKUP(C265,Recipes!$A$2:$N$4,12,FALSE())</f>
        <v>#N/A</v>
      </c>
      <c r="L265" s="71" t="e">
        <f t="shared" si="24"/>
        <v>#N/A</v>
      </c>
      <c r="M265" s="71" t="e">
        <f t="shared" si="25"/>
        <v>#N/A</v>
      </c>
      <c r="N265" s="7" t="str">
        <f t="shared" si="26"/>
        <v/>
      </c>
      <c r="O265" s="79" t="str">
        <f t="shared" si="27"/>
        <v/>
      </c>
      <c r="P265" s="71" t="str">
        <f t="shared" si="28"/>
        <v/>
      </c>
      <c r="Q265" s="72" t="str">
        <f>IF(G265="","",ABS(P265-Components!$C$2))</f>
        <v/>
      </c>
      <c r="R265" s="72" t="str">
        <f>IF(G265="","",ABS(P265-Components!$C$3))</f>
        <v/>
      </c>
      <c r="S265" s="72" t="str">
        <f>IF(G265="","",ABS(P265-Components!$C$4))</f>
        <v/>
      </c>
      <c r="T265" s="72" t="str">
        <f>IF(G265="","",ABS(P265-Components!$C$5))</f>
        <v/>
      </c>
      <c r="U265" s="72" t="str">
        <f>IF(G265="","",ABS(P265-Components!$C$6))</f>
        <v/>
      </c>
      <c r="V265" s="72" t="str">
        <f>IF(G265="","",ABS(P265-Components!$C$7))</f>
        <v/>
      </c>
      <c r="W265" s="7" t="str">
        <f>IF(G265="","",IF(N265="OK","NONE",INDEX({"S1","S2","W1","W2","N1","N2"},MATCH(MIN(Q265:V265),Q265:V265,0))))</f>
        <v/>
      </c>
      <c r="X265" s="80" t="str">
        <f t="shared" si="29"/>
        <v/>
      </c>
    </row>
    <row r="266" spans="1:24">
      <c r="A266" s="49">
        <v>264</v>
      </c>
      <c r="B266" s="74"/>
      <c r="C266" s="75"/>
      <c r="D266" s="75"/>
      <c r="E266" s="75"/>
      <c r="F266" s="75"/>
      <c r="G266" s="76"/>
      <c r="H266" s="77"/>
      <c r="I266" s="78"/>
      <c r="J266" s="70" t="e">
        <f>VLOOKUP(C266,Recipes!$A$2:$N$4,10,FALSE())</f>
        <v>#N/A</v>
      </c>
      <c r="K266" s="70" t="e">
        <f>VLOOKUP(C266,Recipes!$A$2:$N$4,12,FALSE())</f>
        <v>#N/A</v>
      </c>
      <c r="L266" s="71" t="e">
        <f t="shared" si="24"/>
        <v>#N/A</v>
      </c>
      <c r="M266" s="71" t="e">
        <f t="shared" si="25"/>
        <v>#N/A</v>
      </c>
      <c r="N266" s="7" t="str">
        <f t="shared" si="26"/>
        <v/>
      </c>
      <c r="O266" s="79" t="str">
        <f t="shared" si="27"/>
        <v/>
      </c>
      <c r="P266" s="71" t="str">
        <f t="shared" si="28"/>
        <v/>
      </c>
      <c r="Q266" s="72" t="str">
        <f>IF(G266="","",ABS(P266-Components!$C$2))</f>
        <v/>
      </c>
      <c r="R266" s="72" t="str">
        <f>IF(G266="","",ABS(P266-Components!$C$3))</f>
        <v/>
      </c>
      <c r="S266" s="72" t="str">
        <f>IF(G266="","",ABS(P266-Components!$C$4))</f>
        <v/>
      </c>
      <c r="T266" s="72" t="str">
        <f>IF(G266="","",ABS(P266-Components!$C$5))</f>
        <v/>
      </c>
      <c r="U266" s="72" t="str">
        <f>IF(G266="","",ABS(P266-Components!$C$6))</f>
        <v/>
      </c>
      <c r="V266" s="72" t="str">
        <f>IF(G266="","",ABS(P266-Components!$C$7))</f>
        <v/>
      </c>
      <c r="W266" s="7" t="str">
        <f>IF(G266="","",IF(N266="OK","NONE",INDEX({"S1","S2","W1","W2","N1","N2"},MATCH(MIN(Q266:V266),Q266:V266,0))))</f>
        <v/>
      </c>
      <c r="X266" s="80" t="str">
        <f t="shared" si="29"/>
        <v/>
      </c>
    </row>
    <row r="267" spans="1:24">
      <c r="A267" s="49">
        <v>265</v>
      </c>
      <c r="B267" s="74"/>
      <c r="C267" s="75"/>
      <c r="D267" s="75"/>
      <c r="E267" s="75"/>
      <c r="F267" s="75"/>
      <c r="G267" s="76"/>
      <c r="H267" s="77"/>
      <c r="I267" s="78"/>
      <c r="J267" s="70" t="e">
        <f>VLOOKUP(C267,Recipes!$A$2:$N$4,10,FALSE())</f>
        <v>#N/A</v>
      </c>
      <c r="K267" s="70" t="e">
        <f>VLOOKUP(C267,Recipes!$A$2:$N$4,12,FALSE())</f>
        <v>#N/A</v>
      </c>
      <c r="L267" s="71" t="e">
        <f t="shared" si="24"/>
        <v>#N/A</v>
      </c>
      <c r="M267" s="71" t="e">
        <f t="shared" si="25"/>
        <v>#N/A</v>
      </c>
      <c r="N267" s="7" t="str">
        <f t="shared" si="26"/>
        <v/>
      </c>
      <c r="O267" s="79" t="str">
        <f t="shared" si="27"/>
        <v/>
      </c>
      <c r="P267" s="71" t="str">
        <f t="shared" si="28"/>
        <v/>
      </c>
      <c r="Q267" s="72" t="str">
        <f>IF(G267="","",ABS(P267-Components!$C$2))</f>
        <v/>
      </c>
      <c r="R267" s="72" t="str">
        <f>IF(G267="","",ABS(P267-Components!$C$3))</f>
        <v/>
      </c>
      <c r="S267" s="72" t="str">
        <f>IF(G267="","",ABS(P267-Components!$C$4))</f>
        <v/>
      </c>
      <c r="T267" s="72" t="str">
        <f>IF(G267="","",ABS(P267-Components!$C$5))</f>
        <v/>
      </c>
      <c r="U267" s="72" t="str">
        <f>IF(G267="","",ABS(P267-Components!$C$6))</f>
        <v/>
      </c>
      <c r="V267" s="72" t="str">
        <f>IF(G267="","",ABS(P267-Components!$C$7))</f>
        <v/>
      </c>
      <c r="W267" s="7" t="str">
        <f>IF(G267="","",IF(N267="OK","NONE",INDEX({"S1","S2","W1","W2","N1","N2"},MATCH(MIN(Q267:V267),Q267:V267,0))))</f>
        <v/>
      </c>
      <c r="X267" s="80" t="str">
        <f t="shared" si="29"/>
        <v/>
      </c>
    </row>
    <row r="268" spans="1:24">
      <c r="A268" s="49">
        <v>266</v>
      </c>
      <c r="B268" s="74"/>
      <c r="C268" s="75"/>
      <c r="D268" s="75"/>
      <c r="E268" s="75"/>
      <c r="F268" s="75"/>
      <c r="G268" s="76"/>
      <c r="H268" s="77"/>
      <c r="I268" s="78"/>
      <c r="J268" s="70" t="e">
        <f>VLOOKUP(C268,Recipes!$A$2:$N$4,10,FALSE())</f>
        <v>#N/A</v>
      </c>
      <c r="K268" s="70" t="e">
        <f>VLOOKUP(C268,Recipes!$A$2:$N$4,12,FALSE())</f>
        <v>#N/A</v>
      </c>
      <c r="L268" s="71" t="e">
        <f t="shared" si="24"/>
        <v>#N/A</v>
      </c>
      <c r="M268" s="71" t="e">
        <f t="shared" si="25"/>
        <v>#N/A</v>
      </c>
      <c r="N268" s="7" t="str">
        <f t="shared" si="26"/>
        <v/>
      </c>
      <c r="O268" s="79" t="str">
        <f t="shared" si="27"/>
        <v/>
      </c>
      <c r="P268" s="71" t="str">
        <f t="shared" si="28"/>
        <v/>
      </c>
      <c r="Q268" s="72" t="str">
        <f>IF(G268="","",ABS(P268-Components!$C$2))</f>
        <v/>
      </c>
      <c r="R268" s="72" t="str">
        <f>IF(G268="","",ABS(P268-Components!$C$3))</f>
        <v/>
      </c>
      <c r="S268" s="72" t="str">
        <f>IF(G268="","",ABS(P268-Components!$C$4))</f>
        <v/>
      </c>
      <c r="T268" s="72" t="str">
        <f>IF(G268="","",ABS(P268-Components!$C$5))</f>
        <v/>
      </c>
      <c r="U268" s="72" t="str">
        <f>IF(G268="","",ABS(P268-Components!$C$6))</f>
        <v/>
      </c>
      <c r="V268" s="72" t="str">
        <f>IF(G268="","",ABS(P268-Components!$C$7))</f>
        <v/>
      </c>
      <c r="W268" s="7" t="str">
        <f>IF(G268="","",IF(N268="OK","NONE",INDEX({"S1","S2","W1","W2","N1","N2"},MATCH(MIN(Q268:V268),Q268:V268,0))))</f>
        <v/>
      </c>
      <c r="X268" s="80" t="str">
        <f t="shared" si="29"/>
        <v/>
      </c>
    </row>
    <row r="269" spans="1:24">
      <c r="A269" s="49">
        <v>267</v>
      </c>
      <c r="B269" s="74"/>
      <c r="C269" s="75"/>
      <c r="D269" s="75"/>
      <c r="E269" s="75"/>
      <c r="F269" s="75"/>
      <c r="G269" s="76"/>
      <c r="H269" s="77"/>
      <c r="I269" s="78"/>
      <c r="J269" s="70" t="e">
        <f>VLOOKUP(C269,Recipes!$A$2:$N$4,10,FALSE())</f>
        <v>#N/A</v>
      </c>
      <c r="K269" s="70" t="e">
        <f>VLOOKUP(C269,Recipes!$A$2:$N$4,12,FALSE())</f>
        <v>#N/A</v>
      </c>
      <c r="L269" s="71" t="e">
        <f t="shared" si="24"/>
        <v>#N/A</v>
      </c>
      <c r="M269" s="71" t="e">
        <f t="shared" si="25"/>
        <v>#N/A</v>
      </c>
      <c r="N269" s="7" t="str">
        <f t="shared" si="26"/>
        <v/>
      </c>
      <c r="O269" s="79" t="str">
        <f t="shared" si="27"/>
        <v/>
      </c>
      <c r="P269" s="71" t="str">
        <f t="shared" si="28"/>
        <v/>
      </c>
      <c r="Q269" s="72" t="str">
        <f>IF(G269="","",ABS(P269-Components!$C$2))</f>
        <v/>
      </c>
      <c r="R269" s="72" t="str">
        <f>IF(G269="","",ABS(P269-Components!$C$3))</f>
        <v/>
      </c>
      <c r="S269" s="72" t="str">
        <f>IF(G269="","",ABS(P269-Components!$C$4))</f>
        <v/>
      </c>
      <c r="T269" s="72" t="str">
        <f>IF(G269="","",ABS(P269-Components!$C$5))</f>
        <v/>
      </c>
      <c r="U269" s="72" t="str">
        <f>IF(G269="","",ABS(P269-Components!$C$6))</f>
        <v/>
      </c>
      <c r="V269" s="72" t="str">
        <f>IF(G269="","",ABS(P269-Components!$C$7))</f>
        <v/>
      </c>
      <c r="W269" s="7" t="str">
        <f>IF(G269="","",IF(N269="OK","NONE",INDEX({"S1","S2","W1","W2","N1","N2"},MATCH(MIN(Q269:V269),Q269:V269,0))))</f>
        <v/>
      </c>
      <c r="X269" s="80" t="str">
        <f t="shared" si="29"/>
        <v/>
      </c>
    </row>
    <row r="270" spans="1:24">
      <c r="A270" s="49">
        <v>268</v>
      </c>
      <c r="B270" s="74"/>
      <c r="C270" s="75"/>
      <c r="D270" s="75"/>
      <c r="E270" s="75"/>
      <c r="F270" s="75"/>
      <c r="G270" s="76"/>
      <c r="H270" s="77"/>
      <c r="I270" s="78"/>
      <c r="J270" s="70" t="e">
        <f>VLOOKUP(C270,Recipes!$A$2:$N$4,10,FALSE())</f>
        <v>#N/A</v>
      </c>
      <c r="K270" s="70" t="e">
        <f>VLOOKUP(C270,Recipes!$A$2:$N$4,12,FALSE())</f>
        <v>#N/A</v>
      </c>
      <c r="L270" s="71" t="e">
        <f t="shared" si="24"/>
        <v>#N/A</v>
      </c>
      <c r="M270" s="71" t="e">
        <f t="shared" si="25"/>
        <v>#N/A</v>
      </c>
      <c r="N270" s="7" t="str">
        <f t="shared" si="26"/>
        <v/>
      </c>
      <c r="O270" s="79" t="str">
        <f t="shared" si="27"/>
        <v/>
      </c>
      <c r="P270" s="71" t="str">
        <f t="shared" si="28"/>
        <v/>
      </c>
      <c r="Q270" s="72" t="str">
        <f>IF(G270="","",ABS(P270-Components!$C$2))</f>
        <v/>
      </c>
      <c r="R270" s="72" t="str">
        <f>IF(G270="","",ABS(P270-Components!$C$3))</f>
        <v/>
      </c>
      <c r="S270" s="72" t="str">
        <f>IF(G270="","",ABS(P270-Components!$C$4))</f>
        <v/>
      </c>
      <c r="T270" s="72" t="str">
        <f>IF(G270="","",ABS(P270-Components!$C$5))</f>
        <v/>
      </c>
      <c r="U270" s="72" t="str">
        <f>IF(G270="","",ABS(P270-Components!$C$6))</f>
        <v/>
      </c>
      <c r="V270" s="72" t="str">
        <f>IF(G270="","",ABS(P270-Components!$C$7))</f>
        <v/>
      </c>
      <c r="W270" s="7" t="str">
        <f>IF(G270="","",IF(N270="OK","NONE",INDEX({"S1","S2","W1","W2","N1","N2"},MATCH(MIN(Q270:V270),Q270:V270,0))))</f>
        <v/>
      </c>
      <c r="X270" s="80" t="str">
        <f t="shared" si="29"/>
        <v/>
      </c>
    </row>
    <row r="271" spans="1:24">
      <c r="A271" s="49">
        <v>269</v>
      </c>
      <c r="B271" s="74"/>
      <c r="C271" s="75"/>
      <c r="D271" s="75"/>
      <c r="E271" s="75"/>
      <c r="F271" s="75"/>
      <c r="G271" s="76"/>
      <c r="H271" s="77"/>
      <c r="I271" s="78"/>
      <c r="J271" s="70" t="e">
        <f>VLOOKUP(C271,Recipes!$A$2:$N$4,10,FALSE())</f>
        <v>#N/A</v>
      </c>
      <c r="K271" s="70" t="e">
        <f>VLOOKUP(C271,Recipes!$A$2:$N$4,12,FALSE())</f>
        <v>#N/A</v>
      </c>
      <c r="L271" s="71" t="e">
        <f t="shared" si="24"/>
        <v>#N/A</v>
      </c>
      <c r="M271" s="71" t="e">
        <f t="shared" si="25"/>
        <v>#N/A</v>
      </c>
      <c r="N271" s="7" t="str">
        <f t="shared" si="26"/>
        <v/>
      </c>
      <c r="O271" s="79" t="str">
        <f t="shared" si="27"/>
        <v/>
      </c>
      <c r="P271" s="71" t="str">
        <f t="shared" si="28"/>
        <v/>
      </c>
      <c r="Q271" s="72" t="str">
        <f>IF(G271="","",ABS(P271-Components!$C$2))</f>
        <v/>
      </c>
      <c r="R271" s="72" t="str">
        <f>IF(G271="","",ABS(P271-Components!$C$3))</f>
        <v/>
      </c>
      <c r="S271" s="72" t="str">
        <f>IF(G271="","",ABS(P271-Components!$C$4))</f>
        <v/>
      </c>
      <c r="T271" s="72" t="str">
        <f>IF(G271="","",ABS(P271-Components!$C$5))</f>
        <v/>
      </c>
      <c r="U271" s="72" t="str">
        <f>IF(G271="","",ABS(P271-Components!$C$6))</f>
        <v/>
      </c>
      <c r="V271" s="72" t="str">
        <f>IF(G271="","",ABS(P271-Components!$C$7))</f>
        <v/>
      </c>
      <c r="W271" s="7" t="str">
        <f>IF(G271="","",IF(N271="OK","NONE",INDEX({"S1","S2","W1","W2","N1","N2"},MATCH(MIN(Q271:V271),Q271:V271,0))))</f>
        <v/>
      </c>
      <c r="X271" s="80" t="str">
        <f t="shared" si="29"/>
        <v/>
      </c>
    </row>
    <row r="272" spans="1:24">
      <c r="A272" s="49">
        <v>270</v>
      </c>
      <c r="B272" s="74"/>
      <c r="C272" s="75"/>
      <c r="D272" s="75"/>
      <c r="E272" s="75"/>
      <c r="F272" s="75"/>
      <c r="G272" s="76"/>
      <c r="H272" s="77"/>
      <c r="I272" s="78"/>
      <c r="J272" s="70" t="e">
        <f>VLOOKUP(C272,Recipes!$A$2:$N$4,10,FALSE())</f>
        <v>#N/A</v>
      </c>
      <c r="K272" s="70" t="e">
        <f>VLOOKUP(C272,Recipes!$A$2:$N$4,12,FALSE())</f>
        <v>#N/A</v>
      </c>
      <c r="L272" s="71" t="e">
        <f t="shared" si="24"/>
        <v>#N/A</v>
      </c>
      <c r="M272" s="71" t="e">
        <f t="shared" si="25"/>
        <v>#N/A</v>
      </c>
      <c r="N272" s="7" t="str">
        <f t="shared" si="26"/>
        <v/>
      </c>
      <c r="O272" s="79" t="str">
        <f t="shared" si="27"/>
        <v/>
      </c>
      <c r="P272" s="71" t="str">
        <f t="shared" si="28"/>
        <v/>
      </c>
      <c r="Q272" s="72" t="str">
        <f>IF(G272="","",ABS(P272-Components!$C$2))</f>
        <v/>
      </c>
      <c r="R272" s="72" t="str">
        <f>IF(G272="","",ABS(P272-Components!$C$3))</f>
        <v/>
      </c>
      <c r="S272" s="72" t="str">
        <f>IF(G272="","",ABS(P272-Components!$C$4))</f>
        <v/>
      </c>
      <c r="T272" s="72" t="str">
        <f>IF(G272="","",ABS(P272-Components!$C$5))</f>
        <v/>
      </c>
      <c r="U272" s="72" t="str">
        <f>IF(G272="","",ABS(P272-Components!$C$6))</f>
        <v/>
      </c>
      <c r="V272" s="72" t="str">
        <f>IF(G272="","",ABS(P272-Components!$C$7))</f>
        <v/>
      </c>
      <c r="W272" s="7" t="str">
        <f>IF(G272="","",IF(N272="OK","NONE",INDEX({"S1","S2","W1","W2","N1","N2"},MATCH(MIN(Q272:V272),Q272:V272,0))))</f>
        <v/>
      </c>
      <c r="X272" s="80" t="str">
        <f t="shared" si="29"/>
        <v/>
      </c>
    </row>
    <row r="273" spans="1:24">
      <c r="A273" s="49">
        <v>271</v>
      </c>
      <c r="B273" s="74"/>
      <c r="C273" s="75"/>
      <c r="D273" s="75"/>
      <c r="E273" s="75"/>
      <c r="F273" s="75"/>
      <c r="G273" s="76"/>
      <c r="H273" s="77"/>
      <c r="I273" s="78"/>
      <c r="J273" s="70" t="e">
        <f>VLOOKUP(C273,Recipes!$A$2:$N$4,10,FALSE())</f>
        <v>#N/A</v>
      </c>
      <c r="K273" s="70" t="e">
        <f>VLOOKUP(C273,Recipes!$A$2:$N$4,12,FALSE())</f>
        <v>#N/A</v>
      </c>
      <c r="L273" s="71" t="e">
        <f t="shared" si="24"/>
        <v>#N/A</v>
      </c>
      <c r="M273" s="71" t="e">
        <f t="shared" si="25"/>
        <v>#N/A</v>
      </c>
      <c r="N273" s="7" t="str">
        <f t="shared" si="26"/>
        <v/>
      </c>
      <c r="O273" s="79" t="str">
        <f t="shared" si="27"/>
        <v/>
      </c>
      <c r="P273" s="71" t="str">
        <f t="shared" si="28"/>
        <v/>
      </c>
      <c r="Q273" s="72" t="str">
        <f>IF(G273="","",ABS(P273-Components!$C$2))</f>
        <v/>
      </c>
      <c r="R273" s="72" t="str">
        <f>IF(G273="","",ABS(P273-Components!$C$3))</f>
        <v/>
      </c>
      <c r="S273" s="72" t="str">
        <f>IF(G273="","",ABS(P273-Components!$C$4))</f>
        <v/>
      </c>
      <c r="T273" s="72" t="str">
        <f>IF(G273="","",ABS(P273-Components!$C$5))</f>
        <v/>
      </c>
      <c r="U273" s="72" t="str">
        <f>IF(G273="","",ABS(P273-Components!$C$6))</f>
        <v/>
      </c>
      <c r="V273" s="72" t="str">
        <f>IF(G273="","",ABS(P273-Components!$C$7))</f>
        <v/>
      </c>
      <c r="W273" s="7" t="str">
        <f>IF(G273="","",IF(N273="OK","NONE",INDEX({"S1","S2","W1","W2","N1","N2"},MATCH(MIN(Q273:V273),Q273:V273,0))))</f>
        <v/>
      </c>
      <c r="X273" s="80" t="str">
        <f t="shared" si="29"/>
        <v/>
      </c>
    </row>
    <row r="274" spans="1:24">
      <c r="A274" s="49">
        <v>272</v>
      </c>
      <c r="B274" s="74"/>
      <c r="C274" s="75"/>
      <c r="D274" s="75"/>
      <c r="E274" s="75"/>
      <c r="F274" s="75"/>
      <c r="G274" s="76"/>
      <c r="H274" s="77"/>
      <c r="I274" s="78"/>
      <c r="J274" s="70" t="e">
        <f>VLOOKUP(C274,Recipes!$A$2:$N$4,10,FALSE())</f>
        <v>#N/A</v>
      </c>
      <c r="K274" s="70" t="e">
        <f>VLOOKUP(C274,Recipes!$A$2:$N$4,12,FALSE())</f>
        <v>#N/A</v>
      </c>
      <c r="L274" s="71" t="e">
        <f t="shared" si="24"/>
        <v>#N/A</v>
      </c>
      <c r="M274" s="71" t="e">
        <f t="shared" si="25"/>
        <v>#N/A</v>
      </c>
      <c r="N274" s="7" t="str">
        <f t="shared" si="26"/>
        <v/>
      </c>
      <c r="O274" s="79" t="str">
        <f t="shared" si="27"/>
        <v/>
      </c>
      <c r="P274" s="71" t="str">
        <f t="shared" si="28"/>
        <v/>
      </c>
      <c r="Q274" s="72" t="str">
        <f>IF(G274="","",ABS(P274-Components!$C$2))</f>
        <v/>
      </c>
      <c r="R274" s="72" t="str">
        <f>IF(G274="","",ABS(P274-Components!$C$3))</f>
        <v/>
      </c>
      <c r="S274" s="72" t="str">
        <f>IF(G274="","",ABS(P274-Components!$C$4))</f>
        <v/>
      </c>
      <c r="T274" s="72" t="str">
        <f>IF(G274="","",ABS(P274-Components!$C$5))</f>
        <v/>
      </c>
      <c r="U274" s="72" t="str">
        <f>IF(G274="","",ABS(P274-Components!$C$6))</f>
        <v/>
      </c>
      <c r="V274" s="72" t="str">
        <f>IF(G274="","",ABS(P274-Components!$C$7))</f>
        <v/>
      </c>
      <c r="W274" s="7" t="str">
        <f>IF(G274="","",IF(N274="OK","NONE",INDEX({"S1","S2","W1","W2","N1","N2"},MATCH(MIN(Q274:V274),Q274:V274,0))))</f>
        <v/>
      </c>
      <c r="X274" s="80" t="str">
        <f t="shared" si="29"/>
        <v/>
      </c>
    </row>
    <row r="275" spans="1:24">
      <c r="A275" s="49">
        <v>273</v>
      </c>
      <c r="B275" s="74"/>
      <c r="C275" s="75"/>
      <c r="D275" s="75"/>
      <c r="E275" s="75"/>
      <c r="F275" s="75"/>
      <c r="G275" s="76"/>
      <c r="H275" s="77"/>
      <c r="I275" s="78"/>
      <c r="J275" s="70" t="e">
        <f>VLOOKUP(C275,Recipes!$A$2:$N$4,10,FALSE())</f>
        <v>#N/A</v>
      </c>
      <c r="K275" s="70" t="e">
        <f>VLOOKUP(C275,Recipes!$A$2:$N$4,12,FALSE())</f>
        <v>#N/A</v>
      </c>
      <c r="L275" s="71" t="e">
        <f t="shared" si="24"/>
        <v>#N/A</v>
      </c>
      <c r="M275" s="71" t="e">
        <f t="shared" si="25"/>
        <v>#N/A</v>
      </c>
      <c r="N275" s="7" t="str">
        <f t="shared" si="26"/>
        <v/>
      </c>
      <c r="O275" s="79" t="str">
        <f t="shared" si="27"/>
        <v/>
      </c>
      <c r="P275" s="71" t="str">
        <f t="shared" si="28"/>
        <v/>
      </c>
      <c r="Q275" s="72" t="str">
        <f>IF(G275="","",ABS(P275-Components!$C$2))</f>
        <v/>
      </c>
      <c r="R275" s="72" t="str">
        <f>IF(G275="","",ABS(P275-Components!$C$3))</f>
        <v/>
      </c>
      <c r="S275" s="72" t="str">
        <f>IF(G275="","",ABS(P275-Components!$C$4))</f>
        <v/>
      </c>
      <c r="T275" s="72" t="str">
        <f>IF(G275="","",ABS(P275-Components!$C$5))</f>
        <v/>
      </c>
      <c r="U275" s="72" t="str">
        <f>IF(G275="","",ABS(P275-Components!$C$6))</f>
        <v/>
      </c>
      <c r="V275" s="72" t="str">
        <f>IF(G275="","",ABS(P275-Components!$C$7))</f>
        <v/>
      </c>
      <c r="W275" s="7" t="str">
        <f>IF(G275="","",IF(N275="OK","NONE",INDEX({"S1","S2","W1","W2","N1","N2"},MATCH(MIN(Q275:V275),Q275:V275,0))))</f>
        <v/>
      </c>
      <c r="X275" s="80" t="str">
        <f t="shared" si="29"/>
        <v/>
      </c>
    </row>
    <row r="276" spans="1:24">
      <c r="A276" s="49">
        <v>274</v>
      </c>
      <c r="B276" s="74"/>
      <c r="C276" s="75"/>
      <c r="D276" s="75"/>
      <c r="E276" s="75"/>
      <c r="F276" s="75"/>
      <c r="G276" s="76"/>
      <c r="H276" s="77"/>
      <c r="I276" s="78"/>
      <c r="J276" s="70" t="e">
        <f>VLOOKUP(C276,Recipes!$A$2:$N$4,10,FALSE())</f>
        <v>#N/A</v>
      </c>
      <c r="K276" s="70" t="e">
        <f>VLOOKUP(C276,Recipes!$A$2:$N$4,12,FALSE())</f>
        <v>#N/A</v>
      </c>
      <c r="L276" s="71" t="e">
        <f t="shared" si="24"/>
        <v>#N/A</v>
      </c>
      <c r="M276" s="71" t="e">
        <f t="shared" si="25"/>
        <v>#N/A</v>
      </c>
      <c r="N276" s="7" t="str">
        <f t="shared" si="26"/>
        <v/>
      </c>
      <c r="O276" s="79" t="str">
        <f t="shared" si="27"/>
        <v/>
      </c>
      <c r="P276" s="71" t="str">
        <f t="shared" si="28"/>
        <v/>
      </c>
      <c r="Q276" s="72" t="str">
        <f>IF(G276="","",ABS(P276-Components!$C$2))</f>
        <v/>
      </c>
      <c r="R276" s="72" t="str">
        <f>IF(G276="","",ABS(P276-Components!$C$3))</f>
        <v/>
      </c>
      <c r="S276" s="72" t="str">
        <f>IF(G276="","",ABS(P276-Components!$C$4))</f>
        <v/>
      </c>
      <c r="T276" s="72" t="str">
        <f>IF(G276="","",ABS(P276-Components!$C$5))</f>
        <v/>
      </c>
      <c r="U276" s="72" t="str">
        <f>IF(G276="","",ABS(P276-Components!$C$6))</f>
        <v/>
      </c>
      <c r="V276" s="72" t="str">
        <f>IF(G276="","",ABS(P276-Components!$C$7))</f>
        <v/>
      </c>
      <c r="W276" s="7" t="str">
        <f>IF(G276="","",IF(N276="OK","NONE",INDEX({"S1","S2","W1","W2","N1","N2"},MATCH(MIN(Q276:V276),Q276:V276,0))))</f>
        <v/>
      </c>
      <c r="X276" s="80" t="str">
        <f t="shared" si="29"/>
        <v/>
      </c>
    </row>
    <row r="277" spans="1:24">
      <c r="A277" s="49">
        <v>275</v>
      </c>
      <c r="B277" s="74"/>
      <c r="C277" s="75"/>
      <c r="D277" s="75"/>
      <c r="E277" s="75"/>
      <c r="F277" s="75"/>
      <c r="G277" s="76"/>
      <c r="H277" s="77"/>
      <c r="I277" s="78"/>
      <c r="J277" s="70" t="e">
        <f>VLOOKUP(C277,Recipes!$A$2:$N$4,10,FALSE())</f>
        <v>#N/A</v>
      </c>
      <c r="K277" s="70" t="e">
        <f>VLOOKUP(C277,Recipes!$A$2:$N$4,12,FALSE())</f>
        <v>#N/A</v>
      </c>
      <c r="L277" s="71" t="e">
        <f t="shared" si="24"/>
        <v>#N/A</v>
      </c>
      <c r="M277" s="71" t="e">
        <f t="shared" si="25"/>
        <v>#N/A</v>
      </c>
      <c r="N277" s="7" t="str">
        <f t="shared" si="26"/>
        <v/>
      </c>
      <c r="O277" s="79" t="str">
        <f t="shared" si="27"/>
        <v/>
      </c>
      <c r="P277" s="71" t="str">
        <f t="shared" si="28"/>
        <v/>
      </c>
      <c r="Q277" s="72" t="str">
        <f>IF(G277="","",ABS(P277-Components!$C$2))</f>
        <v/>
      </c>
      <c r="R277" s="72" t="str">
        <f>IF(G277="","",ABS(P277-Components!$C$3))</f>
        <v/>
      </c>
      <c r="S277" s="72" t="str">
        <f>IF(G277="","",ABS(P277-Components!$C$4))</f>
        <v/>
      </c>
      <c r="T277" s="72" t="str">
        <f>IF(G277="","",ABS(P277-Components!$C$5))</f>
        <v/>
      </c>
      <c r="U277" s="72" t="str">
        <f>IF(G277="","",ABS(P277-Components!$C$6))</f>
        <v/>
      </c>
      <c r="V277" s="72" t="str">
        <f>IF(G277="","",ABS(P277-Components!$C$7))</f>
        <v/>
      </c>
      <c r="W277" s="7" t="str">
        <f>IF(G277="","",IF(N277="OK","NONE",INDEX({"S1","S2","W1","W2","N1","N2"},MATCH(MIN(Q277:V277),Q277:V277,0))))</f>
        <v/>
      </c>
      <c r="X277" s="80" t="str">
        <f t="shared" si="29"/>
        <v/>
      </c>
    </row>
    <row r="278" spans="1:24">
      <c r="A278" s="49">
        <v>276</v>
      </c>
      <c r="B278" s="74"/>
      <c r="C278" s="75"/>
      <c r="D278" s="75"/>
      <c r="E278" s="75"/>
      <c r="F278" s="75"/>
      <c r="G278" s="76"/>
      <c r="H278" s="77"/>
      <c r="I278" s="78"/>
      <c r="J278" s="70" t="e">
        <f>VLOOKUP(C278,Recipes!$A$2:$N$4,10,FALSE())</f>
        <v>#N/A</v>
      </c>
      <c r="K278" s="70" t="e">
        <f>VLOOKUP(C278,Recipes!$A$2:$N$4,12,FALSE())</f>
        <v>#N/A</v>
      </c>
      <c r="L278" s="71" t="e">
        <f t="shared" si="24"/>
        <v>#N/A</v>
      </c>
      <c r="M278" s="71" t="e">
        <f t="shared" si="25"/>
        <v>#N/A</v>
      </c>
      <c r="N278" s="7" t="str">
        <f t="shared" si="26"/>
        <v/>
      </c>
      <c r="O278" s="79" t="str">
        <f t="shared" si="27"/>
        <v/>
      </c>
      <c r="P278" s="71" t="str">
        <f t="shared" si="28"/>
        <v/>
      </c>
      <c r="Q278" s="72" t="str">
        <f>IF(G278="","",ABS(P278-Components!$C$2))</f>
        <v/>
      </c>
      <c r="R278" s="72" t="str">
        <f>IF(G278="","",ABS(P278-Components!$C$3))</f>
        <v/>
      </c>
      <c r="S278" s="72" t="str">
        <f>IF(G278="","",ABS(P278-Components!$C$4))</f>
        <v/>
      </c>
      <c r="T278" s="72" t="str">
        <f>IF(G278="","",ABS(P278-Components!$C$5))</f>
        <v/>
      </c>
      <c r="U278" s="72" t="str">
        <f>IF(G278="","",ABS(P278-Components!$C$6))</f>
        <v/>
      </c>
      <c r="V278" s="72" t="str">
        <f>IF(G278="","",ABS(P278-Components!$C$7))</f>
        <v/>
      </c>
      <c r="W278" s="7" t="str">
        <f>IF(G278="","",IF(N278="OK","NONE",INDEX({"S1","S2","W1","W2","N1","N2"},MATCH(MIN(Q278:V278),Q278:V278,0))))</f>
        <v/>
      </c>
      <c r="X278" s="80" t="str">
        <f t="shared" si="29"/>
        <v/>
      </c>
    </row>
    <row r="279" spans="1:24">
      <c r="A279" s="49">
        <v>277</v>
      </c>
      <c r="B279" s="74"/>
      <c r="C279" s="75"/>
      <c r="D279" s="75"/>
      <c r="E279" s="75"/>
      <c r="F279" s="75"/>
      <c r="G279" s="76"/>
      <c r="H279" s="77"/>
      <c r="I279" s="78"/>
      <c r="J279" s="70" t="e">
        <f>VLOOKUP(C279,Recipes!$A$2:$N$4,10,FALSE())</f>
        <v>#N/A</v>
      </c>
      <c r="K279" s="70" t="e">
        <f>VLOOKUP(C279,Recipes!$A$2:$N$4,12,FALSE())</f>
        <v>#N/A</v>
      </c>
      <c r="L279" s="71" t="e">
        <f t="shared" si="24"/>
        <v>#N/A</v>
      </c>
      <c r="M279" s="71" t="e">
        <f t="shared" si="25"/>
        <v>#N/A</v>
      </c>
      <c r="N279" s="7" t="str">
        <f t="shared" si="26"/>
        <v/>
      </c>
      <c r="O279" s="79" t="str">
        <f t="shared" si="27"/>
        <v/>
      </c>
      <c r="P279" s="71" t="str">
        <f t="shared" si="28"/>
        <v/>
      </c>
      <c r="Q279" s="72" t="str">
        <f>IF(G279="","",ABS(P279-Components!$C$2))</f>
        <v/>
      </c>
      <c r="R279" s="72" t="str">
        <f>IF(G279="","",ABS(P279-Components!$C$3))</f>
        <v/>
      </c>
      <c r="S279" s="72" t="str">
        <f>IF(G279="","",ABS(P279-Components!$C$4))</f>
        <v/>
      </c>
      <c r="T279" s="72" t="str">
        <f>IF(G279="","",ABS(P279-Components!$C$5))</f>
        <v/>
      </c>
      <c r="U279" s="72" t="str">
        <f>IF(G279="","",ABS(P279-Components!$C$6))</f>
        <v/>
      </c>
      <c r="V279" s="72" t="str">
        <f>IF(G279="","",ABS(P279-Components!$C$7))</f>
        <v/>
      </c>
      <c r="W279" s="7" t="str">
        <f>IF(G279="","",IF(N279="OK","NONE",INDEX({"S1","S2","W1","W2","N1","N2"},MATCH(MIN(Q279:V279),Q279:V279,0))))</f>
        <v/>
      </c>
      <c r="X279" s="80" t="str">
        <f t="shared" si="29"/>
        <v/>
      </c>
    </row>
    <row r="280" spans="1:24">
      <c r="A280" s="49">
        <v>278</v>
      </c>
      <c r="B280" s="74"/>
      <c r="C280" s="75"/>
      <c r="D280" s="75"/>
      <c r="E280" s="75"/>
      <c r="F280" s="75"/>
      <c r="G280" s="76"/>
      <c r="H280" s="77"/>
      <c r="I280" s="78"/>
      <c r="J280" s="70" t="e">
        <f>VLOOKUP(C280,Recipes!$A$2:$N$4,10,FALSE())</f>
        <v>#N/A</v>
      </c>
      <c r="K280" s="70" t="e">
        <f>VLOOKUP(C280,Recipes!$A$2:$N$4,12,FALSE())</f>
        <v>#N/A</v>
      </c>
      <c r="L280" s="71" t="e">
        <f t="shared" si="24"/>
        <v>#N/A</v>
      </c>
      <c r="M280" s="71" t="e">
        <f t="shared" si="25"/>
        <v>#N/A</v>
      </c>
      <c r="N280" s="7" t="str">
        <f t="shared" si="26"/>
        <v/>
      </c>
      <c r="O280" s="79" t="str">
        <f t="shared" si="27"/>
        <v/>
      </c>
      <c r="P280" s="71" t="str">
        <f t="shared" si="28"/>
        <v/>
      </c>
      <c r="Q280" s="72" t="str">
        <f>IF(G280="","",ABS(P280-Components!$C$2))</f>
        <v/>
      </c>
      <c r="R280" s="72" t="str">
        <f>IF(G280="","",ABS(P280-Components!$C$3))</f>
        <v/>
      </c>
      <c r="S280" s="72" t="str">
        <f>IF(G280="","",ABS(P280-Components!$C$4))</f>
        <v/>
      </c>
      <c r="T280" s="72" t="str">
        <f>IF(G280="","",ABS(P280-Components!$C$5))</f>
        <v/>
      </c>
      <c r="U280" s="72" t="str">
        <f>IF(G280="","",ABS(P280-Components!$C$6))</f>
        <v/>
      </c>
      <c r="V280" s="72" t="str">
        <f>IF(G280="","",ABS(P280-Components!$C$7))</f>
        <v/>
      </c>
      <c r="W280" s="7" t="str">
        <f>IF(G280="","",IF(N280="OK","NONE",INDEX({"S1","S2","W1","W2","N1","N2"},MATCH(MIN(Q280:V280),Q280:V280,0))))</f>
        <v/>
      </c>
      <c r="X280" s="80" t="str">
        <f t="shared" si="29"/>
        <v/>
      </c>
    </row>
    <row r="281" spans="1:24">
      <c r="A281" s="49">
        <v>279</v>
      </c>
      <c r="B281" s="74"/>
      <c r="C281" s="75"/>
      <c r="D281" s="75"/>
      <c r="E281" s="75"/>
      <c r="F281" s="75"/>
      <c r="G281" s="76"/>
      <c r="H281" s="77"/>
      <c r="I281" s="78"/>
      <c r="J281" s="70" t="e">
        <f>VLOOKUP(C281,Recipes!$A$2:$N$4,10,FALSE())</f>
        <v>#N/A</v>
      </c>
      <c r="K281" s="70" t="e">
        <f>VLOOKUP(C281,Recipes!$A$2:$N$4,12,FALSE())</f>
        <v>#N/A</v>
      </c>
      <c r="L281" s="71" t="e">
        <f t="shared" si="24"/>
        <v>#N/A</v>
      </c>
      <c r="M281" s="71" t="e">
        <f t="shared" si="25"/>
        <v>#N/A</v>
      </c>
      <c r="N281" s="7" t="str">
        <f t="shared" si="26"/>
        <v/>
      </c>
      <c r="O281" s="79" t="str">
        <f t="shared" si="27"/>
        <v/>
      </c>
      <c r="P281" s="71" t="str">
        <f t="shared" si="28"/>
        <v/>
      </c>
      <c r="Q281" s="72" t="str">
        <f>IF(G281="","",ABS(P281-Components!$C$2))</f>
        <v/>
      </c>
      <c r="R281" s="72" t="str">
        <f>IF(G281="","",ABS(P281-Components!$C$3))</f>
        <v/>
      </c>
      <c r="S281" s="72" t="str">
        <f>IF(G281="","",ABS(P281-Components!$C$4))</f>
        <v/>
      </c>
      <c r="T281" s="72" t="str">
        <f>IF(G281="","",ABS(P281-Components!$C$5))</f>
        <v/>
      </c>
      <c r="U281" s="72" t="str">
        <f>IF(G281="","",ABS(P281-Components!$C$6))</f>
        <v/>
      </c>
      <c r="V281" s="72" t="str">
        <f>IF(G281="","",ABS(P281-Components!$C$7))</f>
        <v/>
      </c>
      <c r="W281" s="7" t="str">
        <f>IF(G281="","",IF(N281="OK","NONE",INDEX({"S1","S2","W1","W2","N1","N2"},MATCH(MIN(Q281:V281),Q281:V281,0))))</f>
        <v/>
      </c>
      <c r="X281" s="80" t="str">
        <f t="shared" si="29"/>
        <v/>
      </c>
    </row>
    <row r="282" spans="1:24">
      <c r="A282" s="49">
        <v>280</v>
      </c>
      <c r="B282" s="74"/>
      <c r="C282" s="75"/>
      <c r="D282" s="75"/>
      <c r="E282" s="75"/>
      <c r="F282" s="75"/>
      <c r="G282" s="76"/>
      <c r="H282" s="77"/>
      <c r="I282" s="78"/>
      <c r="J282" s="70" t="e">
        <f>VLOOKUP(C282,Recipes!$A$2:$N$4,10,FALSE())</f>
        <v>#N/A</v>
      </c>
      <c r="K282" s="70" t="e">
        <f>VLOOKUP(C282,Recipes!$A$2:$N$4,12,FALSE())</f>
        <v>#N/A</v>
      </c>
      <c r="L282" s="71" t="e">
        <f t="shared" si="24"/>
        <v>#N/A</v>
      </c>
      <c r="M282" s="71" t="e">
        <f t="shared" si="25"/>
        <v>#N/A</v>
      </c>
      <c r="N282" s="7" t="str">
        <f t="shared" si="26"/>
        <v/>
      </c>
      <c r="O282" s="79" t="str">
        <f t="shared" si="27"/>
        <v/>
      </c>
      <c r="P282" s="71" t="str">
        <f t="shared" si="28"/>
        <v/>
      </c>
      <c r="Q282" s="72" t="str">
        <f>IF(G282="","",ABS(P282-Components!$C$2))</f>
        <v/>
      </c>
      <c r="R282" s="72" t="str">
        <f>IF(G282="","",ABS(P282-Components!$C$3))</f>
        <v/>
      </c>
      <c r="S282" s="72" t="str">
        <f>IF(G282="","",ABS(P282-Components!$C$4))</f>
        <v/>
      </c>
      <c r="T282" s="72" t="str">
        <f>IF(G282="","",ABS(P282-Components!$C$5))</f>
        <v/>
      </c>
      <c r="U282" s="72" t="str">
        <f>IF(G282="","",ABS(P282-Components!$C$6))</f>
        <v/>
      </c>
      <c r="V282" s="72" t="str">
        <f>IF(G282="","",ABS(P282-Components!$C$7))</f>
        <v/>
      </c>
      <c r="W282" s="7" t="str">
        <f>IF(G282="","",IF(N282="OK","NONE",INDEX({"S1","S2","W1","W2","N1","N2"},MATCH(MIN(Q282:V282),Q282:V282,0))))</f>
        <v/>
      </c>
      <c r="X282" s="80" t="str">
        <f t="shared" si="29"/>
        <v/>
      </c>
    </row>
    <row r="283" spans="1:24">
      <c r="A283" s="49">
        <v>281</v>
      </c>
      <c r="B283" s="74"/>
      <c r="C283" s="75"/>
      <c r="D283" s="75"/>
      <c r="E283" s="75"/>
      <c r="F283" s="75"/>
      <c r="G283" s="76"/>
      <c r="H283" s="77"/>
      <c r="I283" s="78"/>
      <c r="J283" s="70" t="e">
        <f>VLOOKUP(C283,Recipes!$A$2:$N$4,10,FALSE())</f>
        <v>#N/A</v>
      </c>
      <c r="K283" s="70" t="e">
        <f>VLOOKUP(C283,Recipes!$A$2:$N$4,12,FALSE())</f>
        <v>#N/A</v>
      </c>
      <c r="L283" s="71" t="e">
        <f t="shared" si="24"/>
        <v>#N/A</v>
      </c>
      <c r="M283" s="71" t="e">
        <f t="shared" si="25"/>
        <v>#N/A</v>
      </c>
      <c r="N283" s="7" t="str">
        <f t="shared" si="26"/>
        <v/>
      </c>
      <c r="O283" s="79" t="str">
        <f t="shared" si="27"/>
        <v/>
      </c>
      <c r="P283" s="71" t="str">
        <f t="shared" si="28"/>
        <v/>
      </c>
      <c r="Q283" s="72" t="str">
        <f>IF(G283="","",ABS(P283-Components!$C$2))</f>
        <v/>
      </c>
      <c r="R283" s="72" t="str">
        <f>IF(G283="","",ABS(P283-Components!$C$3))</f>
        <v/>
      </c>
      <c r="S283" s="72" t="str">
        <f>IF(G283="","",ABS(P283-Components!$C$4))</f>
        <v/>
      </c>
      <c r="T283" s="72" t="str">
        <f>IF(G283="","",ABS(P283-Components!$C$5))</f>
        <v/>
      </c>
      <c r="U283" s="72" t="str">
        <f>IF(G283="","",ABS(P283-Components!$C$6))</f>
        <v/>
      </c>
      <c r="V283" s="72" t="str">
        <f>IF(G283="","",ABS(P283-Components!$C$7))</f>
        <v/>
      </c>
      <c r="W283" s="7" t="str">
        <f>IF(G283="","",IF(N283="OK","NONE",INDEX({"S1","S2","W1","W2","N1","N2"},MATCH(MIN(Q283:V283),Q283:V283,0))))</f>
        <v/>
      </c>
      <c r="X283" s="80" t="str">
        <f t="shared" si="29"/>
        <v/>
      </c>
    </row>
    <row r="284" spans="1:24">
      <c r="A284" s="49">
        <v>282</v>
      </c>
      <c r="B284" s="74"/>
      <c r="C284" s="75"/>
      <c r="D284" s="75"/>
      <c r="E284" s="75"/>
      <c r="F284" s="75"/>
      <c r="G284" s="76"/>
      <c r="H284" s="77"/>
      <c r="I284" s="78"/>
      <c r="J284" s="70" t="e">
        <f>VLOOKUP(C284,Recipes!$A$2:$N$4,10,FALSE())</f>
        <v>#N/A</v>
      </c>
      <c r="K284" s="70" t="e">
        <f>VLOOKUP(C284,Recipes!$A$2:$N$4,12,FALSE())</f>
        <v>#N/A</v>
      </c>
      <c r="L284" s="71" t="e">
        <f t="shared" si="24"/>
        <v>#N/A</v>
      </c>
      <c r="M284" s="71" t="e">
        <f t="shared" si="25"/>
        <v>#N/A</v>
      </c>
      <c r="N284" s="7" t="str">
        <f t="shared" si="26"/>
        <v/>
      </c>
      <c r="O284" s="79" t="str">
        <f t="shared" si="27"/>
        <v/>
      </c>
      <c r="P284" s="71" t="str">
        <f t="shared" si="28"/>
        <v/>
      </c>
      <c r="Q284" s="72" t="str">
        <f>IF(G284="","",ABS(P284-Components!$C$2))</f>
        <v/>
      </c>
      <c r="R284" s="72" t="str">
        <f>IF(G284="","",ABS(P284-Components!$C$3))</f>
        <v/>
      </c>
      <c r="S284" s="72" t="str">
        <f>IF(G284="","",ABS(P284-Components!$C$4))</f>
        <v/>
      </c>
      <c r="T284" s="72" t="str">
        <f>IF(G284="","",ABS(P284-Components!$C$5))</f>
        <v/>
      </c>
      <c r="U284" s="72" t="str">
        <f>IF(G284="","",ABS(P284-Components!$C$6))</f>
        <v/>
      </c>
      <c r="V284" s="72" t="str">
        <f>IF(G284="","",ABS(P284-Components!$C$7))</f>
        <v/>
      </c>
      <c r="W284" s="7" t="str">
        <f>IF(G284="","",IF(N284="OK","NONE",INDEX({"S1","S2","W1","W2","N1","N2"},MATCH(MIN(Q284:V284),Q284:V284,0))))</f>
        <v/>
      </c>
      <c r="X284" s="80" t="str">
        <f t="shared" si="29"/>
        <v/>
      </c>
    </row>
    <row r="285" spans="1:24">
      <c r="A285" s="49">
        <v>283</v>
      </c>
      <c r="B285" s="74"/>
      <c r="C285" s="75"/>
      <c r="D285" s="75"/>
      <c r="E285" s="75"/>
      <c r="F285" s="75"/>
      <c r="G285" s="76"/>
      <c r="H285" s="77"/>
      <c r="I285" s="78"/>
      <c r="J285" s="70" t="e">
        <f>VLOOKUP(C285,Recipes!$A$2:$N$4,10,FALSE())</f>
        <v>#N/A</v>
      </c>
      <c r="K285" s="70" t="e">
        <f>VLOOKUP(C285,Recipes!$A$2:$N$4,12,FALSE())</f>
        <v>#N/A</v>
      </c>
      <c r="L285" s="71" t="e">
        <f t="shared" si="24"/>
        <v>#N/A</v>
      </c>
      <c r="M285" s="71" t="e">
        <f t="shared" si="25"/>
        <v>#N/A</v>
      </c>
      <c r="N285" s="7" t="str">
        <f t="shared" si="26"/>
        <v/>
      </c>
      <c r="O285" s="79" t="str">
        <f t="shared" si="27"/>
        <v/>
      </c>
      <c r="P285" s="71" t="str">
        <f t="shared" si="28"/>
        <v/>
      </c>
      <c r="Q285" s="72" t="str">
        <f>IF(G285="","",ABS(P285-Components!$C$2))</f>
        <v/>
      </c>
      <c r="R285" s="72" t="str">
        <f>IF(G285="","",ABS(P285-Components!$C$3))</f>
        <v/>
      </c>
      <c r="S285" s="72" t="str">
        <f>IF(G285="","",ABS(P285-Components!$C$4))</f>
        <v/>
      </c>
      <c r="T285" s="72" t="str">
        <f>IF(G285="","",ABS(P285-Components!$C$5))</f>
        <v/>
      </c>
      <c r="U285" s="72" t="str">
        <f>IF(G285="","",ABS(P285-Components!$C$6))</f>
        <v/>
      </c>
      <c r="V285" s="72" t="str">
        <f>IF(G285="","",ABS(P285-Components!$C$7))</f>
        <v/>
      </c>
      <c r="W285" s="7" t="str">
        <f>IF(G285="","",IF(N285="OK","NONE",INDEX({"S1","S2","W1","W2","N1","N2"},MATCH(MIN(Q285:V285),Q285:V285,0))))</f>
        <v/>
      </c>
      <c r="X285" s="80" t="str">
        <f t="shared" si="29"/>
        <v/>
      </c>
    </row>
    <row r="286" spans="1:24">
      <c r="A286" s="49">
        <v>284</v>
      </c>
      <c r="B286" s="74"/>
      <c r="C286" s="75"/>
      <c r="D286" s="75"/>
      <c r="E286" s="75"/>
      <c r="F286" s="75"/>
      <c r="G286" s="76"/>
      <c r="H286" s="77"/>
      <c r="I286" s="78"/>
      <c r="J286" s="70" t="e">
        <f>VLOOKUP(C286,Recipes!$A$2:$N$4,10,FALSE())</f>
        <v>#N/A</v>
      </c>
      <c r="K286" s="70" t="e">
        <f>VLOOKUP(C286,Recipes!$A$2:$N$4,12,FALSE())</f>
        <v>#N/A</v>
      </c>
      <c r="L286" s="71" t="e">
        <f t="shared" si="24"/>
        <v>#N/A</v>
      </c>
      <c r="M286" s="71" t="e">
        <f t="shared" si="25"/>
        <v>#N/A</v>
      </c>
      <c r="N286" s="7" t="str">
        <f t="shared" si="26"/>
        <v/>
      </c>
      <c r="O286" s="79" t="str">
        <f t="shared" si="27"/>
        <v/>
      </c>
      <c r="P286" s="71" t="str">
        <f t="shared" si="28"/>
        <v/>
      </c>
      <c r="Q286" s="72" t="str">
        <f>IF(G286="","",ABS(P286-Components!$C$2))</f>
        <v/>
      </c>
      <c r="R286" s="72" t="str">
        <f>IF(G286="","",ABS(P286-Components!$C$3))</f>
        <v/>
      </c>
      <c r="S286" s="72" t="str">
        <f>IF(G286="","",ABS(P286-Components!$C$4))</f>
        <v/>
      </c>
      <c r="T286" s="72" t="str">
        <f>IF(G286="","",ABS(P286-Components!$C$5))</f>
        <v/>
      </c>
      <c r="U286" s="72" t="str">
        <f>IF(G286="","",ABS(P286-Components!$C$6))</f>
        <v/>
      </c>
      <c r="V286" s="72" t="str">
        <f>IF(G286="","",ABS(P286-Components!$C$7))</f>
        <v/>
      </c>
      <c r="W286" s="7" t="str">
        <f>IF(G286="","",IF(N286="OK","NONE",INDEX({"S1","S2","W1","W2","N1","N2"},MATCH(MIN(Q286:V286),Q286:V286,0))))</f>
        <v/>
      </c>
      <c r="X286" s="80" t="str">
        <f t="shared" si="29"/>
        <v/>
      </c>
    </row>
    <row r="287" spans="1:24">
      <c r="A287" s="49">
        <v>285</v>
      </c>
      <c r="B287" s="74"/>
      <c r="C287" s="75"/>
      <c r="D287" s="75"/>
      <c r="E287" s="75"/>
      <c r="F287" s="75"/>
      <c r="G287" s="76"/>
      <c r="H287" s="77"/>
      <c r="I287" s="78"/>
      <c r="J287" s="70" t="e">
        <f>VLOOKUP(C287,Recipes!$A$2:$N$4,10,FALSE())</f>
        <v>#N/A</v>
      </c>
      <c r="K287" s="70" t="e">
        <f>VLOOKUP(C287,Recipes!$A$2:$N$4,12,FALSE())</f>
        <v>#N/A</v>
      </c>
      <c r="L287" s="71" t="e">
        <f t="shared" si="24"/>
        <v>#N/A</v>
      </c>
      <c r="M287" s="71" t="e">
        <f t="shared" si="25"/>
        <v>#N/A</v>
      </c>
      <c r="N287" s="7" t="str">
        <f t="shared" si="26"/>
        <v/>
      </c>
      <c r="O287" s="79" t="str">
        <f t="shared" si="27"/>
        <v/>
      </c>
      <c r="P287" s="71" t="str">
        <f t="shared" si="28"/>
        <v/>
      </c>
      <c r="Q287" s="72" t="str">
        <f>IF(G287="","",ABS(P287-Components!$C$2))</f>
        <v/>
      </c>
      <c r="R287" s="72" t="str">
        <f>IF(G287="","",ABS(P287-Components!$C$3))</f>
        <v/>
      </c>
      <c r="S287" s="72" t="str">
        <f>IF(G287="","",ABS(P287-Components!$C$4))</f>
        <v/>
      </c>
      <c r="T287" s="72" t="str">
        <f>IF(G287="","",ABS(P287-Components!$C$5))</f>
        <v/>
      </c>
      <c r="U287" s="72" t="str">
        <f>IF(G287="","",ABS(P287-Components!$C$6))</f>
        <v/>
      </c>
      <c r="V287" s="72" t="str">
        <f>IF(G287="","",ABS(P287-Components!$C$7))</f>
        <v/>
      </c>
      <c r="W287" s="7" t="str">
        <f>IF(G287="","",IF(N287="OK","NONE",INDEX({"S1","S2","W1","W2","N1","N2"},MATCH(MIN(Q287:V287),Q287:V287,0))))</f>
        <v/>
      </c>
      <c r="X287" s="80" t="str">
        <f t="shared" si="29"/>
        <v/>
      </c>
    </row>
    <row r="288" spans="1:24">
      <c r="A288" s="49">
        <v>286</v>
      </c>
      <c r="B288" s="74"/>
      <c r="C288" s="75"/>
      <c r="D288" s="75"/>
      <c r="E288" s="75"/>
      <c r="F288" s="75"/>
      <c r="G288" s="76"/>
      <c r="H288" s="77"/>
      <c r="I288" s="78"/>
      <c r="J288" s="70" t="e">
        <f>VLOOKUP(C288,Recipes!$A$2:$N$4,10,FALSE())</f>
        <v>#N/A</v>
      </c>
      <c r="K288" s="70" t="e">
        <f>VLOOKUP(C288,Recipes!$A$2:$N$4,12,FALSE())</f>
        <v>#N/A</v>
      </c>
      <c r="L288" s="71" t="e">
        <f t="shared" si="24"/>
        <v>#N/A</v>
      </c>
      <c r="M288" s="71" t="e">
        <f t="shared" si="25"/>
        <v>#N/A</v>
      </c>
      <c r="N288" s="7" t="str">
        <f t="shared" si="26"/>
        <v/>
      </c>
      <c r="O288" s="79" t="str">
        <f t="shared" si="27"/>
        <v/>
      </c>
      <c r="P288" s="71" t="str">
        <f t="shared" si="28"/>
        <v/>
      </c>
      <c r="Q288" s="72" t="str">
        <f>IF(G288="","",ABS(P288-Components!$C$2))</f>
        <v/>
      </c>
      <c r="R288" s="72" t="str">
        <f>IF(G288="","",ABS(P288-Components!$C$3))</f>
        <v/>
      </c>
      <c r="S288" s="72" t="str">
        <f>IF(G288="","",ABS(P288-Components!$C$4))</f>
        <v/>
      </c>
      <c r="T288" s="72" t="str">
        <f>IF(G288="","",ABS(P288-Components!$C$5))</f>
        <v/>
      </c>
      <c r="U288" s="72" t="str">
        <f>IF(G288="","",ABS(P288-Components!$C$6))</f>
        <v/>
      </c>
      <c r="V288" s="72" t="str">
        <f>IF(G288="","",ABS(P288-Components!$C$7))</f>
        <v/>
      </c>
      <c r="W288" s="7" t="str">
        <f>IF(G288="","",IF(N288="OK","NONE",INDEX({"S1","S2","W1","W2","N1","N2"},MATCH(MIN(Q288:V288),Q288:V288,0))))</f>
        <v/>
      </c>
      <c r="X288" s="80" t="str">
        <f t="shared" si="29"/>
        <v/>
      </c>
    </row>
    <row r="289" spans="1:24">
      <c r="A289" s="49">
        <v>287</v>
      </c>
      <c r="B289" s="74"/>
      <c r="C289" s="75"/>
      <c r="D289" s="75"/>
      <c r="E289" s="75"/>
      <c r="F289" s="75"/>
      <c r="G289" s="76"/>
      <c r="H289" s="77"/>
      <c r="I289" s="78"/>
      <c r="J289" s="70" t="e">
        <f>VLOOKUP(C289,Recipes!$A$2:$N$4,10,FALSE())</f>
        <v>#N/A</v>
      </c>
      <c r="K289" s="70" t="e">
        <f>VLOOKUP(C289,Recipes!$A$2:$N$4,12,FALSE())</f>
        <v>#N/A</v>
      </c>
      <c r="L289" s="71" t="e">
        <f t="shared" si="24"/>
        <v>#N/A</v>
      </c>
      <c r="M289" s="71" t="e">
        <f t="shared" si="25"/>
        <v>#N/A</v>
      </c>
      <c r="N289" s="7" t="str">
        <f t="shared" si="26"/>
        <v/>
      </c>
      <c r="O289" s="79" t="str">
        <f t="shared" si="27"/>
        <v/>
      </c>
      <c r="P289" s="71" t="str">
        <f t="shared" si="28"/>
        <v/>
      </c>
      <c r="Q289" s="72" t="str">
        <f>IF(G289="","",ABS(P289-Components!$C$2))</f>
        <v/>
      </c>
      <c r="R289" s="72" t="str">
        <f>IF(G289="","",ABS(P289-Components!$C$3))</f>
        <v/>
      </c>
      <c r="S289" s="72" t="str">
        <f>IF(G289="","",ABS(P289-Components!$C$4))</f>
        <v/>
      </c>
      <c r="T289" s="72" t="str">
        <f>IF(G289="","",ABS(P289-Components!$C$5))</f>
        <v/>
      </c>
      <c r="U289" s="72" t="str">
        <f>IF(G289="","",ABS(P289-Components!$C$6))</f>
        <v/>
      </c>
      <c r="V289" s="72" t="str">
        <f>IF(G289="","",ABS(P289-Components!$C$7))</f>
        <v/>
      </c>
      <c r="W289" s="7" t="str">
        <f>IF(G289="","",IF(N289="OK","NONE",INDEX({"S1","S2","W1","W2","N1","N2"},MATCH(MIN(Q289:V289),Q289:V289,0))))</f>
        <v/>
      </c>
      <c r="X289" s="80" t="str">
        <f t="shared" si="29"/>
        <v/>
      </c>
    </row>
    <row r="290" spans="1:24">
      <c r="A290" s="49">
        <v>288</v>
      </c>
      <c r="B290" s="74"/>
      <c r="C290" s="75"/>
      <c r="D290" s="75"/>
      <c r="E290" s="75"/>
      <c r="F290" s="75"/>
      <c r="G290" s="76"/>
      <c r="H290" s="77"/>
      <c r="I290" s="78"/>
      <c r="J290" s="70" t="e">
        <f>VLOOKUP(C290,Recipes!$A$2:$N$4,10,FALSE())</f>
        <v>#N/A</v>
      </c>
      <c r="K290" s="70" t="e">
        <f>VLOOKUP(C290,Recipes!$A$2:$N$4,12,FALSE())</f>
        <v>#N/A</v>
      </c>
      <c r="L290" s="71" t="e">
        <f t="shared" si="24"/>
        <v>#N/A</v>
      </c>
      <c r="M290" s="71" t="e">
        <f t="shared" si="25"/>
        <v>#N/A</v>
      </c>
      <c r="N290" s="7" t="str">
        <f t="shared" si="26"/>
        <v/>
      </c>
      <c r="O290" s="79" t="str">
        <f t="shared" si="27"/>
        <v/>
      </c>
      <c r="P290" s="71" t="str">
        <f t="shared" si="28"/>
        <v/>
      </c>
      <c r="Q290" s="72" t="str">
        <f>IF(G290="","",ABS(P290-Components!$C$2))</f>
        <v/>
      </c>
      <c r="R290" s="72" t="str">
        <f>IF(G290="","",ABS(P290-Components!$C$3))</f>
        <v/>
      </c>
      <c r="S290" s="72" t="str">
        <f>IF(G290="","",ABS(P290-Components!$C$4))</f>
        <v/>
      </c>
      <c r="T290" s="72" t="str">
        <f>IF(G290="","",ABS(P290-Components!$C$5))</f>
        <v/>
      </c>
      <c r="U290" s="72" t="str">
        <f>IF(G290="","",ABS(P290-Components!$C$6))</f>
        <v/>
      </c>
      <c r="V290" s="72" t="str">
        <f>IF(G290="","",ABS(P290-Components!$C$7))</f>
        <v/>
      </c>
      <c r="W290" s="7" t="str">
        <f>IF(G290="","",IF(N290="OK","NONE",INDEX({"S1","S2","W1","W2","N1","N2"},MATCH(MIN(Q290:V290),Q290:V290,0))))</f>
        <v/>
      </c>
      <c r="X290" s="80" t="str">
        <f t="shared" si="29"/>
        <v/>
      </c>
    </row>
    <row r="291" spans="1:24">
      <c r="A291" s="49">
        <v>289</v>
      </c>
      <c r="B291" s="74"/>
      <c r="C291" s="75"/>
      <c r="D291" s="75"/>
      <c r="E291" s="75"/>
      <c r="F291" s="75"/>
      <c r="G291" s="76"/>
      <c r="H291" s="77"/>
      <c r="I291" s="78"/>
      <c r="J291" s="70" t="e">
        <f>VLOOKUP(C291,Recipes!$A$2:$N$4,10,FALSE())</f>
        <v>#N/A</v>
      </c>
      <c r="K291" s="70" t="e">
        <f>VLOOKUP(C291,Recipes!$A$2:$N$4,12,FALSE())</f>
        <v>#N/A</v>
      </c>
      <c r="L291" s="71" t="e">
        <f t="shared" si="24"/>
        <v>#N/A</v>
      </c>
      <c r="M291" s="71" t="e">
        <f t="shared" si="25"/>
        <v>#N/A</v>
      </c>
      <c r="N291" s="7" t="str">
        <f t="shared" si="26"/>
        <v/>
      </c>
      <c r="O291" s="79" t="str">
        <f t="shared" si="27"/>
        <v/>
      </c>
      <c r="P291" s="71" t="str">
        <f t="shared" si="28"/>
        <v/>
      </c>
      <c r="Q291" s="72" t="str">
        <f>IF(G291="","",ABS(P291-Components!$C$2))</f>
        <v/>
      </c>
      <c r="R291" s="72" t="str">
        <f>IF(G291="","",ABS(P291-Components!$C$3))</f>
        <v/>
      </c>
      <c r="S291" s="72" t="str">
        <f>IF(G291="","",ABS(P291-Components!$C$4))</f>
        <v/>
      </c>
      <c r="T291" s="72" t="str">
        <f>IF(G291="","",ABS(P291-Components!$C$5))</f>
        <v/>
      </c>
      <c r="U291" s="72" t="str">
        <f>IF(G291="","",ABS(P291-Components!$C$6))</f>
        <v/>
      </c>
      <c r="V291" s="72" t="str">
        <f>IF(G291="","",ABS(P291-Components!$C$7))</f>
        <v/>
      </c>
      <c r="W291" s="7" t="str">
        <f>IF(G291="","",IF(N291="OK","NONE",INDEX({"S1","S2","W1","W2","N1","N2"},MATCH(MIN(Q291:V291),Q291:V291,0))))</f>
        <v/>
      </c>
      <c r="X291" s="80" t="str">
        <f t="shared" si="29"/>
        <v/>
      </c>
    </row>
    <row r="292" spans="1:24">
      <c r="A292" s="49">
        <v>290</v>
      </c>
      <c r="B292" s="74"/>
      <c r="C292" s="75"/>
      <c r="D292" s="75"/>
      <c r="E292" s="75"/>
      <c r="F292" s="75"/>
      <c r="G292" s="76"/>
      <c r="H292" s="77"/>
      <c r="I292" s="78"/>
      <c r="J292" s="70" t="e">
        <f>VLOOKUP(C292,Recipes!$A$2:$N$4,10,FALSE())</f>
        <v>#N/A</v>
      </c>
      <c r="K292" s="70" t="e">
        <f>VLOOKUP(C292,Recipes!$A$2:$N$4,12,FALSE())</f>
        <v>#N/A</v>
      </c>
      <c r="L292" s="71" t="e">
        <f t="shared" si="24"/>
        <v>#N/A</v>
      </c>
      <c r="M292" s="71" t="e">
        <f t="shared" si="25"/>
        <v>#N/A</v>
      </c>
      <c r="N292" s="7" t="str">
        <f t="shared" si="26"/>
        <v/>
      </c>
      <c r="O292" s="79" t="str">
        <f t="shared" si="27"/>
        <v/>
      </c>
      <c r="P292" s="71" t="str">
        <f t="shared" si="28"/>
        <v/>
      </c>
      <c r="Q292" s="72" t="str">
        <f>IF(G292="","",ABS(P292-Components!$C$2))</f>
        <v/>
      </c>
      <c r="R292" s="72" t="str">
        <f>IF(G292="","",ABS(P292-Components!$C$3))</f>
        <v/>
      </c>
      <c r="S292" s="72" t="str">
        <f>IF(G292="","",ABS(P292-Components!$C$4))</f>
        <v/>
      </c>
      <c r="T292" s="72" t="str">
        <f>IF(G292="","",ABS(P292-Components!$C$5))</f>
        <v/>
      </c>
      <c r="U292" s="72" t="str">
        <f>IF(G292="","",ABS(P292-Components!$C$6))</f>
        <v/>
      </c>
      <c r="V292" s="72" t="str">
        <f>IF(G292="","",ABS(P292-Components!$C$7))</f>
        <v/>
      </c>
      <c r="W292" s="7" t="str">
        <f>IF(G292="","",IF(N292="OK","NONE",INDEX({"S1","S2","W1","W2","N1","N2"},MATCH(MIN(Q292:V292),Q292:V292,0))))</f>
        <v/>
      </c>
      <c r="X292" s="80" t="str">
        <f t="shared" si="29"/>
        <v/>
      </c>
    </row>
    <row r="293" spans="1:24">
      <c r="A293" s="49">
        <v>291</v>
      </c>
      <c r="B293" s="74"/>
      <c r="C293" s="75"/>
      <c r="D293" s="75"/>
      <c r="E293" s="75"/>
      <c r="F293" s="75"/>
      <c r="G293" s="76"/>
      <c r="H293" s="77"/>
      <c r="I293" s="78"/>
      <c r="J293" s="70" t="e">
        <f>VLOOKUP(C293,Recipes!$A$2:$N$4,10,FALSE())</f>
        <v>#N/A</v>
      </c>
      <c r="K293" s="70" t="e">
        <f>VLOOKUP(C293,Recipes!$A$2:$N$4,12,FALSE())</f>
        <v>#N/A</v>
      </c>
      <c r="L293" s="71" t="e">
        <f t="shared" si="24"/>
        <v>#N/A</v>
      </c>
      <c r="M293" s="71" t="e">
        <f t="shared" si="25"/>
        <v>#N/A</v>
      </c>
      <c r="N293" s="7" t="str">
        <f t="shared" si="26"/>
        <v/>
      </c>
      <c r="O293" s="79" t="str">
        <f t="shared" si="27"/>
        <v/>
      </c>
      <c r="P293" s="71" t="str">
        <f t="shared" si="28"/>
        <v/>
      </c>
      <c r="Q293" s="72" t="str">
        <f>IF(G293="","",ABS(P293-Components!$C$2))</f>
        <v/>
      </c>
      <c r="R293" s="72" t="str">
        <f>IF(G293="","",ABS(P293-Components!$C$3))</f>
        <v/>
      </c>
      <c r="S293" s="72" t="str">
        <f>IF(G293="","",ABS(P293-Components!$C$4))</f>
        <v/>
      </c>
      <c r="T293" s="72" t="str">
        <f>IF(G293="","",ABS(P293-Components!$C$5))</f>
        <v/>
      </c>
      <c r="U293" s="72" t="str">
        <f>IF(G293="","",ABS(P293-Components!$C$6))</f>
        <v/>
      </c>
      <c r="V293" s="72" t="str">
        <f>IF(G293="","",ABS(P293-Components!$C$7))</f>
        <v/>
      </c>
      <c r="W293" s="7" t="str">
        <f>IF(G293="","",IF(N293="OK","NONE",INDEX({"S1","S2","W1","W2","N1","N2"},MATCH(MIN(Q293:V293),Q293:V293,0))))</f>
        <v/>
      </c>
      <c r="X293" s="80" t="str">
        <f t="shared" si="29"/>
        <v/>
      </c>
    </row>
    <row r="294" spans="1:24">
      <c r="A294" s="49">
        <v>292</v>
      </c>
      <c r="B294" s="74"/>
      <c r="C294" s="75"/>
      <c r="D294" s="75"/>
      <c r="E294" s="75"/>
      <c r="F294" s="75"/>
      <c r="G294" s="76"/>
      <c r="H294" s="77"/>
      <c r="I294" s="78"/>
      <c r="J294" s="70" t="e">
        <f>VLOOKUP(C294,Recipes!$A$2:$N$4,10,FALSE())</f>
        <v>#N/A</v>
      </c>
      <c r="K294" s="70" t="e">
        <f>VLOOKUP(C294,Recipes!$A$2:$N$4,12,FALSE())</f>
        <v>#N/A</v>
      </c>
      <c r="L294" s="71" t="e">
        <f t="shared" si="24"/>
        <v>#N/A</v>
      </c>
      <c r="M294" s="71" t="e">
        <f t="shared" si="25"/>
        <v>#N/A</v>
      </c>
      <c r="N294" s="7" t="str">
        <f t="shared" si="26"/>
        <v/>
      </c>
      <c r="O294" s="79" t="str">
        <f t="shared" si="27"/>
        <v/>
      </c>
      <c r="P294" s="71" t="str">
        <f t="shared" si="28"/>
        <v/>
      </c>
      <c r="Q294" s="72" t="str">
        <f>IF(G294="","",ABS(P294-Components!$C$2))</f>
        <v/>
      </c>
      <c r="R294" s="72" t="str">
        <f>IF(G294="","",ABS(P294-Components!$C$3))</f>
        <v/>
      </c>
      <c r="S294" s="72" t="str">
        <f>IF(G294="","",ABS(P294-Components!$C$4))</f>
        <v/>
      </c>
      <c r="T294" s="72" t="str">
        <f>IF(G294="","",ABS(P294-Components!$C$5))</f>
        <v/>
      </c>
      <c r="U294" s="72" t="str">
        <f>IF(G294="","",ABS(P294-Components!$C$6))</f>
        <v/>
      </c>
      <c r="V294" s="72" t="str">
        <f>IF(G294="","",ABS(P294-Components!$C$7))</f>
        <v/>
      </c>
      <c r="W294" s="7" t="str">
        <f>IF(G294="","",IF(N294="OK","NONE",INDEX({"S1","S2","W1","W2","N1","N2"},MATCH(MIN(Q294:V294),Q294:V294,0))))</f>
        <v/>
      </c>
      <c r="X294" s="80" t="str">
        <f t="shared" si="29"/>
        <v/>
      </c>
    </row>
    <row r="295" spans="1:24">
      <c r="A295" s="49">
        <v>293</v>
      </c>
      <c r="B295" s="74"/>
      <c r="C295" s="75"/>
      <c r="D295" s="75"/>
      <c r="E295" s="75"/>
      <c r="F295" s="75"/>
      <c r="G295" s="76"/>
      <c r="H295" s="77"/>
      <c r="I295" s="78"/>
      <c r="J295" s="70" t="e">
        <f>VLOOKUP(C295,Recipes!$A$2:$N$4,10,FALSE())</f>
        <v>#N/A</v>
      </c>
      <c r="K295" s="70" t="e">
        <f>VLOOKUP(C295,Recipes!$A$2:$N$4,12,FALSE())</f>
        <v>#N/A</v>
      </c>
      <c r="L295" s="71" t="e">
        <f t="shared" si="24"/>
        <v>#N/A</v>
      </c>
      <c r="M295" s="71" t="e">
        <f t="shared" si="25"/>
        <v>#N/A</v>
      </c>
      <c r="N295" s="7" t="str">
        <f t="shared" si="26"/>
        <v/>
      </c>
      <c r="O295" s="79" t="str">
        <f t="shared" si="27"/>
        <v/>
      </c>
      <c r="P295" s="71" t="str">
        <f t="shared" si="28"/>
        <v/>
      </c>
      <c r="Q295" s="72" t="str">
        <f>IF(G295="","",ABS(P295-Components!$C$2))</f>
        <v/>
      </c>
      <c r="R295" s="72" t="str">
        <f>IF(G295="","",ABS(P295-Components!$C$3))</f>
        <v/>
      </c>
      <c r="S295" s="72" t="str">
        <f>IF(G295="","",ABS(P295-Components!$C$4))</f>
        <v/>
      </c>
      <c r="T295" s="72" t="str">
        <f>IF(G295="","",ABS(P295-Components!$C$5))</f>
        <v/>
      </c>
      <c r="U295" s="72" t="str">
        <f>IF(G295="","",ABS(P295-Components!$C$6))</f>
        <v/>
      </c>
      <c r="V295" s="72" t="str">
        <f>IF(G295="","",ABS(P295-Components!$C$7))</f>
        <v/>
      </c>
      <c r="W295" s="7" t="str">
        <f>IF(G295="","",IF(N295="OK","NONE",INDEX({"S1","S2","W1","W2","N1","N2"},MATCH(MIN(Q295:V295),Q295:V295,0))))</f>
        <v/>
      </c>
      <c r="X295" s="80" t="str">
        <f t="shared" si="29"/>
        <v/>
      </c>
    </row>
    <row r="296" spans="1:24">
      <c r="A296" s="49">
        <v>294</v>
      </c>
      <c r="B296" s="74"/>
      <c r="C296" s="75"/>
      <c r="D296" s="75"/>
      <c r="E296" s="75"/>
      <c r="F296" s="75"/>
      <c r="G296" s="76"/>
      <c r="H296" s="77"/>
      <c r="I296" s="78"/>
      <c r="J296" s="70" t="e">
        <f>VLOOKUP(C296,Recipes!$A$2:$N$4,10,FALSE())</f>
        <v>#N/A</v>
      </c>
      <c r="K296" s="70" t="e">
        <f>VLOOKUP(C296,Recipes!$A$2:$N$4,12,FALSE())</f>
        <v>#N/A</v>
      </c>
      <c r="L296" s="71" t="e">
        <f t="shared" si="24"/>
        <v>#N/A</v>
      </c>
      <c r="M296" s="71" t="e">
        <f t="shared" si="25"/>
        <v>#N/A</v>
      </c>
      <c r="N296" s="7" t="str">
        <f t="shared" si="26"/>
        <v/>
      </c>
      <c r="O296" s="79" t="str">
        <f t="shared" si="27"/>
        <v/>
      </c>
      <c r="P296" s="71" t="str">
        <f t="shared" si="28"/>
        <v/>
      </c>
      <c r="Q296" s="72" t="str">
        <f>IF(G296="","",ABS(P296-Components!$C$2))</f>
        <v/>
      </c>
      <c r="R296" s="72" t="str">
        <f>IF(G296="","",ABS(P296-Components!$C$3))</f>
        <v/>
      </c>
      <c r="S296" s="72" t="str">
        <f>IF(G296="","",ABS(P296-Components!$C$4))</f>
        <v/>
      </c>
      <c r="T296" s="72" t="str">
        <f>IF(G296="","",ABS(P296-Components!$C$5))</f>
        <v/>
      </c>
      <c r="U296" s="72" t="str">
        <f>IF(G296="","",ABS(P296-Components!$C$6))</f>
        <v/>
      </c>
      <c r="V296" s="72" t="str">
        <f>IF(G296="","",ABS(P296-Components!$C$7))</f>
        <v/>
      </c>
      <c r="W296" s="7" t="str">
        <f>IF(G296="","",IF(N296="OK","NONE",INDEX({"S1","S2","W1","W2","N1","N2"},MATCH(MIN(Q296:V296),Q296:V296,0))))</f>
        <v/>
      </c>
      <c r="X296" s="80" t="str">
        <f t="shared" si="29"/>
        <v/>
      </c>
    </row>
    <row r="297" spans="1:24">
      <c r="A297" s="49">
        <v>295</v>
      </c>
      <c r="B297" s="74"/>
      <c r="C297" s="75"/>
      <c r="D297" s="75"/>
      <c r="E297" s="75"/>
      <c r="F297" s="75"/>
      <c r="G297" s="76"/>
      <c r="H297" s="77"/>
      <c r="I297" s="78"/>
      <c r="J297" s="70" t="e">
        <f>VLOOKUP(C297,Recipes!$A$2:$N$4,10,FALSE())</f>
        <v>#N/A</v>
      </c>
      <c r="K297" s="70" t="e">
        <f>VLOOKUP(C297,Recipes!$A$2:$N$4,12,FALSE())</f>
        <v>#N/A</v>
      </c>
      <c r="L297" s="71" t="e">
        <f t="shared" si="24"/>
        <v>#N/A</v>
      </c>
      <c r="M297" s="71" t="e">
        <f t="shared" si="25"/>
        <v>#N/A</v>
      </c>
      <c r="N297" s="7" t="str">
        <f t="shared" si="26"/>
        <v/>
      </c>
      <c r="O297" s="79" t="str">
        <f t="shared" si="27"/>
        <v/>
      </c>
      <c r="P297" s="71" t="str">
        <f t="shared" si="28"/>
        <v/>
      </c>
      <c r="Q297" s="72" t="str">
        <f>IF(G297="","",ABS(P297-Components!$C$2))</f>
        <v/>
      </c>
      <c r="R297" s="72" t="str">
        <f>IF(G297="","",ABS(P297-Components!$C$3))</f>
        <v/>
      </c>
      <c r="S297" s="72" t="str">
        <f>IF(G297="","",ABS(P297-Components!$C$4))</f>
        <v/>
      </c>
      <c r="T297" s="72" t="str">
        <f>IF(G297="","",ABS(P297-Components!$C$5))</f>
        <v/>
      </c>
      <c r="U297" s="72" t="str">
        <f>IF(G297="","",ABS(P297-Components!$C$6))</f>
        <v/>
      </c>
      <c r="V297" s="72" t="str">
        <f>IF(G297="","",ABS(P297-Components!$C$7))</f>
        <v/>
      </c>
      <c r="W297" s="7" t="str">
        <f>IF(G297="","",IF(N297="OK","NONE",INDEX({"S1","S2","W1","W2","N1","N2"},MATCH(MIN(Q297:V297),Q297:V297,0))))</f>
        <v/>
      </c>
      <c r="X297" s="80" t="str">
        <f t="shared" si="29"/>
        <v/>
      </c>
    </row>
    <row r="298" spans="1:24">
      <c r="A298" s="49">
        <v>296</v>
      </c>
      <c r="B298" s="74"/>
      <c r="C298" s="75"/>
      <c r="D298" s="75"/>
      <c r="E298" s="75"/>
      <c r="F298" s="75"/>
      <c r="G298" s="76"/>
      <c r="H298" s="77"/>
      <c r="I298" s="78"/>
      <c r="J298" s="70" t="e">
        <f>VLOOKUP(C298,Recipes!$A$2:$N$4,10,FALSE())</f>
        <v>#N/A</v>
      </c>
      <c r="K298" s="70" t="e">
        <f>VLOOKUP(C298,Recipes!$A$2:$N$4,12,FALSE())</f>
        <v>#N/A</v>
      </c>
      <c r="L298" s="71" t="e">
        <f t="shared" si="24"/>
        <v>#N/A</v>
      </c>
      <c r="M298" s="71" t="e">
        <f t="shared" si="25"/>
        <v>#N/A</v>
      </c>
      <c r="N298" s="7" t="str">
        <f t="shared" si="26"/>
        <v/>
      </c>
      <c r="O298" s="79" t="str">
        <f t="shared" si="27"/>
        <v/>
      </c>
      <c r="P298" s="71" t="str">
        <f t="shared" si="28"/>
        <v/>
      </c>
      <c r="Q298" s="72" t="str">
        <f>IF(G298="","",ABS(P298-Components!$C$2))</f>
        <v/>
      </c>
      <c r="R298" s="72" t="str">
        <f>IF(G298="","",ABS(P298-Components!$C$3))</f>
        <v/>
      </c>
      <c r="S298" s="72" t="str">
        <f>IF(G298="","",ABS(P298-Components!$C$4))</f>
        <v/>
      </c>
      <c r="T298" s="72" t="str">
        <f>IF(G298="","",ABS(P298-Components!$C$5))</f>
        <v/>
      </c>
      <c r="U298" s="72" t="str">
        <f>IF(G298="","",ABS(P298-Components!$C$6))</f>
        <v/>
      </c>
      <c r="V298" s="72" t="str">
        <f>IF(G298="","",ABS(P298-Components!$C$7))</f>
        <v/>
      </c>
      <c r="W298" s="7" t="str">
        <f>IF(G298="","",IF(N298="OK","NONE",INDEX({"S1","S2","W1","W2","N1","N2"},MATCH(MIN(Q298:V298),Q298:V298,0))))</f>
        <v/>
      </c>
      <c r="X298" s="80" t="str">
        <f t="shared" si="29"/>
        <v/>
      </c>
    </row>
    <row r="299" spans="1:24">
      <c r="A299" s="49">
        <v>297</v>
      </c>
      <c r="B299" s="74"/>
      <c r="C299" s="75"/>
      <c r="D299" s="75"/>
      <c r="E299" s="75"/>
      <c r="F299" s="75"/>
      <c r="G299" s="76"/>
      <c r="H299" s="77"/>
      <c r="I299" s="78"/>
      <c r="J299" s="70" t="e">
        <f>VLOOKUP(C299,Recipes!$A$2:$N$4,10,FALSE())</f>
        <v>#N/A</v>
      </c>
      <c r="K299" s="70" t="e">
        <f>VLOOKUP(C299,Recipes!$A$2:$N$4,12,FALSE())</f>
        <v>#N/A</v>
      </c>
      <c r="L299" s="71" t="e">
        <f t="shared" si="24"/>
        <v>#N/A</v>
      </c>
      <c r="M299" s="71" t="e">
        <f t="shared" si="25"/>
        <v>#N/A</v>
      </c>
      <c r="N299" s="7" t="str">
        <f t="shared" si="26"/>
        <v/>
      </c>
      <c r="O299" s="79" t="str">
        <f t="shared" si="27"/>
        <v/>
      </c>
      <c r="P299" s="71" t="str">
        <f t="shared" si="28"/>
        <v/>
      </c>
      <c r="Q299" s="72" t="str">
        <f>IF(G299="","",ABS(P299-Components!$C$2))</f>
        <v/>
      </c>
      <c r="R299" s="72" t="str">
        <f>IF(G299="","",ABS(P299-Components!$C$3))</f>
        <v/>
      </c>
      <c r="S299" s="72" t="str">
        <f>IF(G299="","",ABS(P299-Components!$C$4))</f>
        <v/>
      </c>
      <c r="T299" s="72" t="str">
        <f>IF(G299="","",ABS(P299-Components!$C$5))</f>
        <v/>
      </c>
      <c r="U299" s="72" t="str">
        <f>IF(G299="","",ABS(P299-Components!$C$6))</f>
        <v/>
      </c>
      <c r="V299" s="72" t="str">
        <f>IF(G299="","",ABS(P299-Components!$C$7))</f>
        <v/>
      </c>
      <c r="W299" s="7" t="str">
        <f>IF(G299="","",IF(N299="OK","NONE",INDEX({"S1","S2","W1","W2","N1","N2"},MATCH(MIN(Q299:V299),Q299:V299,0))))</f>
        <v/>
      </c>
      <c r="X299" s="80" t="str">
        <f t="shared" si="29"/>
        <v/>
      </c>
    </row>
    <row r="300" spans="1:24">
      <c r="A300" s="49">
        <v>298</v>
      </c>
      <c r="B300" s="74"/>
      <c r="C300" s="75"/>
      <c r="D300" s="75"/>
      <c r="E300" s="75"/>
      <c r="F300" s="75"/>
      <c r="G300" s="76"/>
      <c r="H300" s="77"/>
      <c r="I300" s="78"/>
      <c r="J300" s="70" t="e">
        <f>VLOOKUP(C300,Recipes!$A$2:$N$4,10,FALSE())</f>
        <v>#N/A</v>
      </c>
      <c r="K300" s="70" t="e">
        <f>VLOOKUP(C300,Recipes!$A$2:$N$4,12,FALSE())</f>
        <v>#N/A</v>
      </c>
      <c r="L300" s="71" t="e">
        <f t="shared" si="24"/>
        <v>#N/A</v>
      </c>
      <c r="M300" s="71" t="e">
        <f t="shared" si="25"/>
        <v>#N/A</v>
      </c>
      <c r="N300" s="7" t="str">
        <f t="shared" si="26"/>
        <v/>
      </c>
      <c r="O300" s="79" t="str">
        <f t="shared" si="27"/>
        <v/>
      </c>
      <c r="P300" s="71" t="str">
        <f t="shared" si="28"/>
        <v/>
      </c>
      <c r="Q300" s="72" t="str">
        <f>IF(G300="","",ABS(P300-Components!$C$2))</f>
        <v/>
      </c>
      <c r="R300" s="72" t="str">
        <f>IF(G300="","",ABS(P300-Components!$C$3))</f>
        <v/>
      </c>
      <c r="S300" s="72" t="str">
        <f>IF(G300="","",ABS(P300-Components!$C$4))</f>
        <v/>
      </c>
      <c r="T300" s="72" t="str">
        <f>IF(G300="","",ABS(P300-Components!$C$5))</f>
        <v/>
      </c>
      <c r="U300" s="72" t="str">
        <f>IF(G300="","",ABS(P300-Components!$C$6))</f>
        <v/>
      </c>
      <c r="V300" s="72" t="str">
        <f>IF(G300="","",ABS(P300-Components!$C$7))</f>
        <v/>
      </c>
      <c r="W300" s="7" t="str">
        <f>IF(G300="","",IF(N300="OK","NONE",INDEX({"S1","S2","W1","W2","N1","N2"},MATCH(MIN(Q300:V300),Q300:V300,0))))</f>
        <v/>
      </c>
      <c r="X300" s="80" t="str">
        <f t="shared" si="29"/>
        <v/>
      </c>
    </row>
    <row r="301" spans="1:24">
      <c r="A301" s="49">
        <v>299</v>
      </c>
      <c r="B301" s="74"/>
      <c r="C301" s="75"/>
      <c r="D301" s="75"/>
      <c r="E301" s="75"/>
      <c r="F301" s="75"/>
      <c r="G301" s="76"/>
      <c r="H301" s="77"/>
      <c r="I301" s="78"/>
      <c r="J301" s="70" t="e">
        <f>VLOOKUP(C301,Recipes!$A$2:$N$4,10,FALSE())</f>
        <v>#N/A</v>
      </c>
      <c r="K301" s="70" t="e">
        <f>VLOOKUP(C301,Recipes!$A$2:$N$4,12,FALSE())</f>
        <v>#N/A</v>
      </c>
      <c r="L301" s="71" t="e">
        <f t="shared" si="24"/>
        <v>#N/A</v>
      </c>
      <c r="M301" s="71" t="e">
        <f t="shared" si="25"/>
        <v>#N/A</v>
      </c>
      <c r="N301" s="7" t="str">
        <f t="shared" si="26"/>
        <v/>
      </c>
      <c r="O301" s="79" t="str">
        <f t="shared" si="27"/>
        <v/>
      </c>
      <c r="P301" s="71" t="str">
        <f t="shared" si="28"/>
        <v/>
      </c>
      <c r="Q301" s="72" t="str">
        <f>IF(G301="","",ABS(P301-Components!$C$2))</f>
        <v/>
      </c>
      <c r="R301" s="72" t="str">
        <f>IF(G301="","",ABS(P301-Components!$C$3))</f>
        <v/>
      </c>
      <c r="S301" s="72" t="str">
        <f>IF(G301="","",ABS(P301-Components!$C$4))</f>
        <v/>
      </c>
      <c r="T301" s="72" t="str">
        <f>IF(G301="","",ABS(P301-Components!$C$5))</f>
        <v/>
      </c>
      <c r="U301" s="72" t="str">
        <f>IF(G301="","",ABS(P301-Components!$C$6))</f>
        <v/>
      </c>
      <c r="V301" s="72" t="str">
        <f>IF(G301="","",ABS(P301-Components!$C$7))</f>
        <v/>
      </c>
      <c r="W301" s="7" t="str">
        <f>IF(G301="","",IF(N301="OK","NONE",INDEX({"S1","S2","W1","W2","N1","N2"},MATCH(MIN(Q301:V301),Q301:V301,0))))</f>
        <v/>
      </c>
      <c r="X301" s="80" t="str">
        <f t="shared" si="29"/>
        <v/>
      </c>
    </row>
    <row r="302" spans="1:24">
      <c r="A302" s="49">
        <v>300</v>
      </c>
      <c r="B302" s="74"/>
      <c r="C302" s="75"/>
      <c r="D302" s="75"/>
      <c r="E302" s="75"/>
      <c r="F302" s="75"/>
      <c r="G302" s="76"/>
      <c r="H302" s="77"/>
      <c r="I302" s="78"/>
      <c r="J302" s="70" t="e">
        <f>VLOOKUP(C302,Recipes!$A$2:$N$4,10,FALSE())</f>
        <v>#N/A</v>
      </c>
      <c r="K302" s="70" t="e">
        <f>VLOOKUP(C302,Recipes!$A$2:$N$4,12,FALSE())</f>
        <v>#N/A</v>
      </c>
      <c r="L302" s="71" t="e">
        <f t="shared" si="24"/>
        <v>#N/A</v>
      </c>
      <c r="M302" s="71" t="e">
        <f t="shared" si="25"/>
        <v>#N/A</v>
      </c>
      <c r="N302" s="7" t="str">
        <f t="shared" si="26"/>
        <v/>
      </c>
      <c r="O302" s="79" t="str">
        <f t="shared" si="27"/>
        <v/>
      </c>
      <c r="P302" s="71" t="str">
        <f t="shared" si="28"/>
        <v/>
      </c>
      <c r="Q302" s="72" t="str">
        <f>IF(G302="","",ABS(P302-Components!$C$2))</f>
        <v/>
      </c>
      <c r="R302" s="72" t="str">
        <f>IF(G302="","",ABS(P302-Components!$C$3))</f>
        <v/>
      </c>
      <c r="S302" s="72" t="str">
        <f>IF(G302="","",ABS(P302-Components!$C$4))</f>
        <v/>
      </c>
      <c r="T302" s="72" t="str">
        <f>IF(G302="","",ABS(P302-Components!$C$5))</f>
        <v/>
      </c>
      <c r="U302" s="72" t="str">
        <f>IF(G302="","",ABS(P302-Components!$C$6))</f>
        <v/>
      </c>
      <c r="V302" s="72" t="str">
        <f>IF(G302="","",ABS(P302-Components!$C$7))</f>
        <v/>
      </c>
      <c r="W302" s="7" t="str">
        <f>IF(G302="","",IF(N302="OK","NONE",INDEX({"S1","S2","W1","W2","N1","N2"},MATCH(MIN(Q302:V302),Q302:V302,0))))</f>
        <v/>
      </c>
      <c r="X302" s="80" t="str">
        <f t="shared" si="29"/>
        <v/>
      </c>
    </row>
    <row r="303" spans="1:24">
      <c r="A303" s="49">
        <v>301</v>
      </c>
      <c r="B303" s="74"/>
      <c r="C303" s="75"/>
      <c r="D303" s="75"/>
      <c r="E303" s="75"/>
      <c r="F303" s="75"/>
      <c r="G303" s="76"/>
      <c r="H303" s="77"/>
      <c r="I303" s="78"/>
      <c r="J303" s="70" t="e">
        <f>VLOOKUP(C303,Recipes!$A$2:$N$4,10,FALSE())</f>
        <v>#N/A</v>
      </c>
      <c r="K303" s="70" t="e">
        <f>VLOOKUP(C303,Recipes!$A$2:$N$4,12,FALSE())</f>
        <v>#N/A</v>
      </c>
      <c r="L303" s="71" t="e">
        <f t="shared" si="24"/>
        <v>#N/A</v>
      </c>
      <c r="M303" s="71" t="e">
        <f t="shared" si="25"/>
        <v>#N/A</v>
      </c>
      <c r="N303" s="7" t="str">
        <f t="shared" si="26"/>
        <v/>
      </c>
      <c r="O303" s="79" t="str">
        <f t="shared" si="27"/>
        <v/>
      </c>
      <c r="P303" s="71" t="str">
        <f t="shared" si="28"/>
        <v/>
      </c>
      <c r="Q303" s="72" t="str">
        <f>IF(G303="","",ABS(P303-Components!$C$2))</f>
        <v/>
      </c>
      <c r="R303" s="72" t="str">
        <f>IF(G303="","",ABS(P303-Components!$C$3))</f>
        <v/>
      </c>
      <c r="S303" s="72" t="str">
        <f>IF(G303="","",ABS(P303-Components!$C$4))</f>
        <v/>
      </c>
      <c r="T303" s="72" t="str">
        <f>IF(G303="","",ABS(P303-Components!$C$5))</f>
        <v/>
      </c>
      <c r="U303" s="72" t="str">
        <f>IF(G303="","",ABS(P303-Components!$C$6))</f>
        <v/>
      </c>
      <c r="V303" s="72" t="str">
        <f>IF(G303="","",ABS(P303-Components!$C$7))</f>
        <v/>
      </c>
      <c r="W303" s="7" t="str">
        <f>IF(G303="","",IF(N303="OK","NONE",INDEX({"S1","S2","W1","W2","N1","N2"},MATCH(MIN(Q303:V303),Q303:V303,0))))</f>
        <v/>
      </c>
      <c r="X303" s="80" t="str">
        <f t="shared" si="29"/>
        <v/>
      </c>
    </row>
    <row r="304" spans="1:24">
      <c r="A304" s="49">
        <v>302</v>
      </c>
      <c r="B304" s="74"/>
      <c r="C304" s="75"/>
      <c r="D304" s="75"/>
      <c r="E304" s="75"/>
      <c r="F304" s="75"/>
      <c r="G304" s="76"/>
      <c r="H304" s="77"/>
      <c r="I304" s="78"/>
      <c r="J304" s="70" t="e">
        <f>VLOOKUP(C304,Recipes!$A$2:$N$4,10,FALSE())</f>
        <v>#N/A</v>
      </c>
      <c r="K304" s="70" t="e">
        <f>VLOOKUP(C304,Recipes!$A$2:$N$4,12,FALSE())</f>
        <v>#N/A</v>
      </c>
      <c r="L304" s="71" t="e">
        <f t="shared" si="24"/>
        <v>#N/A</v>
      </c>
      <c r="M304" s="71" t="e">
        <f t="shared" si="25"/>
        <v>#N/A</v>
      </c>
      <c r="N304" s="7" t="str">
        <f t="shared" si="26"/>
        <v/>
      </c>
      <c r="O304" s="79" t="str">
        <f t="shared" si="27"/>
        <v/>
      </c>
      <c r="P304" s="71" t="str">
        <f t="shared" si="28"/>
        <v/>
      </c>
      <c r="Q304" s="72" t="str">
        <f>IF(G304="","",ABS(P304-Components!$C$2))</f>
        <v/>
      </c>
      <c r="R304" s="72" t="str">
        <f>IF(G304="","",ABS(P304-Components!$C$3))</f>
        <v/>
      </c>
      <c r="S304" s="72" t="str">
        <f>IF(G304="","",ABS(P304-Components!$C$4))</f>
        <v/>
      </c>
      <c r="T304" s="72" t="str">
        <f>IF(G304="","",ABS(P304-Components!$C$5))</f>
        <v/>
      </c>
      <c r="U304" s="72" t="str">
        <f>IF(G304="","",ABS(P304-Components!$C$6))</f>
        <v/>
      </c>
      <c r="V304" s="72" t="str">
        <f>IF(G304="","",ABS(P304-Components!$C$7))</f>
        <v/>
      </c>
      <c r="W304" s="7" t="str">
        <f>IF(G304="","",IF(N304="OK","NONE",INDEX({"S1","S2","W1","W2","N1","N2"},MATCH(MIN(Q304:V304),Q304:V304,0))))</f>
        <v/>
      </c>
      <c r="X304" s="80" t="str">
        <f t="shared" si="29"/>
        <v/>
      </c>
    </row>
    <row r="305" spans="1:24">
      <c r="A305" s="49">
        <v>303</v>
      </c>
      <c r="B305" s="74"/>
      <c r="C305" s="75"/>
      <c r="D305" s="75"/>
      <c r="E305" s="75"/>
      <c r="F305" s="75"/>
      <c r="G305" s="76"/>
      <c r="H305" s="77"/>
      <c r="I305" s="78"/>
      <c r="J305" s="70" t="e">
        <f>VLOOKUP(C305,Recipes!$A$2:$N$4,10,FALSE())</f>
        <v>#N/A</v>
      </c>
      <c r="K305" s="70" t="e">
        <f>VLOOKUP(C305,Recipes!$A$2:$N$4,12,FALSE())</f>
        <v>#N/A</v>
      </c>
      <c r="L305" s="71" t="e">
        <f t="shared" si="24"/>
        <v>#N/A</v>
      </c>
      <c r="M305" s="71" t="e">
        <f t="shared" si="25"/>
        <v>#N/A</v>
      </c>
      <c r="N305" s="7" t="str">
        <f t="shared" si="26"/>
        <v/>
      </c>
      <c r="O305" s="79" t="str">
        <f t="shared" si="27"/>
        <v/>
      </c>
      <c r="P305" s="71" t="str">
        <f t="shared" si="28"/>
        <v/>
      </c>
      <c r="Q305" s="72" t="str">
        <f>IF(G305="","",ABS(P305-Components!$C$2))</f>
        <v/>
      </c>
      <c r="R305" s="72" t="str">
        <f>IF(G305="","",ABS(P305-Components!$C$3))</f>
        <v/>
      </c>
      <c r="S305" s="72" t="str">
        <f>IF(G305="","",ABS(P305-Components!$C$4))</f>
        <v/>
      </c>
      <c r="T305" s="72" t="str">
        <f>IF(G305="","",ABS(P305-Components!$C$5))</f>
        <v/>
      </c>
      <c r="U305" s="72" t="str">
        <f>IF(G305="","",ABS(P305-Components!$C$6))</f>
        <v/>
      </c>
      <c r="V305" s="72" t="str">
        <f>IF(G305="","",ABS(P305-Components!$C$7))</f>
        <v/>
      </c>
      <c r="W305" s="7" t="str">
        <f>IF(G305="","",IF(N305="OK","NONE",INDEX({"S1","S2","W1","W2","N1","N2"},MATCH(MIN(Q305:V305),Q305:V305,0))))</f>
        <v/>
      </c>
      <c r="X305" s="80" t="str">
        <f t="shared" si="29"/>
        <v/>
      </c>
    </row>
    <row r="306" spans="1:24">
      <c r="A306" s="49">
        <v>304</v>
      </c>
      <c r="B306" s="74"/>
      <c r="C306" s="75"/>
      <c r="D306" s="75"/>
      <c r="E306" s="75"/>
      <c r="F306" s="75"/>
      <c r="G306" s="76"/>
      <c r="H306" s="77"/>
      <c r="I306" s="78"/>
      <c r="J306" s="70" t="e">
        <f>VLOOKUP(C306,Recipes!$A$2:$N$4,10,FALSE())</f>
        <v>#N/A</v>
      </c>
      <c r="K306" s="70" t="e">
        <f>VLOOKUP(C306,Recipes!$A$2:$N$4,12,FALSE())</f>
        <v>#N/A</v>
      </c>
      <c r="L306" s="71" t="e">
        <f t="shared" si="24"/>
        <v>#N/A</v>
      </c>
      <c r="M306" s="71" t="e">
        <f t="shared" si="25"/>
        <v>#N/A</v>
      </c>
      <c r="N306" s="7" t="str">
        <f t="shared" si="26"/>
        <v/>
      </c>
      <c r="O306" s="79" t="str">
        <f t="shared" si="27"/>
        <v/>
      </c>
      <c r="P306" s="71" t="str">
        <f t="shared" si="28"/>
        <v/>
      </c>
      <c r="Q306" s="72" t="str">
        <f>IF(G306="","",ABS(P306-Components!$C$2))</f>
        <v/>
      </c>
      <c r="R306" s="72" t="str">
        <f>IF(G306="","",ABS(P306-Components!$C$3))</f>
        <v/>
      </c>
      <c r="S306" s="72" t="str">
        <f>IF(G306="","",ABS(P306-Components!$C$4))</f>
        <v/>
      </c>
      <c r="T306" s="72" t="str">
        <f>IF(G306="","",ABS(P306-Components!$C$5))</f>
        <v/>
      </c>
      <c r="U306" s="72" t="str">
        <f>IF(G306="","",ABS(P306-Components!$C$6))</f>
        <v/>
      </c>
      <c r="V306" s="72" t="str">
        <f>IF(G306="","",ABS(P306-Components!$C$7))</f>
        <v/>
      </c>
      <c r="W306" s="7" t="str">
        <f>IF(G306="","",IF(N306="OK","NONE",INDEX({"S1","S2","W1","W2","N1","N2"},MATCH(MIN(Q306:V306),Q306:V306,0))))</f>
        <v/>
      </c>
      <c r="X306" s="80" t="str">
        <f t="shared" si="29"/>
        <v/>
      </c>
    </row>
    <row r="307" spans="1:24">
      <c r="A307" s="49">
        <v>305</v>
      </c>
      <c r="B307" s="74"/>
      <c r="C307" s="75"/>
      <c r="D307" s="75"/>
      <c r="E307" s="75"/>
      <c r="F307" s="75"/>
      <c r="G307" s="76"/>
      <c r="H307" s="77"/>
      <c r="I307" s="78"/>
      <c r="J307" s="70" t="e">
        <f>VLOOKUP(C307,Recipes!$A$2:$N$4,10,FALSE())</f>
        <v>#N/A</v>
      </c>
      <c r="K307" s="70" t="e">
        <f>VLOOKUP(C307,Recipes!$A$2:$N$4,12,FALSE())</f>
        <v>#N/A</v>
      </c>
      <c r="L307" s="71" t="e">
        <f t="shared" si="24"/>
        <v>#N/A</v>
      </c>
      <c r="M307" s="71" t="e">
        <f t="shared" si="25"/>
        <v>#N/A</v>
      </c>
      <c r="N307" s="7" t="str">
        <f t="shared" si="26"/>
        <v/>
      </c>
      <c r="O307" s="79" t="str">
        <f t="shared" si="27"/>
        <v/>
      </c>
      <c r="P307" s="71" t="str">
        <f t="shared" si="28"/>
        <v/>
      </c>
      <c r="Q307" s="72" t="str">
        <f>IF(G307="","",ABS(P307-Components!$C$2))</f>
        <v/>
      </c>
      <c r="R307" s="72" t="str">
        <f>IF(G307="","",ABS(P307-Components!$C$3))</f>
        <v/>
      </c>
      <c r="S307" s="72" t="str">
        <f>IF(G307="","",ABS(P307-Components!$C$4))</f>
        <v/>
      </c>
      <c r="T307" s="72" t="str">
        <f>IF(G307="","",ABS(P307-Components!$C$5))</f>
        <v/>
      </c>
      <c r="U307" s="72" t="str">
        <f>IF(G307="","",ABS(P307-Components!$C$6))</f>
        <v/>
      </c>
      <c r="V307" s="72" t="str">
        <f>IF(G307="","",ABS(P307-Components!$C$7))</f>
        <v/>
      </c>
      <c r="W307" s="7" t="str">
        <f>IF(G307="","",IF(N307="OK","NONE",INDEX({"S1","S2","W1","W2","N1","N2"},MATCH(MIN(Q307:V307),Q307:V307,0))))</f>
        <v/>
      </c>
      <c r="X307" s="80" t="str">
        <f t="shared" si="29"/>
        <v/>
      </c>
    </row>
    <row r="308" spans="1:24">
      <c r="A308" s="49">
        <v>306</v>
      </c>
      <c r="B308" s="74"/>
      <c r="C308" s="75"/>
      <c r="D308" s="75"/>
      <c r="E308" s="75"/>
      <c r="F308" s="75"/>
      <c r="G308" s="76"/>
      <c r="H308" s="77"/>
      <c r="I308" s="78"/>
      <c r="J308" s="70" t="e">
        <f>VLOOKUP(C308,Recipes!$A$2:$N$4,10,FALSE())</f>
        <v>#N/A</v>
      </c>
      <c r="K308" s="70" t="e">
        <f>VLOOKUP(C308,Recipes!$A$2:$N$4,12,FALSE())</f>
        <v>#N/A</v>
      </c>
      <c r="L308" s="71" t="e">
        <f t="shared" si="24"/>
        <v>#N/A</v>
      </c>
      <c r="M308" s="71" t="e">
        <f t="shared" si="25"/>
        <v>#N/A</v>
      </c>
      <c r="N308" s="7" t="str">
        <f t="shared" si="26"/>
        <v/>
      </c>
      <c r="O308" s="79" t="str">
        <f t="shared" si="27"/>
        <v/>
      </c>
      <c r="P308" s="71" t="str">
        <f t="shared" si="28"/>
        <v/>
      </c>
      <c r="Q308" s="72" t="str">
        <f>IF(G308="","",ABS(P308-Components!$C$2))</f>
        <v/>
      </c>
      <c r="R308" s="72" t="str">
        <f>IF(G308="","",ABS(P308-Components!$C$3))</f>
        <v/>
      </c>
      <c r="S308" s="72" t="str">
        <f>IF(G308="","",ABS(P308-Components!$C$4))</f>
        <v/>
      </c>
      <c r="T308" s="72" t="str">
        <f>IF(G308="","",ABS(P308-Components!$C$5))</f>
        <v/>
      </c>
      <c r="U308" s="72" t="str">
        <f>IF(G308="","",ABS(P308-Components!$C$6))</f>
        <v/>
      </c>
      <c r="V308" s="72" t="str">
        <f>IF(G308="","",ABS(P308-Components!$C$7))</f>
        <v/>
      </c>
      <c r="W308" s="7" t="str">
        <f>IF(G308="","",IF(N308="OK","NONE",INDEX({"S1","S2","W1","W2","N1","N2"},MATCH(MIN(Q308:V308),Q308:V308,0))))</f>
        <v/>
      </c>
      <c r="X308" s="80" t="str">
        <f t="shared" si="29"/>
        <v/>
      </c>
    </row>
    <row r="309" spans="1:24">
      <c r="A309" s="49">
        <v>307</v>
      </c>
      <c r="B309" s="74"/>
      <c r="C309" s="75"/>
      <c r="D309" s="75"/>
      <c r="E309" s="75"/>
      <c r="F309" s="75"/>
      <c r="G309" s="76"/>
      <c r="H309" s="77"/>
      <c r="I309" s="78"/>
      <c r="J309" s="70" t="e">
        <f>VLOOKUP(C309,Recipes!$A$2:$N$4,10,FALSE())</f>
        <v>#N/A</v>
      </c>
      <c r="K309" s="70" t="e">
        <f>VLOOKUP(C309,Recipes!$A$2:$N$4,12,FALSE())</f>
        <v>#N/A</v>
      </c>
      <c r="L309" s="71" t="e">
        <f t="shared" si="24"/>
        <v>#N/A</v>
      </c>
      <c r="M309" s="71" t="e">
        <f t="shared" si="25"/>
        <v>#N/A</v>
      </c>
      <c r="N309" s="7" t="str">
        <f t="shared" si="26"/>
        <v/>
      </c>
      <c r="O309" s="79" t="str">
        <f t="shared" si="27"/>
        <v/>
      </c>
      <c r="P309" s="71" t="str">
        <f t="shared" si="28"/>
        <v/>
      </c>
      <c r="Q309" s="72" t="str">
        <f>IF(G309="","",ABS(P309-Components!$C$2))</f>
        <v/>
      </c>
      <c r="R309" s="72" t="str">
        <f>IF(G309="","",ABS(P309-Components!$C$3))</f>
        <v/>
      </c>
      <c r="S309" s="72" t="str">
        <f>IF(G309="","",ABS(P309-Components!$C$4))</f>
        <v/>
      </c>
      <c r="T309" s="72" t="str">
        <f>IF(G309="","",ABS(P309-Components!$C$5))</f>
        <v/>
      </c>
      <c r="U309" s="72" t="str">
        <f>IF(G309="","",ABS(P309-Components!$C$6))</f>
        <v/>
      </c>
      <c r="V309" s="72" t="str">
        <f>IF(G309="","",ABS(P309-Components!$C$7))</f>
        <v/>
      </c>
      <c r="W309" s="7" t="str">
        <f>IF(G309="","",IF(N309="OK","NONE",INDEX({"S1","S2","W1","W2","N1","N2"},MATCH(MIN(Q309:V309),Q309:V309,0))))</f>
        <v/>
      </c>
      <c r="X309" s="80" t="str">
        <f t="shared" si="29"/>
        <v/>
      </c>
    </row>
    <row r="310" spans="1:24">
      <c r="A310" s="49">
        <v>308</v>
      </c>
      <c r="B310" s="74"/>
      <c r="C310" s="75"/>
      <c r="D310" s="75"/>
      <c r="E310" s="75"/>
      <c r="F310" s="75"/>
      <c r="G310" s="76"/>
      <c r="H310" s="77"/>
      <c r="I310" s="78"/>
      <c r="J310" s="70" t="e">
        <f>VLOOKUP(C310,Recipes!$A$2:$N$4,10,FALSE())</f>
        <v>#N/A</v>
      </c>
      <c r="K310" s="70" t="e">
        <f>VLOOKUP(C310,Recipes!$A$2:$N$4,12,FALSE())</f>
        <v>#N/A</v>
      </c>
      <c r="L310" s="71" t="e">
        <f t="shared" si="24"/>
        <v>#N/A</v>
      </c>
      <c r="M310" s="71" t="e">
        <f t="shared" si="25"/>
        <v>#N/A</v>
      </c>
      <c r="N310" s="7" t="str">
        <f t="shared" si="26"/>
        <v/>
      </c>
      <c r="O310" s="79" t="str">
        <f t="shared" si="27"/>
        <v/>
      </c>
      <c r="P310" s="71" t="str">
        <f t="shared" si="28"/>
        <v/>
      </c>
      <c r="Q310" s="72" t="str">
        <f>IF(G310="","",ABS(P310-Components!$C$2))</f>
        <v/>
      </c>
      <c r="R310" s="72" t="str">
        <f>IF(G310="","",ABS(P310-Components!$C$3))</f>
        <v/>
      </c>
      <c r="S310" s="72" t="str">
        <f>IF(G310="","",ABS(P310-Components!$C$4))</f>
        <v/>
      </c>
      <c r="T310" s="72" t="str">
        <f>IF(G310="","",ABS(P310-Components!$C$5))</f>
        <v/>
      </c>
      <c r="U310" s="72" t="str">
        <f>IF(G310="","",ABS(P310-Components!$C$6))</f>
        <v/>
      </c>
      <c r="V310" s="72" t="str">
        <f>IF(G310="","",ABS(P310-Components!$C$7))</f>
        <v/>
      </c>
      <c r="W310" s="7" t="str">
        <f>IF(G310="","",IF(N310="OK","NONE",INDEX({"S1","S2","W1","W2","N1","N2"},MATCH(MIN(Q310:V310),Q310:V310,0))))</f>
        <v/>
      </c>
      <c r="X310" s="80" t="str">
        <f t="shared" si="29"/>
        <v/>
      </c>
    </row>
    <row r="311" spans="1:24">
      <c r="A311" s="49">
        <v>309</v>
      </c>
      <c r="B311" s="74"/>
      <c r="C311" s="75"/>
      <c r="D311" s="75"/>
      <c r="E311" s="75"/>
      <c r="F311" s="75"/>
      <c r="G311" s="76"/>
      <c r="H311" s="77"/>
      <c r="I311" s="78"/>
      <c r="J311" s="70" t="e">
        <f>VLOOKUP(C311,Recipes!$A$2:$N$4,10,FALSE())</f>
        <v>#N/A</v>
      </c>
      <c r="K311" s="70" t="e">
        <f>VLOOKUP(C311,Recipes!$A$2:$N$4,12,FALSE())</f>
        <v>#N/A</v>
      </c>
      <c r="L311" s="71" t="e">
        <f t="shared" si="24"/>
        <v>#N/A</v>
      </c>
      <c r="M311" s="71" t="e">
        <f t="shared" si="25"/>
        <v>#N/A</v>
      </c>
      <c r="N311" s="7" t="str">
        <f t="shared" si="26"/>
        <v/>
      </c>
      <c r="O311" s="79" t="str">
        <f t="shared" si="27"/>
        <v/>
      </c>
      <c r="P311" s="71" t="str">
        <f t="shared" si="28"/>
        <v/>
      </c>
      <c r="Q311" s="72" t="str">
        <f>IF(G311="","",ABS(P311-Components!$C$2))</f>
        <v/>
      </c>
      <c r="R311" s="72" t="str">
        <f>IF(G311="","",ABS(P311-Components!$C$3))</f>
        <v/>
      </c>
      <c r="S311" s="72" t="str">
        <f>IF(G311="","",ABS(P311-Components!$C$4))</f>
        <v/>
      </c>
      <c r="T311" s="72" t="str">
        <f>IF(G311="","",ABS(P311-Components!$C$5))</f>
        <v/>
      </c>
      <c r="U311" s="72" t="str">
        <f>IF(G311="","",ABS(P311-Components!$C$6))</f>
        <v/>
      </c>
      <c r="V311" s="72" t="str">
        <f>IF(G311="","",ABS(P311-Components!$C$7))</f>
        <v/>
      </c>
      <c r="W311" s="7" t="str">
        <f>IF(G311="","",IF(N311="OK","NONE",INDEX({"S1","S2","W1","W2","N1","N2"},MATCH(MIN(Q311:V311),Q311:V311,0))))</f>
        <v/>
      </c>
      <c r="X311" s="80" t="str">
        <f t="shared" si="29"/>
        <v/>
      </c>
    </row>
    <row r="312" spans="1:24">
      <c r="A312" s="49">
        <v>310</v>
      </c>
      <c r="B312" s="74"/>
      <c r="C312" s="75"/>
      <c r="D312" s="75"/>
      <c r="E312" s="75"/>
      <c r="F312" s="75"/>
      <c r="G312" s="76"/>
      <c r="H312" s="77"/>
      <c r="I312" s="78"/>
      <c r="J312" s="70" t="e">
        <f>VLOOKUP(C312,Recipes!$A$2:$N$4,10,FALSE())</f>
        <v>#N/A</v>
      </c>
      <c r="K312" s="70" t="e">
        <f>VLOOKUP(C312,Recipes!$A$2:$N$4,12,FALSE())</f>
        <v>#N/A</v>
      </c>
      <c r="L312" s="71" t="e">
        <f t="shared" si="24"/>
        <v>#N/A</v>
      </c>
      <c r="M312" s="71" t="e">
        <f t="shared" si="25"/>
        <v>#N/A</v>
      </c>
      <c r="N312" s="7" t="str">
        <f t="shared" si="26"/>
        <v/>
      </c>
      <c r="O312" s="79" t="str">
        <f t="shared" si="27"/>
        <v/>
      </c>
      <c r="P312" s="71" t="str">
        <f t="shared" si="28"/>
        <v/>
      </c>
      <c r="Q312" s="72" t="str">
        <f>IF(G312="","",ABS(P312-Components!$C$2))</f>
        <v/>
      </c>
      <c r="R312" s="72" t="str">
        <f>IF(G312="","",ABS(P312-Components!$C$3))</f>
        <v/>
      </c>
      <c r="S312" s="72" t="str">
        <f>IF(G312="","",ABS(P312-Components!$C$4))</f>
        <v/>
      </c>
      <c r="T312" s="72" t="str">
        <f>IF(G312="","",ABS(P312-Components!$C$5))</f>
        <v/>
      </c>
      <c r="U312" s="72" t="str">
        <f>IF(G312="","",ABS(P312-Components!$C$6))</f>
        <v/>
      </c>
      <c r="V312" s="72" t="str">
        <f>IF(G312="","",ABS(P312-Components!$C$7))</f>
        <v/>
      </c>
      <c r="W312" s="7" t="str">
        <f>IF(G312="","",IF(N312="OK","NONE",INDEX({"S1","S2","W1","W2","N1","N2"},MATCH(MIN(Q312:V312),Q312:V312,0))))</f>
        <v/>
      </c>
      <c r="X312" s="80" t="str">
        <f t="shared" si="29"/>
        <v/>
      </c>
    </row>
    <row r="313" spans="1:24">
      <c r="A313" s="49">
        <v>311</v>
      </c>
      <c r="B313" s="74"/>
      <c r="C313" s="75"/>
      <c r="D313" s="75"/>
      <c r="E313" s="75"/>
      <c r="F313" s="75"/>
      <c r="G313" s="76"/>
      <c r="H313" s="77"/>
      <c r="I313" s="78"/>
      <c r="J313" s="70" t="e">
        <f>VLOOKUP(C313,Recipes!$A$2:$N$4,10,FALSE())</f>
        <v>#N/A</v>
      </c>
      <c r="K313" s="70" t="e">
        <f>VLOOKUP(C313,Recipes!$A$2:$N$4,12,FALSE())</f>
        <v>#N/A</v>
      </c>
      <c r="L313" s="71" t="e">
        <f t="shared" si="24"/>
        <v>#N/A</v>
      </c>
      <c r="M313" s="71" t="e">
        <f t="shared" si="25"/>
        <v>#N/A</v>
      </c>
      <c r="N313" s="7" t="str">
        <f t="shared" si="26"/>
        <v/>
      </c>
      <c r="O313" s="79" t="str">
        <f t="shared" si="27"/>
        <v/>
      </c>
      <c r="P313" s="71" t="str">
        <f t="shared" si="28"/>
        <v/>
      </c>
      <c r="Q313" s="72" t="str">
        <f>IF(G313="","",ABS(P313-Components!$C$2))</f>
        <v/>
      </c>
      <c r="R313" s="72" t="str">
        <f>IF(G313="","",ABS(P313-Components!$C$3))</f>
        <v/>
      </c>
      <c r="S313" s="72" t="str">
        <f>IF(G313="","",ABS(P313-Components!$C$4))</f>
        <v/>
      </c>
      <c r="T313" s="72" t="str">
        <f>IF(G313="","",ABS(P313-Components!$C$5))</f>
        <v/>
      </c>
      <c r="U313" s="72" t="str">
        <f>IF(G313="","",ABS(P313-Components!$C$6))</f>
        <v/>
      </c>
      <c r="V313" s="72" t="str">
        <f>IF(G313="","",ABS(P313-Components!$C$7))</f>
        <v/>
      </c>
      <c r="W313" s="7" t="str">
        <f>IF(G313="","",IF(N313="OK","NONE",INDEX({"S1","S2","W1","W2","N1","N2"},MATCH(MIN(Q313:V313),Q313:V313,0))))</f>
        <v/>
      </c>
      <c r="X313" s="80" t="str">
        <f t="shared" si="29"/>
        <v/>
      </c>
    </row>
    <row r="314" spans="1:24">
      <c r="A314" s="49">
        <v>312</v>
      </c>
      <c r="B314" s="74"/>
      <c r="C314" s="75"/>
      <c r="D314" s="75"/>
      <c r="E314" s="75"/>
      <c r="F314" s="75"/>
      <c r="G314" s="76"/>
      <c r="H314" s="77"/>
      <c r="I314" s="78"/>
      <c r="J314" s="70" t="e">
        <f>VLOOKUP(C314,Recipes!$A$2:$N$4,10,FALSE())</f>
        <v>#N/A</v>
      </c>
      <c r="K314" s="70" t="e">
        <f>VLOOKUP(C314,Recipes!$A$2:$N$4,12,FALSE())</f>
        <v>#N/A</v>
      </c>
      <c r="L314" s="71" t="e">
        <f t="shared" si="24"/>
        <v>#N/A</v>
      </c>
      <c r="M314" s="71" t="e">
        <f t="shared" si="25"/>
        <v>#N/A</v>
      </c>
      <c r="N314" s="7" t="str">
        <f t="shared" si="26"/>
        <v/>
      </c>
      <c r="O314" s="79" t="str">
        <f t="shared" si="27"/>
        <v/>
      </c>
      <c r="P314" s="71" t="str">
        <f t="shared" si="28"/>
        <v/>
      </c>
      <c r="Q314" s="72" t="str">
        <f>IF(G314="","",ABS(P314-Components!$C$2))</f>
        <v/>
      </c>
      <c r="R314" s="72" t="str">
        <f>IF(G314="","",ABS(P314-Components!$C$3))</f>
        <v/>
      </c>
      <c r="S314" s="72" t="str">
        <f>IF(G314="","",ABS(P314-Components!$C$4))</f>
        <v/>
      </c>
      <c r="T314" s="72" t="str">
        <f>IF(G314="","",ABS(P314-Components!$C$5))</f>
        <v/>
      </c>
      <c r="U314" s="72" t="str">
        <f>IF(G314="","",ABS(P314-Components!$C$6))</f>
        <v/>
      </c>
      <c r="V314" s="72" t="str">
        <f>IF(G314="","",ABS(P314-Components!$C$7))</f>
        <v/>
      </c>
      <c r="W314" s="7" t="str">
        <f>IF(G314="","",IF(N314="OK","NONE",INDEX({"S1","S2","W1","W2","N1","N2"},MATCH(MIN(Q314:V314),Q314:V314,0))))</f>
        <v/>
      </c>
      <c r="X314" s="80" t="str">
        <f t="shared" si="29"/>
        <v/>
      </c>
    </row>
    <row r="315" spans="1:24">
      <c r="A315" s="49">
        <v>313</v>
      </c>
      <c r="B315" s="74"/>
      <c r="C315" s="75"/>
      <c r="D315" s="75"/>
      <c r="E315" s="75"/>
      <c r="F315" s="75"/>
      <c r="G315" s="76"/>
      <c r="H315" s="77"/>
      <c r="I315" s="78"/>
      <c r="J315" s="70" t="e">
        <f>VLOOKUP(C315,Recipes!$A$2:$N$4,10,FALSE())</f>
        <v>#N/A</v>
      </c>
      <c r="K315" s="70" t="e">
        <f>VLOOKUP(C315,Recipes!$A$2:$N$4,12,FALSE())</f>
        <v>#N/A</v>
      </c>
      <c r="L315" s="71" t="e">
        <f t="shared" si="24"/>
        <v>#N/A</v>
      </c>
      <c r="M315" s="71" t="e">
        <f t="shared" si="25"/>
        <v>#N/A</v>
      </c>
      <c r="N315" s="7" t="str">
        <f t="shared" si="26"/>
        <v/>
      </c>
      <c r="O315" s="79" t="str">
        <f t="shared" si="27"/>
        <v/>
      </c>
      <c r="P315" s="71" t="str">
        <f t="shared" si="28"/>
        <v/>
      </c>
      <c r="Q315" s="72" t="str">
        <f>IF(G315="","",ABS(P315-Components!$C$2))</f>
        <v/>
      </c>
      <c r="R315" s="72" t="str">
        <f>IF(G315="","",ABS(P315-Components!$C$3))</f>
        <v/>
      </c>
      <c r="S315" s="72" t="str">
        <f>IF(G315="","",ABS(P315-Components!$C$4))</f>
        <v/>
      </c>
      <c r="T315" s="72" t="str">
        <f>IF(G315="","",ABS(P315-Components!$C$5))</f>
        <v/>
      </c>
      <c r="U315" s="72" t="str">
        <f>IF(G315="","",ABS(P315-Components!$C$6))</f>
        <v/>
      </c>
      <c r="V315" s="72" t="str">
        <f>IF(G315="","",ABS(P315-Components!$C$7))</f>
        <v/>
      </c>
      <c r="W315" s="7" t="str">
        <f>IF(G315="","",IF(N315="OK","NONE",INDEX({"S1","S2","W1","W2","N1","N2"},MATCH(MIN(Q315:V315),Q315:V315,0))))</f>
        <v/>
      </c>
      <c r="X315" s="80" t="str">
        <f t="shared" si="29"/>
        <v/>
      </c>
    </row>
    <row r="316" spans="1:24">
      <c r="A316" s="49">
        <v>314</v>
      </c>
      <c r="B316" s="74"/>
      <c r="C316" s="75"/>
      <c r="D316" s="75"/>
      <c r="E316" s="75"/>
      <c r="F316" s="75"/>
      <c r="G316" s="76"/>
      <c r="H316" s="77"/>
      <c r="I316" s="78"/>
      <c r="J316" s="70" t="e">
        <f>VLOOKUP(C316,Recipes!$A$2:$N$4,10,FALSE())</f>
        <v>#N/A</v>
      </c>
      <c r="K316" s="70" t="e">
        <f>VLOOKUP(C316,Recipes!$A$2:$N$4,12,FALSE())</f>
        <v>#N/A</v>
      </c>
      <c r="L316" s="71" t="e">
        <f t="shared" si="24"/>
        <v>#N/A</v>
      </c>
      <c r="M316" s="71" t="e">
        <f t="shared" si="25"/>
        <v>#N/A</v>
      </c>
      <c r="N316" s="7" t="str">
        <f t="shared" si="26"/>
        <v/>
      </c>
      <c r="O316" s="79" t="str">
        <f t="shared" si="27"/>
        <v/>
      </c>
      <c r="P316" s="71" t="str">
        <f t="shared" si="28"/>
        <v/>
      </c>
      <c r="Q316" s="72" t="str">
        <f>IF(G316="","",ABS(P316-Components!$C$2))</f>
        <v/>
      </c>
      <c r="R316" s="72" t="str">
        <f>IF(G316="","",ABS(P316-Components!$C$3))</f>
        <v/>
      </c>
      <c r="S316" s="72" t="str">
        <f>IF(G316="","",ABS(P316-Components!$C$4))</f>
        <v/>
      </c>
      <c r="T316" s="72" t="str">
        <f>IF(G316="","",ABS(P316-Components!$C$5))</f>
        <v/>
      </c>
      <c r="U316" s="72" t="str">
        <f>IF(G316="","",ABS(P316-Components!$C$6))</f>
        <v/>
      </c>
      <c r="V316" s="72" t="str">
        <f>IF(G316="","",ABS(P316-Components!$C$7))</f>
        <v/>
      </c>
      <c r="W316" s="7" t="str">
        <f>IF(G316="","",IF(N316="OK","NONE",INDEX({"S1","S2","W1","W2","N1","N2"},MATCH(MIN(Q316:V316),Q316:V316,0))))</f>
        <v/>
      </c>
      <c r="X316" s="80" t="str">
        <f t="shared" si="29"/>
        <v/>
      </c>
    </row>
    <row r="317" spans="1:24">
      <c r="A317" s="49">
        <v>315</v>
      </c>
      <c r="B317" s="74"/>
      <c r="C317" s="75"/>
      <c r="D317" s="75"/>
      <c r="E317" s="75"/>
      <c r="F317" s="75"/>
      <c r="G317" s="76"/>
      <c r="H317" s="77"/>
      <c r="I317" s="78"/>
      <c r="J317" s="70" t="e">
        <f>VLOOKUP(C317,Recipes!$A$2:$N$4,10,FALSE())</f>
        <v>#N/A</v>
      </c>
      <c r="K317" s="70" t="e">
        <f>VLOOKUP(C317,Recipes!$A$2:$N$4,12,FALSE())</f>
        <v>#N/A</v>
      </c>
      <c r="L317" s="71" t="e">
        <f t="shared" si="24"/>
        <v>#N/A</v>
      </c>
      <c r="M317" s="71" t="e">
        <f t="shared" si="25"/>
        <v>#N/A</v>
      </c>
      <c r="N317" s="7" t="str">
        <f t="shared" si="26"/>
        <v/>
      </c>
      <c r="O317" s="79" t="str">
        <f t="shared" si="27"/>
        <v/>
      </c>
      <c r="P317" s="71" t="str">
        <f t="shared" si="28"/>
        <v/>
      </c>
      <c r="Q317" s="72" t="str">
        <f>IF(G317="","",ABS(P317-Components!$C$2))</f>
        <v/>
      </c>
      <c r="R317" s="72" t="str">
        <f>IF(G317="","",ABS(P317-Components!$C$3))</f>
        <v/>
      </c>
      <c r="S317" s="72" t="str">
        <f>IF(G317="","",ABS(P317-Components!$C$4))</f>
        <v/>
      </c>
      <c r="T317" s="72" t="str">
        <f>IF(G317="","",ABS(P317-Components!$C$5))</f>
        <v/>
      </c>
      <c r="U317" s="72" t="str">
        <f>IF(G317="","",ABS(P317-Components!$C$6))</f>
        <v/>
      </c>
      <c r="V317" s="72" t="str">
        <f>IF(G317="","",ABS(P317-Components!$C$7))</f>
        <v/>
      </c>
      <c r="W317" s="7" t="str">
        <f>IF(G317="","",IF(N317="OK","NONE",INDEX({"S1","S2","W1","W2","N1","N2"},MATCH(MIN(Q317:V317),Q317:V317,0))))</f>
        <v/>
      </c>
      <c r="X317" s="80" t="str">
        <f t="shared" si="29"/>
        <v/>
      </c>
    </row>
    <row r="318" spans="1:24">
      <c r="A318" s="49">
        <v>316</v>
      </c>
      <c r="B318" s="74"/>
      <c r="C318" s="75"/>
      <c r="D318" s="75"/>
      <c r="E318" s="75"/>
      <c r="F318" s="75"/>
      <c r="G318" s="76"/>
      <c r="H318" s="77"/>
      <c r="I318" s="78"/>
      <c r="J318" s="70" t="e">
        <f>VLOOKUP(C318,Recipes!$A$2:$N$4,10,FALSE())</f>
        <v>#N/A</v>
      </c>
      <c r="K318" s="70" t="e">
        <f>VLOOKUP(C318,Recipes!$A$2:$N$4,12,FALSE())</f>
        <v>#N/A</v>
      </c>
      <c r="L318" s="71" t="e">
        <f t="shared" si="24"/>
        <v>#N/A</v>
      </c>
      <c r="M318" s="71" t="e">
        <f t="shared" si="25"/>
        <v>#N/A</v>
      </c>
      <c r="N318" s="7" t="str">
        <f t="shared" si="26"/>
        <v/>
      </c>
      <c r="O318" s="79" t="str">
        <f t="shared" si="27"/>
        <v/>
      </c>
      <c r="P318" s="71" t="str">
        <f t="shared" si="28"/>
        <v/>
      </c>
      <c r="Q318" s="72" t="str">
        <f>IF(G318="","",ABS(P318-Components!$C$2))</f>
        <v/>
      </c>
      <c r="R318" s="72" t="str">
        <f>IF(G318="","",ABS(P318-Components!$C$3))</f>
        <v/>
      </c>
      <c r="S318" s="72" t="str">
        <f>IF(G318="","",ABS(P318-Components!$C$4))</f>
        <v/>
      </c>
      <c r="T318" s="72" t="str">
        <f>IF(G318="","",ABS(P318-Components!$C$5))</f>
        <v/>
      </c>
      <c r="U318" s="72" t="str">
        <f>IF(G318="","",ABS(P318-Components!$C$6))</f>
        <v/>
      </c>
      <c r="V318" s="72" t="str">
        <f>IF(G318="","",ABS(P318-Components!$C$7))</f>
        <v/>
      </c>
      <c r="W318" s="7" t="str">
        <f>IF(G318="","",IF(N318="OK","NONE",INDEX({"S1","S2","W1","W2","N1","N2"},MATCH(MIN(Q318:V318),Q318:V318,0))))</f>
        <v/>
      </c>
      <c r="X318" s="80" t="str">
        <f t="shared" si="29"/>
        <v/>
      </c>
    </row>
    <row r="319" spans="1:24">
      <c r="A319" s="49">
        <v>317</v>
      </c>
      <c r="B319" s="74"/>
      <c r="C319" s="75"/>
      <c r="D319" s="75"/>
      <c r="E319" s="75"/>
      <c r="F319" s="75"/>
      <c r="G319" s="76"/>
      <c r="H319" s="77"/>
      <c r="I319" s="78"/>
      <c r="J319" s="70" t="e">
        <f>VLOOKUP(C319,Recipes!$A$2:$N$4,10,FALSE())</f>
        <v>#N/A</v>
      </c>
      <c r="K319" s="70" t="e">
        <f>VLOOKUP(C319,Recipes!$A$2:$N$4,12,FALSE())</f>
        <v>#N/A</v>
      </c>
      <c r="L319" s="71" t="e">
        <f t="shared" si="24"/>
        <v>#N/A</v>
      </c>
      <c r="M319" s="71" t="e">
        <f t="shared" si="25"/>
        <v>#N/A</v>
      </c>
      <c r="N319" s="7" t="str">
        <f t="shared" si="26"/>
        <v/>
      </c>
      <c r="O319" s="79" t="str">
        <f t="shared" si="27"/>
        <v/>
      </c>
      <c r="P319" s="71" t="str">
        <f t="shared" si="28"/>
        <v/>
      </c>
      <c r="Q319" s="72" t="str">
        <f>IF(G319="","",ABS(P319-Components!$C$2))</f>
        <v/>
      </c>
      <c r="R319" s="72" t="str">
        <f>IF(G319="","",ABS(P319-Components!$C$3))</f>
        <v/>
      </c>
      <c r="S319" s="72" t="str">
        <f>IF(G319="","",ABS(P319-Components!$C$4))</f>
        <v/>
      </c>
      <c r="T319" s="72" t="str">
        <f>IF(G319="","",ABS(P319-Components!$C$5))</f>
        <v/>
      </c>
      <c r="U319" s="72" t="str">
        <f>IF(G319="","",ABS(P319-Components!$C$6))</f>
        <v/>
      </c>
      <c r="V319" s="72" t="str">
        <f>IF(G319="","",ABS(P319-Components!$C$7))</f>
        <v/>
      </c>
      <c r="W319" s="7" t="str">
        <f>IF(G319="","",IF(N319="OK","NONE",INDEX({"S1","S2","W1","W2","N1","N2"},MATCH(MIN(Q319:V319),Q319:V319,0))))</f>
        <v/>
      </c>
      <c r="X319" s="80" t="str">
        <f t="shared" si="29"/>
        <v/>
      </c>
    </row>
    <row r="320" spans="1:24">
      <c r="A320" s="49">
        <v>318</v>
      </c>
      <c r="B320" s="74"/>
      <c r="C320" s="75"/>
      <c r="D320" s="75"/>
      <c r="E320" s="75"/>
      <c r="F320" s="75"/>
      <c r="G320" s="76"/>
      <c r="H320" s="77"/>
      <c r="I320" s="78"/>
      <c r="J320" s="70" t="e">
        <f>VLOOKUP(C320,Recipes!$A$2:$N$4,10,FALSE())</f>
        <v>#N/A</v>
      </c>
      <c r="K320" s="70" t="e">
        <f>VLOOKUP(C320,Recipes!$A$2:$N$4,12,FALSE())</f>
        <v>#N/A</v>
      </c>
      <c r="L320" s="71" t="e">
        <f t="shared" si="24"/>
        <v>#N/A</v>
      </c>
      <c r="M320" s="71" t="e">
        <f t="shared" si="25"/>
        <v>#N/A</v>
      </c>
      <c r="N320" s="7" t="str">
        <f t="shared" si="26"/>
        <v/>
      </c>
      <c r="O320" s="79" t="str">
        <f t="shared" si="27"/>
        <v/>
      </c>
      <c r="P320" s="71" t="str">
        <f t="shared" si="28"/>
        <v/>
      </c>
      <c r="Q320" s="72" t="str">
        <f>IF(G320="","",ABS(P320-Components!$C$2))</f>
        <v/>
      </c>
      <c r="R320" s="72" t="str">
        <f>IF(G320="","",ABS(P320-Components!$C$3))</f>
        <v/>
      </c>
      <c r="S320" s="72" t="str">
        <f>IF(G320="","",ABS(P320-Components!$C$4))</f>
        <v/>
      </c>
      <c r="T320" s="72" t="str">
        <f>IF(G320="","",ABS(P320-Components!$C$5))</f>
        <v/>
      </c>
      <c r="U320" s="72" t="str">
        <f>IF(G320="","",ABS(P320-Components!$C$6))</f>
        <v/>
      </c>
      <c r="V320" s="72" t="str">
        <f>IF(G320="","",ABS(P320-Components!$C$7))</f>
        <v/>
      </c>
      <c r="W320" s="7" t="str">
        <f>IF(G320="","",IF(N320="OK","NONE",INDEX({"S1","S2","W1","W2","N1","N2"},MATCH(MIN(Q320:V320),Q320:V320,0))))</f>
        <v/>
      </c>
      <c r="X320" s="80" t="str">
        <f t="shared" si="29"/>
        <v/>
      </c>
    </row>
    <row r="321" spans="1:24">
      <c r="A321" s="49">
        <v>319</v>
      </c>
      <c r="B321" s="74"/>
      <c r="C321" s="75"/>
      <c r="D321" s="75"/>
      <c r="E321" s="75"/>
      <c r="F321" s="75"/>
      <c r="G321" s="76"/>
      <c r="H321" s="77"/>
      <c r="I321" s="78"/>
      <c r="J321" s="70" t="e">
        <f>VLOOKUP(C321,Recipes!$A$2:$N$4,10,FALSE())</f>
        <v>#N/A</v>
      </c>
      <c r="K321" s="70" t="e">
        <f>VLOOKUP(C321,Recipes!$A$2:$N$4,12,FALSE())</f>
        <v>#N/A</v>
      </c>
      <c r="L321" s="71" t="e">
        <f t="shared" si="24"/>
        <v>#N/A</v>
      </c>
      <c r="M321" s="71" t="e">
        <f t="shared" si="25"/>
        <v>#N/A</v>
      </c>
      <c r="N321" s="7" t="str">
        <f t="shared" si="26"/>
        <v/>
      </c>
      <c r="O321" s="79" t="str">
        <f t="shared" si="27"/>
        <v/>
      </c>
      <c r="P321" s="71" t="str">
        <f t="shared" si="28"/>
        <v/>
      </c>
      <c r="Q321" s="72" t="str">
        <f>IF(G321="","",ABS(P321-Components!$C$2))</f>
        <v/>
      </c>
      <c r="R321" s="72" t="str">
        <f>IF(G321="","",ABS(P321-Components!$C$3))</f>
        <v/>
      </c>
      <c r="S321" s="72" t="str">
        <f>IF(G321="","",ABS(P321-Components!$C$4))</f>
        <v/>
      </c>
      <c r="T321" s="72" t="str">
        <f>IF(G321="","",ABS(P321-Components!$C$5))</f>
        <v/>
      </c>
      <c r="U321" s="72" t="str">
        <f>IF(G321="","",ABS(P321-Components!$C$6))</f>
        <v/>
      </c>
      <c r="V321" s="72" t="str">
        <f>IF(G321="","",ABS(P321-Components!$C$7))</f>
        <v/>
      </c>
      <c r="W321" s="7" t="str">
        <f>IF(G321="","",IF(N321="OK","NONE",INDEX({"S1","S2","W1","W2","N1","N2"},MATCH(MIN(Q321:V321),Q321:V321,0))))</f>
        <v/>
      </c>
      <c r="X321" s="80" t="str">
        <f t="shared" si="29"/>
        <v/>
      </c>
    </row>
    <row r="322" spans="1:24">
      <c r="A322" s="49">
        <v>320</v>
      </c>
      <c r="B322" s="74"/>
      <c r="C322" s="75"/>
      <c r="D322" s="75"/>
      <c r="E322" s="75"/>
      <c r="F322" s="75"/>
      <c r="G322" s="76"/>
      <c r="H322" s="77"/>
      <c r="I322" s="78"/>
      <c r="J322" s="70" t="e">
        <f>VLOOKUP(C322,Recipes!$A$2:$N$4,10,FALSE())</f>
        <v>#N/A</v>
      </c>
      <c r="K322" s="70" t="e">
        <f>VLOOKUP(C322,Recipes!$A$2:$N$4,12,FALSE())</f>
        <v>#N/A</v>
      </c>
      <c r="L322" s="71" t="e">
        <f t="shared" si="24"/>
        <v>#N/A</v>
      </c>
      <c r="M322" s="71" t="e">
        <f t="shared" si="25"/>
        <v>#N/A</v>
      </c>
      <c r="N322" s="7" t="str">
        <f t="shared" si="26"/>
        <v/>
      </c>
      <c r="O322" s="79" t="str">
        <f t="shared" si="27"/>
        <v/>
      </c>
      <c r="P322" s="71" t="str">
        <f t="shared" si="28"/>
        <v/>
      </c>
      <c r="Q322" s="72" t="str">
        <f>IF(G322="","",ABS(P322-Components!$C$2))</f>
        <v/>
      </c>
      <c r="R322" s="72" t="str">
        <f>IF(G322="","",ABS(P322-Components!$C$3))</f>
        <v/>
      </c>
      <c r="S322" s="72" t="str">
        <f>IF(G322="","",ABS(P322-Components!$C$4))</f>
        <v/>
      </c>
      <c r="T322" s="72" t="str">
        <f>IF(G322="","",ABS(P322-Components!$C$5))</f>
        <v/>
      </c>
      <c r="U322" s="72" t="str">
        <f>IF(G322="","",ABS(P322-Components!$C$6))</f>
        <v/>
      </c>
      <c r="V322" s="72" t="str">
        <f>IF(G322="","",ABS(P322-Components!$C$7))</f>
        <v/>
      </c>
      <c r="W322" s="7" t="str">
        <f>IF(G322="","",IF(N322="OK","NONE",INDEX({"S1","S2","W1","W2","N1","N2"},MATCH(MIN(Q322:V322),Q322:V322,0))))</f>
        <v/>
      </c>
      <c r="X322" s="80" t="str">
        <f t="shared" si="29"/>
        <v/>
      </c>
    </row>
    <row r="323" spans="1:24">
      <c r="A323" s="49">
        <v>321</v>
      </c>
      <c r="B323" s="74"/>
      <c r="C323" s="75"/>
      <c r="D323" s="75"/>
      <c r="E323" s="75"/>
      <c r="F323" s="75"/>
      <c r="G323" s="76"/>
      <c r="H323" s="77"/>
      <c r="I323" s="78"/>
      <c r="J323" s="70" t="e">
        <f>VLOOKUP(C323,Recipes!$A$2:$N$4,10,FALSE())</f>
        <v>#N/A</v>
      </c>
      <c r="K323" s="70" t="e">
        <f>VLOOKUP(C323,Recipes!$A$2:$N$4,12,FALSE())</f>
        <v>#N/A</v>
      </c>
      <c r="L323" s="71" t="e">
        <f t="shared" ref="L323:L386" si="30">J323-3*K323</f>
        <v>#N/A</v>
      </c>
      <c r="M323" s="71" t="e">
        <f t="shared" ref="M323:M386" si="31">J323+3*K323</f>
        <v>#N/A</v>
      </c>
      <c r="N323" s="7" t="str">
        <f t="shared" ref="N323:N386" si="32">IF(G323="","",IF(AND(G323&gt;=L323,G323&lt;=M323),"OK","NG"))</f>
        <v/>
      </c>
      <c r="O323" s="79" t="str">
        <f t="shared" ref="O323:O386" si="33">IF(N323="","",IF(N323=D323,1,0))</f>
        <v/>
      </c>
      <c r="P323" s="71" t="str">
        <f t="shared" ref="P323:P386" si="34">IF(G323="","",J323-G323)</f>
        <v/>
      </c>
      <c r="Q323" s="72" t="str">
        <f>IF(G323="","",ABS(P323-Components!$C$2))</f>
        <v/>
      </c>
      <c r="R323" s="72" t="str">
        <f>IF(G323="","",ABS(P323-Components!$C$3))</f>
        <v/>
      </c>
      <c r="S323" s="72" t="str">
        <f>IF(G323="","",ABS(P323-Components!$C$4))</f>
        <v/>
      </c>
      <c r="T323" s="72" t="str">
        <f>IF(G323="","",ABS(P323-Components!$C$5))</f>
        <v/>
      </c>
      <c r="U323" s="72" t="str">
        <f>IF(G323="","",ABS(P323-Components!$C$6))</f>
        <v/>
      </c>
      <c r="V323" s="72" t="str">
        <f>IF(G323="","",ABS(P323-Components!$C$7))</f>
        <v/>
      </c>
      <c r="W323" s="7" t="str">
        <f>IF(G323="","",IF(N323="OK","NONE",INDEX({"S1","S2","W1","W2","N1","N2"},MATCH(MIN(Q323:V323),Q323:V323,0))))</f>
        <v/>
      </c>
      <c r="X323" s="80" t="str">
        <f t="shared" ref="X323:X386" si="35">IF(G323="","",IF(W323=E323,1,0))</f>
        <v/>
      </c>
    </row>
    <row r="324" spans="1:24">
      <c r="A324" s="49">
        <v>322</v>
      </c>
      <c r="B324" s="74"/>
      <c r="C324" s="75"/>
      <c r="D324" s="75"/>
      <c r="E324" s="75"/>
      <c r="F324" s="75"/>
      <c r="G324" s="76"/>
      <c r="H324" s="77"/>
      <c r="I324" s="78"/>
      <c r="J324" s="70" t="e">
        <f>VLOOKUP(C324,Recipes!$A$2:$N$4,10,FALSE())</f>
        <v>#N/A</v>
      </c>
      <c r="K324" s="70" t="e">
        <f>VLOOKUP(C324,Recipes!$A$2:$N$4,12,FALSE())</f>
        <v>#N/A</v>
      </c>
      <c r="L324" s="71" t="e">
        <f t="shared" si="30"/>
        <v>#N/A</v>
      </c>
      <c r="M324" s="71" t="e">
        <f t="shared" si="31"/>
        <v>#N/A</v>
      </c>
      <c r="N324" s="7" t="str">
        <f t="shared" si="32"/>
        <v/>
      </c>
      <c r="O324" s="79" t="str">
        <f t="shared" si="33"/>
        <v/>
      </c>
      <c r="P324" s="71" t="str">
        <f t="shared" si="34"/>
        <v/>
      </c>
      <c r="Q324" s="72" t="str">
        <f>IF(G324="","",ABS(P324-Components!$C$2))</f>
        <v/>
      </c>
      <c r="R324" s="72" t="str">
        <f>IF(G324="","",ABS(P324-Components!$C$3))</f>
        <v/>
      </c>
      <c r="S324" s="72" t="str">
        <f>IF(G324="","",ABS(P324-Components!$C$4))</f>
        <v/>
      </c>
      <c r="T324" s="72" t="str">
        <f>IF(G324="","",ABS(P324-Components!$C$5))</f>
        <v/>
      </c>
      <c r="U324" s="72" t="str">
        <f>IF(G324="","",ABS(P324-Components!$C$6))</f>
        <v/>
      </c>
      <c r="V324" s="72" t="str">
        <f>IF(G324="","",ABS(P324-Components!$C$7))</f>
        <v/>
      </c>
      <c r="W324" s="7" t="str">
        <f>IF(G324="","",IF(N324="OK","NONE",INDEX({"S1","S2","W1","W2","N1","N2"},MATCH(MIN(Q324:V324),Q324:V324,0))))</f>
        <v/>
      </c>
      <c r="X324" s="80" t="str">
        <f t="shared" si="35"/>
        <v/>
      </c>
    </row>
    <row r="325" spans="1:24">
      <c r="A325" s="49">
        <v>323</v>
      </c>
      <c r="B325" s="74"/>
      <c r="C325" s="75"/>
      <c r="D325" s="75"/>
      <c r="E325" s="75"/>
      <c r="F325" s="75"/>
      <c r="G325" s="76"/>
      <c r="H325" s="77"/>
      <c r="I325" s="78"/>
      <c r="J325" s="70" t="e">
        <f>VLOOKUP(C325,Recipes!$A$2:$N$4,10,FALSE())</f>
        <v>#N/A</v>
      </c>
      <c r="K325" s="70" t="e">
        <f>VLOOKUP(C325,Recipes!$A$2:$N$4,12,FALSE())</f>
        <v>#N/A</v>
      </c>
      <c r="L325" s="71" t="e">
        <f t="shared" si="30"/>
        <v>#N/A</v>
      </c>
      <c r="M325" s="71" t="e">
        <f t="shared" si="31"/>
        <v>#N/A</v>
      </c>
      <c r="N325" s="7" t="str">
        <f t="shared" si="32"/>
        <v/>
      </c>
      <c r="O325" s="79" t="str">
        <f t="shared" si="33"/>
        <v/>
      </c>
      <c r="P325" s="71" t="str">
        <f t="shared" si="34"/>
        <v/>
      </c>
      <c r="Q325" s="72" t="str">
        <f>IF(G325="","",ABS(P325-Components!$C$2))</f>
        <v/>
      </c>
      <c r="R325" s="72" t="str">
        <f>IF(G325="","",ABS(P325-Components!$C$3))</f>
        <v/>
      </c>
      <c r="S325" s="72" t="str">
        <f>IF(G325="","",ABS(P325-Components!$C$4))</f>
        <v/>
      </c>
      <c r="T325" s="72" t="str">
        <f>IF(G325="","",ABS(P325-Components!$C$5))</f>
        <v/>
      </c>
      <c r="U325" s="72" t="str">
        <f>IF(G325="","",ABS(P325-Components!$C$6))</f>
        <v/>
      </c>
      <c r="V325" s="72" t="str">
        <f>IF(G325="","",ABS(P325-Components!$C$7))</f>
        <v/>
      </c>
      <c r="W325" s="7" t="str">
        <f>IF(G325="","",IF(N325="OK","NONE",INDEX({"S1","S2","W1","W2","N1","N2"},MATCH(MIN(Q325:V325),Q325:V325,0))))</f>
        <v/>
      </c>
      <c r="X325" s="80" t="str">
        <f t="shared" si="35"/>
        <v/>
      </c>
    </row>
    <row r="326" spans="1:24">
      <c r="A326" s="49">
        <v>324</v>
      </c>
      <c r="B326" s="74"/>
      <c r="C326" s="75"/>
      <c r="D326" s="75"/>
      <c r="E326" s="75"/>
      <c r="F326" s="75"/>
      <c r="G326" s="76"/>
      <c r="H326" s="77"/>
      <c r="I326" s="78"/>
      <c r="J326" s="70" t="e">
        <f>VLOOKUP(C326,Recipes!$A$2:$N$4,10,FALSE())</f>
        <v>#N/A</v>
      </c>
      <c r="K326" s="70" t="e">
        <f>VLOOKUP(C326,Recipes!$A$2:$N$4,12,FALSE())</f>
        <v>#N/A</v>
      </c>
      <c r="L326" s="71" t="e">
        <f t="shared" si="30"/>
        <v>#N/A</v>
      </c>
      <c r="M326" s="71" t="e">
        <f t="shared" si="31"/>
        <v>#N/A</v>
      </c>
      <c r="N326" s="7" t="str">
        <f t="shared" si="32"/>
        <v/>
      </c>
      <c r="O326" s="79" t="str">
        <f t="shared" si="33"/>
        <v/>
      </c>
      <c r="P326" s="71" t="str">
        <f t="shared" si="34"/>
        <v/>
      </c>
      <c r="Q326" s="72" t="str">
        <f>IF(G326="","",ABS(P326-Components!$C$2))</f>
        <v/>
      </c>
      <c r="R326" s="72" t="str">
        <f>IF(G326="","",ABS(P326-Components!$C$3))</f>
        <v/>
      </c>
      <c r="S326" s="72" t="str">
        <f>IF(G326="","",ABS(P326-Components!$C$4))</f>
        <v/>
      </c>
      <c r="T326" s="72" t="str">
        <f>IF(G326="","",ABS(P326-Components!$C$5))</f>
        <v/>
      </c>
      <c r="U326" s="72" t="str">
        <f>IF(G326="","",ABS(P326-Components!$C$6))</f>
        <v/>
      </c>
      <c r="V326" s="72" t="str">
        <f>IF(G326="","",ABS(P326-Components!$C$7))</f>
        <v/>
      </c>
      <c r="W326" s="7" t="str">
        <f>IF(G326="","",IF(N326="OK","NONE",INDEX({"S1","S2","W1","W2","N1","N2"},MATCH(MIN(Q326:V326),Q326:V326,0))))</f>
        <v/>
      </c>
      <c r="X326" s="80" t="str">
        <f t="shared" si="35"/>
        <v/>
      </c>
    </row>
    <row r="327" spans="1:24">
      <c r="A327" s="49">
        <v>325</v>
      </c>
      <c r="B327" s="74"/>
      <c r="C327" s="75"/>
      <c r="D327" s="75"/>
      <c r="E327" s="75"/>
      <c r="F327" s="75"/>
      <c r="G327" s="76"/>
      <c r="H327" s="77"/>
      <c r="I327" s="78"/>
      <c r="J327" s="70" t="e">
        <f>VLOOKUP(C327,Recipes!$A$2:$N$4,10,FALSE())</f>
        <v>#N/A</v>
      </c>
      <c r="K327" s="70" t="e">
        <f>VLOOKUP(C327,Recipes!$A$2:$N$4,12,FALSE())</f>
        <v>#N/A</v>
      </c>
      <c r="L327" s="71" t="e">
        <f t="shared" si="30"/>
        <v>#N/A</v>
      </c>
      <c r="M327" s="71" t="e">
        <f t="shared" si="31"/>
        <v>#N/A</v>
      </c>
      <c r="N327" s="7" t="str">
        <f t="shared" si="32"/>
        <v/>
      </c>
      <c r="O327" s="79" t="str">
        <f t="shared" si="33"/>
        <v/>
      </c>
      <c r="P327" s="71" t="str">
        <f t="shared" si="34"/>
        <v/>
      </c>
      <c r="Q327" s="72" t="str">
        <f>IF(G327="","",ABS(P327-Components!$C$2))</f>
        <v/>
      </c>
      <c r="R327" s="72" t="str">
        <f>IF(G327="","",ABS(P327-Components!$C$3))</f>
        <v/>
      </c>
      <c r="S327" s="72" t="str">
        <f>IF(G327="","",ABS(P327-Components!$C$4))</f>
        <v/>
      </c>
      <c r="T327" s="72" t="str">
        <f>IF(G327="","",ABS(P327-Components!$C$5))</f>
        <v/>
      </c>
      <c r="U327" s="72" t="str">
        <f>IF(G327="","",ABS(P327-Components!$C$6))</f>
        <v/>
      </c>
      <c r="V327" s="72" t="str">
        <f>IF(G327="","",ABS(P327-Components!$C$7))</f>
        <v/>
      </c>
      <c r="W327" s="7" t="str">
        <f>IF(G327="","",IF(N327="OK","NONE",INDEX({"S1","S2","W1","W2","N1","N2"},MATCH(MIN(Q327:V327),Q327:V327,0))))</f>
        <v/>
      </c>
      <c r="X327" s="80" t="str">
        <f t="shared" si="35"/>
        <v/>
      </c>
    </row>
    <row r="328" spans="1:24">
      <c r="A328" s="49">
        <v>326</v>
      </c>
      <c r="B328" s="74"/>
      <c r="C328" s="75"/>
      <c r="D328" s="75"/>
      <c r="E328" s="75"/>
      <c r="F328" s="75"/>
      <c r="G328" s="76"/>
      <c r="H328" s="77"/>
      <c r="I328" s="78"/>
      <c r="J328" s="70" t="e">
        <f>VLOOKUP(C328,Recipes!$A$2:$N$4,10,FALSE())</f>
        <v>#N/A</v>
      </c>
      <c r="K328" s="70" t="e">
        <f>VLOOKUP(C328,Recipes!$A$2:$N$4,12,FALSE())</f>
        <v>#N/A</v>
      </c>
      <c r="L328" s="71" t="e">
        <f t="shared" si="30"/>
        <v>#N/A</v>
      </c>
      <c r="M328" s="71" t="e">
        <f t="shared" si="31"/>
        <v>#N/A</v>
      </c>
      <c r="N328" s="7" t="str">
        <f t="shared" si="32"/>
        <v/>
      </c>
      <c r="O328" s="79" t="str">
        <f t="shared" si="33"/>
        <v/>
      </c>
      <c r="P328" s="71" t="str">
        <f t="shared" si="34"/>
        <v/>
      </c>
      <c r="Q328" s="72" t="str">
        <f>IF(G328="","",ABS(P328-Components!$C$2))</f>
        <v/>
      </c>
      <c r="R328" s="72" t="str">
        <f>IF(G328="","",ABS(P328-Components!$C$3))</f>
        <v/>
      </c>
      <c r="S328" s="72" t="str">
        <f>IF(G328="","",ABS(P328-Components!$C$4))</f>
        <v/>
      </c>
      <c r="T328" s="72" t="str">
        <f>IF(G328="","",ABS(P328-Components!$C$5))</f>
        <v/>
      </c>
      <c r="U328" s="72" t="str">
        <f>IF(G328="","",ABS(P328-Components!$C$6))</f>
        <v/>
      </c>
      <c r="V328" s="72" t="str">
        <f>IF(G328="","",ABS(P328-Components!$C$7))</f>
        <v/>
      </c>
      <c r="W328" s="7" t="str">
        <f>IF(G328="","",IF(N328="OK","NONE",INDEX({"S1","S2","W1","W2","N1","N2"},MATCH(MIN(Q328:V328),Q328:V328,0))))</f>
        <v/>
      </c>
      <c r="X328" s="80" t="str">
        <f t="shared" si="35"/>
        <v/>
      </c>
    </row>
    <row r="329" spans="1:24">
      <c r="A329" s="49">
        <v>327</v>
      </c>
      <c r="B329" s="74"/>
      <c r="C329" s="75"/>
      <c r="D329" s="75"/>
      <c r="E329" s="75"/>
      <c r="F329" s="75"/>
      <c r="G329" s="76"/>
      <c r="H329" s="77"/>
      <c r="I329" s="78"/>
      <c r="J329" s="70" t="e">
        <f>VLOOKUP(C329,Recipes!$A$2:$N$4,10,FALSE())</f>
        <v>#N/A</v>
      </c>
      <c r="K329" s="70" t="e">
        <f>VLOOKUP(C329,Recipes!$A$2:$N$4,12,FALSE())</f>
        <v>#N/A</v>
      </c>
      <c r="L329" s="71" t="e">
        <f t="shared" si="30"/>
        <v>#N/A</v>
      </c>
      <c r="M329" s="71" t="e">
        <f t="shared" si="31"/>
        <v>#N/A</v>
      </c>
      <c r="N329" s="7" t="str">
        <f t="shared" si="32"/>
        <v/>
      </c>
      <c r="O329" s="79" t="str">
        <f t="shared" si="33"/>
        <v/>
      </c>
      <c r="P329" s="71" t="str">
        <f t="shared" si="34"/>
        <v/>
      </c>
      <c r="Q329" s="72" t="str">
        <f>IF(G329="","",ABS(P329-Components!$C$2))</f>
        <v/>
      </c>
      <c r="R329" s="72" t="str">
        <f>IF(G329="","",ABS(P329-Components!$C$3))</f>
        <v/>
      </c>
      <c r="S329" s="72" t="str">
        <f>IF(G329="","",ABS(P329-Components!$C$4))</f>
        <v/>
      </c>
      <c r="T329" s="72" t="str">
        <f>IF(G329="","",ABS(P329-Components!$C$5))</f>
        <v/>
      </c>
      <c r="U329" s="72" t="str">
        <f>IF(G329="","",ABS(P329-Components!$C$6))</f>
        <v/>
      </c>
      <c r="V329" s="72" t="str">
        <f>IF(G329="","",ABS(P329-Components!$C$7))</f>
        <v/>
      </c>
      <c r="W329" s="7" t="str">
        <f>IF(G329="","",IF(N329="OK","NONE",INDEX({"S1","S2","W1","W2","N1","N2"},MATCH(MIN(Q329:V329),Q329:V329,0))))</f>
        <v/>
      </c>
      <c r="X329" s="80" t="str">
        <f t="shared" si="35"/>
        <v/>
      </c>
    </row>
    <row r="330" spans="1:24">
      <c r="A330" s="49">
        <v>328</v>
      </c>
      <c r="B330" s="74"/>
      <c r="C330" s="75"/>
      <c r="D330" s="75"/>
      <c r="E330" s="75"/>
      <c r="F330" s="75"/>
      <c r="G330" s="76"/>
      <c r="H330" s="77"/>
      <c r="I330" s="78"/>
      <c r="J330" s="70" t="e">
        <f>VLOOKUP(C330,Recipes!$A$2:$N$4,10,FALSE())</f>
        <v>#N/A</v>
      </c>
      <c r="K330" s="70" t="e">
        <f>VLOOKUP(C330,Recipes!$A$2:$N$4,12,FALSE())</f>
        <v>#N/A</v>
      </c>
      <c r="L330" s="71" t="e">
        <f t="shared" si="30"/>
        <v>#N/A</v>
      </c>
      <c r="M330" s="71" t="e">
        <f t="shared" si="31"/>
        <v>#N/A</v>
      </c>
      <c r="N330" s="7" t="str">
        <f t="shared" si="32"/>
        <v/>
      </c>
      <c r="O330" s="79" t="str">
        <f t="shared" si="33"/>
        <v/>
      </c>
      <c r="P330" s="71" t="str">
        <f t="shared" si="34"/>
        <v/>
      </c>
      <c r="Q330" s="72" t="str">
        <f>IF(G330="","",ABS(P330-Components!$C$2))</f>
        <v/>
      </c>
      <c r="R330" s="72" t="str">
        <f>IF(G330="","",ABS(P330-Components!$C$3))</f>
        <v/>
      </c>
      <c r="S330" s="72" t="str">
        <f>IF(G330="","",ABS(P330-Components!$C$4))</f>
        <v/>
      </c>
      <c r="T330" s="72" t="str">
        <f>IF(G330="","",ABS(P330-Components!$C$5))</f>
        <v/>
      </c>
      <c r="U330" s="72" t="str">
        <f>IF(G330="","",ABS(P330-Components!$C$6))</f>
        <v/>
      </c>
      <c r="V330" s="72" t="str">
        <f>IF(G330="","",ABS(P330-Components!$C$7))</f>
        <v/>
      </c>
      <c r="W330" s="7" t="str">
        <f>IF(G330="","",IF(N330="OK","NONE",INDEX({"S1","S2","W1","W2","N1","N2"},MATCH(MIN(Q330:V330),Q330:V330,0))))</f>
        <v/>
      </c>
      <c r="X330" s="80" t="str">
        <f t="shared" si="35"/>
        <v/>
      </c>
    </row>
    <row r="331" spans="1:24">
      <c r="A331" s="49">
        <v>329</v>
      </c>
      <c r="B331" s="74"/>
      <c r="C331" s="75"/>
      <c r="D331" s="75"/>
      <c r="E331" s="75"/>
      <c r="F331" s="75"/>
      <c r="G331" s="76"/>
      <c r="H331" s="77"/>
      <c r="I331" s="78"/>
      <c r="J331" s="70" t="e">
        <f>VLOOKUP(C331,Recipes!$A$2:$N$4,10,FALSE())</f>
        <v>#N/A</v>
      </c>
      <c r="K331" s="70" t="e">
        <f>VLOOKUP(C331,Recipes!$A$2:$N$4,12,FALSE())</f>
        <v>#N/A</v>
      </c>
      <c r="L331" s="71" t="e">
        <f t="shared" si="30"/>
        <v>#N/A</v>
      </c>
      <c r="M331" s="71" t="e">
        <f t="shared" si="31"/>
        <v>#N/A</v>
      </c>
      <c r="N331" s="7" t="str">
        <f t="shared" si="32"/>
        <v/>
      </c>
      <c r="O331" s="79" t="str">
        <f t="shared" si="33"/>
        <v/>
      </c>
      <c r="P331" s="71" t="str">
        <f t="shared" si="34"/>
        <v/>
      </c>
      <c r="Q331" s="72" t="str">
        <f>IF(G331="","",ABS(P331-Components!$C$2))</f>
        <v/>
      </c>
      <c r="R331" s="72" t="str">
        <f>IF(G331="","",ABS(P331-Components!$C$3))</f>
        <v/>
      </c>
      <c r="S331" s="72" t="str">
        <f>IF(G331="","",ABS(P331-Components!$C$4))</f>
        <v/>
      </c>
      <c r="T331" s="72" t="str">
        <f>IF(G331="","",ABS(P331-Components!$C$5))</f>
        <v/>
      </c>
      <c r="U331" s="72" t="str">
        <f>IF(G331="","",ABS(P331-Components!$C$6))</f>
        <v/>
      </c>
      <c r="V331" s="72" t="str">
        <f>IF(G331="","",ABS(P331-Components!$C$7))</f>
        <v/>
      </c>
      <c r="W331" s="7" t="str">
        <f>IF(G331="","",IF(N331="OK","NONE",INDEX({"S1","S2","W1","W2","N1","N2"},MATCH(MIN(Q331:V331),Q331:V331,0))))</f>
        <v/>
      </c>
      <c r="X331" s="80" t="str">
        <f t="shared" si="35"/>
        <v/>
      </c>
    </row>
    <row r="332" spans="1:24">
      <c r="A332" s="49">
        <v>330</v>
      </c>
      <c r="B332" s="74"/>
      <c r="C332" s="75"/>
      <c r="D332" s="75"/>
      <c r="E332" s="75"/>
      <c r="F332" s="75"/>
      <c r="G332" s="76"/>
      <c r="H332" s="77"/>
      <c r="I332" s="78"/>
      <c r="J332" s="70" t="e">
        <f>VLOOKUP(C332,Recipes!$A$2:$N$4,10,FALSE())</f>
        <v>#N/A</v>
      </c>
      <c r="K332" s="70" t="e">
        <f>VLOOKUP(C332,Recipes!$A$2:$N$4,12,FALSE())</f>
        <v>#N/A</v>
      </c>
      <c r="L332" s="71" t="e">
        <f t="shared" si="30"/>
        <v>#N/A</v>
      </c>
      <c r="M332" s="71" t="e">
        <f t="shared" si="31"/>
        <v>#N/A</v>
      </c>
      <c r="N332" s="7" t="str">
        <f t="shared" si="32"/>
        <v/>
      </c>
      <c r="O332" s="79" t="str">
        <f t="shared" si="33"/>
        <v/>
      </c>
      <c r="P332" s="71" t="str">
        <f t="shared" si="34"/>
        <v/>
      </c>
      <c r="Q332" s="72" t="str">
        <f>IF(G332="","",ABS(P332-Components!$C$2))</f>
        <v/>
      </c>
      <c r="R332" s="72" t="str">
        <f>IF(G332="","",ABS(P332-Components!$C$3))</f>
        <v/>
      </c>
      <c r="S332" s="72" t="str">
        <f>IF(G332="","",ABS(P332-Components!$C$4))</f>
        <v/>
      </c>
      <c r="T332" s="72" t="str">
        <f>IF(G332="","",ABS(P332-Components!$C$5))</f>
        <v/>
      </c>
      <c r="U332" s="72" t="str">
        <f>IF(G332="","",ABS(P332-Components!$C$6))</f>
        <v/>
      </c>
      <c r="V332" s="72" t="str">
        <f>IF(G332="","",ABS(P332-Components!$C$7))</f>
        <v/>
      </c>
      <c r="W332" s="7" t="str">
        <f>IF(G332="","",IF(N332="OK","NONE",INDEX({"S1","S2","W1","W2","N1","N2"},MATCH(MIN(Q332:V332),Q332:V332,0))))</f>
        <v/>
      </c>
      <c r="X332" s="80" t="str">
        <f t="shared" si="35"/>
        <v/>
      </c>
    </row>
    <row r="333" spans="1:24">
      <c r="A333" s="49">
        <v>331</v>
      </c>
      <c r="B333" s="74"/>
      <c r="C333" s="75"/>
      <c r="D333" s="75"/>
      <c r="E333" s="75"/>
      <c r="F333" s="75"/>
      <c r="G333" s="76"/>
      <c r="H333" s="77"/>
      <c r="I333" s="78"/>
      <c r="J333" s="70" t="e">
        <f>VLOOKUP(C333,Recipes!$A$2:$N$4,10,FALSE())</f>
        <v>#N/A</v>
      </c>
      <c r="K333" s="70" t="e">
        <f>VLOOKUP(C333,Recipes!$A$2:$N$4,12,FALSE())</f>
        <v>#N/A</v>
      </c>
      <c r="L333" s="71" t="e">
        <f t="shared" si="30"/>
        <v>#N/A</v>
      </c>
      <c r="M333" s="71" t="e">
        <f t="shared" si="31"/>
        <v>#N/A</v>
      </c>
      <c r="N333" s="7" t="str">
        <f t="shared" si="32"/>
        <v/>
      </c>
      <c r="O333" s="79" t="str">
        <f t="shared" si="33"/>
        <v/>
      </c>
      <c r="P333" s="71" t="str">
        <f t="shared" si="34"/>
        <v/>
      </c>
      <c r="Q333" s="72" t="str">
        <f>IF(G333="","",ABS(P333-Components!$C$2))</f>
        <v/>
      </c>
      <c r="R333" s="72" t="str">
        <f>IF(G333="","",ABS(P333-Components!$C$3))</f>
        <v/>
      </c>
      <c r="S333" s="72" t="str">
        <f>IF(G333="","",ABS(P333-Components!$C$4))</f>
        <v/>
      </c>
      <c r="T333" s="72" t="str">
        <f>IF(G333="","",ABS(P333-Components!$C$5))</f>
        <v/>
      </c>
      <c r="U333" s="72" t="str">
        <f>IF(G333="","",ABS(P333-Components!$C$6))</f>
        <v/>
      </c>
      <c r="V333" s="72" t="str">
        <f>IF(G333="","",ABS(P333-Components!$C$7))</f>
        <v/>
      </c>
      <c r="W333" s="7" t="str">
        <f>IF(G333="","",IF(N333="OK","NONE",INDEX({"S1","S2","W1","W2","N1","N2"},MATCH(MIN(Q333:V333),Q333:V333,0))))</f>
        <v/>
      </c>
      <c r="X333" s="80" t="str">
        <f t="shared" si="35"/>
        <v/>
      </c>
    </row>
    <row r="334" spans="1:24">
      <c r="A334" s="49">
        <v>332</v>
      </c>
      <c r="B334" s="74"/>
      <c r="C334" s="75"/>
      <c r="D334" s="75"/>
      <c r="E334" s="75"/>
      <c r="F334" s="75"/>
      <c r="G334" s="76"/>
      <c r="H334" s="77"/>
      <c r="I334" s="78"/>
      <c r="J334" s="70" t="e">
        <f>VLOOKUP(C334,Recipes!$A$2:$N$4,10,FALSE())</f>
        <v>#N/A</v>
      </c>
      <c r="K334" s="70" t="e">
        <f>VLOOKUP(C334,Recipes!$A$2:$N$4,12,FALSE())</f>
        <v>#N/A</v>
      </c>
      <c r="L334" s="71" t="e">
        <f t="shared" si="30"/>
        <v>#N/A</v>
      </c>
      <c r="M334" s="71" t="e">
        <f t="shared" si="31"/>
        <v>#N/A</v>
      </c>
      <c r="N334" s="7" t="str">
        <f t="shared" si="32"/>
        <v/>
      </c>
      <c r="O334" s="79" t="str">
        <f t="shared" si="33"/>
        <v/>
      </c>
      <c r="P334" s="71" t="str">
        <f t="shared" si="34"/>
        <v/>
      </c>
      <c r="Q334" s="72" t="str">
        <f>IF(G334="","",ABS(P334-Components!$C$2))</f>
        <v/>
      </c>
      <c r="R334" s="72" t="str">
        <f>IF(G334="","",ABS(P334-Components!$C$3))</f>
        <v/>
      </c>
      <c r="S334" s="72" t="str">
        <f>IF(G334="","",ABS(P334-Components!$C$4))</f>
        <v/>
      </c>
      <c r="T334" s="72" t="str">
        <f>IF(G334="","",ABS(P334-Components!$C$5))</f>
        <v/>
      </c>
      <c r="U334" s="72" t="str">
        <f>IF(G334="","",ABS(P334-Components!$C$6))</f>
        <v/>
      </c>
      <c r="V334" s="72" t="str">
        <f>IF(G334="","",ABS(P334-Components!$C$7))</f>
        <v/>
      </c>
      <c r="W334" s="7" t="str">
        <f>IF(G334="","",IF(N334="OK","NONE",INDEX({"S1","S2","W1","W2","N1","N2"},MATCH(MIN(Q334:V334),Q334:V334,0))))</f>
        <v/>
      </c>
      <c r="X334" s="80" t="str">
        <f t="shared" si="35"/>
        <v/>
      </c>
    </row>
    <row r="335" spans="1:24">
      <c r="A335" s="49">
        <v>333</v>
      </c>
      <c r="B335" s="74"/>
      <c r="C335" s="75"/>
      <c r="D335" s="75"/>
      <c r="E335" s="75"/>
      <c r="F335" s="75"/>
      <c r="G335" s="76"/>
      <c r="H335" s="77"/>
      <c r="I335" s="78"/>
      <c r="J335" s="70" t="e">
        <f>VLOOKUP(C335,Recipes!$A$2:$N$4,10,FALSE())</f>
        <v>#N/A</v>
      </c>
      <c r="K335" s="70" t="e">
        <f>VLOOKUP(C335,Recipes!$A$2:$N$4,12,FALSE())</f>
        <v>#N/A</v>
      </c>
      <c r="L335" s="71" t="e">
        <f t="shared" si="30"/>
        <v>#N/A</v>
      </c>
      <c r="M335" s="71" t="e">
        <f t="shared" si="31"/>
        <v>#N/A</v>
      </c>
      <c r="N335" s="7" t="str">
        <f t="shared" si="32"/>
        <v/>
      </c>
      <c r="O335" s="79" t="str">
        <f t="shared" si="33"/>
        <v/>
      </c>
      <c r="P335" s="71" t="str">
        <f t="shared" si="34"/>
        <v/>
      </c>
      <c r="Q335" s="72" t="str">
        <f>IF(G335="","",ABS(P335-Components!$C$2))</f>
        <v/>
      </c>
      <c r="R335" s="72" t="str">
        <f>IF(G335="","",ABS(P335-Components!$C$3))</f>
        <v/>
      </c>
      <c r="S335" s="72" t="str">
        <f>IF(G335="","",ABS(P335-Components!$C$4))</f>
        <v/>
      </c>
      <c r="T335" s="72" t="str">
        <f>IF(G335="","",ABS(P335-Components!$C$5))</f>
        <v/>
      </c>
      <c r="U335" s="72" t="str">
        <f>IF(G335="","",ABS(P335-Components!$C$6))</f>
        <v/>
      </c>
      <c r="V335" s="72" t="str">
        <f>IF(G335="","",ABS(P335-Components!$C$7))</f>
        <v/>
      </c>
      <c r="W335" s="7" t="str">
        <f>IF(G335="","",IF(N335="OK","NONE",INDEX({"S1","S2","W1","W2","N1","N2"},MATCH(MIN(Q335:V335),Q335:V335,0))))</f>
        <v/>
      </c>
      <c r="X335" s="80" t="str">
        <f t="shared" si="35"/>
        <v/>
      </c>
    </row>
    <row r="336" spans="1:24">
      <c r="A336" s="49">
        <v>334</v>
      </c>
      <c r="B336" s="74"/>
      <c r="C336" s="75"/>
      <c r="D336" s="75"/>
      <c r="E336" s="75"/>
      <c r="F336" s="75"/>
      <c r="G336" s="76"/>
      <c r="H336" s="77"/>
      <c r="I336" s="78"/>
      <c r="J336" s="70" t="e">
        <f>VLOOKUP(C336,Recipes!$A$2:$N$4,10,FALSE())</f>
        <v>#N/A</v>
      </c>
      <c r="K336" s="70" t="e">
        <f>VLOOKUP(C336,Recipes!$A$2:$N$4,12,FALSE())</f>
        <v>#N/A</v>
      </c>
      <c r="L336" s="71" t="e">
        <f t="shared" si="30"/>
        <v>#N/A</v>
      </c>
      <c r="M336" s="71" t="e">
        <f t="shared" si="31"/>
        <v>#N/A</v>
      </c>
      <c r="N336" s="7" t="str">
        <f t="shared" si="32"/>
        <v/>
      </c>
      <c r="O336" s="79" t="str">
        <f t="shared" si="33"/>
        <v/>
      </c>
      <c r="P336" s="71" t="str">
        <f t="shared" si="34"/>
        <v/>
      </c>
      <c r="Q336" s="72" t="str">
        <f>IF(G336="","",ABS(P336-Components!$C$2))</f>
        <v/>
      </c>
      <c r="R336" s="72" t="str">
        <f>IF(G336="","",ABS(P336-Components!$C$3))</f>
        <v/>
      </c>
      <c r="S336" s="72" t="str">
        <f>IF(G336="","",ABS(P336-Components!$C$4))</f>
        <v/>
      </c>
      <c r="T336" s="72" t="str">
        <f>IF(G336="","",ABS(P336-Components!$C$5))</f>
        <v/>
      </c>
      <c r="U336" s="72" t="str">
        <f>IF(G336="","",ABS(P336-Components!$C$6))</f>
        <v/>
      </c>
      <c r="V336" s="72" t="str">
        <f>IF(G336="","",ABS(P336-Components!$C$7))</f>
        <v/>
      </c>
      <c r="W336" s="7" t="str">
        <f>IF(G336="","",IF(N336="OK","NONE",INDEX({"S1","S2","W1","W2","N1","N2"},MATCH(MIN(Q336:V336),Q336:V336,0))))</f>
        <v/>
      </c>
      <c r="X336" s="80" t="str">
        <f t="shared" si="35"/>
        <v/>
      </c>
    </row>
    <row r="337" spans="1:24">
      <c r="A337" s="49">
        <v>335</v>
      </c>
      <c r="B337" s="74"/>
      <c r="C337" s="75"/>
      <c r="D337" s="75"/>
      <c r="E337" s="75"/>
      <c r="F337" s="75"/>
      <c r="G337" s="76"/>
      <c r="H337" s="77"/>
      <c r="I337" s="78"/>
      <c r="J337" s="70" t="e">
        <f>VLOOKUP(C337,Recipes!$A$2:$N$4,10,FALSE())</f>
        <v>#N/A</v>
      </c>
      <c r="K337" s="70" t="e">
        <f>VLOOKUP(C337,Recipes!$A$2:$N$4,12,FALSE())</f>
        <v>#N/A</v>
      </c>
      <c r="L337" s="71" t="e">
        <f t="shared" si="30"/>
        <v>#N/A</v>
      </c>
      <c r="M337" s="71" t="e">
        <f t="shared" si="31"/>
        <v>#N/A</v>
      </c>
      <c r="N337" s="7" t="str">
        <f t="shared" si="32"/>
        <v/>
      </c>
      <c r="O337" s="79" t="str">
        <f t="shared" si="33"/>
        <v/>
      </c>
      <c r="P337" s="71" t="str">
        <f t="shared" si="34"/>
        <v/>
      </c>
      <c r="Q337" s="72" t="str">
        <f>IF(G337="","",ABS(P337-Components!$C$2))</f>
        <v/>
      </c>
      <c r="R337" s="72" t="str">
        <f>IF(G337="","",ABS(P337-Components!$C$3))</f>
        <v/>
      </c>
      <c r="S337" s="72" t="str">
        <f>IF(G337="","",ABS(P337-Components!$C$4))</f>
        <v/>
      </c>
      <c r="T337" s="72" t="str">
        <f>IF(G337="","",ABS(P337-Components!$C$5))</f>
        <v/>
      </c>
      <c r="U337" s="72" t="str">
        <f>IF(G337="","",ABS(P337-Components!$C$6))</f>
        <v/>
      </c>
      <c r="V337" s="72" t="str">
        <f>IF(G337="","",ABS(P337-Components!$C$7))</f>
        <v/>
      </c>
      <c r="W337" s="7" t="str">
        <f>IF(G337="","",IF(N337="OK","NONE",INDEX({"S1","S2","W1","W2","N1","N2"},MATCH(MIN(Q337:V337),Q337:V337,0))))</f>
        <v/>
      </c>
      <c r="X337" s="80" t="str">
        <f t="shared" si="35"/>
        <v/>
      </c>
    </row>
    <row r="338" spans="1:24">
      <c r="A338" s="49">
        <v>336</v>
      </c>
      <c r="B338" s="74"/>
      <c r="C338" s="75"/>
      <c r="D338" s="75"/>
      <c r="E338" s="75"/>
      <c r="F338" s="75"/>
      <c r="G338" s="76"/>
      <c r="H338" s="77"/>
      <c r="I338" s="78"/>
      <c r="J338" s="70" t="e">
        <f>VLOOKUP(C338,Recipes!$A$2:$N$4,10,FALSE())</f>
        <v>#N/A</v>
      </c>
      <c r="K338" s="70" t="e">
        <f>VLOOKUP(C338,Recipes!$A$2:$N$4,12,FALSE())</f>
        <v>#N/A</v>
      </c>
      <c r="L338" s="71" t="e">
        <f t="shared" si="30"/>
        <v>#N/A</v>
      </c>
      <c r="M338" s="71" t="e">
        <f t="shared" si="31"/>
        <v>#N/A</v>
      </c>
      <c r="N338" s="7" t="str">
        <f t="shared" si="32"/>
        <v/>
      </c>
      <c r="O338" s="79" t="str">
        <f t="shared" si="33"/>
        <v/>
      </c>
      <c r="P338" s="71" t="str">
        <f t="shared" si="34"/>
        <v/>
      </c>
      <c r="Q338" s="72" t="str">
        <f>IF(G338="","",ABS(P338-Components!$C$2))</f>
        <v/>
      </c>
      <c r="R338" s="72" t="str">
        <f>IF(G338="","",ABS(P338-Components!$C$3))</f>
        <v/>
      </c>
      <c r="S338" s="72" t="str">
        <f>IF(G338="","",ABS(P338-Components!$C$4))</f>
        <v/>
      </c>
      <c r="T338" s="72" t="str">
        <f>IF(G338="","",ABS(P338-Components!$C$5))</f>
        <v/>
      </c>
      <c r="U338" s="72" t="str">
        <f>IF(G338="","",ABS(P338-Components!$C$6))</f>
        <v/>
      </c>
      <c r="V338" s="72" t="str">
        <f>IF(G338="","",ABS(P338-Components!$C$7))</f>
        <v/>
      </c>
      <c r="W338" s="7" t="str">
        <f>IF(G338="","",IF(N338="OK","NONE",INDEX({"S1","S2","W1","W2","N1","N2"},MATCH(MIN(Q338:V338),Q338:V338,0))))</f>
        <v/>
      </c>
      <c r="X338" s="80" t="str">
        <f t="shared" si="35"/>
        <v/>
      </c>
    </row>
    <row r="339" spans="1:24">
      <c r="A339" s="49">
        <v>337</v>
      </c>
      <c r="B339" s="74"/>
      <c r="C339" s="75"/>
      <c r="D339" s="75"/>
      <c r="E339" s="75"/>
      <c r="F339" s="75"/>
      <c r="G339" s="76"/>
      <c r="H339" s="77"/>
      <c r="I339" s="78"/>
      <c r="J339" s="70" t="e">
        <f>VLOOKUP(C339,Recipes!$A$2:$N$4,10,FALSE())</f>
        <v>#N/A</v>
      </c>
      <c r="K339" s="70" t="e">
        <f>VLOOKUP(C339,Recipes!$A$2:$N$4,12,FALSE())</f>
        <v>#N/A</v>
      </c>
      <c r="L339" s="71" t="e">
        <f t="shared" si="30"/>
        <v>#N/A</v>
      </c>
      <c r="M339" s="71" t="e">
        <f t="shared" si="31"/>
        <v>#N/A</v>
      </c>
      <c r="N339" s="7" t="str">
        <f t="shared" si="32"/>
        <v/>
      </c>
      <c r="O339" s="79" t="str">
        <f t="shared" si="33"/>
        <v/>
      </c>
      <c r="P339" s="71" t="str">
        <f t="shared" si="34"/>
        <v/>
      </c>
      <c r="Q339" s="72" t="str">
        <f>IF(G339="","",ABS(P339-Components!$C$2))</f>
        <v/>
      </c>
      <c r="R339" s="72" t="str">
        <f>IF(G339="","",ABS(P339-Components!$C$3))</f>
        <v/>
      </c>
      <c r="S339" s="72" t="str">
        <f>IF(G339="","",ABS(P339-Components!$C$4))</f>
        <v/>
      </c>
      <c r="T339" s="72" t="str">
        <f>IF(G339="","",ABS(P339-Components!$C$5))</f>
        <v/>
      </c>
      <c r="U339" s="72" t="str">
        <f>IF(G339="","",ABS(P339-Components!$C$6))</f>
        <v/>
      </c>
      <c r="V339" s="72" t="str">
        <f>IF(G339="","",ABS(P339-Components!$C$7))</f>
        <v/>
      </c>
      <c r="W339" s="7" t="str">
        <f>IF(G339="","",IF(N339="OK","NONE",INDEX({"S1","S2","W1","W2","N1","N2"},MATCH(MIN(Q339:V339),Q339:V339,0))))</f>
        <v/>
      </c>
      <c r="X339" s="80" t="str">
        <f t="shared" si="35"/>
        <v/>
      </c>
    </row>
    <row r="340" spans="1:24">
      <c r="A340" s="49">
        <v>338</v>
      </c>
      <c r="B340" s="74"/>
      <c r="C340" s="75"/>
      <c r="D340" s="75"/>
      <c r="E340" s="75"/>
      <c r="F340" s="75"/>
      <c r="G340" s="76"/>
      <c r="H340" s="77"/>
      <c r="I340" s="78"/>
      <c r="J340" s="70" t="e">
        <f>VLOOKUP(C340,Recipes!$A$2:$N$4,10,FALSE())</f>
        <v>#N/A</v>
      </c>
      <c r="K340" s="70" t="e">
        <f>VLOOKUP(C340,Recipes!$A$2:$N$4,12,FALSE())</f>
        <v>#N/A</v>
      </c>
      <c r="L340" s="71" t="e">
        <f t="shared" si="30"/>
        <v>#N/A</v>
      </c>
      <c r="M340" s="71" t="e">
        <f t="shared" si="31"/>
        <v>#N/A</v>
      </c>
      <c r="N340" s="7" t="str">
        <f t="shared" si="32"/>
        <v/>
      </c>
      <c r="O340" s="79" t="str">
        <f t="shared" si="33"/>
        <v/>
      </c>
      <c r="P340" s="71" t="str">
        <f t="shared" si="34"/>
        <v/>
      </c>
      <c r="Q340" s="72" t="str">
        <f>IF(G340="","",ABS(P340-Components!$C$2))</f>
        <v/>
      </c>
      <c r="R340" s="72" t="str">
        <f>IF(G340="","",ABS(P340-Components!$C$3))</f>
        <v/>
      </c>
      <c r="S340" s="72" t="str">
        <f>IF(G340="","",ABS(P340-Components!$C$4))</f>
        <v/>
      </c>
      <c r="T340" s="72" t="str">
        <f>IF(G340="","",ABS(P340-Components!$C$5))</f>
        <v/>
      </c>
      <c r="U340" s="72" t="str">
        <f>IF(G340="","",ABS(P340-Components!$C$6))</f>
        <v/>
      </c>
      <c r="V340" s="72" t="str">
        <f>IF(G340="","",ABS(P340-Components!$C$7))</f>
        <v/>
      </c>
      <c r="W340" s="7" t="str">
        <f>IF(G340="","",IF(N340="OK","NONE",INDEX({"S1","S2","W1","W2","N1","N2"},MATCH(MIN(Q340:V340),Q340:V340,0))))</f>
        <v/>
      </c>
      <c r="X340" s="80" t="str">
        <f t="shared" si="35"/>
        <v/>
      </c>
    </row>
    <row r="341" spans="1:24">
      <c r="A341" s="49">
        <v>339</v>
      </c>
      <c r="B341" s="74"/>
      <c r="C341" s="75"/>
      <c r="D341" s="75"/>
      <c r="E341" s="75"/>
      <c r="F341" s="75"/>
      <c r="G341" s="76"/>
      <c r="H341" s="77"/>
      <c r="I341" s="78"/>
      <c r="J341" s="70" t="e">
        <f>VLOOKUP(C341,Recipes!$A$2:$N$4,10,FALSE())</f>
        <v>#N/A</v>
      </c>
      <c r="K341" s="70" t="e">
        <f>VLOOKUP(C341,Recipes!$A$2:$N$4,12,FALSE())</f>
        <v>#N/A</v>
      </c>
      <c r="L341" s="71" t="e">
        <f t="shared" si="30"/>
        <v>#N/A</v>
      </c>
      <c r="M341" s="71" t="e">
        <f t="shared" si="31"/>
        <v>#N/A</v>
      </c>
      <c r="N341" s="7" t="str">
        <f t="shared" si="32"/>
        <v/>
      </c>
      <c r="O341" s="79" t="str">
        <f t="shared" si="33"/>
        <v/>
      </c>
      <c r="P341" s="71" t="str">
        <f t="shared" si="34"/>
        <v/>
      </c>
      <c r="Q341" s="72" t="str">
        <f>IF(G341="","",ABS(P341-Components!$C$2))</f>
        <v/>
      </c>
      <c r="R341" s="72" t="str">
        <f>IF(G341="","",ABS(P341-Components!$C$3))</f>
        <v/>
      </c>
      <c r="S341" s="72" t="str">
        <f>IF(G341="","",ABS(P341-Components!$C$4))</f>
        <v/>
      </c>
      <c r="T341" s="72" t="str">
        <f>IF(G341="","",ABS(P341-Components!$C$5))</f>
        <v/>
      </c>
      <c r="U341" s="72" t="str">
        <f>IF(G341="","",ABS(P341-Components!$C$6))</f>
        <v/>
      </c>
      <c r="V341" s="72" t="str">
        <f>IF(G341="","",ABS(P341-Components!$C$7))</f>
        <v/>
      </c>
      <c r="W341" s="7" t="str">
        <f>IF(G341="","",IF(N341="OK","NONE",INDEX({"S1","S2","W1","W2","N1","N2"},MATCH(MIN(Q341:V341),Q341:V341,0))))</f>
        <v/>
      </c>
      <c r="X341" s="80" t="str">
        <f t="shared" si="35"/>
        <v/>
      </c>
    </row>
    <row r="342" spans="1:24">
      <c r="A342" s="49">
        <v>340</v>
      </c>
      <c r="B342" s="74"/>
      <c r="C342" s="75"/>
      <c r="D342" s="75"/>
      <c r="E342" s="75"/>
      <c r="F342" s="75"/>
      <c r="G342" s="76"/>
      <c r="H342" s="77"/>
      <c r="I342" s="78"/>
      <c r="J342" s="70" t="e">
        <f>VLOOKUP(C342,Recipes!$A$2:$N$4,10,FALSE())</f>
        <v>#N/A</v>
      </c>
      <c r="K342" s="70" t="e">
        <f>VLOOKUP(C342,Recipes!$A$2:$N$4,12,FALSE())</f>
        <v>#N/A</v>
      </c>
      <c r="L342" s="71" t="e">
        <f t="shared" si="30"/>
        <v>#N/A</v>
      </c>
      <c r="M342" s="71" t="e">
        <f t="shared" si="31"/>
        <v>#N/A</v>
      </c>
      <c r="N342" s="7" t="str">
        <f t="shared" si="32"/>
        <v/>
      </c>
      <c r="O342" s="79" t="str">
        <f t="shared" si="33"/>
        <v/>
      </c>
      <c r="P342" s="71" t="str">
        <f t="shared" si="34"/>
        <v/>
      </c>
      <c r="Q342" s="72" t="str">
        <f>IF(G342="","",ABS(P342-Components!$C$2))</f>
        <v/>
      </c>
      <c r="R342" s="72" t="str">
        <f>IF(G342="","",ABS(P342-Components!$C$3))</f>
        <v/>
      </c>
      <c r="S342" s="72" t="str">
        <f>IF(G342="","",ABS(P342-Components!$C$4))</f>
        <v/>
      </c>
      <c r="T342" s="72" t="str">
        <f>IF(G342="","",ABS(P342-Components!$C$5))</f>
        <v/>
      </c>
      <c r="U342" s="72" t="str">
        <f>IF(G342="","",ABS(P342-Components!$C$6))</f>
        <v/>
      </c>
      <c r="V342" s="72" t="str">
        <f>IF(G342="","",ABS(P342-Components!$C$7))</f>
        <v/>
      </c>
      <c r="W342" s="7" t="str">
        <f>IF(G342="","",IF(N342="OK","NONE",INDEX({"S1","S2","W1","W2","N1","N2"},MATCH(MIN(Q342:V342),Q342:V342,0))))</f>
        <v/>
      </c>
      <c r="X342" s="80" t="str">
        <f t="shared" si="35"/>
        <v/>
      </c>
    </row>
    <row r="343" spans="1:24">
      <c r="A343" s="49">
        <v>341</v>
      </c>
      <c r="B343" s="74"/>
      <c r="C343" s="75"/>
      <c r="D343" s="75"/>
      <c r="E343" s="75"/>
      <c r="F343" s="75"/>
      <c r="G343" s="76"/>
      <c r="H343" s="77"/>
      <c r="I343" s="78"/>
      <c r="J343" s="70" t="e">
        <f>VLOOKUP(C343,Recipes!$A$2:$N$4,10,FALSE())</f>
        <v>#N/A</v>
      </c>
      <c r="K343" s="70" t="e">
        <f>VLOOKUP(C343,Recipes!$A$2:$N$4,12,FALSE())</f>
        <v>#N/A</v>
      </c>
      <c r="L343" s="71" t="e">
        <f t="shared" si="30"/>
        <v>#N/A</v>
      </c>
      <c r="M343" s="71" t="e">
        <f t="shared" si="31"/>
        <v>#N/A</v>
      </c>
      <c r="N343" s="7" t="str">
        <f t="shared" si="32"/>
        <v/>
      </c>
      <c r="O343" s="79" t="str">
        <f t="shared" si="33"/>
        <v/>
      </c>
      <c r="P343" s="71" t="str">
        <f t="shared" si="34"/>
        <v/>
      </c>
      <c r="Q343" s="72" t="str">
        <f>IF(G343="","",ABS(P343-Components!$C$2))</f>
        <v/>
      </c>
      <c r="R343" s="72" t="str">
        <f>IF(G343="","",ABS(P343-Components!$C$3))</f>
        <v/>
      </c>
      <c r="S343" s="72" t="str">
        <f>IF(G343="","",ABS(P343-Components!$C$4))</f>
        <v/>
      </c>
      <c r="T343" s="72" t="str">
        <f>IF(G343="","",ABS(P343-Components!$C$5))</f>
        <v/>
      </c>
      <c r="U343" s="72" t="str">
        <f>IF(G343="","",ABS(P343-Components!$C$6))</f>
        <v/>
      </c>
      <c r="V343" s="72" t="str">
        <f>IF(G343="","",ABS(P343-Components!$C$7))</f>
        <v/>
      </c>
      <c r="W343" s="7" t="str">
        <f>IF(G343="","",IF(N343="OK","NONE",INDEX({"S1","S2","W1","W2","N1","N2"},MATCH(MIN(Q343:V343),Q343:V343,0))))</f>
        <v/>
      </c>
      <c r="X343" s="80" t="str">
        <f t="shared" si="35"/>
        <v/>
      </c>
    </row>
    <row r="344" spans="1:24">
      <c r="A344" s="49">
        <v>342</v>
      </c>
      <c r="B344" s="74"/>
      <c r="C344" s="75"/>
      <c r="D344" s="75"/>
      <c r="E344" s="75"/>
      <c r="F344" s="75"/>
      <c r="G344" s="76"/>
      <c r="H344" s="77"/>
      <c r="I344" s="78"/>
      <c r="J344" s="70" t="e">
        <f>VLOOKUP(C344,Recipes!$A$2:$N$4,10,FALSE())</f>
        <v>#N/A</v>
      </c>
      <c r="K344" s="70" t="e">
        <f>VLOOKUP(C344,Recipes!$A$2:$N$4,12,FALSE())</f>
        <v>#N/A</v>
      </c>
      <c r="L344" s="71" t="e">
        <f t="shared" si="30"/>
        <v>#N/A</v>
      </c>
      <c r="M344" s="71" t="e">
        <f t="shared" si="31"/>
        <v>#N/A</v>
      </c>
      <c r="N344" s="7" t="str">
        <f t="shared" si="32"/>
        <v/>
      </c>
      <c r="O344" s="79" t="str">
        <f t="shared" si="33"/>
        <v/>
      </c>
      <c r="P344" s="71" t="str">
        <f t="shared" si="34"/>
        <v/>
      </c>
      <c r="Q344" s="72" t="str">
        <f>IF(G344="","",ABS(P344-Components!$C$2))</f>
        <v/>
      </c>
      <c r="R344" s="72" t="str">
        <f>IF(G344="","",ABS(P344-Components!$C$3))</f>
        <v/>
      </c>
      <c r="S344" s="72" t="str">
        <f>IF(G344="","",ABS(P344-Components!$C$4))</f>
        <v/>
      </c>
      <c r="T344" s="72" t="str">
        <f>IF(G344="","",ABS(P344-Components!$C$5))</f>
        <v/>
      </c>
      <c r="U344" s="72" t="str">
        <f>IF(G344="","",ABS(P344-Components!$C$6))</f>
        <v/>
      </c>
      <c r="V344" s="72" t="str">
        <f>IF(G344="","",ABS(P344-Components!$C$7))</f>
        <v/>
      </c>
      <c r="W344" s="7" t="str">
        <f>IF(G344="","",IF(N344="OK","NONE",INDEX({"S1","S2","W1","W2","N1","N2"},MATCH(MIN(Q344:V344),Q344:V344,0))))</f>
        <v/>
      </c>
      <c r="X344" s="80" t="str">
        <f t="shared" si="35"/>
        <v/>
      </c>
    </row>
    <row r="345" spans="1:24">
      <c r="A345" s="49">
        <v>343</v>
      </c>
      <c r="B345" s="74"/>
      <c r="C345" s="75"/>
      <c r="D345" s="75"/>
      <c r="E345" s="75"/>
      <c r="F345" s="75"/>
      <c r="G345" s="76"/>
      <c r="H345" s="77"/>
      <c r="I345" s="78"/>
      <c r="J345" s="70" t="e">
        <f>VLOOKUP(C345,Recipes!$A$2:$N$4,10,FALSE())</f>
        <v>#N/A</v>
      </c>
      <c r="K345" s="70" t="e">
        <f>VLOOKUP(C345,Recipes!$A$2:$N$4,12,FALSE())</f>
        <v>#N/A</v>
      </c>
      <c r="L345" s="71" t="e">
        <f t="shared" si="30"/>
        <v>#N/A</v>
      </c>
      <c r="M345" s="71" t="e">
        <f t="shared" si="31"/>
        <v>#N/A</v>
      </c>
      <c r="N345" s="7" t="str">
        <f t="shared" si="32"/>
        <v/>
      </c>
      <c r="O345" s="79" t="str">
        <f t="shared" si="33"/>
        <v/>
      </c>
      <c r="P345" s="71" t="str">
        <f t="shared" si="34"/>
        <v/>
      </c>
      <c r="Q345" s="72" t="str">
        <f>IF(G345="","",ABS(P345-Components!$C$2))</f>
        <v/>
      </c>
      <c r="R345" s="72" t="str">
        <f>IF(G345="","",ABS(P345-Components!$C$3))</f>
        <v/>
      </c>
      <c r="S345" s="72" t="str">
        <f>IF(G345="","",ABS(P345-Components!$C$4))</f>
        <v/>
      </c>
      <c r="T345" s="72" t="str">
        <f>IF(G345="","",ABS(P345-Components!$C$5))</f>
        <v/>
      </c>
      <c r="U345" s="72" t="str">
        <f>IF(G345="","",ABS(P345-Components!$C$6))</f>
        <v/>
      </c>
      <c r="V345" s="72" t="str">
        <f>IF(G345="","",ABS(P345-Components!$C$7))</f>
        <v/>
      </c>
      <c r="W345" s="7" t="str">
        <f>IF(G345="","",IF(N345="OK","NONE",INDEX({"S1","S2","W1","W2","N1","N2"},MATCH(MIN(Q345:V345),Q345:V345,0))))</f>
        <v/>
      </c>
      <c r="X345" s="80" t="str">
        <f t="shared" si="35"/>
        <v/>
      </c>
    </row>
    <row r="346" spans="1:24">
      <c r="A346" s="49">
        <v>344</v>
      </c>
      <c r="B346" s="74"/>
      <c r="C346" s="75"/>
      <c r="D346" s="75"/>
      <c r="E346" s="75"/>
      <c r="F346" s="75"/>
      <c r="G346" s="76"/>
      <c r="H346" s="77"/>
      <c r="I346" s="78"/>
      <c r="J346" s="70" t="e">
        <f>VLOOKUP(C346,Recipes!$A$2:$N$4,10,FALSE())</f>
        <v>#N/A</v>
      </c>
      <c r="K346" s="70" t="e">
        <f>VLOOKUP(C346,Recipes!$A$2:$N$4,12,FALSE())</f>
        <v>#N/A</v>
      </c>
      <c r="L346" s="71" t="e">
        <f t="shared" si="30"/>
        <v>#N/A</v>
      </c>
      <c r="M346" s="71" t="e">
        <f t="shared" si="31"/>
        <v>#N/A</v>
      </c>
      <c r="N346" s="7" t="str">
        <f t="shared" si="32"/>
        <v/>
      </c>
      <c r="O346" s="79" t="str">
        <f t="shared" si="33"/>
        <v/>
      </c>
      <c r="P346" s="71" t="str">
        <f t="shared" si="34"/>
        <v/>
      </c>
      <c r="Q346" s="72" t="str">
        <f>IF(G346="","",ABS(P346-Components!$C$2))</f>
        <v/>
      </c>
      <c r="R346" s="72" t="str">
        <f>IF(G346="","",ABS(P346-Components!$C$3))</f>
        <v/>
      </c>
      <c r="S346" s="72" t="str">
        <f>IF(G346="","",ABS(P346-Components!$C$4))</f>
        <v/>
      </c>
      <c r="T346" s="72" t="str">
        <f>IF(G346="","",ABS(P346-Components!$C$5))</f>
        <v/>
      </c>
      <c r="U346" s="72" t="str">
        <f>IF(G346="","",ABS(P346-Components!$C$6))</f>
        <v/>
      </c>
      <c r="V346" s="72" t="str">
        <f>IF(G346="","",ABS(P346-Components!$C$7))</f>
        <v/>
      </c>
      <c r="W346" s="7" t="str">
        <f>IF(G346="","",IF(N346="OK","NONE",INDEX({"S1","S2","W1","W2","N1","N2"},MATCH(MIN(Q346:V346),Q346:V346,0))))</f>
        <v/>
      </c>
      <c r="X346" s="80" t="str">
        <f t="shared" si="35"/>
        <v/>
      </c>
    </row>
    <row r="347" spans="1:24">
      <c r="A347" s="49">
        <v>345</v>
      </c>
      <c r="B347" s="74"/>
      <c r="C347" s="75"/>
      <c r="D347" s="75"/>
      <c r="E347" s="75"/>
      <c r="F347" s="75"/>
      <c r="G347" s="76"/>
      <c r="H347" s="77"/>
      <c r="I347" s="78"/>
      <c r="J347" s="70" t="e">
        <f>VLOOKUP(C347,Recipes!$A$2:$N$4,10,FALSE())</f>
        <v>#N/A</v>
      </c>
      <c r="K347" s="70" t="e">
        <f>VLOOKUP(C347,Recipes!$A$2:$N$4,12,FALSE())</f>
        <v>#N/A</v>
      </c>
      <c r="L347" s="71" t="e">
        <f t="shared" si="30"/>
        <v>#N/A</v>
      </c>
      <c r="M347" s="71" t="e">
        <f t="shared" si="31"/>
        <v>#N/A</v>
      </c>
      <c r="N347" s="7" t="str">
        <f t="shared" si="32"/>
        <v/>
      </c>
      <c r="O347" s="79" t="str">
        <f t="shared" si="33"/>
        <v/>
      </c>
      <c r="P347" s="71" t="str">
        <f t="shared" si="34"/>
        <v/>
      </c>
      <c r="Q347" s="72" t="str">
        <f>IF(G347="","",ABS(P347-Components!$C$2))</f>
        <v/>
      </c>
      <c r="R347" s="72" t="str">
        <f>IF(G347="","",ABS(P347-Components!$C$3))</f>
        <v/>
      </c>
      <c r="S347" s="72" t="str">
        <f>IF(G347="","",ABS(P347-Components!$C$4))</f>
        <v/>
      </c>
      <c r="T347" s="72" t="str">
        <f>IF(G347="","",ABS(P347-Components!$C$5))</f>
        <v/>
      </c>
      <c r="U347" s="72" t="str">
        <f>IF(G347="","",ABS(P347-Components!$C$6))</f>
        <v/>
      </c>
      <c r="V347" s="72" t="str">
        <f>IF(G347="","",ABS(P347-Components!$C$7))</f>
        <v/>
      </c>
      <c r="W347" s="7" t="str">
        <f>IF(G347="","",IF(N347="OK","NONE",INDEX({"S1","S2","W1","W2","N1","N2"},MATCH(MIN(Q347:V347),Q347:V347,0))))</f>
        <v/>
      </c>
      <c r="X347" s="80" t="str">
        <f t="shared" si="35"/>
        <v/>
      </c>
    </row>
    <row r="348" spans="1:24">
      <c r="A348" s="49">
        <v>346</v>
      </c>
      <c r="B348" s="74"/>
      <c r="C348" s="75"/>
      <c r="D348" s="75"/>
      <c r="E348" s="75"/>
      <c r="F348" s="75"/>
      <c r="G348" s="76"/>
      <c r="H348" s="77"/>
      <c r="I348" s="78"/>
      <c r="J348" s="70" t="e">
        <f>VLOOKUP(C348,Recipes!$A$2:$N$4,10,FALSE())</f>
        <v>#N/A</v>
      </c>
      <c r="K348" s="70" t="e">
        <f>VLOOKUP(C348,Recipes!$A$2:$N$4,12,FALSE())</f>
        <v>#N/A</v>
      </c>
      <c r="L348" s="71" t="e">
        <f t="shared" si="30"/>
        <v>#N/A</v>
      </c>
      <c r="M348" s="71" t="e">
        <f t="shared" si="31"/>
        <v>#N/A</v>
      </c>
      <c r="N348" s="7" t="str">
        <f t="shared" si="32"/>
        <v/>
      </c>
      <c r="O348" s="79" t="str">
        <f t="shared" si="33"/>
        <v/>
      </c>
      <c r="P348" s="71" t="str">
        <f t="shared" si="34"/>
        <v/>
      </c>
      <c r="Q348" s="72" t="str">
        <f>IF(G348="","",ABS(P348-Components!$C$2))</f>
        <v/>
      </c>
      <c r="R348" s="72" t="str">
        <f>IF(G348="","",ABS(P348-Components!$C$3))</f>
        <v/>
      </c>
      <c r="S348" s="72" t="str">
        <f>IF(G348="","",ABS(P348-Components!$C$4))</f>
        <v/>
      </c>
      <c r="T348" s="72" t="str">
        <f>IF(G348="","",ABS(P348-Components!$C$5))</f>
        <v/>
      </c>
      <c r="U348" s="72" t="str">
        <f>IF(G348="","",ABS(P348-Components!$C$6))</f>
        <v/>
      </c>
      <c r="V348" s="72" t="str">
        <f>IF(G348="","",ABS(P348-Components!$C$7))</f>
        <v/>
      </c>
      <c r="W348" s="7" t="str">
        <f>IF(G348="","",IF(N348="OK","NONE",INDEX({"S1","S2","W1","W2","N1","N2"},MATCH(MIN(Q348:V348),Q348:V348,0))))</f>
        <v/>
      </c>
      <c r="X348" s="80" t="str">
        <f t="shared" si="35"/>
        <v/>
      </c>
    </row>
    <row r="349" spans="1:24">
      <c r="A349" s="49">
        <v>347</v>
      </c>
      <c r="B349" s="74"/>
      <c r="C349" s="75"/>
      <c r="D349" s="75"/>
      <c r="E349" s="75"/>
      <c r="F349" s="75"/>
      <c r="G349" s="76"/>
      <c r="H349" s="77"/>
      <c r="I349" s="78"/>
      <c r="J349" s="70" t="e">
        <f>VLOOKUP(C349,Recipes!$A$2:$N$4,10,FALSE())</f>
        <v>#N/A</v>
      </c>
      <c r="K349" s="70" t="e">
        <f>VLOOKUP(C349,Recipes!$A$2:$N$4,12,FALSE())</f>
        <v>#N/A</v>
      </c>
      <c r="L349" s="71" t="e">
        <f t="shared" si="30"/>
        <v>#N/A</v>
      </c>
      <c r="M349" s="71" t="e">
        <f t="shared" si="31"/>
        <v>#N/A</v>
      </c>
      <c r="N349" s="7" t="str">
        <f t="shared" si="32"/>
        <v/>
      </c>
      <c r="O349" s="79" t="str">
        <f t="shared" si="33"/>
        <v/>
      </c>
      <c r="P349" s="71" t="str">
        <f t="shared" si="34"/>
        <v/>
      </c>
      <c r="Q349" s="72" t="str">
        <f>IF(G349="","",ABS(P349-Components!$C$2))</f>
        <v/>
      </c>
      <c r="R349" s="72" t="str">
        <f>IF(G349="","",ABS(P349-Components!$C$3))</f>
        <v/>
      </c>
      <c r="S349" s="72" t="str">
        <f>IF(G349="","",ABS(P349-Components!$C$4))</f>
        <v/>
      </c>
      <c r="T349" s="72" t="str">
        <f>IF(G349="","",ABS(P349-Components!$C$5))</f>
        <v/>
      </c>
      <c r="U349" s="72" t="str">
        <f>IF(G349="","",ABS(P349-Components!$C$6))</f>
        <v/>
      </c>
      <c r="V349" s="72" t="str">
        <f>IF(G349="","",ABS(P349-Components!$C$7))</f>
        <v/>
      </c>
      <c r="W349" s="7" t="str">
        <f>IF(G349="","",IF(N349="OK","NONE",INDEX({"S1","S2","W1","W2","N1","N2"},MATCH(MIN(Q349:V349),Q349:V349,0))))</f>
        <v/>
      </c>
      <c r="X349" s="80" t="str">
        <f t="shared" si="35"/>
        <v/>
      </c>
    </row>
    <row r="350" spans="1:24">
      <c r="A350" s="49">
        <v>348</v>
      </c>
      <c r="B350" s="74"/>
      <c r="C350" s="75"/>
      <c r="D350" s="75"/>
      <c r="E350" s="75"/>
      <c r="F350" s="75"/>
      <c r="G350" s="76"/>
      <c r="H350" s="77"/>
      <c r="I350" s="78"/>
      <c r="J350" s="70" t="e">
        <f>VLOOKUP(C350,Recipes!$A$2:$N$4,10,FALSE())</f>
        <v>#N/A</v>
      </c>
      <c r="K350" s="70" t="e">
        <f>VLOOKUP(C350,Recipes!$A$2:$N$4,12,FALSE())</f>
        <v>#N/A</v>
      </c>
      <c r="L350" s="71" t="e">
        <f t="shared" si="30"/>
        <v>#N/A</v>
      </c>
      <c r="M350" s="71" t="e">
        <f t="shared" si="31"/>
        <v>#N/A</v>
      </c>
      <c r="N350" s="7" t="str">
        <f t="shared" si="32"/>
        <v/>
      </c>
      <c r="O350" s="79" t="str">
        <f t="shared" si="33"/>
        <v/>
      </c>
      <c r="P350" s="71" t="str">
        <f t="shared" si="34"/>
        <v/>
      </c>
      <c r="Q350" s="72" t="str">
        <f>IF(G350="","",ABS(P350-Components!$C$2))</f>
        <v/>
      </c>
      <c r="R350" s="72" t="str">
        <f>IF(G350="","",ABS(P350-Components!$C$3))</f>
        <v/>
      </c>
      <c r="S350" s="72" t="str">
        <f>IF(G350="","",ABS(P350-Components!$C$4))</f>
        <v/>
      </c>
      <c r="T350" s="72" t="str">
        <f>IF(G350="","",ABS(P350-Components!$C$5))</f>
        <v/>
      </c>
      <c r="U350" s="72" t="str">
        <f>IF(G350="","",ABS(P350-Components!$C$6))</f>
        <v/>
      </c>
      <c r="V350" s="72" t="str">
        <f>IF(G350="","",ABS(P350-Components!$C$7))</f>
        <v/>
      </c>
      <c r="W350" s="7" t="str">
        <f>IF(G350="","",IF(N350="OK","NONE",INDEX({"S1","S2","W1","W2","N1","N2"},MATCH(MIN(Q350:V350),Q350:V350,0))))</f>
        <v/>
      </c>
      <c r="X350" s="80" t="str">
        <f t="shared" si="35"/>
        <v/>
      </c>
    </row>
    <row r="351" spans="1:24">
      <c r="A351" s="49">
        <v>349</v>
      </c>
      <c r="B351" s="74"/>
      <c r="C351" s="75"/>
      <c r="D351" s="75"/>
      <c r="E351" s="75"/>
      <c r="F351" s="75"/>
      <c r="G351" s="76"/>
      <c r="H351" s="77"/>
      <c r="I351" s="78"/>
      <c r="J351" s="70" t="e">
        <f>VLOOKUP(C351,Recipes!$A$2:$N$4,10,FALSE())</f>
        <v>#N/A</v>
      </c>
      <c r="K351" s="70" t="e">
        <f>VLOOKUP(C351,Recipes!$A$2:$N$4,12,FALSE())</f>
        <v>#N/A</v>
      </c>
      <c r="L351" s="71" t="e">
        <f t="shared" si="30"/>
        <v>#N/A</v>
      </c>
      <c r="M351" s="71" t="e">
        <f t="shared" si="31"/>
        <v>#N/A</v>
      </c>
      <c r="N351" s="7" t="str">
        <f t="shared" si="32"/>
        <v/>
      </c>
      <c r="O351" s="79" t="str">
        <f t="shared" si="33"/>
        <v/>
      </c>
      <c r="P351" s="71" t="str">
        <f t="shared" si="34"/>
        <v/>
      </c>
      <c r="Q351" s="72" t="str">
        <f>IF(G351="","",ABS(P351-Components!$C$2))</f>
        <v/>
      </c>
      <c r="R351" s="72" t="str">
        <f>IF(G351="","",ABS(P351-Components!$C$3))</f>
        <v/>
      </c>
      <c r="S351" s="72" t="str">
        <f>IF(G351="","",ABS(P351-Components!$C$4))</f>
        <v/>
      </c>
      <c r="T351" s="72" t="str">
        <f>IF(G351="","",ABS(P351-Components!$C$5))</f>
        <v/>
      </c>
      <c r="U351" s="72" t="str">
        <f>IF(G351="","",ABS(P351-Components!$C$6))</f>
        <v/>
      </c>
      <c r="V351" s="72" t="str">
        <f>IF(G351="","",ABS(P351-Components!$C$7))</f>
        <v/>
      </c>
      <c r="W351" s="7" t="str">
        <f>IF(G351="","",IF(N351="OK","NONE",INDEX({"S1","S2","W1","W2","N1","N2"},MATCH(MIN(Q351:V351),Q351:V351,0))))</f>
        <v/>
      </c>
      <c r="X351" s="80" t="str">
        <f t="shared" si="35"/>
        <v/>
      </c>
    </row>
    <row r="352" spans="1:24">
      <c r="A352" s="49">
        <v>350</v>
      </c>
      <c r="B352" s="74"/>
      <c r="C352" s="75"/>
      <c r="D352" s="75"/>
      <c r="E352" s="75"/>
      <c r="F352" s="75"/>
      <c r="G352" s="76"/>
      <c r="H352" s="77"/>
      <c r="I352" s="78"/>
      <c r="J352" s="70" t="e">
        <f>VLOOKUP(C352,Recipes!$A$2:$N$4,10,FALSE())</f>
        <v>#N/A</v>
      </c>
      <c r="K352" s="70" t="e">
        <f>VLOOKUP(C352,Recipes!$A$2:$N$4,12,FALSE())</f>
        <v>#N/A</v>
      </c>
      <c r="L352" s="71" t="e">
        <f t="shared" si="30"/>
        <v>#N/A</v>
      </c>
      <c r="M352" s="71" t="e">
        <f t="shared" si="31"/>
        <v>#N/A</v>
      </c>
      <c r="N352" s="7" t="str">
        <f t="shared" si="32"/>
        <v/>
      </c>
      <c r="O352" s="79" t="str">
        <f t="shared" si="33"/>
        <v/>
      </c>
      <c r="P352" s="71" t="str">
        <f t="shared" si="34"/>
        <v/>
      </c>
      <c r="Q352" s="72" t="str">
        <f>IF(G352="","",ABS(P352-Components!$C$2))</f>
        <v/>
      </c>
      <c r="R352" s="72" t="str">
        <f>IF(G352="","",ABS(P352-Components!$C$3))</f>
        <v/>
      </c>
      <c r="S352" s="72" t="str">
        <f>IF(G352="","",ABS(P352-Components!$C$4))</f>
        <v/>
      </c>
      <c r="T352" s="72" t="str">
        <f>IF(G352="","",ABS(P352-Components!$C$5))</f>
        <v/>
      </c>
      <c r="U352" s="72" t="str">
        <f>IF(G352="","",ABS(P352-Components!$C$6))</f>
        <v/>
      </c>
      <c r="V352" s="72" t="str">
        <f>IF(G352="","",ABS(P352-Components!$C$7))</f>
        <v/>
      </c>
      <c r="W352" s="7" t="str">
        <f>IF(G352="","",IF(N352="OK","NONE",INDEX({"S1","S2","W1","W2","N1","N2"},MATCH(MIN(Q352:V352),Q352:V352,0))))</f>
        <v/>
      </c>
      <c r="X352" s="80" t="str">
        <f t="shared" si="35"/>
        <v/>
      </c>
    </row>
    <row r="353" spans="1:24">
      <c r="A353" s="49">
        <v>351</v>
      </c>
      <c r="B353" s="74"/>
      <c r="C353" s="75"/>
      <c r="D353" s="75"/>
      <c r="E353" s="75"/>
      <c r="F353" s="75"/>
      <c r="G353" s="76"/>
      <c r="H353" s="77"/>
      <c r="I353" s="78"/>
      <c r="J353" s="70" t="e">
        <f>VLOOKUP(C353,Recipes!$A$2:$N$4,10,FALSE())</f>
        <v>#N/A</v>
      </c>
      <c r="K353" s="70" t="e">
        <f>VLOOKUP(C353,Recipes!$A$2:$N$4,12,FALSE())</f>
        <v>#N/A</v>
      </c>
      <c r="L353" s="71" t="e">
        <f t="shared" si="30"/>
        <v>#N/A</v>
      </c>
      <c r="M353" s="71" t="e">
        <f t="shared" si="31"/>
        <v>#N/A</v>
      </c>
      <c r="N353" s="7" t="str">
        <f t="shared" si="32"/>
        <v/>
      </c>
      <c r="O353" s="79" t="str">
        <f t="shared" si="33"/>
        <v/>
      </c>
      <c r="P353" s="71" t="str">
        <f t="shared" si="34"/>
        <v/>
      </c>
      <c r="Q353" s="72" t="str">
        <f>IF(G353="","",ABS(P353-Components!$C$2))</f>
        <v/>
      </c>
      <c r="R353" s="72" t="str">
        <f>IF(G353="","",ABS(P353-Components!$C$3))</f>
        <v/>
      </c>
      <c r="S353" s="72" t="str">
        <f>IF(G353="","",ABS(P353-Components!$C$4))</f>
        <v/>
      </c>
      <c r="T353" s="72" t="str">
        <f>IF(G353="","",ABS(P353-Components!$C$5))</f>
        <v/>
      </c>
      <c r="U353" s="72" t="str">
        <f>IF(G353="","",ABS(P353-Components!$C$6))</f>
        <v/>
      </c>
      <c r="V353" s="72" t="str">
        <f>IF(G353="","",ABS(P353-Components!$C$7))</f>
        <v/>
      </c>
      <c r="W353" s="7" t="str">
        <f>IF(G353="","",IF(N353="OK","NONE",INDEX({"S1","S2","W1","W2","N1","N2"},MATCH(MIN(Q353:V353),Q353:V353,0))))</f>
        <v/>
      </c>
      <c r="X353" s="80" t="str">
        <f t="shared" si="35"/>
        <v/>
      </c>
    </row>
    <row r="354" spans="1:24">
      <c r="A354" s="49">
        <v>352</v>
      </c>
      <c r="B354" s="74"/>
      <c r="C354" s="75"/>
      <c r="D354" s="75"/>
      <c r="E354" s="75"/>
      <c r="F354" s="75"/>
      <c r="G354" s="76"/>
      <c r="H354" s="77"/>
      <c r="I354" s="78"/>
      <c r="J354" s="70" t="e">
        <f>VLOOKUP(C354,Recipes!$A$2:$N$4,10,FALSE())</f>
        <v>#N/A</v>
      </c>
      <c r="K354" s="70" t="e">
        <f>VLOOKUP(C354,Recipes!$A$2:$N$4,12,FALSE())</f>
        <v>#N/A</v>
      </c>
      <c r="L354" s="71" t="e">
        <f t="shared" si="30"/>
        <v>#N/A</v>
      </c>
      <c r="M354" s="71" t="e">
        <f t="shared" si="31"/>
        <v>#N/A</v>
      </c>
      <c r="N354" s="7" t="str">
        <f t="shared" si="32"/>
        <v/>
      </c>
      <c r="O354" s="79" t="str">
        <f t="shared" si="33"/>
        <v/>
      </c>
      <c r="P354" s="71" t="str">
        <f t="shared" si="34"/>
        <v/>
      </c>
      <c r="Q354" s="72" t="str">
        <f>IF(G354="","",ABS(P354-Components!$C$2))</f>
        <v/>
      </c>
      <c r="R354" s="72" t="str">
        <f>IF(G354="","",ABS(P354-Components!$C$3))</f>
        <v/>
      </c>
      <c r="S354" s="72" t="str">
        <f>IF(G354="","",ABS(P354-Components!$C$4))</f>
        <v/>
      </c>
      <c r="T354" s="72" t="str">
        <f>IF(G354="","",ABS(P354-Components!$C$5))</f>
        <v/>
      </c>
      <c r="U354" s="72" t="str">
        <f>IF(G354="","",ABS(P354-Components!$C$6))</f>
        <v/>
      </c>
      <c r="V354" s="72" t="str">
        <f>IF(G354="","",ABS(P354-Components!$C$7))</f>
        <v/>
      </c>
      <c r="W354" s="7" t="str">
        <f>IF(G354="","",IF(N354="OK","NONE",INDEX({"S1","S2","W1","W2","N1","N2"},MATCH(MIN(Q354:V354),Q354:V354,0))))</f>
        <v/>
      </c>
      <c r="X354" s="80" t="str">
        <f t="shared" si="35"/>
        <v/>
      </c>
    </row>
    <row r="355" spans="1:24">
      <c r="A355" s="49">
        <v>353</v>
      </c>
      <c r="B355" s="74"/>
      <c r="C355" s="75"/>
      <c r="D355" s="75"/>
      <c r="E355" s="75"/>
      <c r="F355" s="75"/>
      <c r="G355" s="76"/>
      <c r="H355" s="77"/>
      <c r="I355" s="78"/>
      <c r="J355" s="70" t="e">
        <f>VLOOKUP(C355,Recipes!$A$2:$N$4,10,FALSE())</f>
        <v>#N/A</v>
      </c>
      <c r="K355" s="70" t="e">
        <f>VLOOKUP(C355,Recipes!$A$2:$N$4,12,FALSE())</f>
        <v>#N/A</v>
      </c>
      <c r="L355" s="71" t="e">
        <f t="shared" si="30"/>
        <v>#N/A</v>
      </c>
      <c r="M355" s="71" t="e">
        <f t="shared" si="31"/>
        <v>#N/A</v>
      </c>
      <c r="N355" s="7" t="str">
        <f t="shared" si="32"/>
        <v/>
      </c>
      <c r="O355" s="79" t="str">
        <f t="shared" si="33"/>
        <v/>
      </c>
      <c r="P355" s="71" t="str">
        <f t="shared" si="34"/>
        <v/>
      </c>
      <c r="Q355" s="72" t="str">
        <f>IF(G355="","",ABS(P355-Components!$C$2))</f>
        <v/>
      </c>
      <c r="R355" s="72" t="str">
        <f>IF(G355="","",ABS(P355-Components!$C$3))</f>
        <v/>
      </c>
      <c r="S355" s="72" t="str">
        <f>IF(G355="","",ABS(P355-Components!$C$4))</f>
        <v/>
      </c>
      <c r="T355" s="72" t="str">
        <f>IF(G355="","",ABS(P355-Components!$C$5))</f>
        <v/>
      </c>
      <c r="U355" s="72" t="str">
        <f>IF(G355="","",ABS(P355-Components!$C$6))</f>
        <v/>
      </c>
      <c r="V355" s="72" t="str">
        <f>IF(G355="","",ABS(P355-Components!$C$7))</f>
        <v/>
      </c>
      <c r="W355" s="7" t="str">
        <f>IF(G355="","",IF(N355="OK","NONE",INDEX({"S1","S2","W1","W2","N1","N2"},MATCH(MIN(Q355:V355),Q355:V355,0))))</f>
        <v/>
      </c>
      <c r="X355" s="80" t="str">
        <f t="shared" si="35"/>
        <v/>
      </c>
    </row>
    <row r="356" spans="1:24">
      <c r="A356" s="49">
        <v>354</v>
      </c>
      <c r="B356" s="74"/>
      <c r="C356" s="75"/>
      <c r="D356" s="75"/>
      <c r="E356" s="75"/>
      <c r="F356" s="75"/>
      <c r="G356" s="76"/>
      <c r="H356" s="77"/>
      <c r="I356" s="78"/>
      <c r="J356" s="70" t="e">
        <f>VLOOKUP(C356,Recipes!$A$2:$N$4,10,FALSE())</f>
        <v>#N/A</v>
      </c>
      <c r="K356" s="70" t="e">
        <f>VLOOKUP(C356,Recipes!$A$2:$N$4,12,FALSE())</f>
        <v>#N/A</v>
      </c>
      <c r="L356" s="71" t="e">
        <f t="shared" si="30"/>
        <v>#N/A</v>
      </c>
      <c r="M356" s="71" t="e">
        <f t="shared" si="31"/>
        <v>#N/A</v>
      </c>
      <c r="N356" s="7" t="str">
        <f t="shared" si="32"/>
        <v/>
      </c>
      <c r="O356" s="79" t="str">
        <f t="shared" si="33"/>
        <v/>
      </c>
      <c r="P356" s="71" t="str">
        <f t="shared" si="34"/>
        <v/>
      </c>
      <c r="Q356" s="72" t="str">
        <f>IF(G356="","",ABS(P356-Components!$C$2))</f>
        <v/>
      </c>
      <c r="R356" s="72" t="str">
        <f>IF(G356="","",ABS(P356-Components!$C$3))</f>
        <v/>
      </c>
      <c r="S356" s="72" t="str">
        <f>IF(G356="","",ABS(P356-Components!$C$4))</f>
        <v/>
      </c>
      <c r="T356" s="72" t="str">
        <f>IF(G356="","",ABS(P356-Components!$C$5))</f>
        <v/>
      </c>
      <c r="U356" s="72" t="str">
        <f>IF(G356="","",ABS(P356-Components!$C$6))</f>
        <v/>
      </c>
      <c r="V356" s="72" t="str">
        <f>IF(G356="","",ABS(P356-Components!$C$7))</f>
        <v/>
      </c>
      <c r="W356" s="7" t="str">
        <f>IF(G356="","",IF(N356="OK","NONE",INDEX({"S1","S2","W1","W2","N1","N2"},MATCH(MIN(Q356:V356),Q356:V356,0))))</f>
        <v/>
      </c>
      <c r="X356" s="80" t="str">
        <f t="shared" si="35"/>
        <v/>
      </c>
    </row>
    <row r="357" spans="1:24">
      <c r="A357" s="49">
        <v>355</v>
      </c>
      <c r="B357" s="74"/>
      <c r="C357" s="75"/>
      <c r="D357" s="75"/>
      <c r="E357" s="75"/>
      <c r="F357" s="75"/>
      <c r="G357" s="76"/>
      <c r="H357" s="77"/>
      <c r="I357" s="78"/>
      <c r="J357" s="70" t="e">
        <f>VLOOKUP(C357,Recipes!$A$2:$N$4,10,FALSE())</f>
        <v>#N/A</v>
      </c>
      <c r="K357" s="70" t="e">
        <f>VLOOKUP(C357,Recipes!$A$2:$N$4,12,FALSE())</f>
        <v>#N/A</v>
      </c>
      <c r="L357" s="71" t="e">
        <f t="shared" si="30"/>
        <v>#N/A</v>
      </c>
      <c r="M357" s="71" t="e">
        <f t="shared" si="31"/>
        <v>#N/A</v>
      </c>
      <c r="N357" s="7" t="str">
        <f t="shared" si="32"/>
        <v/>
      </c>
      <c r="O357" s="79" t="str">
        <f t="shared" si="33"/>
        <v/>
      </c>
      <c r="P357" s="71" t="str">
        <f t="shared" si="34"/>
        <v/>
      </c>
      <c r="Q357" s="72" t="str">
        <f>IF(G357="","",ABS(P357-Components!$C$2))</f>
        <v/>
      </c>
      <c r="R357" s="72" t="str">
        <f>IF(G357="","",ABS(P357-Components!$C$3))</f>
        <v/>
      </c>
      <c r="S357" s="72" t="str">
        <f>IF(G357="","",ABS(P357-Components!$C$4))</f>
        <v/>
      </c>
      <c r="T357" s="72" t="str">
        <f>IF(G357="","",ABS(P357-Components!$C$5))</f>
        <v/>
      </c>
      <c r="U357" s="72" t="str">
        <f>IF(G357="","",ABS(P357-Components!$C$6))</f>
        <v/>
      </c>
      <c r="V357" s="72" t="str">
        <f>IF(G357="","",ABS(P357-Components!$C$7))</f>
        <v/>
      </c>
      <c r="W357" s="7" t="str">
        <f>IF(G357="","",IF(N357="OK","NONE",INDEX({"S1","S2","W1","W2","N1","N2"},MATCH(MIN(Q357:V357),Q357:V357,0))))</f>
        <v/>
      </c>
      <c r="X357" s="80" t="str">
        <f t="shared" si="35"/>
        <v/>
      </c>
    </row>
    <row r="358" spans="1:24">
      <c r="A358" s="49">
        <v>356</v>
      </c>
      <c r="B358" s="74"/>
      <c r="C358" s="75"/>
      <c r="D358" s="75"/>
      <c r="E358" s="75"/>
      <c r="F358" s="75"/>
      <c r="G358" s="76"/>
      <c r="H358" s="77"/>
      <c r="I358" s="78"/>
      <c r="J358" s="70" t="e">
        <f>VLOOKUP(C358,Recipes!$A$2:$N$4,10,FALSE())</f>
        <v>#N/A</v>
      </c>
      <c r="K358" s="70" t="e">
        <f>VLOOKUP(C358,Recipes!$A$2:$N$4,12,FALSE())</f>
        <v>#N/A</v>
      </c>
      <c r="L358" s="71" t="e">
        <f t="shared" si="30"/>
        <v>#N/A</v>
      </c>
      <c r="M358" s="71" t="e">
        <f t="shared" si="31"/>
        <v>#N/A</v>
      </c>
      <c r="N358" s="7" t="str">
        <f t="shared" si="32"/>
        <v/>
      </c>
      <c r="O358" s="79" t="str">
        <f t="shared" si="33"/>
        <v/>
      </c>
      <c r="P358" s="71" t="str">
        <f t="shared" si="34"/>
        <v/>
      </c>
      <c r="Q358" s="72" t="str">
        <f>IF(G358="","",ABS(P358-Components!$C$2))</f>
        <v/>
      </c>
      <c r="R358" s="72" t="str">
        <f>IF(G358="","",ABS(P358-Components!$C$3))</f>
        <v/>
      </c>
      <c r="S358" s="72" t="str">
        <f>IF(G358="","",ABS(P358-Components!$C$4))</f>
        <v/>
      </c>
      <c r="T358" s="72" t="str">
        <f>IF(G358="","",ABS(P358-Components!$C$5))</f>
        <v/>
      </c>
      <c r="U358" s="72" t="str">
        <f>IF(G358="","",ABS(P358-Components!$C$6))</f>
        <v/>
      </c>
      <c r="V358" s="72" t="str">
        <f>IF(G358="","",ABS(P358-Components!$C$7))</f>
        <v/>
      </c>
      <c r="W358" s="7" t="str">
        <f>IF(G358="","",IF(N358="OK","NONE",INDEX({"S1","S2","W1","W2","N1","N2"},MATCH(MIN(Q358:V358),Q358:V358,0))))</f>
        <v/>
      </c>
      <c r="X358" s="80" t="str">
        <f t="shared" si="35"/>
        <v/>
      </c>
    </row>
    <row r="359" spans="1:24">
      <c r="A359" s="49">
        <v>357</v>
      </c>
      <c r="B359" s="74"/>
      <c r="C359" s="75"/>
      <c r="D359" s="75"/>
      <c r="E359" s="75"/>
      <c r="F359" s="75"/>
      <c r="G359" s="76"/>
      <c r="H359" s="77"/>
      <c r="I359" s="78"/>
      <c r="J359" s="70" t="e">
        <f>VLOOKUP(C359,Recipes!$A$2:$N$4,10,FALSE())</f>
        <v>#N/A</v>
      </c>
      <c r="K359" s="70" t="e">
        <f>VLOOKUP(C359,Recipes!$A$2:$N$4,12,FALSE())</f>
        <v>#N/A</v>
      </c>
      <c r="L359" s="71" t="e">
        <f t="shared" si="30"/>
        <v>#N/A</v>
      </c>
      <c r="M359" s="71" t="e">
        <f t="shared" si="31"/>
        <v>#N/A</v>
      </c>
      <c r="N359" s="7" t="str">
        <f t="shared" si="32"/>
        <v/>
      </c>
      <c r="O359" s="79" t="str">
        <f t="shared" si="33"/>
        <v/>
      </c>
      <c r="P359" s="71" t="str">
        <f t="shared" si="34"/>
        <v/>
      </c>
      <c r="Q359" s="72" t="str">
        <f>IF(G359="","",ABS(P359-Components!$C$2))</f>
        <v/>
      </c>
      <c r="R359" s="72" t="str">
        <f>IF(G359="","",ABS(P359-Components!$C$3))</f>
        <v/>
      </c>
      <c r="S359" s="72" t="str">
        <f>IF(G359="","",ABS(P359-Components!$C$4))</f>
        <v/>
      </c>
      <c r="T359" s="72" t="str">
        <f>IF(G359="","",ABS(P359-Components!$C$5))</f>
        <v/>
      </c>
      <c r="U359" s="72" t="str">
        <f>IF(G359="","",ABS(P359-Components!$C$6))</f>
        <v/>
      </c>
      <c r="V359" s="72" t="str">
        <f>IF(G359="","",ABS(P359-Components!$C$7))</f>
        <v/>
      </c>
      <c r="W359" s="7" t="str">
        <f>IF(G359="","",IF(N359="OK","NONE",INDEX({"S1","S2","W1","W2","N1","N2"},MATCH(MIN(Q359:V359),Q359:V359,0))))</f>
        <v/>
      </c>
      <c r="X359" s="80" t="str">
        <f t="shared" si="35"/>
        <v/>
      </c>
    </row>
    <row r="360" spans="1:24">
      <c r="A360" s="49">
        <v>358</v>
      </c>
      <c r="B360" s="74"/>
      <c r="C360" s="75"/>
      <c r="D360" s="75"/>
      <c r="E360" s="75"/>
      <c r="F360" s="75"/>
      <c r="G360" s="76"/>
      <c r="H360" s="77"/>
      <c r="I360" s="78"/>
      <c r="J360" s="70" t="e">
        <f>VLOOKUP(C360,Recipes!$A$2:$N$4,10,FALSE())</f>
        <v>#N/A</v>
      </c>
      <c r="K360" s="70" t="e">
        <f>VLOOKUP(C360,Recipes!$A$2:$N$4,12,FALSE())</f>
        <v>#N/A</v>
      </c>
      <c r="L360" s="71" t="e">
        <f t="shared" si="30"/>
        <v>#N/A</v>
      </c>
      <c r="M360" s="71" t="e">
        <f t="shared" si="31"/>
        <v>#N/A</v>
      </c>
      <c r="N360" s="7" t="str">
        <f t="shared" si="32"/>
        <v/>
      </c>
      <c r="O360" s="79" t="str">
        <f t="shared" si="33"/>
        <v/>
      </c>
      <c r="P360" s="71" t="str">
        <f t="shared" si="34"/>
        <v/>
      </c>
      <c r="Q360" s="72" t="str">
        <f>IF(G360="","",ABS(P360-Components!$C$2))</f>
        <v/>
      </c>
      <c r="R360" s="72" t="str">
        <f>IF(G360="","",ABS(P360-Components!$C$3))</f>
        <v/>
      </c>
      <c r="S360" s="72" t="str">
        <f>IF(G360="","",ABS(P360-Components!$C$4))</f>
        <v/>
      </c>
      <c r="T360" s="72" t="str">
        <f>IF(G360="","",ABS(P360-Components!$C$5))</f>
        <v/>
      </c>
      <c r="U360" s="72" t="str">
        <f>IF(G360="","",ABS(P360-Components!$C$6))</f>
        <v/>
      </c>
      <c r="V360" s="72" t="str">
        <f>IF(G360="","",ABS(P360-Components!$C$7))</f>
        <v/>
      </c>
      <c r="W360" s="7" t="str">
        <f>IF(G360="","",IF(N360="OK","NONE",INDEX({"S1","S2","W1","W2","N1","N2"},MATCH(MIN(Q360:V360),Q360:V360,0))))</f>
        <v/>
      </c>
      <c r="X360" s="80" t="str">
        <f t="shared" si="35"/>
        <v/>
      </c>
    </row>
    <row r="361" spans="1:24">
      <c r="A361" s="49">
        <v>359</v>
      </c>
      <c r="B361" s="74"/>
      <c r="C361" s="75"/>
      <c r="D361" s="75"/>
      <c r="E361" s="75"/>
      <c r="F361" s="75"/>
      <c r="G361" s="76"/>
      <c r="H361" s="77"/>
      <c r="I361" s="78"/>
      <c r="J361" s="70" t="e">
        <f>VLOOKUP(C361,Recipes!$A$2:$N$4,10,FALSE())</f>
        <v>#N/A</v>
      </c>
      <c r="K361" s="70" t="e">
        <f>VLOOKUP(C361,Recipes!$A$2:$N$4,12,FALSE())</f>
        <v>#N/A</v>
      </c>
      <c r="L361" s="71" t="e">
        <f t="shared" si="30"/>
        <v>#N/A</v>
      </c>
      <c r="M361" s="71" t="e">
        <f t="shared" si="31"/>
        <v>#N/A</v>
      </c>
      <c r="N361" s="7" t="str">
        <f t="shared" si="32"/>
        <v/>
      </c>
      <c r="O361" s="79" t="str">
        <f t="shared" si="33"/>
        <v/>
      </c>
      <c r="P361" s="71" t="str">
        <f t="shared" si="34"/>
        <v/>
      </c>
      <c r="Q361" s="72" t="str">
        <f>IF(G361="","",ABS(P361-Components!$C$2))</f>
        <v/>
      </c>
      <c r="R361" s="72" t="str">
        <f>IF(G361="","",ABS(P361-Components!$C$3))</f>
        <v/>
      </c>
      <c r="S361" s="72" t="str">
        <f>IF(G361="","",ABS(P361-Components!$C$4))</f>
        <v/>
      </c>
      <c r="T361" s="72" t="str">
        <f>IF(G361="","",ABS(P361-Components!$C$5))</f>
        <v/>
      </c>
      <c r="U361" s="72" t="str">
        <f>IF(G361="","",ABS(P361-Components!$C$6))</f>
        <v/>
      </c>
      <c r="V361" s="72" t="str">
        <f>IF(G361="","",ABS(P361-Components!$C$7))</f>
        <v/>
      </c>
      <c r="W361" s="7" t="str">
        <f>IF(G361="","",IF(N361="OK","NONE",INDEX({"S1","S2","W1","W2","N1","N2"},MATCH(MIN(Q361:V361),Q361:V361,0))))</f>
        <v/>
      </c>
      <c r="X361" s="80" t="str">
        <f t="shared" si="35"/>
        <v/>
      </c>
    </row>
    <row r="362" spans="1:24">
      <c r="A362" s="49">
        <v>360</v>
      </c>
      <c r="B362" s="74"/>
      <c r="C362" s="75"/>
      <c r="D362" s="75"/>
      <c r="E362" s="75"/>
      <c r="F362" s="75"/>
      <c r="G362" s="76"/>
      <c r="H362" s="77"/>
      <c r="I362" s="78"/>
      <c r="J362" s="70" t="e">
        <f>VLOOKUP(C362,Recipes!$A$2:$N$4,10,FALSE())</f>
        <v>#N/A</v>
      </c>
      <c r="K362" s="70" t="e">
        <f>VLOOKUP(C362,Recipes!$A$2:$N$4,12,FALSE())</f>
        <v>#N/A</v>
      </c>
      <c r="L362" s="71" t="e">
        <f t="shared" si="30"/>
        <v>#N/A</v>
      </c>
      <c r="M362" s="71" t="e">
        <f t="shared" si="31"/>
        <v>#N/A</v>
      </c>
      <c r="N362" s="7" t="str">
        <f t="shared" si="32"/>
        <v/>
      </c>
      <c r="O362" s="79" t="str">
        <f t="shared" si="33"/>
        <v/>
      </c>
      <c r="P362" s="71" t="str">
        <f t="shared" si="34"/>
        <v/>
      </c>
      <c r="Q362" s="72" t="str">
        <f>IF(G362="","",ABS(P362-Components!$C$2))</f>
        <v/>
      </c>
      <c r="R362" s="72" t="str">
        <f>IF(G362="","",ABS(P362-Components!$C$3))</f>
        <v/>
      </c>
      <c r="S362" s="72" t="str">
        <f>IF(G362="","",ABS(P362-Components!$C$4))</f>
        <v/>
      </c>
      <c r="T362" s="72" t="str">
        <f>IF(G362="","",ABS(P362-Components!$C$5))</f>
        <v/>
      </c>
      <c r="U362" s="72" t="str">
        <f>IF(G362="","",ABS(P362-Components!$C$6))</f>
        <v/>
      </c>
      <c r="V362" s="72" t="str">
        <f>IF(G362="","",ABS(P362-Components!$C$7))</f>
        <v/>
      </c>
      <c r="W362" s="7" t="str">
        <f>IF(G362="","",IF(N362="OK","NONE",INDEX({"S1","S2","W1","W2","N1","N2"},MATCH(MIN(Q362:V362),Q362:V362,0))))</f>
        <v/>
      </c>
      <c r="X362" s="80" t="str">
        <f t="shared" si="35"/>
        <v/>
      </c>
    </row>
    <row r="363" spans="1:24">
      <c r="A363" s="49">
        <v>361</v>
      </c>
      <c r="B363" s="74"/>
      <c r="C363" s="75"/>
      <c r="D363" s="75"/>
      <c r="E363" s="75"/>
      <c r="F363" s="75"/>
      <c r="G363" s="76"/>
      <c r="H363" s="77"/>
      <c r="I363" s="78"/>
      <c r="J363" s="70" t="e">
        <f>VLOOKUP(C363,Recipes!$A$2:$N$4,10,FALSE())</f>
        <v>#N/A</v>
      </c>
      <c r="K363" s="70" t="e">
        <f>VLOOKUP(C363,Recipes!$A$2:$N$4,12,FALSE())</f>
        <v>#N/A</v>
      </c>
      <c r="L363" s="71" t="e">
        <f t="shared" si="30"/>
        <v>#N/A</v>
      </c>
      <c r="M363" s="71" t="e">
        <f t="shared" si="31"/>
        <v>#N/A</v>
      </c>
      <c r="N363" s="7" t="str">
        <f t="shared" si="32"/>
        <v/>
      </c>
      <c r="O363" s="79" t="str">
        <f t="shared" si="33"/>
        <v/>
      </c>
      <c r="P363" s="71" t="str">
        <f t="shared" si="34"/>
        <v/>
      </c>
      <c r="Q363" s="72" t="str">
        <f>IF(G363="","",ABS(P363-Components!$C$2))</f>
        <v/>
      </c>
      <c r="R363" s="72" t="str">
        <f>IF(G363="","",ABS(P363-Components!$C$3))</f>
        <v/>
      </c>
      <c r="S363" s="72" t="str">
        <f>IF(G363="","",ABS(P363-Components!$C$4))</f>
        <v/>
      </c>
      <c r="T363" s="72" t="str">
        <f>IF(G363="","",ABS(P363-Components!$C$5))</f>
        <v/>
      </c>
      <c r="U363" s="72" t="str">
        <f>IF(G363="","",ABS(P363-Components!$C$6))</f>
        <v/>
      </c>
      <c r="V363" s="72" t="str">
        <f>IF(G363="","",ABS(P363-Components!$C$7))</f>
        <v/>
      </c>
      <c r="W363" s="7" t="str">
        <f>IF(G363="","",IF(N363="OK","NONE",INDEX({"S1","S2","W1","W2","N1","N2"},MATCH(MIN(Q363:V363),Q363:V363,0))))</f>
        <v/>
      </c>
      <c r="X363" s="80" t="str">
        <f t="shared" si="35"/>
        <v/>
      </c>
    </row>
    <row r="364" spans="1:24">
      <c r="A364" s="49">
        <v>362</v>
      </c>
      <c r="B364" s="74"/>
      <c r="C364" s="75"/>
      <c r="D364" s="75"/>
      <c r="E364" s="75"/>
      <c r="F364" s="75"/>
      <c r="G364" s="76"/>
      <c r="H364" s="77"/>
      <c r="I364" s="78"/>
      <c r="J364" s="70" t="e">
        <f>VLOOKUP(C364,Recipes!$A$2:$N$4,10,FALSE())</f>
        <v>#N/A</v>
      </c>
      <c r="K364" s="70" t="e">
        <f>VLOOKUP(C364,Recipes!$A$2:$N$4,12,FALSE())</f>
        <v>#N/A</v>
      </c>
      <c r="L364" s="71" t="e">
        <f t="shared" si="30"/>
        <v>#N/A</v>
      </c>
      <c r="M364" s="71" t="e">
        <f t="shared" si="31"/>
        <v>#N/A</v>
      </c>
      <c r="N364" s="7" t="str">
        <f t="shared" si="32"/>
        <v/>
      </c>
      <c r="O364" s="79" t="str">
        <f t="shared" si="33"/>
        <v/>
      </c>
      <c r="P364" s="71" t="str">
        <f t="shared" si="34"/>
        <v/>
      </c>
      <c r="Q364" s="72" t="str">
        <f>IF(G364="","",ABS(P364-Components!$C$2))</f>
        <v/>
      </c>
      <c r="R364" s="72" t="str">
        <f>IF(G364="","",ABS(P364-Components!$C$3))</f>
        <v/>
      </c>
      <c r="S364" s="72" t="str">
        <f>IF(G364="","",ABS(P364-Components!$C$4))</f>
        <v/>
      </c>
      <c r="T364" s="72" t="str">
        <f>IF(G364="","",ABS(P364-Components!$C$5))</f>
        <v/>
      </c>
      <c r="U364" s="72" t="str">
        <f>IF(G364="","",ABS(P364-Components!$C$6))</f>
        <v/>
      </c>
      <c r="V364" s="72" t="str">
        <f>IF(G364="","",ABS(P364-Components!$C$7))</f>
        <v/>
      </c>
      <c r="W364" s="7" t="str">
        <f>IF(G364="","",IF(N364="OK","NONE",INDEX({"S1","S2","W1","W2","N1","N2"},MATCH(MIN(Q364:V364),Q364:V364,0))))</f>
        <v/>
      </c>
      <c r="X364" s="80" t="str">
        <f t="shared" si="35"/>
        <v/>
      </c>
    </row>
    <row r="365" spans="1:24">
      <c r="A365" s="49">
        <v>363</v>
      </c>
      <c r="B365" s="74"/>
      <c r="C365" s="75"/>
      <c r="D365" s="75"/>
      <c r="E365" s="75"/>
      <c r="F365" s="75"/>
      <c r="G365" s="76"/>
      <c r="H365" s="77"/>
      <c r="I365" s="78"/>
      <c r="J365" s="70" t="e">
        <f>VLOOKUP(C365,Recipes!$A$2:$N$4,10,FALSE())</f>
        <v>#N/A</v>
      </c>
      <c r="K365" s="70" t="e">
        <f>VLOOKUP(C365,Recipes!$A$2:$N$4,12,FALSE())</f>
        <v>#N/A</v>
      </c>
      <c r="L365" s="71" t="e">
        <f t="shared" si="30"/>
        <v>#N/A</v>
      </c>
      <c r="M365" s="71" t="e">
        <f t="shared" si="31"/>
        <v>#N/A</v>
      </c>
      <c r="N365" s="7" t="str">
        <f t="shared" si="32"/>
        <v/>
      </c>
      <c r="O365" s="79" t="str">
        <f t="shared" si="33"/>
        <v/>
      </c>
      <c r="P365" s="71" t="str">
        <f t="shared" si="34"/>
        <v/>
      </c>
      <c r="Q365" s="72" t="str">
        <f>IF(G365="","",ABS(P365-Components!$C$2))</f>
        <v/>
      </c>
      <c r="R365" s="72" t="str">
        <f>IF(G365="","",ABS(P365-Components!$C$3))</f>
        <v/>
      </c>
      <c r="S365" s="72" t="str">
        <f>IF(G365="","",ABS(P365-Components!$C$4))</f>
        <v/>
      </c>
      <c r="T365" s="72" t="str">
        <f>IF(G365="","",ABS(P365-Components!$C$5))</f>
        <v/>
      </c>
      <c r="U365" s="72" t="str">
        <f>IF(G365="","",ABS(P365-Components!$C$6))</f>
        <v/>
      </c>
      <c r="V365" s="72" t="str">
        <f>IF(G365="","",ABS(P365-Components!$C$7))</f>
        <v/>
      </c>
      <c r="W365" s="7" t="str">
        <f>IF(G365="","",IF(N365="OK","NONE",INDEX({"S1","S2","W1","W2","N1","N2"},MATCH(MIN(Q365:V365),Q365:V365,0))))</f>
        <v/>
      </c>
      <c r="X365" s="80" t="str">
        <f t="shared" si="35"/>
        <v/>
      </c>
    </row>
    <row r="366" spans="1:24">
      <c r="A366" s="49">
        <v>364</v>
      </c>
      <c r="B366" s="74"/>
      <c r="C366" s="75"/>
      <c r="D366" s="75"/>
      <c r="E366" s="75"/>
      <c r="F366" s="75"/>
      <c r="G366" s="76"/>
      <c r="H366" s="77"/>
      <c r="I366" s="78"/>
      <c r="J366" s="70" t="e">
        <f>VLOOKUP(C366,Recipes!$A$2:$N$4,10,FALSE())</f>
        <v>#N/A</v>
      </c>
      <c r="K366" s="70" t="e">
        <f>VLOOKUP(C366,Recipes!$A$2:$N$4,12,FALSE())</f>
        <v>#N/A</v>
      </c>
      <c r="L366" s="71" t="e">
        <f t="shared" si="30"/>
        <v>#N/A</v>
      </c>
      <c r="M366" s="71" t="e">
        <f t="shared" si="31"/>
        <v>#N/A</v>
      </c>
      <c r="N366" s="7" t="str">
        <f t="shared" si="32"/>
        <v/>
      </c>
      <c r="O366" s="79" t="str">
        <f t="shared" si="33"/>
        <v/>
      </c>
      <c r="P366" s="71" t="str">
        <f t="shared" si="34"/>
        <v/>
      </c>
      <c r="Q366" s="72" t="str">
        <f>IF(G366="","",ABS(P366-Components!$C$2))</f>
        <v/>
      </c>
      <c r="R366" s="72" t="str">
        <f>IF(G366="","",ABS(P366-Components!$C$3))</f>
        <v/>
      </c>
      <c r="S366" s="72" t="str">
        <f>IF(G366="","",ABS(P366-Components!$C$4))</f>
        <v/>
      </c>
      <c r="T366" s="72" t="str">
        <f>IF(G366="","",ABS(P366-Components!$C$5))</f>
        <v/>
      </c>
      <c r="U366" s="72" t="str">
        <f>IF(G366="","",ABS(P366-Components!$C$6))</f>
        <v/>
      </c>
      <c r="V366" s="72" t="str">
        <f>IF(G366="","",ABS(P366-Components!$C$7))</f>
        <v/>
      </c>
      <c r="W366" s="7" t="str">
        <f>IF(G366="","",IF(N366="OK","NONE",INDEX({"S1","S2","W1","W2","N1","N2"},MATCH(MIN(Q366:V366),Q366:V366,0))))</f>
        <v/>
      </c>
      <c r="X366" s="80" t="str">
        <f t="shared" si="35"/>
        <v/>
      </c>
    </row>
    <row r="367" spans="1:24">
      <c r="A367" s="49">
        <v>365</v>
      </c>
      <c r="B367" s="74"/>
      <c r="C367" s="75"/>
      <c r="D367" s="75"/>
      <c r="E367" s="75"/>
      <c r="F367" s="75"/>
      <c r="G367" s="76"/>
      <c r="H367" s="77"/>
      <c r="I367" s="78"/>
      <c r="J367" s="70" t="e">
        <f>VLOOKUP(C367,Recipes!$A$2:$N$4,10,FALSE())</f>
        <v>#N/A</v>
      </c>
      <c r="K367" s="70" t="e">
        <f>VLOOKUP(C367,Recipes!$A$2:$N$4,12,FALSE())</f>
        <v>#N/A</v>
      </c>
      <c r="L367" s="71" t="e">
        <f t="shared" si="30"/>
        <v>#N/A</v>
      </c>
      <c r="M367" s="71" t="e">
        <f t="shared" si="31"/>
        <v>#N/A</v>
      </c>
      <c r="N367" s="7" t="str">
        <f t="shared" si="32"/>
        <v/>
      </c>
      <c r="O367" s="79" t="str">
        <f t="shared" si="33"/>
        <v/>
      </c>
      <c r="P367" s="71" t="str">
        <f t="shared" si="34"/>
        <v/>
      </c>
      <c r="Q367" s="72" t="str">
        <f>IF(G367="","",ABS(P367-Components!$C$2))</f>
        <v/>
      </c>
      <c r="R367" s="72" t="str">
        <f>IF(G367="","",ABS(P367-Components!$C$3))</f>
        <v/>
      </c>
      <c r="S367" s="72" t="str">
        <f>IF(G367="","",ABS(P367-Components!$C$4))</f>
        <v/>
      </c>
      <c r="T367" s="72" t="str">
        <f>IF(G367="","",ABS(P367-Components!$C$5))</f>
        <v/>
      </c>
      <c r="U367" s="72" t="str">
        <f>IF(G367="","",ABS(P367-Components!$C$6))</f>
        <v/>
      </c>
      <c r="V367" s="72" t="str">
        <f>IF(G367="","",ABS(P367-Components!$C$7))</f>
        <v/>
      </c>
      <c r="W367" s="7" t="str">
        <f>IF(G367="","",IF(N367="OK","NONE",INDEX({"S1","S2","W1","W2","N1","N2"},MATCH(MIN(Q367:V367),Q367:V367,0))))</f>
        <v/>
      </c>
      <c r="X367" s="80" t="str">
        <f t="shared" si="35"/>
        <v/>
      </c>
    </row>
    <row r="368" spans="1:24">
      <c r="A368" s="49">
        <v>366</v>
      </c>
      <c r="B368" s="74"/>
      <c r="C368" s="75"/>
      <c r="D368" s="75"/>
      <c r="E368" s="75"/>
      <c r="F368" s="75"/>
      <c r="G368" s="76"/>
      <c r="H368" s="77"/>
      <c r="I368" s="78"/>
      <c r="J368" s="70" t="e">
        <f>VLOOKUP(C368,Recipes!$A$2:$N$4,10,FALSE())</f>
        <v>#N/A</v>
      </c>
      <c r="K368" s="70" t="e">
        <f>VLOOKUP(C368,Recipes!$A$2:$N$4,12,FALSE())</f>
        <v>#N/A</v>
      </c>
      <c r="L368" s="71" t="e">
        <f t="shared" si="30"/>
        <v>#N/A</v>
      </c>
      <c r="M368" s="71" t="e">
        <f t="shared" si="31"/>
        <v>#N/A</v>
      </c>
      <c r="N368" s="7" t="str">
        <f t="shared" si="32"/>
        <v/>
      </c>
      <c r="O368" s="79" t="str">
        <f t="shared" si="33"/>
        <v/>
      </c>
      <c r="P368" s="71" t="str">
        <f t="shared" si="34"/>
        <v/>
      </c>
      <c r="Q368" s="72" t="str">
        <f>IF(G368="","",ABS(P368-Components!$C$2))</f>
        <v/>
      </c>
      <c r="R368" s="72" t="str">
        <f>IF(G368="","",ABS(P368-Components!$C$3))</f>
        <v/>
      </c>
      <c r="S368" s="72" t="str">
        <f>IF(G368="","",ABS(P368-Components!$C$4))</f>
        <v/>
      </c>
      <c r="T368" s="72" t="str">
        <f>IF(G368="","",ABS(P368-Components!$C$5))</f>
        <v/>
      </c>
      <c r="U368" s="72" t="str">
        <f>IF(G368="","",ABS(P368-Components!$C$6))</f>
        <v/>
      </c>
      <c r="V368" s="72" t="str">
        <f>IF(G368="","",ABS(P368-Components!$C$7))</f>
        <v/>
      </c>
      <c r="W368" s="7" t="str">
        <f>IF(G368="","",IF(N368="OK","NONE",INDEX({"S1","S2","W1","W2","N1","N2"},MATCH(MIN(Q368:V368),Q368:V368,0))))</f>
        <v/>
      </c>
      <c r="X368" s="80" t="str">
        <f t="shared" si="35"/>
        <v/>
      </c>
    </row>
    <row r="369" spans="1:24">
      <c r="A369" s="49">
        <v>367</v>
      </c>
      <c r="B369" s="74"/>
      <c r="C369" s="75"/>
      <c r="D369" s="75"/>
      <c r="E369" s="75"/>
      <c r="F369" s="75"/>
      <c r="G369" s="76"/>
      <c r="H369" s="77"/>
      <c r="I369" s="78"/>
      <c r="J369" s="70" t="e">
        <f>VLOOKUP(C369,Recipes!$A$2:$N$4,10,FALSE())</f>
        <v>#N/A</v>
      </c>
      <c r="K369" s="70" t="e">
        <f>VLOOKUP(C369,Recipes!$A$2:$N$4,12,FALSE())</f>
        <v>#N/A</v>
      </c>
      <c r="L369" s="71" t="e">
        <f t="shared" si="30"/>
        <v>#N/A</v>
      </c>
      <c r="M369" s="71" t="e">
        <f t="shared" si="31"/>
        <v>#N/A</v>
      </c>
      <c r="N369" s="7" t="str">
        <f t="shared" si="32"/>
        <v/>
      </c>
      <c r="O369" s="79" t="str">
        <f t="shared" si="33"/>
        <v/>
      </c>
      <c r="P369" s="71" t="str">
        <f t="shared" si="34"/>
        <v/>
      </c>
      <c r="Q369" s="72" t="str">
        <f>IF(G369="","",ABS(P369-Components!$C$2))</f>
        <v/>
      </c>
      <c r="R369" s="72" t="str">
        <f>IF(G369="","",ABS(P369-Components!$C$3))</f>
        <v/>
      </c>
      <c r="S369" s="72" t="str">
        <f>IF(G369="","",ABS(P369-Components!$C$4))</f>
        <v/>
      </c>
      <c r="T369" s="72" t="str">
        <f>IF(G369="","",ABS(P369-Components!$C$5))</f>
        <v/>
      </c>
      <c r="U369" s="72" t="str">
        <f>IF(G369="","",ABS(P369-Components!$C$6))</f>
        <v/>
      </c>
      <c r="V369" s="72" t="str">
        <f>IF(G369="","",ABS(P369-Components!$C$7))</f>
        <v/>
      </c>
      <c r="W369" s="7" t="str">
        <f>IF(G369="","",IF(N369="OK","NONE",INDEX({"S1","S2","W1","W2","N1","N2"},MATCH(MIN(Q369:V369),Q369:V369,0))))</f>
        <v/>
      </c>
      <c r="X369" s="80" t="str">
        <f t="shared" si="35"/>
        <v/>
      </c>
    </row>
    <row r="370" spans="1:24">
      <c r="A370" s="49">
        <v>368</v>
      </c>
      <c r="B370" s="74"/>
      <c r="C370" s="75"/>
      <c r="D370" s="75"/>
      <c r="E370" s="75"/>
      <c r="F370" s="75"/>
      <c r="G370" s="76"/>
      <c r="H370" s="77"/>
      <c r="I370" s="78"/>
      <c r="J370" s="70" t="e">
        <f>VLOOKUP(C370,Recipes!$A$2:$N$4,10,FALSE())</f>
        <v>#N/A</v>
      </c>
      <c r="K370" s="70" t="e">
        <f>VLOOKUP(C370,Recipes!$A$2:$N$4,12,FALSE())</f>
        <v>#N/A</v>
      </c>
      <c r="L370" s="71" t="e">
        <f t="shared" si="30"/>
        <v>#N/A</v>
      </c>
      <c r="M370" s="71" t="e">
        <f t="shared" si="31"/>
        <v>#N/A</v>
      </c>
      <c r="N370" s="7" t="str">
        <f t="shared" si="32"/>
        <v/>
      </c>
      <c r="O370" s="79" t="str">
        <f t="shared" si="33"/>
        <v/>
      </c>
      <c r="P370" s="71" t="str">
        <f t="shared" si="34"/>
        <v/>
      </c>
      <c r="Q370" s="72" t="str">
        <f>IF(G370="","",ABS(P370-Components!$C$2))</f>
        <v/>
      </c>
      <c r="R370" s="72" t="str">
        <f>IF(G370="","",ABS(P370-Components!$C$3))</f>
        <v/>
      </c>
      <c r="S370" s="72" t="str">
        <f>IF(G370="","",ABS(P370-Components!$C$4))</f>
        <v/>
      </c>
      <c r="T370" s="72" t="str">
        <f>IF(G370="","",ABS(P370-Components!$C$5))</f>
        <v/>
      </c>
      <c r="U370" s="72" t="str">
        <f>IF(G370="","",ABS(P370-Components!$C$6))</f>
        <v/>
      </c>
      <c r="V370" s="72" t="str">
        <f>IF(G370="","",ABS(P370-Components!$C$7))</f>
        <v/>
      </c>
      <c r="W370" s="7" t="str">
        <f>IF(G370="","",IF(N370="OK","NONE",INDEX({"S1","S2","W1","W2","N1","N2"},MATCH(MIN(Q370:V370),Q370:V370,0))))</f>
        <v/>
      </c>
      <c r="X370" s="80" t="str">
        <f t="shared" si="35"/>
        <v/>
      </c>
    </row>
    <row r="371" spans="1:24">
      <c r="A371" s="49">
        <v>369</v>
      </c>
      <c r="B371" s="74"/>
      <c r="C371" s="75"/>
      <c r="D371" s="75"/>
      <c r="E371" s="75"/>
      <c r="F371" s="75"/>
      <c r="G371" s="76"/>
      <c r="H371" s="77"/>
      <c r="I371" s="78"/>
      <c r="J371" s="70" t="e">
        <f>VLOOKUP(C371,Recipes!$A$2:$N$4,10,FALSE())</f>
        <v>#N/A</v>
      </c>
      <c r="K371" s="70" t="e">
        <f>VLOOKUP(C371,Recipes!$A$2:$N$4,12,FALSE())</f>
        <v>#N/A</v>
      </c>
      <c r="L371" s="71" t="e">
        <f t="shared" si="30"/>
        <v>#N/A</v>
      </c>
      <c r="M371" s="71" t="e">
        <f t="shared" si="31"/>
        <v>#N/A</v>
      </c>
      <c r="N371" s="7" t="str">
        <f t="shared" si="32"/>
        <v/>
      </c>
      <c r="O371" s="79" t="str">
        <f t="shared" si="33"/>
        <v/>
      </c>
      <c r="P371" s="71" t="str">
        <f t="shared" si="34"/>
        <v/>
      </c>
      <c r="Q371" s="72" t="str">
        <f>IF(G371="","",ABS(P371-Components!$C$2))</f>
        <v/>
      </c>
      <c r="R371" s="72" t="str">
        <f>IF(G371="","",ABS(P371-Components!$C$3))</f>
        <v/>
      </c>
      <c r="S371" s="72" t="str">
        <f>IF(G371="","",ABS(P371-Components!$C$4))</f>
        <v/>
      </c>
      <c r="T371" s="72" t="str">
        <f>IF(G371="","",ABS(P371-Components!$C$5))</f>
        <v/>
      </c>
      <c r="U371" s="72" t="str">
        <f>IF(G371="","",ABS(P371-Components!$C$6))</f>
        <v/>
      </c>
      <c r="V371" s="72" t="str">
        <f>IF(G371="","",ABS(P371-Components!$C$7))</f>
        <v/>
      </c>
      <c r="W371" s="7" t="str">
        <f>IF(G371="","",IF(N371="OK","NONE",INDEX({"S1","S2","W1","W2","N1","N2"},MATCH(MIN(Q371:V371),Q371:V371,0))))</f>
        <v/>
      </c>
      <c r="X371" s="80" t="str">
        <f t="shared" si="35"/>
        <v/>
      </c>
    </row>
    <row r="372" spans="1:24">
      <c r="A372" s="49">
        <v>370</v>
      </c>
      <c r="B372" s="74"/>
      <c r="C372" s="75"/>
      <c r="D372" s="75"/>
      <c r="E372" s="75"/>
      <c r="F372" s="75"/>
      <c r="G372" s="76"/>
      <c r="H372" s="77"/>
      <c r="I372" s="78"/>
      <c r="J372" s="70" t="e">
        <f>VLOOKUP(C372,Recipes!$A$2:$N$4,10,FALSE())</f>
        <v>#N/A</v>
      </c>
      <c r="K372" s="70" t="e">
        <f>VLOOKUP(C372,Recipes!$A$2:$N$4,12,FALSE())</f>
        <v>#N/A</v>
      </c>
      <c r="L372" s="71" t="e">
        <f t="shared" si="30"/>
        <v>#N/A</v>
      </c>
      <c r="M372" s="71" t="e">
        <f t="shared" si="31"/>
        <v>#N/A</v>
      </c>
      <c r="N372" s="7" t="str">
        <f t="shared" si="32"/>
        <v/>
      </c>
      <c r="O372" s="79" t="str">
        <f t="shared" si="33"/>
        <v/>
      </c>
      <c r="P372" s="71" t="str">
        <f t="shared" si="34"/>
        <v/>
      </c>
      <c r="Q372" s="72" t="str">
        <f>IF(G372="","",ABS(P372-Components!$C$2))</f>
        <v/>
      </c>
      <c r="R372" s="72" t="str">
        <f>IF(G372="","",ABS(P372-Components!$C$3))</f>
        <v/>
      </c>
      <c r="S372" s="72" t="str">
        <f>IF(G372="","",ABS(P372-Components!$C$4))</f>
        <v/>
      </c>
      <c r="T372" s="72" t="str">
        <f>IF(G372="","",ABS(P372-Components!$C$5))</f>
        <v/>
      </c>
      <c r="U372" s="72" t="str">
        <f>IF(G372="","",ABS(P372-Components!$C$6))</f>
        <v/>
      </c>
      <c r="V372" s="72" t="str">
        <f>IF(G372="","",ABS(P372-Components!$C$7))</f>
        <v/>
      </c>
      <c r="W372" s="7" t="str">
        <f>IF(G372="","",IF(N372="OK","NONE",INDEX({"S1","S2","W1","W2","N1","N2"},MATCH(MIN(Q372:V372),Q372:V372,0))))</f>
        <v/>
      </c>
      <c r="X372" s="80" t="str">
        <f t="shared" si="35"/>
        <v/>
      </c>
    </row>
    <row r="373" spans="1:24">
      <c r="A373" s="49">
        <v>371</v>
      </c>
      <c r="B373" s="74"/>
      <c r="C373" s="75"/>
      <c r="D373" s="75"/>
      <c r="E373" s="75"/>
      <c r="F373" s="75"/>
      <c r="G373" s="76"/>
      <c r="H373" s="77"/>
      <c r="I373" s="78"/>
      <c r="J373" s="70" t="e">
        <f>VLOOKUP(C373,Recipes!$A$2:$N$4,10,FALSE())</f>
        <v>#N/A</v>
      </c>
      <c r="K373" s="70" t="e">
        <f>VLOOKUP(C373,Recipes!$A$2:$N$4,12,FALSE())</f>
        <v>#N/A</v>
      </c>
      <c r="L373" s="71" t="e">
        <f t="shared" si="30"/>
        <v>#N/A</v>
      </c>
      <c r="M373" s="71" t="e">
        <f t="shared" si="31"/>
        <v>#N/A</v>
      </c>
      <c r="N373" s="7" t="str">
        <f t="shared" si="32"/>
        <v/>
      </c>
      <c r="O373" s="79" t="str">
        <f t="shared" si="33"/>
        <v/>
      </c>
      <c r="P373" s="71" t="str">
        <f t="shared" si="34"/>
        <v/>
      </c>
      <c r="Q373" s="72" t="str">
        <f>IF(G373="","",ABS(P373-Components!$C$2))</f>
        <v/>
      </c>
      <c r="R373" s="72" t="str">
        <f>IF(G373="","",ABS(P373-Components!$C$3))</f>
        <v/>
      </c>
      <c r="S373" s="72" t="str">
        <f>IF(G373="","",ABS(P373-Components!$C$4))</f>
        <v/>
      </c>
      <c r="T373" s="72" t="str">
        <f>IF(G373="","",ABS(P373-Components!$C$5))</f>
        <v/>
      </c>
      <c r="U373" s="72" t="str">
        <f>IF(G373="","",ABS(P373-Components!$C$6))</f>
        <v/>
      </c>
      <c r="V373" s="72" t="str">
        <f>IF(G373="","",ABS(P373-Components!$C$7))</f>
        <v/>
      </c>
      <c r="W373" s="7" t="str">
        <f>IF(G373="","",IF(N373="OK","NONE",INDEX({"S1","S2","W1","W2","N1","N2"},MATCH(MIN(Q373:V373),Q373:V373,0))))</f>
        <v/>
      </c>
      <c r="X373" s="80" t="str">
        <f t="shared" si="35"/>
        <v/>
      </c>
    </row>
    <row r="374" spans="1:24">
      <c r="A374" s="49">
        <v>372</v>
      </c>
      <c r="B374" s="74"/>
      <c r="C374" s="75"/>
      <c r="D374" s="75"/>
      <c r="E374" s="75"/>
      <c r="F374" s="75"/>
      <c r="G374" s="76"/>
      <c r="H374" s="77"/>
      <c r="I374" s="78"/>
      <c r="J374" s="70" t="e">
        <f>VLOOKUP(C374,Recipes!$A$2:$N$4,10,FALSE())</f>
        <v>#N/A</v>
      </c>
      <c r="K374" s="70" t="e">
        <f>VLOOKUP(C374,Recipes!$A$2:$N$4,12,FALSE())</f>
        <v>#N/A</v>
      </c>
      <c r="L374" s="71" t="e">
        <f t="shared" si="30"/>
        <v>#N/A</v>
      </c>
      <c r="M374" s="71" t="e">
        <f t="shared" si="31"/>
        <v>#N/A</v>
      </c>
      <c r="N374" s="7" t="str">
        <f t="shared" si="32"/>
        <v/>
      </c>
      <c r="O374" s="79" t="str">
        <f t="shared" si="33"/>
        <v/>
      </c>
      <c r="P374" s="71" t="str">
        <f t="shared" si="34"/>
        <v/>
      </c>
      <c r="Q374" s="72" t="str">
        <f>IF(G374="","",ABS(P374-Components!$C$2))</f>
        <v/>
      </c>
      <c r="R374" s="72" t="str">
        <f>IF(G374="","",ABS(P374-Components!$C$3))</f>
        <v/>
      </c>
      <c r="S374" s="72" t="str">
        <f>IF(G374="","",ABS(P374-Components!$C$4))</f>
        <v/>
      </c>
      <c r="T374" s="72" t="str">
        <f>IF(G374="","",ABS(P374-Components!$C$5))</f>
        <v/>
      </c>
      <c r="U374" s="72" t="str">
        <f>IF(G374="","",ABS(P374-Components!$C$6))</f>
        <v/>
      </c>
      <c r="V374" s="72" t="str">
        <f>IF(G374="","",ABS(P374-Components!$C$7))</f>
        <v/>
      </c>
      <c r="W374" s="7" t="str">
        <f>IF(G374="","",IF(N374="OK","NONE",INDEX({"S1","S2","W1","W2","N1","N2"},MATCH(MIN(Q374:V374),Q374:V374,0))))</f>
        <v/>
      </c>
      <c r="X374" s="80" t="str">
        <f t="shared" si="35"/>
        <v/>
      </c>
    </row>
    <row r="375" spans="1:24">
      <c r="A375" s="49">
        <v>373</v>
      </c>
      <c r="B375" s="74"/>
      <c r="C375" s="75"/>
      <c r="D375" s="75"/>
      <c r="E375" s="75"/>
      <c r="F375" s="75"/>
      <c r="G375" s="76"/>
      <c r="H375" s="77"/>
      <c r="I375" s="78"/>
      <c r="J375" s="70" t="e">
        <f>VLOOKUP(C375,Recipes!$A$2:$N$4,10,FALSE())</f>
        <v>#N/A</v>
      </c>
      <c r="K375" s="70" t="e">
        <f>VLOOKUP(C375,Recipes!$A$2:$N$4,12,FALSE())</f>
        <v>#N/A</v>
      </c>
      <c r="L375" s="71" t="e">
        <f t="shared" si="30"/>
        <v>#N/A</v>
      </c>
      <c r="M375" s="71" t="e">
        <f t="shared" si="31"/>
        <v>#N/A</v>
      </c>
      <c r="N375" s="7" t="str">
        <f t="shared" si="32"/>
        <v/>
      </c>
      <c r="O375" s="79" t="str">
        <f t="shared" si="33"/>
        <v/>
      </c>
      <c r="P375" s="71" t="str">
        <f t="shared" si="34"/>
        <v/>
      </c>
      <c r="Q375" s="72" t="str">
        <f>IF(G375="","",ABS(P375-Components!$C$2))</f>
        <v/>
      </c>
      <c r="R375" s="72" t="str">
        <f>IF(G375="","",ABS(P375-Components!$C$3))</f>
        <v/>
      </c>
      <c r="S375" s="72" t="str">
        <f>IF(G375="","",ABS(P375-Components!$C$4))</f>
        <v/>
      </c>
      <c r="T375" s="72" t="str">
        <f>IF(G375="","",ABS(P375-Components!$C$5))</f>
        <v/>
      </c>
      <c r="U375" s="72" t="str">
        <f>IF(G375="","",ABS(P375-Components!$C$6))</f>
        <v/>
      </c>
      <c r="V375" s="72" t="str">
        <f>IF(G375="","",ABS(P375-Components!$C$7))</f>
        <v/>
      </c>
      <c r="W375" s="7" t="str">
        <f>IF(G375="","",IF(N375="OK","NONE",INDEX({"S1","S2","W1","W2","N1","N2"},MATCH(MIN(Q375:V375),Q375:V375,0))))</f>
        <v/>
      </c>
      <c r="X375" s="80" t="str">
        <f t="shared" si="35"/>
        <v/>
      </c>
    </row>
    <row r="376" spans="1:24">
      <c r="A376" s="49">
        <v>374</v>
      </c>
      <c r="B376" s="74"/>
      <c r="C376" s="75"/>
      <c r="D376" s="75"/>
      <c r="E376" s="75"/>
      <c r="F376" s="75"/>
      <c r="G376" s="76"/>
      <c r="H376" s="77"/>
      <c r="I376" s="78"/>
      <c r="J376" s="70" t="e">
        <f>VLOOKUP(C376,Recipes!$A$2:$N$4,10,FALSE())</f>
        <v>#N/A</v>
      </c>
      <c r="K376" s="70" t="e">
        <f>VLOOKUP(C376,Recipes!$A$2:$N$4,12,FALSE())</f>
        <v>#N/A</v>
      </c>
      <c r="L376" s="71" t="e">
        <f t="shared" si="30"/>
        <v>#N/A</v>
      </c>
      <c r="M376" s="71" t="e">
        <f t="shared" si="31"/>
        <v>#N/A</v>
      </c>
      <c r="N376" s="7" t="str">
        <f t="shared" si="32"/>
        <v/>
      </c>
      <c r="O376" s="79" t="str">
        <f t="shared" si="33"/>
        <v/>
      </c>
      <c r="P376" s="71" t="str">
        <f t="shared" si="34"/>
        <v/>
      </c>
      <c r="Q376" s="72" t="str">
        <f>IF(G376="","",ABS(P376-Components!$C$2))</f>
        <v/>
      </c>
      <c r="R376" s="72" t="str">
        <f>IF(G376="","",ABS(P376-Components!$C$3))</f>
        <v/>
      </c>
      <c r="S376" s="72" t="str">
        <f>IF(G376="","",ABS(P376-Components!$C$4))</f>
        <v/>
      </c>
      <c r="T376" s="72" t="str">
        <f>IF(G376="","",ABS(P376-Components!$C$5))</f>
        <v/>
      </c>
      <c r="U376" s="72" t="str">
        <f>IF(G376="","",ABS(P376-Components!$C$6))</f>
        <v/>
      </c>
      <c r="V376" s="72" t="str">
        <f>IF(G376="","",ABS(P376-Components!$C$7))</f>
        <v/>
      </c>
      <c r="W376" s="7" t="str">
        <f>IF(G376="","",IF(N376="OK","NONE",INDEX({"S1","S2","W1","W2","N1","N2"},MATCH(MIN(Q376:V376),Q376:V376,0))))</f>
        <v/>
      </c>
      <c r="X376" s="80" t="str">
        <f t="shared" si="35"/>
        <v/>
      </c>
    </row>
    <row r="377" spans="1:24">
      <c r="A377" s="49">
        <v>375</v>
      </c>
      <c r="B377" s="74"/>
      <c r="C377" s="75"/>
      <c r="D377" s="75"/>
      <c r="E377" s="75"/>
      <c r="F377" s="75"/>
      <c r="G377" s="76"/>
      <c r="H377" s="77"/>
      <c r="I377" s="78"/>
      <c r="J377" s="70" t="e">
        <f>VLOOKUP(C377,Recipes!$A$2:$N$4,10,FALSE())</f>
        <v>#N/A</v>
      </c>
      <c r="K377" s="70" t="e">
        <f>VLOOKUP(C377,Recipes!$A$2:$N$4,12,FALSE())</f>
        <v>#N/A</v>
      </c>
      <c r="L377" s="71" t="e">
        <f t="shared" si="30"/>
        <v>#N/A</v>
      </c>
      <c r="M377" s="71" t="e">
        <f t="shared" si="31"/>
        <v>#N/A</v>
      </c>
      <c r="N377" s="7" t="str">
        <f t="shared" si="32"/>
        <v/>
      </c>
      <c r="O377" s="79" t="str">
        <f t="shared" si="33"/>
        <v/>
      </c>
      <c r="P377" s="71" t="str">
        <f t="shared" si="34"/>
        <v/>
      </c>
      <c r="Q377" s="72" t="str">
        <f>IF(G377="","",ABS(P377-Components!$C$2))</f>
        <v/>
      </c>
      <c r="R377" s="72" t="str">
        <f>IF(G377="","",ABS(P377-Components!$C$3))</f>
        <v/>
      </c>
      <c r="S377" s="72" t="str">
        <f>IF(G377="","",ABS(P377-Components!$C$4))</f>
        <v/>
      </c>
      <c r="T377" s="72" t="str">
        <f>IF(G377="","",ABS(P377-Components!$C$5))</f>
        <v/>
      </c>
      <c r="U377" s="72" t="str">
        <f>IF(G377="","",ABS(P377-Components!$C$6))</f>
        <v/>
      </c>
      <c r="V377" s="72" t="str">
        <f>IF(G377="","",ABS(P377-Components!$C$7))</f>
        <v/>
      </c>
      <c r="W377" s="7" t="str">
        <f>IF(G377="","",IF(N377="OK","NONE",INDEX({"S1","S2","W1","W2","N1","N2"},MATCH(MIN(Q377:V377),Q377:V377,0))))</f>
        <v/>
      </c>
      <c r="X377" s="80" t="str">
        <f t="shared" si="35"/>
        <v/>
      </c>
    </row>
    <row r="378" spans="1:24">
      <c r="A378" s="49">
        <v>376</v>
      </c>
      <c r="B378" s="74"/>
      <c r="C378" s="75"/>
      <c r="D378" s="75"/>
      <c r="E378" s="75"/>
      <c r="F378" s="75"/>
      <c r="G378" s="76"/>
      <c r="H378" s="77"/>
      <c r="I378" s="78"/>
      <c r="J378" s="70" t="e">
        <f>VLOOKUP(C378,Recipes!$A$2:$N$4,10,FALSE())</f>
        <v>#N/A</v>
      </c>
      <c r="K378" s="70" t="e">
        <f>VLOOKUP(C378,Recipes!$A$2:$N$4,12,FALSE())</f>
        <v>#N/A</v>
      </c>
      <c r="L378" s="71" t="e">
        <f t="shared" si="30"/>
        <v>#N/A</v>
      </c>
      <c r="M378" s="71" t="e">
        <f t="shared" si="31"/>
        <v>#N/A</v>
      </c>
      <c r="N378" s="7" t="str">
        <f t="shared" si="32"/>
        <v/>
      </c>
      <c r="O378" s="79" t="str">
        <f t="shared" si="33"/>
        <v/>
      </c>
      <c r="P378" s="71" t="str">
        <f t="shared" si="34"/>
        <v/>
      </c>
      <c r="Q378" s="72" t="str">
        <f>IF(G378="","",ABS(P378-Components!$C$2))</f>
        <v/>
      </c>
      <c r="R378" s="72" t="str">
        <f>IF(G378="","",ABS(P378-Components!$C$3))</f>
        <v/>
      </c>
      <c r="S378" s="72" t="str">
        <f>IF(G378="","",ABS(P378-Components!$C$4))</f>
        <v/>
      </c>
      <c r="T378" s="72" t="str">
        <f>IF(G378="","",ABS(P378-Components!$C$5))</f>
        <v/>
      </c>
      <c r="U378" s="72" t="str">
        <f>IF(G378="","",ABS(P378-Components!$C$6))</f>
        <v/>
      </c>
      <c r="V378" s="72" t="str">
        <f>IF(G378="","",ABS(P378-Components!$C$7))</f>
        <v/>
      </c>
      <c r="W378" s="7" t="str">
        <f>IF(G378="","",IF(N378="OK","NONE",INDEX({"S1","S2","W1","W2","N1","N2"},MATCH(MIN(Q378:V378),Q378:V378,0))))</f>
        <v/>
      </c>
      <c r="X378" s="80" t="str">
        <f t="shared" si="35"/>
        <v/>
      </c>
    </row>
    <row r="379" spans="1:24">
      <c r="A379" s="49">
        <v>377</v>
      </c>
      <c r="B379" s="74"/>
      <c r="C379" s="75"/>
      <c r="D379" s="75"/>
      <c r="E379" s="75"/>
      <c r="F379" s="75"/>
      <c r="G379" s="76"/>
      <c r="H379" s="77"/>
      <c r="I379" s="78"/>
      <c r="J379" s="70" t="e">
        <f>VLOOKUP(C379,Recipes!$A$2:$N$4,10,FALSE())</f>
        <v>#N/A</v>
      </c>
      <c r="K379" s="70" t="e">
        <f>VLOOKUP(C379,Recipes!$A$2:$N$4,12,FALSE())</f>
        <v>#N/A</v>
      </c>
      <c r="L379" s="71" t="e">
        <f t="shared" si="30"/>
        <v>#N/A</v>
      </c>
      <c r="M379" s="71" t="e">
        <f t="shared" si="31"/>
        <v>#N/A</v>
      </c>
      <c r="N379" s="7" t="str">
        <f t="shared" si="32"/>
        <v/>
      </c>
      <c r="O379" s="79" t="str">
        <f t="shared" si="33"/>
        <v/>
      </c>
      <c r="P379" s="71" t="str">
        <f t="shared" si="34"/>
        <v/>
      </c>
      <c r="Q379" s="72" t="str">
        <f>IF(G379="","",ABS(P379-Components!$C$2))</f>
        <v/>
      </c>
      <c r="R379" s="72" t="str">
        <f>IF(G379="","",ABS(P379-Components!$C$3))</f>
        <v/>
      </c>
      <c r="S379" s="72" t="str">
        <f>IF(G379="","",ABS(P379-Components!$C$4))</f>
        <v/>
      </c>
      <c r="T379" s="72" t="str">
        <f>IF(G379="","",ABS(P379-Components!$C$5))</f>
        <v/>
      </c>
      <c r="U379" s="72" t="str">
        <f>IF(G379="","",ABS(P379-Components!$C$6))</f>
        <v/>
      </c>
      <c r="V379" s="72" t="str">
        <f>IF(G379="","",ABS(P379-Components!$C$7))</f>
        <v/>
      </c>
      <c r="W379" s="7" t="str">
        <f>IF(G379="","",IF(N379="OK","NONE",INDEX({"S1","S2","W1","W2","N1","N2"},MATCH(MIN(Q379:V379),Q379:V379,0))))</f>
        <v/>
      </c>
      <c r="X379" s="80" t="str">
        <f t="shared" si="35"/>
        <v/>
      </c>
    </row>
    <row r="380" spans="1:24">
      <c r="A380" s="49">
        <v>378</v>
      </c>
      <c r="B380" s="74"/>
      <c r="C380" s="75"/>
      <c r="D380" s="75"/>
      <c r="E380" s="75"/>
      <c r="F380" s="75"/>
      <c r="G380" s="76"/>
      <c r="H380" s="77"/>
      <c r="I380" s="78"/>
      <c r="J380" s="70" t="e">
        <f>VLOOKUP(C380,Recipes!$A$2:$N$4,10,FALSE())</f>
        <v>#N/A</v>
      </c>
      <c r="K380" s="70" t="e">
        <f>VLOOKUP(C380,Recipes!$A$2:$N$4,12,FALSE())</f>
        <v>#N/A</v>
      </c>
      <c r="L380" s="71" t="e">
        <f t="shared" si="30"/>
        <v>#N/A</v>
      </c>
      <c r="M380" s="71" t="e">
        <f t="shared" si="31"/>
        <v>#N/A</v>
      </c>
      <c r="N380" s="7" t="str">
        <f t="shared" si="32"/>
        <v/>
      </c>
      <c r="O380" s="79" t="str">
        <f t="shared" si="33"/>
        <v/>
      </c>
      <c r="P380" s="71" t="str">
        <f t="shared" si="34"/>
        <v/>
      </c>
      <c r="Q380" s="72" t="str">
        <f>IF(G380="","",ABS(P380-Components!$C$2))</f>
        <v/>
      </c>
      <c r="R380" s="72" t="str">
        <f>IF(G380="","",ABS(P380-Components!$C$3))</f>
        <v/>
      </c>
      <c r="S380" s="72" t="str">
        <f>IF(G380="","",ABS(P380-Components!$C$4))</f>
        <v/>
      </c>
      <c r="T380" s="72" t="str">
        <f>IF(G380="","",ABS(P380-Components!$C$5))</f>
        <v/>
      </c>
      <c r="U380" s="72" t="str">
        <f>IF(G380="","",ABS(P380-Components!$C$6))</f>
        <v/>
      </c>
      <c r="V380" s="72" t="str">
        <f>IF(G380="","",ABS(P380-Components!$C$7))</f>
        <v/>
      </c>
      <c r="W380" s="7" t="str">
        <f>IF(G380="","",IF(N380="OK","NONE",INDEX({"S1","S2","W1","W2","N1","N2"},MATCH(MIN(Q380:V380),Q380:V380,0))))</f>
        <v/>
      </c>
      <c r="X380" s="80" t="str">
        <f t="shared" si="35"/>
        <v/>
      </c>
    </row>
    <row r="381" spans="1:24">
      <c r="A381" s="49">
        <v>379</v>
      </c>
      <c r="B381" s="74"/>
      <c r="C381" s="75"/>
      <c r="D381" s="75"/>
      <c r="E381" s="75"/>
      <c r="F381" s="75"/>
      <c r="G381" s="76"/>
      <c r="H381" s="77"/>
      <c r="I381" s="78"/>
      <c r="J381" s="70" t="e">
        <f>VLOOKUP(C381,Recipes!$A$2:$N$4,10,FALSE())</f>
        <v>#N/A</v>
      </c>
      <c r="K381" s="70" t="e">
        <f>VLOOKUP(C381,Recipes!$A$2:$N$4,12,FALSE())</f>
        <v>#N/A</v>
      </c>
      <c r="L381" s="71" t="e">
        <f t="shared" si="30"/>
        <v>#N/A</v>
      </c>
      <c r="M381" s="71" t="e">
        <f t="shared" si="31"/>
        <v>#N/A</v>
      </c>
      <c r="N381" s="7" t="str">
        <f t="shared" si="32"/>
        <v/>
      </c>
      <c r="O381" s="79" t="str">
        <f t="shared" si="33"/>
        <v/>
      </c>
      <c r="P381" s="71" t="str">
        <f t="shared" si="34"/>
        <v/>
      </c>
      <c r="Q381" s="72" t="str">
        <f>IF(G381="","",ABS(P381-Components!$C$2))</f>
        <v/>
      </c>
      <c r="R381" s="72" t="str">
        <f>IF(G381="","",ABS(P381-Components!$C$3))</f>
        <v/>
      </c>
      <c r="S381" s="72" t="str">
        <f>IF(G381="","",ABS(P381-Components!$C$4))</f>
        <v/>
      </c>
      <c r="T381" s="72" t="str">
        <f>IF(G381="","",ABS(P381-Components!$C$5))</f>
        <v/>
      </c>
      <c r="U381" s="72" t="str">
        <f>IF(G381="","",ABS(P381-Components!$C$6))</f>
        <v/>
      </c>
      <c r="V381" s="72" t="str">
        <f>IF(G381="","",ABS(P381-Components!$C$7))</f>
        <v/>
      </c>
      <c r="W381" s="7" t="str">
        <f>IF(G381="","",IF(N381="OK","NONE",INDEX({"S1","S2","W1","W2","N1","N2"},MATCH(MIN(Q381:V381),Q381:V381,0))))</f>
        <v/>
      </c>
      <c r="X381" s="80" t="str">
        <f t="shared" si="35"/>
        <v/>
      </c>
    </row>
    <row r="382" spans="1:24">
      <c r="A382" s="49">
        <v>380</v>
      </c>
      <c r="B382" s="74"/>
      <c r="C382" s="75"/>
      <c r="D382" s="75"/>
      <c r="E382" s="75"/>
      <c r="F382" s="75"/>
      <c r="G382" s="76"/>
      <c r="H382" s="77"/>
      <c r="I382" s="78"/>
      <c r="J382" s="70" t="e">
        <f>VLOOKUP(C382,Recipes!$A$2:$N$4,10,FALSE())</f>
        <v>#N/A</v>
      </c>
      <c r="K382" s="70" t="e">
        <f>VLOOKUP(C382,Recipes!$A$2:$N$4,12,FALSE())</f>
        <v>#N/A</v>
      </c>
      <c r="L382" s="71" t="e">
        <f t="shared" si="30"/>
        <v>#N/A</v>
      </c>
      <c r="M382" s="71" t="e">
        <f t="shared" si="31"/>
        <v>#N/A</v>
      </c>
      <c r="N382" s="7" t="str">
        <f t="shared" si="32"/>
        <v/>
      </c>
      <c r="O382" s="79" t="str">
        <f t="shared" si="33"/>
        <v/>
      </c>
      <c r="P382" s="71" t="str">
        <f t="shared" si="34"/>
        <v/>
      </c>
      <c r="Q382" s="72" t="str">
        <f>IF(G382="","",ABS(P382-Components!$C$2))</f>
        <v/>
      </c>
      <c r="R382" s="72" t="str">
        <f>IF(G382="","",ABS(P382-Components!$C$3))</f>
        <v/>
      </c>
      <c r="S382" s="72" t="str">
        <f>IF(G382="","",ABS(P382-Components!$C$4))</f>
        <v/>
      </c>
      <c r="T382" s="72" t="str">
        <f>IF(G382="","",ABS(P382-Components!$C$5))</f>
        <v/>
      </c>
      <c r="U382" s="72" t="str">
        <f>IF(G382="","",ABS(P382-Components!$C$6))</f>
        <v/>
      </c>
      <c r="V382" s="72" t="str">
        <f>IF(G382="","",ABS(P382-Components!$C$7))</f>
        <v/>
      </c>
      <c r="W382" s="7" t="str">
        <f>IF(G382="","",IF(N382="OK","NONE",INDEX({"S1","S2","W1","W2","N1","N2"},MATCH(MIN(Q382:V382),Q382:V382,0))))</f>
        <v/>
      </c>
      <c r="X382" s="80" t="str">
        <f t="shared" si="35"/>
        <v/>
      </c>
    </row>
    <row r="383" spans="1:24">
      <c r="A383" s="49">
        <v>381</v>
      </c>
      <c r="B383" s="74"/>
      <c r="C383" s="75"/>
      <c r="D383" s="75"/>
      <c r="E383" s="75"/>
      <c r="F383" s="75"/>
      <c r="G383" s="76"/>
      <c r="H383" s="77"/>
      <c r="I383" s="78"/>
      <c r="J383" s="70" t="e">
        <f>VLOOKUP(C383,Recipes!$A$2:$N$4,10,FALSE())</f>
        <v>#N/A</v>
      </c>
      <c r="K383" s="70" t="e">
        <f>VLOOKUP(C383,Recipes!$A$2:$N$4,12,FALSE())</f>
        <v>#N/A</v>
      </c>
      <c r="L383" s="71" t="e">
        <f t="shared" si="30"/>
        <v>#N/A</v>
      </c>
      <c r="M383" s="71" t="e">
        <f t="shared" si="31"/>
        <v>#N/A</v>
      </c>
      <c r="N383" s="7" t="str">
        <f t="shared" si="32"/>
        <v/>
      </c>
      <c r="O383" s="79" t="str">
        <f t="shared" si="33"/>
        <v/>
      </c>
      <c r="P383" s="71" t="str">
        <f t="shared" si="34"/>
        <v/>
      </c>
      <c r="Q383" s="72" t="str">
        <f>IF(G383="","",ABS(P383-Components!$C$2))</f>
        <v/>
      </c>
      <c r="R383" s="72" t="str">
        <f>IF(G383="","",ABS(P383-Components!$C$3))</f>
        <v/>
      </c>
      <c r="S383" s="72" t="str">
        <f>IF(G383="","",ABS(P383-Components!$C$4))</f>
        <v/>
      </c>
      <c r="T383" s="72" t="str">
        <f>IF(G383="","",ABS(P383-Components!$C$5))</f>
        <v/>
      </c>
      <c r="U383" s="72" t="str">
        <f>IF(G383="","",ABS(P383-Components!$C$6))</f>
        <v/>
      </c>
      <c r="V383" s="72" t="str">
        <f>IF(G383="","",ABS(P383-Components!$C$7))</f>
        <v/>
      </c>
      <c r="W383" s="7" t="str">
        <f>IF(G383="","",IF(N383="OK","NONE",INDEX({"S1","S2","W1","W2","N1","N2"},MATCH(MIN(Q383:V383),Q383:V383,0))))</f>
        <v/>
      </c>
      <c r="X383" s="80" t="str">
        <f t="shared" si="35"/>
        <v/>
      </c>
    </row>
    <row r="384" spans="1:24">
      <c r="A384" s="49">
        <v>382</v>
      </c>
      <c r="B384" s="74"/>
      <c r="C384" s="75"/>
      <c r="D384" s="75"/>
      <c r="E384" s="75"/>
      <c r="F384" s="75"/>
      <c r="G384" s="76"/>
      <c r="H384" s="77"/>
      <c r="I384" s="78"/>
      <c r="J384" s="70" t="e">
        <f>VLOOKUP(C384,Recipes!$A$2:$N$4,10,FALSE())</f>
        <v>#N/A</v>
      </c>
      <c r="K384" s="70" t="e">
        <f>VLOOKUP(C384,Recipes!$A$2:$N$4,12,FALSE())</f>
        <v>#N/A</v>
      </c>
      <c r="L384" s="71" t="e">
        <f t="shared" si="30"/>
        <v>#N/A</v>
      </c>
      <c r="M384" s="71" t="e">
        <f t="shared" si="31"/>
        <v>#N/A</v>
      </c>
      <c r="N384" s="7" t="str">
        <f t="shared" si="32"/>
        <v/>
      </c>
      <c r="O384" s="79" t="str">
        <f t="shared" si="33"/>
        <v/>
      </c>
      <c r="P384" s="71" t="str">
        <f t="shared" si="34"/>
        <v/>
      </c>
      <c r="Q384" s="72" t="str">
        <f>IF(G384="","",ABS(P384-Components!$C$2))</f>
        <v/>
      </c>
      <c r="R384" s="72" t="str">
        <f>IF(G384="","",ABS(P384-Components!$C$3))</f>
        <v/>
      </c>
      <c r="S384" s="72" t="str">
        <f>IF(G384="","",ABS(P384-Components!$C$4))</f>
        <v/>
      </c>
      <c r="T384" s="72" t="str">
        <f>IF(G384="","",ABS(P384-Components!$C$5))</f>
        <v/>
      </c>
      <c r="U384" s="72" t="str">
        <f>IF(G384="","",ABS(P384-Components!$C$6))</f>
        <v/>
      </c>
      <c r="V384" s="72" t="str">
        <f>IF(G384="","",ABS(P384-Components!$C$7))</f>
        <v/>
      </c>
      <c r="W384" s="7" t="str">
        <f>IF(G384="","",IF(N384="OK","NONE",INDEX({"S1","S2","W1","W2","N1","N2"},MATCH(MIN(Q384:V384),Q384:V384,0))))</f>
        <v/>
      </c>
      <c r="X384" s="80" t="str">
        <f t="shared" si="35"/>
        <v/>
      </c>
    </row>
    <row r="385" spans="1:24">
      <c r="A385" s="49">
        <v>383</v>
      </c>
      <c r="B385" s="74"/>
      <c r="C385" s="75"/>
      <c r="D385" s="75"/>
      <c r="E385" s="75"/>
      <c r="F385" s="75"/>
      <c r="G385" s="76"/>
      <c r="H385" s="77"/>
      <c r="I385" s="78"/>
      <c r="J385" s="70" t="e">
        <f>VLOOKUP(C385,Recipes!$A$2:$N$4,10,FALSE())</f>
        <v>#N/A</v>
      </c>
      <c r="K385" s="70" t="e">
        <f>VLOOKUP(C385,Recipes!$A$2:$N$4,12,FALSE())</f>
        <v>#N/A</v>
      </c>
      <c r="L385" s="71" t="e">
        <f t="shared" si="30"/>
        <v>#N/A</v>
      </c>
      <c r="M385" s="71" t="e">
        <f t="shared" si="31"/>
        <v>#N/A</v>
      </c>
      <c r="N385" s="7" t="str">
        <f t="shared" si="32"/>
        <v/>
      </c>
      <c r="O385" s="79" t="str">
        <f t="shared" si="33"/>
        <v/>
      </c>
      <c r="P385" s="71" t="str">
        <f t="shared" si="34"/>
        <v/>
      </c>
      <c r="Q385" s="72" t="str">
        <f>IF(G385="","",ABS(P385-Components!$C$2))</f>
        <v/>
      </c>
      <c r="R385" s="72" t="str">
        <f>IF(G385="","",ABS(P385-Components!$C$3))</f>
        <v/>
      </c>
      <c r="S385" s="72" t="str">
        <f>IF(G385="","",ABS(P385-Components!$C$4))</f>
        <v/>
      </c>
      <c r="T385" s="72" t="str">
        <f>IF(G385="","",ABS(P385-Components!$C$5))</f>
        <v/>
      </c>
      <c r="U385" s="72" t="str">
        <f>IF(G385="","",ABS(P385-Components!$C$6))</f>
        <v/>
      </c>
      <c r="V385" s="72" t="str">
        <f>IF(G385="","",ABS(P385-Components!$C$7))</f>
        <v/>
      </c>
      <c r="W385" s="7" t="str">
        <f>IF(G385="","",IF(N385="OK","NONE",INDEX({"S1","S2","W1","W2","N1","N2"},MATCH(MIN(Q385:V385),Q385:V385,0))))</f>
        <v/>
      </c>
      <c r="X385" s="80" t="str">
        <f t="shared" si="35"/>
        <v/>
      </c>
    </row>
    <row r="386" spans="1:24">
      <c r="A386" s="49">
        <v>384</v>
      </c>
      <c r="B386" s="74"/>
      <c r="C386" s="75"/>
      <c r="D386" s="75"/>
      <c r="E386" s="75"/>
      <c r="F386" s="75"/>
      <c r="G386" s="76"/>
      <c r="H386" s="77"/>
      <c r="I386" s="78"/>
      <c r="J386" s="70" t="e">
        <f>VLOOKUP(C386,Recipes!$A$2:$N$4,10,FALSE())</f>
        <v>#N/A</v>
      </c>
      <c r="K386" s="70" t="e">
        <f>VLOOKUP(C386,Recipes!$A$2:$N$4,12,FALSE())</f>
        <v>#N/A</v>
      </c>
      <c r="L386" s="71" t="e">
        <f t="shared" si="30"/>
        <v>#N/A</v>
      </c>
      <c r="M386" s="71" t="e">
        <f t="shared" si="31"/>
        <v>#N/A</v>
      </c>
      <c r="N386" s="7" t="str">
        <f t="shared" si="32"/>
        <v/>
      </c>
      <c r="O386" s="79" t="str">
        <f t="shared" si="33"/>
        <v/>
      </c>
      <c r="P386" s="71" t="str">
        <f t="shared" si="34"/>
        <v/>
      </c>
      <c r="Q386" s="72" t="str">
        <f>IF(G386="","",ABS(P386-Components!$C$2))</f>
        <v/>
      </c>
      <c r="R386" s="72" t="str">
        <f>IF(G386="","",ABS(P386-Components!$C$3))</f>
        <v/>
      </c>
      <c r="S386" s="72" t="str">
        <f>IF(G386="","",ABS(P386-Components!$C$4))</f>
        <v/>
      </c>
      <c r="T386" s="72" t="str">
        <f>IF(G386="","",ABS(P386-Components!$C$5))</f>
        <v/>
      </c>
      <c r="U386" s="72" t="str">
        <f>IF(G386="","",ABS(P386-Components!$C$6))</f>
        <v/>
      </c>
      <c r="V386" s="72" t="str">
        <f>IF(G386="","",ABS(P386-Components!$C$7))</f>
        <v/>
      </c>
      <c r="W386" s="7" t="str">
        <f>IF(G386="","",IF(N386="OK","NONE",INDEX({"S1","S2","W1","W2","N1","N2"},MATCH(MIN(Q386:V386),Q386:V386,0))))</f>
        <v/>
      </c>
      <c r="X386" s="80" t="str">
        <f t="shared" si="35"/>
        <v/>
      </c>
    </row>
    <row r="387" spans="1:24">
      <c r="A387" s="49">
        <v>385</v>
      </c>
      <c r="B387" s="74"/>
      <c r="C387" s="75"/>
      <c r="D387" s="75"/>
      <c r="E387" s="75"/>
      <c r="F387" s="75"/>
      <c r="G387" s="76"/>
      <c r="H387" s="77"/>
      <c r="I387" s="78"/>
      <c r="J387" s="70" t="e">
        <f>VLOOKUP(C387,Recipes!$A$2:$N$4,10,FALSE())</f>
        <v>#N/A</v>
      </c>
      <c r="K387" s="70" t="e">
        <f>VLOOKUP(C387,Recipes!$A$2:$N$4,12,FALSE())</f>
        <v>#N/A</v>
      </c>
      <c r="L387" s="71" t="e">
        <f t="shared" ref="L387:L422" si="36">J387-3*K387</f>
        <v>#N/A</v>
      </c>
      <c r="M387" s="71" t="e">
        <f t="shared" ref="M387:M422" si="37">J387+3*K387</f>
        <v>#N/A</v>
      </c>
      <c r="N387" s="7" t="str">
        <f t="shared" ref="N387:N422" si="38">IF(G387="","",IF(AND(G387&gt;=L387,G387&lt;=M387),"OK","NG"))</f>
        <v/>
      </c>
      <c r="O387" s="79" t="str">
        <f t="shared" ref="O387:O422" si="39">IF(N387="","",IF(N387=D387,1,0))</f>
        <v/>
      </c>
      <c r="P387" s="71" t="str">
        <f t="shared" ref="P387:P422" si="40">IF(G387="","",J387-G387)</f>
        <v/>
      </c>
      <c r="Q387" s="72" t="str">
        <f>IF(G387="","",ABS(P387-Components!$C$2))</f>
        <v/>
      </c>
      <c r="R387" s="72" t="str">
        <f>IF(G387="","",ABS(P387-Components!$C$3))</f>
        <v/>
      </c>
      <c r="S387" s="72" t="str">
        <f>IF(G387="","",ABS(P387-Components!$C$4))</f>
        <v/>
      </c>
      <c r="T387" s="72" t="str">
        <f>IF(G387="","",ABS(P387-Components!$C$5))</f>
        <v/>
      </c>
      <c r="U387" s="72" t="str">
        <f>IF(G387="","",ABS(P387-Components!$C$6))</f>
        <v/>
      </c>
      <c r="V387" s="72" t="str">
        <f>IF(G387="","",ABS(P387-Components!$C$7))</f>
        <v/>
      </c>
      <c r="W387" s="7" t="str">
        <f>IF(G387="","",IF(N387="OK","NONE",INDEX({"S1","S2","W1","W2","N1","N2"},MATCH(MIN(Q387:V387),Q387:V387,0))))</f>
        <v/>
      </c>
      <c r="X387" s="80" t="str">
        <f t="shared" ref="X387:X422" si="41">IF(G387="","",IF(W387=E387,1,0))</f>
        <v/>
      </c>
    </row>
    <row r="388" spans="1:24">
      <c r="A388" s="49">
        <v>386</v>
      </c>
      <c r="B388" s="74"/>
      <c r="C388" s="75"/>
      <c r="D388" s="75"/>
      <c r="E388" s="75"/>
      <c r="F388" s="75"/>
      <c r="G388" s="76"/>
      <c r="H388" s="77"/>
      <c r="I388" s="78"/>
      <c r="J388" s="70" t="e">
        <f>VLOOKUP(C388,Recipes!$A$2:$N$4,10,FALSE())</f>
        <v>#N/A</v>
      </c>
      <c r="K388" s="70" t="e">
        <f>VLOOKUP(C388,Recipes!$A$2:$N$4,12,FALSE())</f>
        <v>#N/A</v>
      </c>
      <c r="L388" s="71" t="e">
        <f t="shared" si="36"/>
        <v>#N/A</v>
      </c>
      <c r="M388" s="71" t="e">
        <f t="shared" si="37"/>
        <v>#N/A</v>
      </c>
      <c r="N388" s="7" t="str">
        <f t="shared" si="38"/>
        <v/>
      </c>
      <c r="O388" s="79" t="str">
        <f t="shared" si="39"/>
        <v/>
      </c>
      <c r="P388" s="71" t="str">
        <f t="shared" si="40"/>
        <v/>
      </c>
      <c r="Q388" s="72" t="str">
        <f>IF(G388="","",ABS(P388-Components!$C$2))</f>
        <v/>
      </c>
      <c r="R388" s="72" t="str">
        <f>IF(G388="","",ABS(P388-Components!$C$3))</f>
        <v/>
      </c>
      <c r="S388" s="72" t="str">
        <f>IF(G388="","",ABS(P388-Components!$C$4))</f>
        <v/>
      </c>
      <c r="T388" s="72" t="str">
        <f>IF(G388="","",ABS(P388-Components!$C$5))</f>
        <v/>
      </c>
      <c r="U388" s="72" t="str">
        <f>IF(G388="","",ABS(P388-Components!$C$6))</f>
        <v/>
      </c>
      <c r="V388" s="72" t="str">
        <f>IF(G388="","",ABS(P388-Components!$C$7))</f>
        <v/>
      </c>
      <c r="W388" s="7" t="str">
        <f>IF(G388="","",IF(N388="OK","NONE",INDEX({"S1","S2","W1","W2","N1","N2"},MATCH(MIN(Q388:V388),Q388:V388,0))))</f>
        <v/>
      </c>
      <c r="X388" s="80" t="str">
        <f t="shared" si="41"/>
        <v/>
      </c>
    </row>
    <row r="389" spans="1:24">
      <c r="A389" s="49">
        <v>387</v>
      </c>
      <c r="B389" s="74"/>
      <c r="C389" s="75"/>
      <c r="D389" s="75"/>
      <c r="E389" s="75"/>
      <c r="F389" s="75"/>
      <c r="G389" s="76"/>
      <c r="H389" s="77"/>
      <c r="I389" s="78"/>
      <c r="J389" s="70" t="e">
        <f>VLOOKUP(C389,Recipes!$A$2:$N$4,10,FALSE())</f>
        <v>#N/A</v>
      </c>
      <c r="K389" s="70" t="e">
        <f>VLOOKUP(C389,Recipes!$A$2:$N$4,12,FALSE())</f>
        <v>#N/A</v>
      </c>
      <c r="L389" s="71" t="e">
        <f t="shared" si="36"/>
        <v>#N/A</v>
      </c>
      <c r="M389" s="71" t="e">
        <f t="shared" si="37"/>
        <v>#N/A</v>
      </c>
      <c r="N389" s="7" t="str">
        <f t="shared" si="38"/>
        <v/>
      </c>
      <c r="O389" s="79" t="str">
        <f t="shared" si="39"/>
        <v/>
      </c>
      <c r="P389" s="71" t="str">
        <f t="shared" si="40"/>
        <v/>
      </c>
      <c r="Q389" s="72" t="str">
        <f>IF(G389="","",ABS(P389-Components!$C$2))</f>
        <v/>
      </c>
      <c r="R389" s="72" t="str">
        <f>IF(G389="","",ABS(P389-Components!$C$3))</f>
        <v/>
      </c>
      <c r="S389" s="72" t="str">
        <f>IF(G389="","",ABS(P389-Components!$C$4))</f>
        <v/>
      </c>
      <c r="T389" s="72" t="str">
        <f>IF(G389="","",ABS(P389-Components!$C$5))</f>
        <v/>
      </c>
      <c r="U389" s="72" t="str">
        <f>IF(G389="","",ABS(P389-Components!$C$6))</f>
        <v/>
      </c>
      <c r="V389" s="72" t="str">
        <f>IF(G389="","",ABS(P389-Components!$C$7))</f>
        <v/>
      </c>
      <c r="W389" s="7" t="str">
        <f>IF(G389="","",IF(N389="OK","NONE",INDEX({"S1","S2","W1","W2","N1","N2"},MATCH(MIN(Q389:V389),Q389:V389,0))))</f>
        <v/>
      </c>
      <c r="X389" s="80" t="str">
        <f t="shared" si="41"/>
        <v/>
      </c>
    </row>
    <row r="390" spans="1:24">
      <c r="A390" s="49">
        <v>388</v>
      </c>
      <c r="B390" s="74"/>
      <c r="C390" s="75"/>
      <c r="D390" s="75"/>
      <c r="E390" s="75"/>
      <c r="F390" s="75"/>
      <c r="G390" s="76"/>
      <c r="H390" s="77"/>
      <c r="I390" s="78"/>
      <c r="J390" s="70" t="e">
        <f>VLOOKUP(C390,Recipes!$A$2:$N$4,10,FALSE())</f>
        <v>#N/A</v>
      </c>
      <c r="K390" s="70" t="e">
        <f>VLOOKUP(C390,Recipes!$A$2:$N$4,12,FALSE())</f>
        <v>#N/A</v>
      </c>
      <c r="L390" s="71" t="e">
        <f t="shared" si="36"/>
        <v>#N/A</v>
      </c>
      <c r="M390" s="71" t="e">
        <f t="shared" si="37"/>
        <v>#N/A</v>
      </c>
      <c r="N390" s="7" t="str">
        <f t="shared" si="38"/>
        <v/>
      </c>
      <c r="O390" s="79" t="str">
        <f t="shared" si="39"/>
        <v/>
      </c>
      <c r="P390" s="71" t="str">
        <f t="shared" si="40"/>
        <v/>
      </c>
      <c r="Q390" s="72" t="str">
        <f>IF(G390="","",ABS(P390-Components!$C$2))</f>
        <v/>
      </c>
      <c r="R390" s="72" t="str">
        <f>IF(G390="","",ABS(P390-Components!$C$3))</f>
        <v/>
      </c>
      <c r="S390" s="72" t="str">
        <f>IF(G390="","",ABS(P390-Components!$C$4))</f>
        <v/>
      </c>
      <c r="T390" s="72" t="str">
        <f>IF(G390="","",ABS(P390-Components!$C$5))</f>
        <v/>
      </c>
      <c r="U390" s="72" t="str">
        <f>IF(G390="","",ABS(P390-Components!$C$6))</f>
        <v/>
      </c>
      <c r="V390" s="72" t="str">
        <f>IF(G390="","",ABS(P390-Components!$C$7))</f>
        <v/>
      </c>
      <c r="W390" s="7" t="str">
        <f>IF(G390="","",IF(N390="OK","NONE",INDEX({"S1","S2","W1","W2","N1","N2"},MATCH(MIN(Q390:V390),Q390:V390,0))))</f>
        <v/>
      </c>
      <c r="X390" s="80" t="str">
        <f t="shared" si="41"/>
        <v/>
      </c>
    </row>
    <row r="391" spans="1:24">
      <c r="A391" s="49">
        <v>389</v>
      </c>
      <c r="B391" s="74"/>
      <c r="C391" s="75"/>
      <c r="D391" s="75"/>
      <c r="E391" s="75"/>
      <c r="F391" s="75"/>
      <c r="G391" s="76"/>
      <c r="H391" s="77"/>
      <c r="I391" s="78"/>
      <c r="J391" s="70" t="e">
        <f>VLOOKUP(C391,Recipes!$A$2:$N$4,10,FALSE())</f>
        <v>#N/A</v>
      </c>
      <c r="K391" s="70" t="e">
        <f>VLOOKUP(C391,Recipes!$A$2:$N$4,12,FALSE())</f>
        <v>#N/A</v>
      </c>
      <c r="L391" s="71" t="e">
        <f t="shared" si="36"/>
        <v>#N/A</v>
      </c>
      <c r="M391" s="71" t="e">
        <f t="shared" si="37"/>
        <v>#N/A</v>
      </c>
      <c r="N391" s="7" t="str">
        <f t="shared" si="38"/>
        <v/>
      </c>
      <c r="O391" s="79" t="str">
        <f t="shared" si="39"/>
        <v/>
      </c>
      <c r="P391" s="71" t="str">
        <f t="shared" si="40"/>
        <v/>
      </c>
      <c r="Q391" s="72" t="str">
        <f>IF(G391="","",ABS(P391-Components!$C$2))</f>
        <v/>
      </c>
      <c r="R391" s="72" t="str">
        <f>IF(G391="","",ABS(P391-Components!$C$3))</f>
        <v/>
      </c>
      <c r="S391" s="72" t="str">
        <f>IF(G391="","",ABS(P391-Components!$C$4))</f>
        <v/>
      </c>
      <c r="T391" s="72" t="str">
        <f>IF(G391="","",ABS(P391-Components!$C$5))</f>
        <v/>
      </c>
      <c r="U391" s="72" t="str">
        <f>IF(G391="","",ABS(P391-Components!$C$6))</f>
        <v/>
      </c>
      <c r="V391" s="72" t="str">
        <f>IF(G391="","",ABS(P391-Components!$C$7))</f>
        <v/>
      </c>
      <c r="W391" s="7" t="str">
        <f>IF(G391="","",IF(N391="OK","NONE",INDEX({"S1","S2","W1","W2","N1","N2"},MATCH(MIN(Q391:V391),Q391:V391,0))))</f>
        <v/>
      </c>
      <c r="X391" s="80" t="str">
        <f t="shared" si="41"/>
        <v/>
      </c>
    </row>
    <row r="392" spans="1:24">
      <c r="A392" s="49">
        <v>390</v>
      </c>
      <c r="B392" s="74"/>
      <c r="C392" s="75"/>
      <c r="D392" s="75"/>
      <c r="E392" s="75"/>
      <c r="F392" s="75"/>
      <c r="G392" s="76"/>
      <c r="H392" s="77"/>
      <c r="I392" s="78"/>
      <c r="J392" s="70" t="e">
        <f>VLOOKUP(C392,Recipes!$A$2:$N$4,10,FALSE())</f>
        <v>#N/A</v>
      </c>
      <c r="K392" s="70" t="e">
        <f>VLOOKUP(C392,Recipes!$A$2:$N$4,12,FALSE())</f>
        <v>#N/A</v>
      </c>
      <c r="L392" s="71" t="e">
        <f t="shared" si="36"/>
        <v>#N/A</v>
      </c>
      <c r="M392" s="71" t="e">
        <f t="shared" si="37"/>
        <v>#N/A</v>
      </c>
      <c r="N392" s="7" t="str">
        <f t="shared" si="38"/>
        <v/>
      </c>
      <c r="O392" s="79" t="str">
        <f t="shared" si="39"/>
        <v/>
      </c>
      <c r="P392" s="71" t="str">
        <f t="shared" si="40"/>
        <v/>
      </c>
      <c r="Q392" s="72" t="str">
        <f>IF(G392="","",ABS(P392-Components!$C$2))</f>
        <v/>
      </c>
      <c r="R392" s="72" t="str">
        <f>IF(G392="","",ABS(P392-Components!$C$3))</f>
        <v/>
      </c>
      <c r="S392" s="72" t="str">
        <f>IF(G392="","",ABS(P392-Components!$C$4))</f>
        <v/>
      </c>
      <c r="T392" s="72" t="str">
        <f>IF(G392="","",ABS(P392-Components!$C$5))</f>
        <v/>
      </c>
      <c r="U392" s="72" t="str">
        <f>IF(G392="","",ABS(P392-Components!$C$6))</f>
        <v/>
      </c>
      <c r="V392" s="72" t="str">
        <f>IF(G392="","",ABS(P392-Components!$C$7))</f>
        <v/>
      </c>
      <c r="W392" s="7" t="str">
        <f>IF(G392="","",IF(N392="OK","NONE",INDEX({"S1","S2","W1","W2","N1","N2"},MATCH(MIN(Q392:V392),Q392:V392,0))))</f>
        <v/>
      </c>
      <c r="X392" s="80" t="str">
        <f t="shared" si="41"/>
        <v/>
      </c>
    </row>
    <row r="393" spans="1:24">
      <c r="A393" s="49">
        <v>391</v>
      </c>
      <c r="B393" s="74"/>
      <c r="C393" s="75"/>
      <c r="D393" s="75"/>
      <c r="E393" s="75"/>
      <c r="F393" s="75"/>
      <c r="G393" s="76"/>
      <c r="H393" s="77"/>
      <c r="I393" s="78"/>
      <c r="J393" s="70" t="e">
        <f>VLOOKUP(C393,Recipes!$A$2:$N$4,10,FALSE())</f>
        <v>#N/A</v>
      </c>
      <c r="K393" s="70" t="e">
        <f>VLOOKUP(C393,Recipes!$A$2:$N$4,12,FALSE())</f>
        <v>#N/A</v>
      </c>
      <c r="L393" s="71" t="e">
        <f t="shared" si="36"/>
        <v>#N/A</v>
      </c>
      <c r="M393" s="71" t="e">
        <f t="shared" si="37"/>
        <v>#N/A</v>
      </c>
      <c r="N393" s="7" t="str">
        <f t="shared" si="38"/>
        <v/>
      </c>
      <c r="O393" s="79" t="str">
        <f t="shared" si="39"/>
        <v/>
      </c>
      <c r="P393" s="71" t="str">
        <f t="shared" si="40"/>
        <v/>
      </c>
      <c r="Q393" s="72" t="str">
        <f>IF(G393="","",ABS(P393-Components!$C$2))</f>
        <v/>
      </c>
      <c r="R393" s="72" t="str">
        <f>IF(G393="","",ABS(P393-Components!$C$3))</f>
        <v/>
      </c>
      <c r="S393" s="72" t="str">
        <f>IF(G393="","",ABS(P393-Components!$C$4))</f>
        <v/>
      </c>
      <c r="T393" s="72" t="str">
        <f>IF(G393="","",ABS(P393-Components!$C$5))</f>
        <v/>
      </c>
      <c r="U393" s="72" t="str">
        <f>IF(G393="","",ABS(P393-Components!$C$6))</f>
        <v/>
      </c>
      <c r="V393" s="72" t="str">
        <f>IF(G393="","",ABS(P393-Components!$C$7))</f>
        <v/>
      </c>
      <c r="W393" s="7" t="str">
        <f>IF(G393="","",IF(N393="OK","NONE",INDEX({"S1","S2","W1","W2","N1","N2"},MATCH(MIN(Q393:V393),Q393:V393,0))))</f>
        <v/>
      </c>
      <c r="X393" s="80" t="str">
        <f t="shared" si="41"/>
        <v/>
      </c>
    </row>
    <row r="394" spans="1:24">
      <c r="A394" s="49">
        <v>392</v>
      </c>
      <c r="B394" s="74"/>
      <c r="C394" s="75"/>
      <c r="D394" s="75"/>
      <c r="E394" s="75"/>
      <c r="F394" s="75"/>
      <c r="G394" s="76"/>
      <c r="H394" s="77"/>
      <c r="I394" s="78"/>
      <c r="J394" s="70" t="e">
        <f>VLOOKUP(C394,Recipes!$A$2:$N$4,10,FALSE())</f>
        <v>#N/A</v>
      </c>
      <c r="K394" s="70" t="e">
        <f>VLOOKUP(C394,Recipes!$A$2:$N$4,12,FALSE())</f>
        <v>#N/A</v>
      </c>
      <c r="L394" s="71" t="e">
        <f t="shared" si="36"/>
        <v>#N/A</v>
      </c>
      <c r="M394" s="71" t="e">
        <f t="shared" si="37"/>
        <v>#N/A</v>
      </c>
      <c r="N394" s="7" t="str">
        <f t="shared" si="38"/>
        <v/>
      </c>
      <c r="O394" s="79" t="str">
        <f t="shared" si="39"/>
        <v/>
      </c>
      <c r="P394" s="71" t="str">
        <f t="shared" si="40"/>
        <v/>
      </c>
      <c r="Q394" s="72" t="str">
        <f>IF(G394="","",ABS(P394-Components!$C$2))</f>
        <v/>
      </c>
      <c r="R394" s="72" t="str">
        <f>IF(G394="","",ABS(P394-Components!$C$3))</f>
        <v/>
      </c>
      <c r="S394" s="72" t="str">
        <f>IF(G394="","",ABS(P394-Components!$C$4))</f>
        <v/>
      </c>
      <c r="T394" s="72" t="str">
        <f>IF(G394="","",ABS(P394-Components!$C$5))</f>
        <v/>
      </c>
      <c r="U394" s="72" t="str">
        <f>IF(G394="","",ABS(P394-Components!$C$6))</f>
        <v/>
      </c>
      <c r="V394" s="72" t="str">
        <f>IF(G394="","",ABS(P394-Components!$C$7))</f>
        <v/>
      </c>
      <c r="W394" s="7" t="str">
        <f>IF(G394="","",IF(N394="OK","NONE",INDEX({"S1","S2","W1","W2","N1","N2"},MATCH(MIN(Q394:V394),Q394:V394,0))))</f>
        <v/>
      </c>
      <c r="X394" s="80" t="str">
        <f t="shared" si="41"/>
        <v/>
      </c>
    </row>
    <row r="395" spans="1:24">
      <c r="A395" s="49">
        <v>393</v>
      </c>
      <c r="B395" s="74"/>
      <c r="C395" s="75"/>
      <c r="D395" s="75"/>
      <c r="E395" s="75"/>
      <c r="F395" s="75"/>
      <c r="G395" s="76"/>
      <c r="H395" s="77"/>
      <c r="I395" s="78"/>
      <c r="J395" s="70" t="e">
        <f>VLOOKUP(C395,Recipes!$A$2:$N$4,10,FALSE())</f>
        <v>#N/A</v>
      </c>
      <c r="K395" s="70" t="e">
        <f>VLOOKUP(C395,Recipes!$A$2:$N$4,12,FALSE())</f>
        <v>#N/A</v>
      </c>
      <c r="L395" s="71" t="e">
        <f t="shared" si="36"/>
        <v>#N/A</v>
      </c>
      <c r="M395" s="71" t="e">
        <f t="shared" si="37"/>
        <v>#N/A</v>
      </c>
      <c r="N395" s="7" t="str">
        <f t="shared" si="38"/>
        <v/>
      </c>
      <c r="O395" s="79" t="str">
        <f t="shared" si="39"/>
        <v/>
      </c>
      <c r="P395" s="71" t="str">
        <f t="shared" si="40"/>
        <v/>
      </c>
      <c r="Q395" s="72" t="str">
        <f>IF(G395="","",ABS(P395-Components!$C$2))</f>
        <v/>
      </c>
      <c r="R395" s="72" t="str">
        <f>IF(G395="","",ABS(P395-Components!$C$3))</f>
        <v/>
      </c>
      <c r="S395" s="72" t="str">
        <f>IF(G395="","",ABS(P395-Components!$C$4))</f>
        <v/>
      </c>
      <c r="T395" s="72" t="str">
        <f>IF(G395="","",ABS(P395-Components!$C$5))</f>
        <v/>
      </c>
      <c r="U395" s="72" t="str">
        <f>IF(G395="","",ABS(P395-Components!$C$6))</f>
        <v/>
      </c>
      <c r="V395" s="72" t="str">
        <f>IF(G395="","",ABS(P395-Components!$C$7))</f>
        <v/>
      </c>
      <c r="W395" s="7" t="str">
        <f>IF(G395="","",IF(N395="OK","NONE",INDEX({"S1","S2","W1","W2","N1","N2"},MATCH(MIN(Q395:V395),Q395:V395,0))))</f>
        <v/>
      </c>
      <c r="X395" s="80" t="str">
        <f t="shared" si="41"/>
        <v/>
      </c>
    </row>
    <row r="396" spans="1:24">
      <c r="A396" s="49">
        <v>394</v>
      </c>
      <c r="B396" s="74"/>
      <c r="C396" s="75"/>
      <c r="D396" s="75"/>
      <c r="E396" s="75"/>
      <c r="F396" s="75"/>
      <c r="G396" s="76"/>
      <c r="H396" s="77"/>
      <c r="I396" s="78"/>
      <c r="J396" s="70" t="e">
        <f>VLOOKUP(C396,Recipes!$A$2:$N$4,10,FALSE())</f>
        <v>#N/A</v>
      </c>
      <c r="K396" s="70" t="e">
        <f>VLOOKUP(C396,Recipes!$A$2:$N$4,12,FALSE())</f>
        <v>#N/A</v>
      </c>
      <c r="L396" s="71" t="e">
        <f t="shared" si="36"/>
        <v>#N/A</v>
      </c>
      <c r="M396" s="71" t="e">
        <f t="shared" si="37"/>
        <v>#N/A</v>
      </c>
      <c r="N396" s="7" t="str">
        <f t="shared" si="38"/>
        <v/>
      </c>
      <c r="O396" s="79" t="str">
        <f t="shared" si="39"/>
        <v/>
      </c>
      <c r="P396" s="71" t="str">
        <f t="shared" si="40"/>
        <v/>
      </c>
      <c r="Q396" s="72" t="str">
        <f>IF(G396="","",ABS(P396-Components!$C$2))</f>
        <v/>
      </c>
      <c r="R396" s="72" t="str">
        <f>IF(G396="","",ABS(P396-Components!$C$3))</f>
        <v/>
      </c>
      <c r="S396" s="72" t="str">
        <f>IF(G396="","",ABS(P396-Components!$C$4))</f>
        <v/>
      </c>
      <c r="T396" s="72" t="str">
        <f>IF(G396="","",ABS(P396-Components!$C$5))</f>
        <v/>
      </c>
      <c r="U396" s="72" t="str">
        <f>IF(G396="","",ABS(P396-Components!$C$6))</f>
        <v/>
      </c>
      <c r="V396" s="72" t="str">
        <f>IF(G396="","",ABS(P396-Components!$C$7))</f>
        <v/>
      </c>
      <c r="W396" s="7" t="str">
        <f>IF(G396="","",IF(N396="OK","NONE",INDEX({"S1","S2","W1","W2","N1","N2"},MATCH(MIN(Q396:V396),Q396:V396,0))))</f>
        <v/>
      </c>
      <c r="X396" s="80" t="str">
        <f t="shared" si="41"/>
        <v/>
      </c>
    </row>
    <row r="397" spans="1:24">
      <c r="A397" s="49">
        <v>395</v>
      </c>
      <c r="B397" s="74"/>
      <c r="C397" s="75"/>
      <c r="D397" s="75"/>
      <c r="E397" s="75"/>
      <c r="F397" s="75"/>
      <c r="G397" s="76"/>
      <c r="H397" s="77"/>
      <c r="I397" s="78"/>
      <c r="J397" s="70" t="e">
        <f>VLOOKUP(C397,Recipes!$A$2:$N$4,10,FALSE())</f>
        <v>#N/A</v>
      </c>
      <c r="K397" s="70" t="e">
        <f>VLOOKUP(C397,Recipes!$A$2:$N$4,12,FALSE())</f>
        <v>#N/A</v>
      </c>
      <c r="L397" s="71" t="e">
        <f t="shared" si="36"/>
        <v>#N/A</v>
      </c>
      <c r="M397" s="71" t="e">
        <f t="shared" si="37"/>
        <v>#N/A</v>
      </c>
      <c r="N397" s="7" t="str">
        <f t="shared" si="38"/>
        <v/>
      </c>
      <c r="O397" s="79" t="str">
        <f t="shared" si="39"/>
        <v/>
      </c>
      <c r="P397" s="71" t="str">
        <f t="shared" si="40"/>
        <v/>
      </c>
      <c r="Q397" s="72" t="str">
        <f>IF(G397="","",ABS(P397-Components!$C$2))</f>
        <v/>
      </c>
      <c r="R397" s="72" t="str">
        <f>IF(G397="","",ABS(P397-Components!$C$3))</f>
        <v/>
      </c>
      <c r="S397" s="72" t="str">
        <f>IF(G397="","",ABS(P397-Components!$C$4))</f>
        <v/>
      </c>
      <c r="T397" s="72" t="str">
        <f>IF(G397="","",ABS(P397-Components!$C$5))</f>
        <v/>
      </c>
      <c r="U397" s="72" t="str">
        <f>IF(G397="","",ABS(P397-Components!$C$6))</f>
        <v/>
      </c>
      <c r="V397" s="72" t="str">
        <f>IF(G397="","",ABS(P397-Components!$C$7))</f>
        <v/>
      </c>
      <c r="W397" s="7" t="str">
        <f>IF(G397="","",IF(N397="OK","NONE",INDEX({"S1","S2","W1","W2","N1","N2"},MATCH(MIN(Q397:V397),Q397:V397,0))))</f>
        <v/>
      </c>
      <c r="X397" s="80" t="str">
        <f t="shared" si="41"/>
        <v/>
      </c>
    </row>
    <row r="398" spans="1:24">
      <c r="A398" s="49">
        <v>396</v>
      </c>
      <c r="B398" s="74"/>
      <c r="C398" s="75"/>
      <c r="D398" s="75"/>
      <c r="E398" s="75"/>
      <c r="F398" s="75"/>
      <c r="G398" s="76"/>
      <c r="H398" s="77"/>
      <c r="I398" s="78"/>
      <c r="J398" s="70" t="e">
        <f>VLOOKUP(C398,Recipes!$A$2:$N$4,10,FALSE())</f>
        <v>#N/A</v>
      </c>
      <c r="K398" s="70" t="e">
        <f>VLOOKUP(C398,Recipes!$A$2:$N$4,12,FALSE())</f>
        <v>#N/A</v>
      </c>
      <c r="L398" s="71" t="e">
        <f t="shared" si="36"/>
        <v>#N/A</v>
      </c>
      <c r="M398" s="71" t="e">
        <f t="shared" si="37"/>
        <v>#N/A</v>
      </c>
      <c r="N398" s="7" t="str">
        <f t="shared" si="38"/>
        <v/>
      </c>
      <c r="O398" s="79" t="str">
        <f t="shared" si="39"/>
        <v/>
      </c>
      <c r="P398" s="71" t="str">
        <f t="shared" si="40"/>
        <v/>
      </c>
      <c r="Q398" s="72" t="str">
        <f>IF(G398="","",ABS(P398-Components!$C$2))</f>
        <v/>
      </c>
      <c r="R398" s="72" t="str">
        <f>IF(G398="","",ABS(P398-Components!$C$3))</f>
        <v/>
      </c>
      <c r="S398" s="72" t="str">
        <f>IF(G398="","",ABS(P398-Components!$C$4))</f>
        <v/>
      </c>
      <c r="T398" s="72" t="str">
        <f>IF(G398="","",ABS(P398-Components!$C$5))</f>
        <v/>
      </c>
      <c r="U398" s="72" t="str">
        <f>IF(G398="","",ABS(P398-Components!$C$6))</f>
        <v/>
      </c>
      <c r="V398" s="72" t="str">
        <f>IF(G398="","",ABS(P398-Components!$C$7))</f>
        <v/>
      </c>
      <c r="W398" s="7" t="str">
        <f>IF(G398="","",IF(N398="OK","NONE",INDEX({"S1","S2","W1","W2","N1","N2"},MATCH(MIN(Q398:V398),Q398:V398,0))))</f>
        <v/>
      </c>
      <c r="X398" s="80" t="str">
        <f t="shared" si="41"/>
        <v/>
      </c>
    </row>
    <row r="399" spans="1:24">
      <c r="A399" s="49">
        <v>397</v>
      </c>
      <c r="B399" s="74"/>
      <c r="C399" s="75"/>
      <c r="D399" s="75"/>
      <c r="E399" s="75"/>
      <c r="F399" s="75"/>
      <c r="G399" s="76"/>
      <c r="H399" s="77"/>
      <c r="I399" s="78"/>
      <c r="J399" s="70" t="e">
        <f>VLOOKUP(C399,Recipes!$A$2:$N$4,10,FALSE())</f>
        <v>#N/A</v>
      </c>
      <c r="K399" s="70" t="e">
        <f>VLOOKUP(C399,Recipes!$A$2:$N$4,12,FALSE())</f>
        <v>#N/A</v>
      </c>
      <c r="L399" s="71" t="e">
        <f t="shared" si="36"/>
        <v>#N/A</v>
      </c>
      <c r="M399" s="71" t="e">
        <f t="shared" si="37"/>
        <v>#N/A</v>
      </c>
      <c r="N399" s="7" t="str">
        <f t="shared" si="38"/>
        <v/>
      </c>
      <c r="O399" s="79" t="str">
        <f t="shared" si="39"/>
        <v/>
      </c>
      <c r="P399" s="71" t="str">
        <f t="shared" si="40"/>
        <v/>
      </c>
      <c r="Q399" s="72" t="str">
        <f>IF(G399="","",ABS(P399-Components!$C$2))</f>
        <v/>
      </c>
      <c r="R399" s="72" t="str">
        <f>IF(G399="","",ABS(P399-Components!$C$3))</f>
        <v/>
      </c>
      <c r="S399" s="72" t="str">
        <f>IF(G399="","",ABS(P399-Components!$C$4))</f>
        <v/>
      </c>
      <c r="T399" s="72" t="str">
        <f>IF(G399="","",ABS(P399-Components!$C$5))</f>
        <v/>
      </c>
      <c r="U399" s="72" t="str">
        <f>IF(G399="","",ABS(P399-Components!$C$6))</f>
        <v/>
      </c>
      <c r="V399" s="72" t="str">
        <f>IF(G399="","",ABS(P399-Components!$C$7))</f>
        <v/>
      </c>
      <c r="W399" s="7" t="str">
        <f>IF(G399="","",IF(N399="OK","NONE",INDEX({"S1","S2","W1","W2","N1","N2"},MATCH(MIN(Q399:V399),Q399:V399,0))))</f>
        <v/>
      </c>
      <c r="X399" s="80" t="str">
        <f t="shared" si="41"/>
        <v/>
      </c>
    </row>
    <row r="400" spans="1:24">
      <c r="A400" s="49">
        <v>398</v>
      </c>
      <c r="B400" s="74"/>
      <c r="C400" s="75"/>
      <c r="D400" s="75"/>
      <c r="E400" s="75"/>
      <c r="F400" s="75"/>
      <c r="G400" s="76"/>
      <c r="H400" s="77"/>
      <c r="I400" s="78"/>
      <c r="J400" s="70" t="e">
        <f>VLOOKUP(C400,Recipes!$A$2:$N$4,10,FALSE())</f>
        <v>#N/A</v>
      </c>
      <c r="K400" s="70" t="e">
        <f>VLOOKUP(C400,Recipes!$A$2:$N$4,12,FALSE())</f>
        <v>#N/A</v>
      </c>
      <c r="L400" s="71" t="e">
        <f t="shared" si="36"/>
        <v>#N/A</v>
      </c>
      <c r="M400" s="71" t="e">
        <f t="shared" si="37"/>
        <v>#N/A</v>
      </c>
      <c r="N400" s="7" t="str">
        <f t="shared" si="38"/>
        <v/>
      </c>
      <c r="O400" s="79" t="str">
        <f t="shared" si="39"/>
        <v/>
      </c>
      <c r="P400" s="71" t="str">
        <f t="shared" si="40"/>
        <v/>
      </c>
      <c r="Q400" s="72" t="str">
        <f>IF(G400="","",ABS(P400-Components!$C$2))</f>
        <v/>
      </c>
      <c r="R400" s="72" t="str">
        <f>IF(G400="","",ABS(P400-Components!$C$3))</f>
        <v/>
      </c>
      <c r="S400" s="72" t="str">
        <f>IF(G400="","",ABS(P400-Components!$C$4))</f>
        <v/>
      </c>
      <c r="T400" s="72" t="str">
        <f>IF(G400="","",ABS(P400-Components!$C$5))</f>
        <v/>
      </c>
      <c r="U400" s="72" t="str">
        <f>IF(G400="","",ABS(P400-Components!$C$6))</f>
        <v/>
      </c>
      <c r="V400" s="72" t="str">
        <f>IF(G400="","",ABS(P400-Components!$C$7))</f>
        <v/>
      </c>
      <c r="W400" s="7" t="str">
        <f>IF(G400="","",IF(N400="OK","NONE",INDEX({"S1","S2","W1","W2","N1","N2"},MATCH(MIN(Q400:V400),Q400:V400,0))))</f>
        <v/>
      </c>
      <c r="X400" s="80" t="str">
        <f t="shared" si="41"/>
        <v/>
      </c>
    </row>
    <row r="401" spans="1:24">
      <c r="A401" s="49">
        <v>399</v>
      </c>
      <c r="B401" s="74"/>
      <c r="C401" s="75"/>
      <c r="D401" s="75"/>
      <c r="E401" s="75"/>
      <c r="F401" s="75"/>
      <c r="G401" s="76"/>
      <c r="H401" s="77"/>
      <c r="I401" s="78"/>
      <c r="J401" s="70" t="e">
        <f>VLOOKUP(C401,Recipes!$A$2:$N$4,10,FALSE())</f>
        <v>#N/A</v>
      </c>
      <c r="K401" s="70" t="e">
        <f>VLOOKUP(C401,Recipes!$A$2:$N$4,12,FALSE())</f>
        <v>#N/A</v>
      </c>
      <c r="L401" s="71" t="e">
        <f t="shared" si="36"/>
        <v>#N/A</v>
      </c>
      <c r="M401" s="71" t="e">
        <f t="shared" si="37"/>
        <v>#N/A</v>
      </c>
      <c r="N401" s="7" t="str">
        <f t="shared" si="38"/>
        <v/>
      </c>
      <c r="O401" s="79" t="str">
        <f t="shared" si="39"/>
        <v/>
      </c>
      <c r="P401" s="71" t="str">
        <f t="shared" si="40"/>
        <v/>
      </c>
      <c r="Q401" s="72" t="str">
        <f>IF(G401="","",ABS(P401-Components!$C$2))</f>
        <v/>
      </c>
      <c r="R401" s="72" t="str">
        <f>IF(G401="","",ABS(P401-Components!$C$3))</f>
        <v/>
      </c>
      <c r="S401" s="72" t="str">
        <f>IF(G401="","",ABS(P401-Components!$C$4))</f>
        <v/>
      </c>
      <c r="T401" s="72" t="str">
        <f>IF(G401="","",ABS(P401-Components!$C$5))</f>
        <v/>
      </c>
      <c r="U401" s="72" t="str">
        <f>IF(G401="","",ABS(P401-Components!$C$6))</f>
        <v/>
      </c>
      <c r="V401" s="72" t="str">
        <f>IF(G401="","",ABS(P401-Components!$C$7))</f>
        <v/>
      </c>
      <c r="W401" s="7" t="str">
        <f>IF(G401="","",IF(N401="OK","NONE",INDEX({"S1","S2","W1","W2","N1","N2"},MATCH(MIN(Q401:V401),Q401:V401,0))))</f>
        <v/>
      </c>
      <c r="X401" s="80" t="str">
        <f t="shared" si="41"/>
        <v/>
      </c>
    </row>
    <row r="402" spans="1:24">
      <c r="A402" s="49">
        <v>400</v>
      </c>
      <c r="B402" s="74"/>
      <c r="C402" s="75"/>
      <c r="D402" s="75"/>
      <c r="E402" s="75"/>
      <c r="F402" s="75"/>
      <c r="G402" s="76"/>
      <c r="H402" s="77"/>
      <c r="I402" s="78"/>
      <c r="J402" s="70" t="e">
        <f>VLOOKUP(C402,Recipes!$A$2:$N$4,10,FALSE())</f>
        <v>#N/A</v>
      </c>
      <c r="K402" s="70" t="e">
        <f>VLOOKUP(C402,Recipes!$A$2:$N$4,12,FALSE())</f>
        <v>#N/A</v>
      </c>
      <c r="L402" s="71" t="e">
        <f t="shared" si="36"/>
        <v>#N/A</v>
      </c>
      <c r="M402" s="71" t="e">
        <f t="shared" si="37"/>
        <v>#N/A</v>
      </c>
      <c r="N402" s="7" t="str">
        <f t="shared" si="38"/>
        <v/>
      </c>
      <c r="O402" s="79" t="str">
        <f t="shared" si="39"/>
        <v/>
      </c>
      <c r="P402" s="71" t="str">
        <f t="shared" si="40"/>
        <v/>
      </c>
      <c r="Q402" s="72" t="str">
        <f>IF(G402="","",ABS(P402-Components!$C$2))</f>
        <v/>
      </c>
      <c r="R402" s="72" t="str">
        <f>IF(G402="","",ABS(P402-Components!$C$3))</f>
        <v/>
      </c>
      <c r="S402" s="72" t="str">
        <f>IF(G402="","",ABS(P402-Components!$C$4))</f>
        <v/>
      </c>
      <c r="T402" s="72" t="str">
        <f>IF(G402="","",ABS(P402-Components!$C$5))</f>
        <v/>
      </c>
      <c r="U402" s="72" t="str">
        <f>IF(G402="","",ABS(P402-Components!$C$6))</f>
        <v/>
      </c>
      <c r="V402" s="72" t="str">
        <f>IF(G402="","",ABS(P402-Components!$C$7))</f>
        <v/>
      </c>
      <c r="W402" s="7" t="str">
        <f>IF(G402="","",IF(N402="OK","NONE",INDEX({"S1","S2","W1","W2","N1","N2"},MATCH(MIN(Q402:V402),Q402:V402,0))))</f>
        <v/>
      </c>
      <c r="X402" s="80" t="str">
        <f t="shared" si="41"/>
        <v/>
      </c>
    </row>
    <row r="403" spans="1:24">
      <c r="A403" s="49">
        <v>401</v>
      </c>
      <c r="B403" s="74"/>
      <c r="C403" s="75"/>
      <c r="D403" s="75"/>
      <c r="E403" s="75"/>
      <c r="F403" s="75"/>
      <c r="G403" s="76"/>
      <c r="H403" s="77"/>
      <c r="I403" s="78"/>
      <c r="J403" s="70" t="e">
        <f>VLOOKUP(C403,Recipes!$A$2:$N$4,10,FALSE())</f>
        <v>#N/A</v>
      </c>
      <c r="K403" s="70" t="e">
        <f>VLOOKUP(C403,Recipes!$A$2:$N$4,12,FALSE())</f>
        <v>#N/A</v>
      </c>
      <c r="L403" s="71" t="e">
        <f t="shared" si="36"/>
        <v>#N/A</v>
      </c>
      <c r="M403" s="71" t="e">
        <f t="shared" si="37"/>
        <v>#N/A</v>
      </c>
      <c r="N403" s="7" t="str">
        <f t="shared" si="38"/>
        <v/>
      </c>
      <c r="O403" s="79" t="str">
        <f t="shared" si="39"/>
        <v/>
      </c>
      <c r="P403" s="71" t="str">
        <f t="shared" si="40"/>
        <v/>
      </c>
      <c r="Q403" s="72" t="str">
        <f>IF(G403="","",ABS(P403-Components!$C$2))</f>
        <v/>
      </c>
      <c r="R403" s="72" t="str">
        <f>IF(G403="","",ABS(P403-Components!$C$3))</f>
        <v/>
      </c>
      <c r="S403" s="72" t="str">
        <f>IF(G403="","",ABS(P403-Components!$C$4))</f>
        <v/>
      </c>
      <c r="T403" s="72" t="str">
        <f>IF(G403="","",ABS(P403-Components!$C$5))</f>
        <v/>
      </c>
      <c r="U403" s="72" t="str">
        <f>IF(G403="","",ABS(P403-Components!$C$6))</f>
        <v/>
      </c>
      <c r="V403" s="72" t="str">
        <f>IF(G403="","",ABS(P403-Components!$C$7))</f>
        <v/>
      </c>
      <c r="W403" s="7" t="str">
        <f>IF(G403="","",IF(N403="OK","NONE",INDEX({"S1","S2","W1","W2","N1","N2"},MATCH(MIN(Q403:V403),Q403:V403,0))))</f>
        <v/>
      </c>
      <c r="X403" s="80" t="str">
        <f t="shared" si="41"/>
        <v/>
      </c>
    </row>
    <row r="404" spans="1:24">
      <c r="A404" s="49">
        <v>402</v>
      </c>
      <c r="B404" s="74"/>
      <c r="C404" s="75"/>
      <c r="D404" s="75"/>
      <c r="E404" s="75"/>
      <c r="F404" s="75"/>
      <c r="G404" s="76"/>
      <c r="H404" s="77"/>
      <c r="I404" s="78"/>
      <c r="J404" s="70" t="e">
        <f>VLOOKUP(C404,Recipes!$A$2:$N$4,10,FALSE())</f>
        <v>#N/A</v>
      </c>
      <c r="K404" s="70" t="e">
        <f>VLOOKUP(C404,Recipes!$A$2:$N$4,12,FALSE())</f>
        <v>#N/A</v>
      </c>
      <c r="L404" s="71" t="e">
        <f t="shared" si="36"/>
        <v>#N/A</v>
      </c>
      <c r="M404" s="71" t="e">
        <f t="shared" si="37"/>
        <v>#N/A</v>
      </c>
      <c r="N404" s="7" t="str">
        <f t="shared" si="38"/>
        <v/>
      </c>
      <c r="O404" s="79" t="str">
        <f t="shared" si="39"/>
        <v/>
      </c>
      <c r="P404" s="71" t="str">
        <f t="shared" si="40"/>
        <v/>
      </c>
      <c r="Q404" s="72" t="str">
        <f>IF(G404="","",ABS(P404-Components!$C$2))</f>
        <v/>
      </c>
      <c r="R404" s="72" t="str">
        <f>IF(G404="","",ABS(P404-Components!$C$3))</f>
        <v/>
      </c>
      <c r="S404" s="72" t="str">
        <f>IF(G404="","",ABS(P404-Components!$C$4))</f>
        <v/>
      </c>
      <c r="T404" s="72" t="str">
        <f>IF(G404="","",ABS(P404-Components!$C$5))</f>
        <v/>
      </c>
      <c r="U404" s="72" t="str">
        <f>IF(G404="","",ABS(P404-Components!$C$6))</f>
        <v/>
      </c>
      <c r="V404" s="72" t="str">
        <f>IF(G404="","",ABS(P404-Components!$C$7))</f>
        <v/>
      </c>
      <c r="W404" s="7" t="str">
        <f>IF(G404="","",IF(N404="OK","NONE",INDEX({"S1","S2","W1","W2","N1","N2"},MATCH(MIN(Q404:V404),Q404:V404,0))))</f>
        <v/>
      </c>
      <c r="X404" s="80" t="str">
        <f t="shared" si="41"/>
        <v/>
      </c>
    </row>
    <row r="405" spans="1:24">
      <c r="A405" s="49">
        <v>403</v>
      </c>
      <c r="B405" s="74"/>
      <c r="C405" s="75"/>
      <c r="D405" s="75"/>
      <c r="E405" s="75"/>
      <c r="F405" s="75"/>
      <c r="G405" s="76"/>
      <c r="H405" s="77"/>
      <c r="I405" s="78"/>
      <c r="J405" s="70" t="e">
        <f>VLOOKUP(C405,Recipes!$A$2:$N$4,10,FALSE())</f>
        <v>#N/A</v>
      </c>
      <c r="K405" s="70" t="e">
        <f>VLOOKUP(C405,Recipes!$A$2:$N$4,12,FALSE())</f>
        <v>#N/A</v>
      </c>
      <c r="L405" s="71" t="e">
        <f t="shared" si="36"/>
        <v>#N/A</v>
      </c>
      <c r="M405" s="71" t="e">
        <f t="shared" si="37"/>
        <v>#N/A</v>
      </c>
      <c r="N405" s="7" t="str">
        <f t="shared" si="38"/>
        <v/>
      </c>
      <c r="O405" s="79" t="str">
        <f t="shared" si="39"/>
        <v/>
      </c>
      <c r="P405" s="71" t="str">
        <f t="shared" si="40"/>
        <v/>
      </c>
      <c r="Q405" s="72" t="str">
        <f>IF(G405="","",ABS(P405-Components!$C$2))</f>
        <v/>
      </c>
      <c r="R405" s="72" t="str">
        <f>IF(G405="","",ABS(P405-Components!$C$3))</f>
        <v/>
      </c>
      <c r="S405" s="72" t="str">
        <f>IF(G405="","",ABS(P405-Components!$C$4))</f>
        <v/>
      </c>
      <c r="T405" s="72" t="str">
        <f>IF(G405="","",ABS(P405-Components!$C$5))</f>
        <v/>
      </c>
      <c r="U405" s="72" t="str">
        <f>IF(G405="","",ABS(P405-Components!$C$6))</f>
        <v/>
      </c>
      <c r="V405" s="72" t="str">
        <f>IF(G405="","",ABS(P405-Components!$C$7))</f>
        <v/>
      </c>
      <c r="W405" s="7" t="str">
        <f>IF(G405="","",IF(N405="OK","NONE",INDEX({"S1","S2","W1","W2","N1","N2"},MATCH(MIN(Q405:V405),Q405:V405,0))))</f>
        <v/>
      </c>
      <c r="X405" s="80" t="str">
        <f t="shared" si="41"/>
        <v/>
      </c>
    </row>
    <row r="406" spans="1:24">
      <c r="A406" s="49">
        <v>404</v>
      </c>
      <c r="B406" s="74"/>
      <c r="C406" s="75"/>
      <c r="D406" s="75"/>
      <c r="E406" s="75"/>
      <c r="F406" s="75"/>
      <c r="G406" s="76"/>
      <c r="H406" s="77"/>
      <c r="I406" s="78"/>
      <c r="J406" s="70" t="e">
        <f>VLOOKUP(C406,Recipes!$A$2:$N$4,10,FALSE())</f>
        <v>#N/A</v>
      </c>
      <c r="K406" s="70" t="e">
        <f>VLOOKUP(C406,Recipes!$A$2:$N$4,12,FALSE())</f>
        <v>#N/A</v>
      </c>
      <c r="L406" s="71" t="e">
        <f t="shared" si="36"/>
        <v>#N/A</v>
      </c>
      <c r="M406" s="71" t="e">
        <f t="shared" si="37"/>
        <v>#N/A</v>
      </c>
      <c r="N406" s="7" t="str">
        <f t="shared" si="38"/>
        <v/>
      </c>
      <c r="O406" s="79" t="str">
        <f t="shared" si="39"/>
        <v/>
      </c>
      <c r="P406" s="71" t="str">
        <f t="shared" si="40"/>
        <v/>
      </c>
      <c r="Q406" s="72" t="str">
        <f>IF(G406="","",ABS(P406-Components!$C$2))</f>
        <v/>
      </c>
      <c r="R406" s="72" t="str">
        <f>IF(G406="","",ABS(P406-Components!$C$3))</f>
        <v/>
      </c>
      <c r="S406" s="72" t="str">
        <f>IF(G406="","",ABS(P406-Components!$C$4))</f>
        <v/>
      </c>
      <c r="T406" s="72" t="str">
        <f>IF(G406="","",ABS(P406-Components!$C$5))</f>
        <v/>
      </c>
      <c r="U406" s="72" t="str">
        <f>IF(G406="","",ABS(P406-Components!$C$6))</f>
        <v/>
      </c>
      <c r="V406" s="72" t="str">
        <f>IF(G406="","",ABS(P406-Components!$C$7))</f>
        <v/>
      </c>
      <c r="W406" s="7" t="str">
        <f>IF(G406="","",IF(N406="OK","NONE",INDEX({"S1","S2","W1","W2","N1","N2"},MATCH(MIN(Q406:V406),Q406:V406,0))))</f>
        <v/>
      </c>
      <c r="X406" s="80" t="str">
        <f t="shared" si="41"/>
        <v/>
      </c>
    </row>
    <row r="407" spans="1:24">
      <c r="A407" s="49">
        <v>405</v>
      </c>
      <c r="B407" s="74"/>
      <c r="C407" s="75"/>
      <c r="D407" s="75"/>
      <c r="E407" s="75"/>
      <c r="F407" s="75"/>
      <c r="G407" s="76"/>
      <c r="H407" s="77"/>
      <c r="I407" s="78"/>
      <c r="J407" s="70" t="e">
        <f>VLOOKUP(C407,Recipes!$A$2:$N$4,10,FALSE())</f>
        <v>#N/A</v>
      </c>
      <c r="K407" s="70" t="e">
        <f>VLOOKUP(C407,Recipes!$A$2:$N$4,12,FALSE())</f>
        <v>#N/A</v>
      </c>
      <c r="L407" s="71" t="e">
        <f t="shared" si="36"/>
        <v>#N/A</v>
      </c>
      <c r="M407" s="71" t="e">
        <f t="shared" si="37"/>
        <v>#N/A</v>
      </c>
      <c r="N407" s="7" t="str">
        <f t="shared" si="38"/>
        <v/>
      </c>
      <c r="O407" s="79" t="str">
        <f t="shared" si="39"/>
        <v/>
      </c>
      <c r="P407" s="71" t="str">
        <f t="shared" si="40"/>
        <v/>
      </c>
      <c r="Q407" s="72" t="str">
        <f>IF(G407="","",ABS(P407-Components!$C$2))</f>
        <v/>
      </c>
      <c r="R407" s="72" t="str">
        <f>IF(G407="","",ABS(P407-Components!$C$3))</f>
        <v/>
      </c>
      <c r="S407" s="72" t="str">
        <f>IF(G407="","",ABS(P407-Components!$C$4))</f>
        <v/>
      </c>
      <c r="T407" s="72" t="str">
        <f>IF(G407="","",ABS(P407-Components!$C$5))</f>
        <v/>
      </c>
      <c r="U407" s="72" t="str">
        <f>IF(G407="","",ABS(P407-Components!$C$6))</f>
        <v/>
      </c>
      <c r="V407" s="72" t="str">
        <f>IF(G407="","",ABS(P407-Components!$C$7))</f>
        <v/>
      </c>
      <c r="W407" s="7" t="str">
        <f>IF(G407="","",IF(N407="OK","NONE",INDEX({"S1","S2","W1","W2","N1","N2"},MATCH(MIN(Q407:V407),Q407:V407,0))))</f>
        <v/>
      </c>
      <c r="X407" s="80" t="str">
        <f t="shared" si="41"/>
        <v/>
      </c>
    </row>
    <row r="408" spans="1:24">
      <c r="A408" s="49">
        <v>406</v>
      </c>
      <c r="B408" s="74"/>
      <c r="C408" s="75"/>
      <c r="D408" s="75"/>
      <c r="E408" s="75"/>
      <c r="F408" s="75"/>
      <c r="G408" s="76"/>
      <c r="H408" s="77"/>
      <c r="I408" s="78"/>
      <c r="J408" s="70" t="e">
        <f>VLOOKUP(C408,Recipes!$A$2:$N$4,10,FALSE())</f>
        <v>#N/A</v>
      </c>
      <c r="K408" s="70" t="e">
        <f>VLOOKUP(C408,Recipes!$A$2:$N$4,12,FALSE())</f>
        <v>#N/A</v>
      </c>
      <c r="L408" s="71" t="e">
        <f t="shared" si="36"/>
        <v>#N/A</v>
      </c>
      <c r="M408" s="71" t="e">
        <f t="shared" si="37"/>
        <v>#N/A</v>
      </c>
      <c r="N408" s="7" t="str">
        <f t="shared" si="38"/>
        <v/>
      </c>
      <c r="O408" s="79" t="str">
        <f t="shared" si="39"/>
        <v/>
      </c>
      <c r="P408" s="71" t="str">
        <f t="shared" si="40"/>
        <v/>
      </c>
      <c r="Q408" s="72" t="str">
        <f>IF(G408="","",ABS(P408-Components!$C$2))</f>
        <v/>
      </c>
      <c r="R408" s="72" t="str">
        <f>IF(G408="","",ABS(P408-Components!$C$3))</f>
        <v/>
      </c>
      <c r="S408" s="72" t="str">
        <f>IF(G408="","",ABS(P408-Components!$C$4))</f>
        <v/>
      </c>
      <c r="T408" s="72" t="str">
        <f>IF(G408="","",ABS(P408-Components!$C$5))</f>
        <v/>
      </c>
      <c r="U408" s="72" t="str">
        <f>IF(G408="","",ABS(P408-Components!$C$6))</f>
        <v/>
      </c>
      <c r="V408" s="72" t="str">
        <f>IF(G408="","",ABS(P408-Components!$C$7))</f>
        <v/>
      </c>
      <c r="W408" s="7" t="str">
        <f>IF(G408="","",IF(N408="OK","NONE",INDEX({"S1","S2","W1","W2","N1","N2"},MATCH(MIN(Q408:V408),Q408:V408,0))))</f>
        <v/>
      </c>
      <c r="X408" s="80" t="str">
        <f t="shared" si="41"/>
        <v/>
      </c>
    </row>
    <row r="409" spans="1:24">
      <c r="A409" s="49">
        <v>407</v>
      </c>
      <c r="B409" s="74"/>
      <c r="C409" s="75"/>
      <c r="D409" s="75"/>
      <c r="E409" s="75"/>
      <c r="F409" s="75"/>
      <c r="G409" s="76"/>
      <c r="H409" s="77"/>
      <c r="I409" s="78"/>
      <c r="J409" s="70" t="e">
        <f>VLOOKUP(C409,Recipes!$A$2:$N$4,10,FALSE())</f>
        <v>#N/A</v>
      </c>
      <c r="K409" s="70" t="e">
        <f>VLOOKUP(C409,Recipes!$A$2:$N$4,12,FALSE())</f>
        <v>#N/A</v>
      </c>
      <c r="L409" s="71" t="e">
        <f t="shared" si="36"/>
        <v>#N/A</v>
      </c>
      <c r="M409" s="71" t="e">
        <f t="shared" si="37"/>
        <v>#N/A</v>
      </c>
      <c r="N409" s="7" t="str">
        <f t="shared" si="38"/>
        <v/>
      </c>
      <c r="O409" s="79" t="str">
        <f t="shared" si="39"/>
        <v/>
      </c>
      <c r="P409" s="71" t="str">
        <f t="shared" si="40"/>
        <v/>
      </c>
      <c r="Q409" s="72" t="str">
        <f>IF(G409="","",ABS(P409-Components!$C$2))</f>
        <v/>
      </c>
      <c r="R409" s="72" t="str">
        <f>IF(G409="","",ABS(P409-Components!$C$3))</f>
        <v/>
      </c>
      <c r="S409" s="72" t="str">
        <f>IF(G409="","",ABS(P409-Components!$C$4))</f>
        <v/>
      </c>
      <c r="T409" s="72" t="str">
        <f>IF(G409="","",ABS(P409-Components!$C$5))</f>
        <v/>
      </c>
      <c r="U409" s="72" t="str">
        <f>IF(G409="","",ABS(P409-Components!$C$6))</f>
        <v/>
      </c>
      <c r="V409" s="72" t="str">
        <f>IF(G409="","",ABS(P409-Components!$C$7))</f>
        <v/>
      </c>
      <c r="W409" s="7" t="str">
        <f>IF(G409="","",IF(N409="OK","NONE",INDEX({"S1","S2","W1","W2","N1","N2"},MATCH(MIN(Q409:V409),Q409:V409,0))))</f>
        <v/>
      </c>
      <c r="X409" s="80" t="str">
        <f t="shared" si="41"/>
        <v/>
      </c>
    </row>
    <row r="410" spans="1:24">
      <c r="A410" s="49">
        <v>408</v>
      </c>
      <c r="B410" s="74"/>
      <c r="C410" s="75"/>
      <c r="D410" s="75"/>
      <c r="E410" s="75"/>
      <c r="F410" s="75"/>
      <c r="G410" s="76"/>
      <c r="H410" s="77"/>
      <c r="I410" s="78"/>
      <c r="J410" s="70" t="e">
        <f>VLOOKUP(C410,Recipes!$A$2:$N$4,10,FALSE())</f>
        <v>#N/A</v>
      </c>
      <c r="K410" s="70" t="e">
        <f>VLOOKUP(C410,Recipes!$A$2:$N$4,12,FALSE())</f>
        <v>#N/A</v>
      </c>
      <c r="L410" s="71" t="e">
        <f t="shared" si="36"/>
        <v>#N/A</v>
      </c>
      <c r="M410" s="71" t="e">
        <f t="shared" si="37"/>
        <v>#N/A</v>
      </c>
      <c r="N410" s="7" t="str">
        <f t="shared" si="38"/>
        <v/>
      </c>
      <c r="O410" s="79" t="str">
        <f t="shared" si="39"/>
        <v/>
      </c>
      <c r="P410" s="71" t="str">
        <f t="shared" si="40"/>
        <v/>
      </c>
      <c r="Q410" s="72" t="str">
        <f>IF(G410="","",ABS(P410-Components!$C$2))</f>
        <v/>
      </c>
      <c r="R410" s="72" t="str">
        <f>IF(G410="","",ABS(P410-Components!$C$3))</f>
        <v/>
      </c>
      <c r="S410" s="72" t="str">
        <f>IF(G410="","",ABS(P410-Components!$C$4))</f>
        <v/>
      </c>
      <c r="T410" s="72" t="str">
        <f>IF(G410="","",ABS(P410-Components!$C$5))</f>
        <v/>
      </c>
      <c r="U410" s="72" t="str">
        <f>IF(G410="","",ABS(P410-Components!$C$6))</f>
        <v/>
      </c>
      <c r="V410" s="72" t="str">
        <f>IF(G410="","",ABS(P410-Components!$C$7))</f>
        <v/>
      </c>
      <c r="W410" s="7" t="str">
        <f>IF(G410="","",IF(N410="OK","NONE",INDEX({"S1","S2","W1","W2","N1","N2"},MATCH(MIN(Q410:V410),Q410:V410,0))))</f>
        <v/>
      </c>
      <c r="X410" s="80" t="str">
        <f t="shared" si="41"/>
        <v/>
      </c>
    </row>
    <row r="411" spans="1:24">
      <c r="A411" s="49">
        <v>409</v>
      </c>
      <c r="B411" s="74"/>
      <c r="C411" s="75"/>
      <c r="D411" s="75"/>
      <c r="E411" s="75"/>
      <c r="F411" s="75"/>
      <c r="G411" s="76"/>
      <c r="H411" s="77"/>
      <c r="I411" s="78"/>
      <c r="J411" s="70" t="e">
        <f>VLOOKUP(C411,Recipes!$A$2:$N$4,10,FALSE())</f>
        <v>#N/A</v>
      </c>
      <c r="K411" s="70" t="e">
        <f>VLOOKUP(C411,Recipes!$A$2:$N$4,12,FALSE())</f>
        <v>#N/A</v>
      </c>
      <c r="L411" s="71" t="e">
        <f t="shared" si="36"/>
        <v>#N/A</v>
      </c>
      <c r="M411" s="71" t="e">
        <f t="shared" si="37"/>
        <v>#N/A</v>
      </c>
      <c r="N411" s="7" t="str">
        <f t="shared" si="38"/>
        <v/>
      </c>
      <c r="O411" s="79" t="str">
        <f t="shared" si="39"/>
        <v/>
      </c>
      <c r="P411" s="71" t="str">
        <f t="shared" si="40"/>
        <v/>
      </c>
      <c r="Q411" s="72" t="str">
        <f>IF(G411="","",ABS(P411-Components!$C$2))</f>
        <v/>
      </c>
      <c r="R411" s="72" t="str">
        <f>IF(G411="","",ABS(P411-Components!$C$3))</f>
        <v/>
      </c>
      <c r="S411" s="72" t="str">
        <f>IF(G411="","",ABS(P411-Components!$C$4))</f>
        <v/>
      </c>
      <c r="T411" s="72" t="str">
        <f>IF(G411="","",ABS(P411-Components!$C$5))</f>
        <v/>
      </c>
      <c r="U411" s="72" t="str">
        <f>IF(G411="","",ABS(P411-Components!$C$6))</f>
        <v/>
      </c>
      <c r="V411" s="72" t="str">
        <f>IF(G411="","",ABS(P411-Components!$C$7))</f>
        <v/>
      </c>
      <c r="W411" s="7" t="str">
        <f>IF(G411="","",IF(N411="OK","NONE",INDEX({"S1","S2","W1","W2","N1","N2"},MATCH(MIN(Q411:V411),Q411:V411,0))))</f>
        <v/>
      </c>
      <c r="X411" s="80" t="str">
        <f t="shared" si="41"/>
        <v/>
      </c>
    </row>
    <row r="412" spans="1:24">
      <c r="A412" s="49">
        <v>410</v>
      </c>
      <c r="B412" s="74"/>
      <c r="C412" s="75"/>
      <c r="D412" s="75"/>
      <c r="E412" s="75"/>
      <c r="F412" s="75"/>
      <c r="G412" s="76"/>
      <c r="H412" s="77"/>
      <c r="I412" s="78"/>
      <c r="J412" s="70" t="e">
        <f>VLOOKUP(C412,Recipes!$A$2:$N$4,10,FALSE())</f>
        <v>#N/A</v>
      </c>
      <c r="K412" s="70" t="e">
        <f>VLOOKUP(C412,Recipes!$A$2:$N$4,12,FALSE())</f>
        <v>#N/A</v>
      </c>
      <c r="L412" s="71" t="e">
        <f t="shared" si="36"/>
        <v>#N/A</v>
      </c>
      <c r="M412" s="71" t="e">
        <f t="shared" si="37"/>
        <v>#N/A</v>
      </c>
      <c r="N412" s="7" t="str">
        <f t="shared" si="38"/>
        <v/>
      </c>
      <c r="O412" s="79" t="str">
        <f t="shared" si="39"/>
        <v/>
      </c>
      <c r="P412" s="71" t="str">
        <f t="shared" si="40"/>
        <v/>
      </c>
      <c r="Q412" s="72" t="str">
        <f>IF(G412="","",ABS(P412-Components!$C$2))</f>
        <v/>
      </c>
      <c r="R412" s="72" t="str">
        <f>IF(G412="","",ABS(P412-Components!$C$3))</f>
        <v/>
      </c>
      <c r="S412" s="72" t="str">
        <f>IF(G412="","",ABS(P412-Components!$C$4))</f>
        <v/>
      </c>
      <c r="T412" s="72" t="str">
        <f>IF(G412="","",ABS(P412-Components!$C$5))</f>
        <v/>
      </c>
      <c r="U412" s="72" t="str">
        <f>IF(G412="","",ABS(P412-Components!$C$6))</f>
        <v/>
      </c>
      <c r="V412" s="72" t="str">
        <f>IF(G412="","",ABS(P412-Components!$C$7))</f>
        <v/>
      </c>
      <c r="W412" s="7" t="str">
        <f>IF(G412="","",IF(N412="OK","NONE",INDEX({"S1","S2","W1","W2","N1","N2"},MATCH(MIN(Q412:V412),Q412:V412,0))))</f>
        <v/>
      </c>
      <c r="X412" s="80" t="str">
        <f t="shared" si="41"/>
        <v/>
      </c>
    </row>
    <row r="413" spans="1:24">
      <c r="A413" s="49">
        <v>411</v>
      </c>
      <c r="B413" s="74"/>
      <c r="C413" s="75"/>
      <c r="D413" s="75"/>
      <c r="E413" s="75"/>
      <c r="F413" s="75"/>
      <c r="G413" s="76"/>
      <c r="H413" s="77"/>
      <c r="I413" s="78"/>
      <c r="J413" s="70" t="e">
        <f>VLOOKUP(C413,Recipes!$A$2:$N$4,10,FALSE())</f>
        <v>#N/A</v>
      </c>
      <c r="K413" s="70" t="e">
        <f>VLOOKUP(C413,Recipes!$A$2:$N$4,12,FALSE())</f>
        <v>#N/A</v>
      </c>
      <c r="L413" s="71" t="e">
        <f t="shared" si="36"/>
        <v>#N/A</v>
      </c>
      <c r="M413" s="71" t="e">
        <f t="shared" si="37"/>
        <v>#N/A</v>
      </c>
      <c r="N413" s="7" t="str">
        <f t="shared" si="38"/>
        <v/>
      </c>
      <c r="O413" s="79" t="str">
        <f t="shared" si="39"/>
        <v/>
      </c>
      <c r="P413" s="71" t="str">
        <f t="shared" si="40"/>
        <v/>
      </c>
      <c r="Q413" s="72" t="str">
        <f>IF(G413="","",ABS(P413-Components!$C$2))</f>
        <v/>
      </c>
      <c r="R413" s="72" t="str">
        <f>IF(G413="","",ABS(P413-Components!$C$3))</f>
        <v/>
      </c>
      <c r="S413" s="72" t="str">
        <f>IF(G413="","",ABS(P413-Components!$C$4))</f>
        <v/>
      </c>
      <c r="T413" s="72" t="str">
        <f>IF(G413="","",ABS(P413-Components!$C$5))</f>
        <v/>
      </c>
      <c r="U413" s="72" t="str">
        <f>IF(G413="","",ABS(P413-Components!$C$6))</f>
        <v/>
      </c>
      <c r="V413" s="72" t="str">
        <f>IF(G413="","",ABS(P413-Components!$C$7))</f>
        <v/>
      </c>
      <c r="W413" s="7" t="str">
        <f>IF(G413="","",IF(N413="OK","NONE",INDEX({"S1","S2","W1","W2","N1","N2"},MATCH(MIN(Q413:V413),Q413:V413,0))))</f>
        <v/>
      </c>
      <c r="X413" s="80" t="str">
        <f t="shared" si="41"/>
        <v/>
      </c>
    </row>
    <row r="414" spans="1:24">
      <c r="A414" s="49">
        <v>412</v>
      </c>
      <c r="B414" s="74"/>
      <c r="C414" s="75"/>
      <c r="D414" s="75"/>
      <c r="E414" s="75"/>
      <c r="F414" s="75"/>
      <c r="G414" s="76"/>
      <c r="H414" s="77"/>
      <c r="I414" s="78"/>
      <c r="J414" s="70" t="e">
        <f>VLOOKUP(C414,Recipes!$A$2:$N$4,10,FALSE())</f>
        <v>#N/A</v>
      </c>
      <c r="K414" s="70" t="e">
        <f>VLOOKUP(C414,Recipes!$A$2:$N$4,12,FALSE())</f>
        <v>#N/A</v>
      </c>
      <c r="L414" s="71" t="e">
        <f t="shared" si="36"/>
        <v>#N/A</v>
      </c>
      <c r="M414" s="71" t="e">
        <f t="shared" si="37"/>
        <v>#N/A</v>
      </c>
      <c r="N414" s="7" t="str">
        <f t="shared" si="38"/>
        <v/>
      </c>
      <c r="O414" s="79" t="str">
        <f t="shared" si="39"/>
        <v/>
      </c>
      <c r="P414" s="71" t="str">
        <f t="shared" si="40"/>
        <v/>
      </c>
      <c r="Q414" s="72" t="str">
        <f>IF(G414="","",ABS(P414-Components!$C$2))</f>
        <v/>
      </c>
      <c r="R414" s="72" t="str">
        <f>IF(G414="","",ABS(P414-Components!$C$3))</f>
        <v/>
      </c>
      <c r="S414" s="72" t="str">
        <f>IF(G414="","",ABS(P414-Components!$C$4))</f>
        <v/>
      </c>
      <c r="T414" s="72" t="str">
        <f>IF(G414="","",ABS(P414-Components!$C$5))</f>
        <v/>
      </c>
      <c r="U414" s="72" t="str">
        <f>IF(G414="","",ABS(P414-Components!$C$6))</f>
        <v/>
      </c>
      <c r="V414" s="72" t="str">
        <f>IF(G414="","",ABS(P414-Components!$C$7))</f>
        <v/>
      </c>
      <c r="W414" s="7" t="str">
        <f>IF(G414="","",IF(N414="OK","NONE",INDEX({"S1","S2","W1","W2","N1","N2"},MATCH(MIN(Q414:V414),Q414:V414,0))))</f>
        <v/>
      </c>
      <c r="X414" s="80" t="str">
        <f t="shared" si="41"/>
        <v/>
      </c>
    </row>
    <row r="415" spans="1:24">
      <c r="A415" s="49">
        <v>413</v>
      </c>
      <c r="B415" s="74"/>
      <c r="C415" s="75"/>
      <c r="D415" s="75"/>
      <c r="E415" s="75"/>
      <c r="F415" s="75"/>
      <c r="G415" s="76"/>
      <c r="H415" s="77"/>
      <c r="I415" s="78"/>
      <c r="J415" s="70" t="e">
        <f>VLOOKUP(C415,Recipes!$A$2:$N$4,10,FALSE())</f>
        <v>#N/A</v>
      </c>
      <c r="K415" s="70" t="e">
        <f>VLOOKUP(C415,Recipes!$A$2:$N$4,12,FALSE())</f>
        <v>#N/A</v>
      </c>
      <c r="L415" s="71" t="e">
        <f t="shared" si="36"/>
        <v>#N/A</v>
      </c>
      <c r="M415" s="71" t="e">
        <f t="shared" si="37"/>
        <v>#N/A</v>
      </c>
      <c r="N415" s="7" t="str">
        <f t="shared" si="38"/>
        <v/>
      </c>
      <c r="O415" s="79" t="str">
        <f t="shared" si="39"/>
        <v/>
      </c>
      <c r="P415" s="71" t="str">
        <f t="shared" si="40"/>
        <v/>
      </c>
      <c r="Q415" s="72" t="str">
        <f>IF(G415="","",ABS(P415-Components!$C$2))</f>
        <v/>
      </c>
      <c r="R415" s="72" t="str">
        <f>IF(G415="","",ABS(P415-Components!$C$3))</f>
        <v/>
      </c>
      <c r="S415" s="72" t="str">
        <f>IF(G415="","",ABS(P415-Components!$C$4))</f>
        <v/>
      </c>
      <c r="T415" s="72" t="str">
        <f>IF(G415="","",ABS(P415-Components!$C$5))</f>
        <v/>
      </c>
      <c r="U415" s="72" t="str">
        <f>IF(G415="","",ABS(P415-Components!$C$6))</f>
        <v/>
      </c>
      <c r="V415" s="72" t="str">
        <f>IF(G415="","",ABS(P415-Components!$C$7))</f>
        <v/>
      </c>
      <c r="W415" s="7" t="str">
        <f>IF(G415="","",IF(N415="OK","NONE",INDEX({"S1","S2","W1","W2","N1","N2"},MATCH(MIN(Q415:V415),Q415:V415,0))))</f>
        <v/>
      </c>
      <c r="X415" s="80" t="str">
        <f t="shared" si="41"/>
        <v/>
      </c>
    </row>
    <row r="416" spans="1:24">
      <c r="A416" s="49">
        <v>414</v>
      </c>
      <c r="B416" s="74"/>
      <c r="C416" s="75"/>
      <c r="D416" s="75"/>
      <c r="E416" s="75"/>
      <c r="F416" s="75"/>
      <c r="G416" s="76"/>
      <c r="H416" s="77"/>
      <c r="I416" s="78"/>
      <c r="J416" s="70" t="e">
        <f>VLOOKUP(C416,Recipes!$A$2:$N$4,10,FALSE())</f>
        <v>#N/A</v>
      </c>
      <c r="K416" s="70" t="e">
        <f>VLOOKUP(C416,Recipes!$A$2:$N$4,12,FALSE())</f>
        <v>#N/A</v>
      </c>
      <c r="L416" s="71" t="e">
        <f t="shared" si="36"/>
        <v>#N/A</v>
      </c>
      <c r="M416" s="71" t="e">
        <f t="shared" si="37"/>
        <v>#N/A</v>
      </c>
      <c r="N416" s="7" t="str">
        <f t="shared" si="38"/>
        <v/>
      </c>
      <c r="O416" s="79" t="str">
        <f t="shared" si="39"/>
        <v/>
      </c>
      <c r="P416" s="71" t="str">
        <f t="shared" si="40"/>
        <v/>
      </c>
      <c r="Q416" s="72" t="str">
        <f>IF(G416="","",ABS(P416-Components!$C$2))</f>
        <v/>
      </c>
      <c r="R416" s="72" t="str">
        <f>IF(G416="","",ABS(P416-Components!$C$3))</f>
        <v/>
      </c>
      <c r="S416" s="72" t="str">
        <f>IF(G416="","",ABS(P416-Components!$C$4))</f>
        <v/>
      </c>
      <c r="T416" s="72" t="str">
        <f>IF(G416="","",ABS(P416-Components!$C$5))</f>
        <v/>
      </c>
      <c r="U416" s="72" t="str">
        <f>IF(G416="","",ABS(P416-Components!$C$6))</f>
        <v/>
      </c>
      <c r="V416" s="72" t="str">
        <f>IF(G416="","",ABS(P416-Components!$C$7))</f>
        <v/>
      </c>
      <c r="W416" s="7" t="str">
        <f>IF(G416="","",IF(N416="OK","NONE",INDEX({"S1","S2","W1","W2","N1","N2"},MATCH(MIN(Q416:V416),Q416:V416,0))))</f>
        <v/>
      </c>
      <c r="X416" s="80" t="str">
        <f t="shared" si="41"/>
        <v/>
      </c>
    </row>
    <row r="417" spans="1:24">
      <c r="A417" s="49">
        <v>415</v>
      </c>
      <c r="B417" s="74"/>
      <c r="C417" s="75"/>
      <c r="D417" s="75"/>
      <c r="E417" s="75"/>
      <c r="F417" s="75"/>
      <c r="G417" s="76"/>
      <c r="H417" s="77"/>
      <c r="I417" s="78"/>
      <c r="J417" s="70" t="e">
        <f>VLOOKUP(C417,Recipes!$A$2:$N$4,10,FALSE())</f>
        <v>#N/A</v>
      </c>
      <c r="K417" s="70" t="e">
        <f>VLOOKUP(C417,Recipes!$A$2:$N$4,12,FALSE())</f>
        <v>#N/A</v>
      </c>
      <c r="L417" s="71" t="e">
        <f t="shared" si="36"/>
        <v>#N/A</v>
      </c>
      <c r="M417" s="71" t="e">
        <f t="shared" si="37"/>
        <v>#N/A</v>
      </c>
      <c r="N417" s="7" t="str">
        <f t="shared" si="38"/>
        <v/>
      </c>
      <c r="O417" s="79" t="str">
        <f t="shared" si="39"/>
        <v/>
      </c>
      <c r="P417" s="71" t="str">
        <f t="shared" si="40"/>
        <v/>
      </c>
      <c r="Q417" s="72" t="str">
        <f>IF(G417="","",ABS(P417-Components!$C$2))</f>
        <v/>
      </c>
      <c r="R417" s="72" t="str">
        <f>IF(G417="","",ABS(P417-Components!$C$3))</f>
        <v/>
      </c>
      <c r="S417" s="72" t="str">
        <f>IF(G417="","",ABS(P417-Components!$C$4))</f>
        <v/>
      </c>
      <c r="T417" s="72" t="str">
        <f>IF(G417="","",ABS(P417-Components!$C$5))</f>
        <v/>
      </c>
      <c r="U417" s="72" t="str">
        <f>IF(G417="","",ABS(P417-Components!$C$6))</f>
        <v/>
      </c>
      <c r="V417" s="72" t="str">
        <f>IF(G417="","",ABS(P417-Components!$C$7))</f>
        <v/>
      </c>
      <c r="W417" s="7" t="str">
        <f>IF(G417="","",IF(N417="OK","NONE",INDEX({"S1","S2","W1","W2","N1","N2"},MATCH(MIN(Q417:V417),Q417:V417,0))))</f>
        <v/>
      </c>
      <c r="X417" s="80" t="str">
        <f t="shared" si="41"/>
        <v/>
      </c>
    </row>
    <row r="418" spans="1:24">
      <c r="A418" s="49">
        <v>416</v>
      </c>
      <c r="B418" s="74"/>
      <c r="C418" s="75"/>
      <c r="D418" s="75"/>
      <c r="E418" s="75"/>
      <c r="F418" s="75"/>
      <c r="G418" s="76"/>
      <c r="H418" s="77"/>
      <c r="I418" s="78"/>
      <c r="J418" s="70" t="e">
        <f>VLOOKUP(C418,Recipes!$A$2:$N$4,10,FALSE())</f>
        <v>#N/A</v>
      </c>
      <c r="K418" s="70" t="e">
        <f>VLOOKUP(C418,Recipes!$A$2:$N$4,12,FALSE())</f>
        <v>#N/A</v>
      </c>
      <c r="L418" s="71" t="e">
        <f t="shared" si="36"/>
        <v>#N/A</v>
      </c>
      <c r="M418" s="71" t="e">
        <f t="shared" si="37"/>
        <v>#N/A</v>
      </c>
      <c r="N418" s="7" t="str">
        <f t="shared" si="38"/>
        <v/>
      </c>
      <c r="O418" s="79" t="str">
        <f t="shared" si="39"/>
        <v/>
      </c>
      <c r="P418" s="71" t="str">
        <f t="shared" si="40"/>
        <v/>
      </c>
      <c r="Q418" s="72" t="str">
        <f>IF(G418="","",ABS(P418-Components!$C$2))</f>
        <v/>
      </c>
      <c r="R418" s="72" t="str">
        <f>IF(G418="","",ABS(P418-Components!$C$3))</f>
        <v/>
      </c>
      <c r="S418" s="72" t="str">
        <f>IF(G418="","",ABS(P418-Components!$C$4))</f>
        <v/>
      </c>
      <c r="T418" s="72" t="str">
        <f>IF(G418="","",ABS(P418-Components!$C$5))</f>
        <v/>
      </c>
      <c r="U418" s="72" t="str">
        <f>IF(G418="","",ABS(P418-Components!$C$6))</f>
        <v/>
      </c>
      <c r="V418" s="72" t="str">
        <f>IF(G418="","",ABS(P418-Components!$C$7))</f>
        <v/>
      </c>
      <c r="W418" s="7" t="str">
        <f>IF(G418="","",IF(N418="OK","NONE",INDEX({"S1","S2","W1","W2","N1","N2"},MATCH(MIN(Q418:V418),Q418:V418,0))))</f>
        <v/>
      </c>
      <c r="X418" s="80" t="str">
        <f t="shared" si="41"/>
        <v/>
      </c>
    </row>
    <row r="419" spans="1:24">
      <c r="A419" s="49">
        <v>417</v>
      </c>
      <c r="B419" s="74"/>
      <c r="C419" s="75"/>
      <c r="D419" s="75"/>
      <c r="E419" s="75"/>
      <c r="F419" s="75"/>
      <c r="G419" s="76"/>
      <c r="H419" s="77"/>
      <c r="I419" s="78"/>
      <c r="J419" s="70" t="e">
        <f>VLOOKUP(C419,Recipes!$A$2:$N$4,10,FALSE())</f>
        <v>#N/A</v>
      </c>
      <c r="K419" s="70" t="e">
        <f>VLOOKUP(C419,Recipes!$A$2:$N$4,12,FALSE())</f>
        <v>#N/A</v>
      </c>
      <c r="L419" s="71" t="e">
        <f t="shared" si="36"/>
        <v>#N/A</v>
      </c>
      <c r="M419" s="71" t="e">
        <f t="shared" si="37"/>
        <v>#N/A</v>
      </c>
      <c r="N419" s="7" t="str">
        <f t="shared" si="38"/>
        <v/>
      </c>
      <c r="O419" s="79" t="str">
        <f t="shared" si="39"/>
        <v/>
      </c>
      <c r="P419" s="71" t="str">
        <f t="shared" si="40"/>
        <v/>
      </c>
      <c r="Q419" s="72" t="str">
        <f>IF(G419="","",ABS(P419-Components!$C$2))</f>
        <v/>
      </c>
      <c r="R419" s="72" t="str">
        <f>IF(G419="","",ABS(P419-Components!$C$3))</f>
        <v/>
      </c>
      <c r="S419" s="72" t="str">
        <f>IF(G419="","",ABS(P419-Components!$C$4))</f>
        <v/>
      </c>
      <c r="T419" s="72" t="str">
        <f>IF(G419="","",ABS(P419-Components!$C$5))</f>
        <v/>
      </c>
      <c r="U419" s="72" t="str">
        <f>IF(G419="","",ABS(P419-Components!$C$6))</f>
        <v/>
      </c>
      <c r="V419" s="72" t="str">
        <f>IF(G419="","",ABS(P419-Components!$C$7))</f>
        <v/>
      </c>
      <c r="W419" s="7" t="str">
        <f>IF(G419="","",IF(N419="OK","NONE",INDEX({"S1","S2","W1","W2","N1","N2"},MATCH(MIN(Q419:V419),Q419:V419,0))))</f>
        <v/>
      </c>
      <c r="X419" s="80" t="str">
        <f t="shared" si="41"/>
        <v/>
      </c>
    </row>
    <row r="420" spans="1:24">
      <c r="A420" s="49">
        <v>418</v>
      </c>
      <c r="B420" s="74"/>
      <c r="C420" s="75"/>
      <c r="D420" s="75"/>
      <c r="E420" s="75"/>
      <c r="F420" s="75"/>
      <c r="G420" s="76"/>
      <c r="H420" s="77"/>
      <c r="I420" s="78"/>
      <c r="J420" s="70" t="e">
        <f>VLOOKUP(C420,Recipes!$A$2:$N$4,10,FALSE())</f>
        <v>#N/A</v>
      </c>
      <c r="K420" s="70" t="e">
        <f>VLOOKUP(C420,Recipes!$A$2:$N$4,12,FALSE())</f>
        <v>#N/A</v>
      </c>
      <c r="L420" s="71" t="e">
        <f t="shared" si="36"/>
        <v>#N/A</v>
      </c>
      <c r="M420" s="71" t="e">
        <f t="shared" si="37"/>
        <v>#N/A</v>
      </c>
      <c r="N420" s="7" t="str">
        <f t="shared" si="38"/>
        <v/>
      </c>
      <c r="O420" s="79" t="str">
        <f t="shared" si="39"/>
        <v/>
      </c>
      <c r="P420" s="71" t="str">
        <f t="shared" si="40"/>
        <v/>
      </c>
      <c r="Q420" s="72" t="str">
        <f>IF(G420="","",ABS(P420-Components!$C$2))</f>
        <v/>
      </c>
      <c r="R420" s="72" t="str">
        <f>IF(G420="","",ABS(P420-Components!$C$3))</f>
        <v/>
      </c>
      <c r="S420" s="72" t="str">
        <f>IF(G420="","",ABS(P420-Components!$C$4))</f>
        <v/>
      </c>
      <c r="T420" s="72" t="str">
        <f>IF(G420="","",ABS(P420-Components!$C$5))</f>
        <v/>
      </c>
      <c r="U420" s="72" t="str">
        <f>IF(G420="","",ABS(P420-Components!$C$6))</f>
        <v/>
      </c>
      <c r="V420" s="72" t="str">
        <f>IF(G420="","",ABS(P420-Components!$C$7))</f>
        <v/>
      </c>
      <c r="W420" s="7" t="str">
        <f>IF(G420="","",IF(N420="OK","NONE",INDEX({"S1","S2","W1","W2","N1","N2"},MATCH(MIN(Q420:V420),Q420:V420,0))))</f>
        <v/>
      </c>
      <c r="X420" s="80" t="str">
        <f t="shared" si="41"/>
        <v/>
      </c>
    </row>
    <row r="421" spans="1:24">
      <c r="A421" s="49">
        <v>419</v>
      </c>
      <c r="B421" s="74"/>
      <c r="C421" s="75"/>
      <c r="D421" s="75"/>
      <c r="E421" s="75"/>
      <c r="F421" s="75"/>
      <c r="G421" s="76"/>
      <c r="H421" s="77"/>
      <c r="I421" s="78"/>
      <c r="J421" s="70" t="e">
        <f>VLOOKUP(C421,Recipes!$A$2:$N$4,10,FALSE())</f>
        <v>#N/A</v>
      </c>
      <c r="K421" s="70" t="e">
        <f>VLOOKUP(C421,Recipes!$A$2:$N$4,12,FALSE())</f>
        <v>#N/A</v>
      </c>
      <c r="L421" s="71" t="e">
        <f t="shared" si="36"/>
        <v>#N/A</v>
      </c>
      <c r="M421" s="71" t="e">
        <f t="shared" si="37"/>
        <v>#N/A</v>
      </c>
      <c r="N421" s="7" t="str">
        <f t="shared" si="38"/>
        <v/>
      </c>
      <c r="O421" s="79" t="str">
        <f t="shared" si="39"/>
        <v/>
      </c>
      <c r="P421" s="71" t="str">
        <f t="shared" si="40"/>
        <v/>
      </c>
      <c r="Q421" s="72" t="str">
        <f>IF(G421="","",ABS(P421-Components!$C$2))</f>
        <v/>
      </c>
      <c r="R421" s="72" t="str">
        <f>IF(G421="","",ABS(P421-Components!$C$3))</f>
        <v/>
      </c>
      <c r="S421" s="72" t="str">
        <f>IF(G421="","",ABS(P421-Components!$C$4))</f>
        <v/>
      </c>
      <c r="T421" s="72" t="str">
        <f>IF(G421="","",ABS(P421-Components!$C$5))</f>
        <v/>
      </c>
      <c r="U421" s="72" t="str">
        <f>IF(G421="","",ABS(P421-Components!$C$6))</f>
        <v/>
      </c>
      <c r="V421" s="72" t="str">
        <f>IF(G421="","",ABS(P421-Components!$C$7))</f>
        <v/>
      </c>
      <c r="W421" s="7" t="str">
        <f>IF(G421="","",IF(N421="OK","NONE",INDEX({"S1","S2","W1","W2","N1","N2"},MATCH(MIN(Q421:V421),Q421:V421,0))))</f>
        <v/>
      </c>
      <c r="X421" s="80" t="str">
        <f t="shared" si="41"/>
        <v/>
      </c>
    </row>
    <row r="422" spans="1:24">
      <c r="A422" s="49">
        <v>420</v>
      </c>
      <c r="B422" s="74"/>
      <c r="C422" s="75"/>
      <c r="D422" s="75"/>
      <c r="E422" s="75"/>
      <c r="F422" s="75"/>
      <c r="G422" s="76"/>
      <c r="H422" s="77"/>
      <c r="I422" s="78"/>
      <c r="J422" s="70" t="e">
        <f>VLOOKUP(C422,Recipes!$A$2:$N$4,10,FALSE())</f>
        <v>#N/A</v>
      </c>
      <c r="K422" s="70" t="e">
        <f>VLOOKUP(C422,Recipes!$A$2:$N$4,12,FALSE())</f>
        <v>#N/A</v>
      </c>
      <c r="L422" s="71" t="e">
        <f t="shared" si="36"/>
        <v>#N/A</v>
      </c>
      <c r="M422" s="71" t="e">
        <f t="shared" si="37"/>
        <v>#N/A</v>
      </c>
      <c r="N422" s="7" t="str">
        <f t="shared" si="38"/>
        <v/>
      </c>
      <c r="O422" s="79" t="str">
        <f t="shared" si="39"/>
        <v/>
      </c>
      <c r="P422" s="71" t="str">
        <f t="shared" si="40"/>
        <v/>
      </c>
      <c r="Q422" s="72" t="str">
        <f>IF(G422="","",ABS(P422-Components!$C$2))</f>
        <v/>
      </c>
      <c r="R422" s="72" t="str">
        <f>IF(G422="","",ABS(P422-Components!$C$3))</f>
        <v/>
      </c>
      <c r="S422" s="72" t="str">
        <f>IF(G422="","",ABS(P422-Components!$C$4))</f>
        <v/>
      </c>
      <c r="T422" s="72" t="str">
        <f>IF(G422="","",ABS(P422-Components!$C$5))</f>
        <v/>
      </c>
      <c r="U422" s="72" t="str">
        <f>IF(G422="","",ABS(P422-Components!$C$6))</f>
        <v/>
      </c>
      <c r="V422" s="72" t="str">
        <f>IF(G422="","",ABS(P422-Components!$C$7))</f>
        <v/>
      </c>
      <c r="W422" s="7" t="str">
        <f>IF(G422="","",IF(N422="OK","NONE",INDEX({"S1","S2","W1","W2","N1","N2"},MATCH(MIN(Q422:V422),Q422:V422,0))))</f>
        <v/>
      </c>
      <c r="X422" s="80" t="str">
        <f t="shared" si="41"/>
        <v/>
      </c>
    </row>
    <row r="423" spans="1:24">
      <c r="A423" s="49"/>
      <c r="B423" s="49"/>
      <c r="C423" s="49"/>
      <c r="D423" s="49"/>
      <c r="E423" s="49"/>
      <c r="F423" s="49"/>
      <c r="G423" s="81"/>
      <c r="H423" s="82"/>
      <c r="I423" s="83"/>
      <c r="J423" s="55"/>
      <c r="K423" s="56"/>
      <c r="L423" s="55"/>
      <c r="M423" s="55"/>
      <c r="N423" s="49"/>
      <c r="O423" s="57"/>
      <c r="P423" s="55"/>
      <c r="Q423" s="55"/>
      <c r="R423" s="55"/>
      <c r="S423" s="55"/>
      <c r="T423" s="55"/>
      <c r="U423" s="55"/>
      <c r="V423" s="55"/>
      <c r="W423" s="49"/>
      <c r="X423" s="57"/>
    </row>
    <row r="424" spans="1:24">
      <c r="A424" s="7"/>
      <c r="B424" s="66"/>
      <c r="C424" s="7"/>
      <c r="D424" s="7"/>
      <c r="E424" s="7"/>
      <c r="F424" s="7"/>
      <c r="G424" s="67"/>
      <c r="H424" s="68"/>
      <c r="I424" s="69"/>
      <c r="J424" s="70"/>
      <c r="K424" s="70"/>
      <c r="L424" s="71"/>
      <c r="M424" s="71"/>
      <c r="N424" s="7"/>
      <c r="O424" s="7"/>
      <c r="P424" s="71"/>
      <c r="Q424" s="72"/>
      <c r="R424" s="72"/>
      <c r="S424" s="72"/>
      <c r="T424" s="72"/>
      <c r="U424" s="72"/>
      <c r="V424" s="72"/>
      <c r="W424" s="7"/>
      <c r="X424" s="7"/>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X424"/>
  <sheetViews>
    <sheetView topLeftCell="G1" zoomScale="118" zoomScaleNormal="118" workbookViewId="0">
      <pane ySplit="2" topLeftCell="A365" activePane="bottomLeft" state="frozen"/>
      <selection pane="bottomLeft" activeCell="M420" sqref="M420"/>
    </sheetView>
  </sheetViews>
  <sheetFormatPr defaultColWidth="8.7109375" defaultRowHeight="15"/>
  <cols>
    <col min="1" max="1" width="8" customWidth="1"/>
    <col min="2" max="2" width="17" customWidth="1"/>
    <col min="3" max="3" width="8" customWidth="1"/>
    <col min="4" max="4" width="11" customWidth="1"/>
    <col min="5" max="6" width="19" customWidth="1"/>
    <col min="7" max="7" width="25.140625" customWidth="1"/>
    <col min="8" max="8" width="8" customWidth="1"/>
    <col min="9" max="9" width="17" customWidth="1"/>
    <col min="10" max="10" width="14" customWidth="1"/>
    <col min="11" max="12" width="13" customWidth="1"/>
    <col min="13" max="13" width="17" customWidth="1"/>
    <col min="14" max="14" width="12" customWidth="1"/>
    <col min="15" max="15" width="19" customWidth="1"/>
    <col min="16" max="21" width="10" customWidth="1"/>
    <col min="22" max="22" width="19" customWidth="1"/>
    <col min="23" max="24" width="12" customWidth="1"/>
  </cols>
  <sheetData>
    <row r="1" spans="1:24" ht="15.75" customHeight="1"/>
    <row r="2" spans="1:24" ht="30" customHeight="1">
      <c r="A2" s="48" t="s">
        <v>216</v>
      </c>
      <c r="B2" s="48" t="s">
        <v>217</v>
      </c>
      <c r="C2" s="48" t="s">
        <v>218</v>
      </c>
      <c r="D2" s="48" t="s">
        <v>219</v>
      </c>
      <c r="E2" s="48" t="s">
        <v>220</v>
      </c>
      <c r="F2" s="48" t="s">
        <v>221</v>
      </c>
      <c r="G2" s="48" t="s">
        <v>445</v>
      </c>
      <c r="H2" s="48" t="s">
        <v>98</v>
      </c>
      <c r="I2" s="48" t="s">
        <v>223</v>
      </c>
      <c r="J2" s="48" t="s">
        <v>224</v>
      </c>
      <c r="K2" s="48" t="s">
        <v>225</v>
      </c>
      <c r="L2" s="48" t="s">
        <v>226</v>
      </c>
      <c r="M2" s="48" t="s">
        <v>227</v>
      </c>
      <c r="N2" s="48" t="s">
        <v>228</v>
      </c>
      <c r="O2" s="48" t="s">
        <v>229</v>
      </c>
      <c r="P2" s="48" t="s">
        <v>230</v>
      </c>
      <c r="Q2" s="48" t="s">
        <v>231</v>
      </c>
      <c r="R2" s="48" t="s">
        <v>232</v>
      </c>
      <c r="S2" s="48" t="s">
        <v>233</v>
      </c>
      <c r="T2" s="48" t="s">
        <v>234</v>
      </c>
      <c r="U2" s="48" t="s">
        <v>235</v>
      </c>
      <c r="V2" s="48" t="s">
        <v>236</v>
      </c>
      <c r="W2" s="48" t="s">
        <v>237</v>
      </c>
      <c r="X2" s="121" t="s">
        <v>295</v>
      </c>
    </row>
    <row r="3" spans="1:24">
      <c r="A3" s="115">
        <v>1</v>
      </c>
      <c r="B3" s="116">
        <v>1</v>
      </c>
      <c r="C3" s="81" t="s">
        <v>128</v>
      </c>
      <c r="D3" s="109" t="s">
        <v>238</v>
      </c>
      <c r="E3" s="81" t="s">
        <v>239</v>
      </c>
      <c r="F3" s="52">
        <v>9.91</v>
      </c>
      <c r="G3" s="52">
        <f>0.97+F3</f>
        <v>10.88</v>
      </c>
      <c r="H3" s="110"/>
      <c r="I3" s="81">
        <f>VLOOKUP(C3,Recipes!$A$2:$N$4,10,FALSE())</f>
        <v>10.940000000000001</v>
      </c>
      <c r="J3" s="81">
        <f>VLOOKUP(C3,Recipes!$A$2:$N$4,12,FALSE())</f>
        <v>5.2703573566378441E-2</v>
      </c>
      <c r="K3" s="81">
        <f t="shared" ref="K3" si="0">I3-3.5*J3</f>
        <v>10.755537492517677</v>
      </c>
      <c r="L3" s="81">
        <f t="shared" ref="L3" si="1">I3+3.5*J3</f>
        <v>11.124462507482326</v>
      </c>
      <c r="M3" s="81" t="str">
        <f>IF(G3="","",IF(AND(G3&gt;=K3,G3&lt;=L3),"OK","NG"))</f>
        <v>OK</v>
      </c>
      <c r="N3" s="117">
        <f t="shared" ref="N3" si="2">IF(M3="","",IF(M3=D3,1,0))</f>
        <v>1</v>
      </c>
      <c r="O3" s="81">
        <f>IF(G3="","",I3-G3)</f>
        <v>6.0000000000000497E-2</v>
      </c>
      <c r="P3" s="81">
        <f>IF(G3="","",ABS(O3-Components!$C$2))</f>
        <v>2.6933333333333294</v>
      </c>
      <c r="Q3" s="81">
        <f>IF(G3="","",ABS(O3-Components!$C$3))</f>
        <v>3.9759999999999991</v>
      </c>
      <c r="R3" s="81">
        <f>IF(G3="","",ABS(O3-Components!$C$4))</f>
        <v>0.93333333333333246</v>
      </c>
      <c r="S3" s="81">
        <f>IF(G3="","",ABS(O3-Components!$C$5))</f>
        <v>4.5026666666666699</v>
      </c>
      <c r="T3" s="81">
        <f>IF(G3="","",ABS(O3-Components!$C$6))</f>
        <v>1.0956666666666695</v>
      </c>
      <c r="U3" s="81">
        <f>IF(G3="","",ABS(O3-Components!$C$7))</f>
        <v>1.3143333333333296</v>
      </c>
      <c r="V3" s="81" t="str">
        <f>IF(G3="","",IF(M3="OK","NONE",INDEX({"S1","S2","W1","W2","N1","N2"},MATCH(MIN(P3:U3),P3:U3,0))))</f>
        <v>NONE</v>
      </c>
      <c r="W3" s="117">
        <f>IF(G3="","",IF(V3=E3,1,0))</f>
        <v>1</v>
      </c>
      <c r="X3" s="58"/>
    </row>
    <row r="4" spans="1:24">
      <c r="A4" s="115">
        <v>2</v>
      </c>
      <c r="B4" s="116">
        <v>1</v>
      </c>
      <c r="C4" s="81" t="s">
        <v>128</v>
      </c>
      <c r="D4" s="109" t="s">
        <v>238</v>
      </c>
      <c r="E4" s="81" t="s">
        <v>239</v>
      </c>
      <c r="F4" s="52">
        <v>10</v>
      </c>
      <c r="G4" s="52">
        <f>0.97+F4</f>
        <v>10.97</v>
      </c>
      <c r="H4" s="110"/>
      <c r="I4" s="81">
        <f>VLOOKUP(C4,Recipes!$A$2:$N$4,10,FALSE())</f>
        <v>10.940000000000001</v>
      </c>
      <c r="J4" s="81">
        <f>VLOOKUP(C4,Recipes!$A$2:$N$4,12,FALSE())</f>
        <v>5.2703573566378441E-2</v>
      </c>
      <c r="K4" s="81">
        <f t="shared" ref="K4:K67" si="3">I4-3.5*J4</f>
        <v>10.755537492517677</v>
      </c>
      <c r="L4" s="81">
        <f t="shared" ref="L4:L67" si="4">I4+3.5*J4</f>
        <v>11.124462507482326</v>
      </c>
      <c r="M4" s="81" t="str">
        <f t="shared" ref="M4:M67" si="5">IF(G4="","",IF(AND(G4&gt;=K4,G4&lt;=L4),"OK","NG"))</f>
        <v>OK</v>
      </c>
      <c r="N4" s="117">
        <f t="shared" ref="N4:N67" si="6">IF(M4="","",IF(M4=D4,1,0))</f>
        <v>1</v>
      </c>
      <c r="O4" s="81">
        <f t="shared" ref="O4:O67" si="7">IF(G4="","",I4-G4)</f>
        <v>-2.9999999999999361E-2</v>
      </c>
      <c r="P4" s="81">
        <f>IF(G4="","",ABS(O4-Components!$C$2))</f>
        <v>2.7833333333333292</v>
      </c>
      <c r="Q4" s="81">
        <f>IF(G4="","",ABS(O4-Components!$C$3))</f>
        <v>4.0659999999999989</v>
      </c>
      <c r="R4" s="81">
        <f>IF(G4="","",ABS(O4-Components!$C$4))</f>
        <v>1.0233333333333323</v>
      </c>
      <c r="S4" s="81">
        <f>IF(G4="","",ABS(O4-Components!$C$5))</f>
        <v>4.5926666666666698</v>
      </c>
      <c r="T4" s="81">
        <f>IF(G4="","",ABS(O4-Components!$C$6))</f>
        <v>1.1856666666666693</v>
      </c>
      <c r="U4" s="81">
        <f>IF(G4="","",ABS(O4-Components!$C$7))</f>
        <v>1.4043333333333294</v>
      </c>
      <c r="V4" s="81" t="str">
        <f>IF(G4="","",IF(M4="OK","NONE",INDEX({"S1","S2","W1","W2","N1","N2"},MATCH(MIN(P4:U4),P4:U4,0))))</f>
        <v>NONE</v>
      </c>
      <c r="W4" s="117">
        <f t="shared" ref="W4:W67" si="8">IF(G4="","",IF(V4=E4,1,0))</f>
        <v>1</v>
      </c>
      <c r="X4" s="58"/>
    </row>
    <row r="5" spans="1:24">
      <c r="A5" s="115">
        <v>3</v>
      </c>
      <c r="B5" s="116">
        <v>1</v>
      </c>
      <c r="C5" s="81" t="s">
        <v>128</v>
      </c>
      <c r="D5" s="109" t="s">
        <v>238</v>
      </c>
      <c r="E5" s="81" t="s">
        <v>239</v>
      </c>
      <c r="F5" s="52">
        <v>10</v>
      </c>
      <c r="G5" s="52">
        <f t="shared" ref="G5:G66" si="9">0.97+F5</f>
        <v>10.97</v>
      </c>
      <c r="H5" s="110"/>
      <c r="I5" s="81">
        <f>VLOOKUP(C5,Recipes!$A$2:$N$4,10,FALSE())</f>
        <v>10.940000000000001</v>
      </c>
      <c r="J5" s="81">
        <f>VLOOKUP(C5,Recipes!$A$2:$N$4,12,FALSE())</f>
        <v>5.2703573566378441E-2</v>
      </c>
      <c r="K5" s="81">
        <f t="shared" si="3"/>
        <v>10.755537492517677</v>
      </c>
      <c r="L5" s="81">
        <f t="shared" si="4"/>
        <v>11.124462507482326</v>
      </c>
      <c r="M5" s="81" t="str">
        <f t="shared" si="5"/>
        <v>OK</v>
      </c>
      <c r="N5" s="117">
        <f t="shared" si="6"/>
        <v>1</v>
      </c>
      <c r="O5" s="81">
        <f t="shared" si="7"/>
        <v>-2.9999999999999361E-2</v>
      </c>
      <c r="P5" s="81">
        <f>IF(G5="","",ABS(O5-Components!$C$2))</f>
        <v>2.7833333333333292</v>
      </c>
      <c r="Q5" s="81">
        <f>IF(G5="","",ABS(O5-Components!$C$3))</f>
        <v>4.0659999999999989</v>
      </c>
      <c r="R5" s="81">
        <f>IF(G5="","",ABS(O5-Components!$C$4))</f>
        <v>1.0233333333333323</v>
      </c>
      <c r="S5" s="81">
        <f>IF(G5="","",ABS(O5-Components!$C$5))</f>
        <v>4.5926666666666698</v>
      </c>
      <c r="T5" s="81">
        <f>IF(G5="","",ABS(O5-Components!$C$6))</f>
        <v>1.1856666666666693</v>
      </c>
      <c r="U5" s="81">
        <f>IF(G5="","",ABS(O5-Components!$C$7))</f>
        <v>1.4043333333333294</v>
      </c>
      <c r="V5" s="81" t="str">
        <f>IF(G5="","",IF(M5="OK","NONE",INDEX({"S1","S2","W1","W2","N1","N2"},MATCH(MIN(P5:U5),P5:U5,0))))</f>
        <v>NONE</v>
      </c>
      <c r="W5" s="117">
        <f t="shared" si="8"/>
        <v>1</v>
      </c>
      <c r="X5" s="58"/>
    </row>
    <row r="6" spans="1:24">
      <c r="A6" s="115">
        <v>4</v>
      </c>
      <c r="B6" s="116">
        <v>1</v>
      </c>
      <c r="C6" s="81" t="s">
        <v>128</v>
      </c>
      <c r="D6" s="109" t="s">
        <v>238</v>
      </c>
      <c r="E6" s="81" t="s">
        <v>239</v>
      </c>
      <c r="F6" s="52">
        <v>9.91</v>
      </c>
      <c r="G6" s="52">
        <f t="shared" si="9"/>
        <v>10.88</v>
      </c>
      <c r="H6" s="110"/>
      <c r="I6" s="81">
        <f>VLOOKUP(C6,Recipes!$A$2:$N$4,10,FALSE())</f>
        <v>10.940000000000001</v>
      </c>
      <c r="J6" s="81">
        <f>VLOOKUP(C6,Recipes!$A$2:$N$4,12,FALSE())</f>
        <v>5.2703573566378441E-2</v>
      </c>
      <c r="K6" s="81">
        <f t="shared" si="3"/>
        <v>10.755537492517677</v>
      </c>
      <c r="L6" s="81">
        <f t="shared" si="4"/>
        <v>11.124462507482326</v>
      </c>
      <c r="M6" s="81" t="str">
        <f t="shared" si="5"/>
        <v>OK</v>
      </c>
      <c r="N6" s="117">
        <f t="shared" si="6"/>
        <v>1</v>
      </c>
      <c r="O6" s="81">
        <f t="shared" si="7"/>
        <v>6.0000000000000497E-2</v>
      </c>
      <c r="P6" s="81">
        <f>IF(G6="","",ABS(O6-Components!$C$2))</f>
        <v>2.6933333333333294</v>
      </c>
      <c r="Q6" s="81">
        <f>IF(G6="","",ABS(O6-Components!$C$3))</f>
        <v>3.9759999999999991</v>
      </c>
      <c r="R6" s="81">
        <f>IF(G6="","",ABS(O6-Components!$C$4))</f>
        <v>0.93333333333333246</v>
      </c>
      <c r="S6" s="81">
        <f>IF(G6="","",ABS(O6-Components!$C$5))</f>
        <v>4.5026666666666699</v>
      </c>
      <c r="T6" s="81">
        <f>IF(G6="","",ABS(O6-Components!$C$6))</f>
        <v>1.0956666666666695</v>
      </c>
      <c r="U6" s="81">
        <f>IF(G6="","",ABS(O6-Components!$C$7))</f>
        <v>1.3143333333333296</v>
      </c>
      <c r="V6" s="81" t="str">
        <f>IF(G6="","",IF(M6="OK","NONE",INDEX({"S1","S2","W1","W2","N1","N2"},MATCH(MIN(P6:U6),P6:U6,0))))</f>
        <v>NONE</v>
      </c>
      <c r="W6" s="117">
        <f t="shared" si="8"/>
        <v>1</v>
      </c>
      <c r="X6" s="58"/>
    </row>
    <row r="7" spans="1:24">
      <c r="A7" s="115">
        <v>5</v>
      </c>
      <c r="B7" s="116">
        <v>1</v>
      </c>
      <c r="C7" s="81" t="s">
        <v>128</v>
      </c>
      <c r="D7" s="109" t="s">
        <v>238</v>
      </c>
      <c r="E7" s="81" t="s">
        <v>239</v>
      </c>
      <c r="F7" s="52">
        <v>10.039999999999999</v>
      </c>
      <c r="G7" s="52">
        <f t="shared" si="9"/>
        <v>11.01</v>
      </c>
      <c r="H7" s="110"/>
      <c r="I7" s="81">
        <f>VLOOKUP(C7,Recipes!$A$2:$N$4,10,FALSE())</f>
        <v>10.940000000000001</v>
      </c>
      <c r="J7" s="81">
        <f>VLOOKUP(C7,Recipes!$A$2:$N$4,12,FALSE())</f>
        <v>5.2703573566378441E-2</v>
      </c>
      <c r="K7" s="81">
        <f t="shared" si="3"/>
        <v>10.755537492517677</v>
      </c>
      <c r="L7" s="81">
        <f t="shared" si="4"/>
        <v>11.124462507482326</v>
      </c>
      <c r="M7" s="81" t="str">
        <f t="shared" si="5"/>
        <v>OK</v>
      </c>
      <c r="N7" s="117">
        <f t="shared" si="6"/>
        <v>1</v>
      </c>
      <c r="O7" s="81">
        <f t="shared" si="7"/>
        <v>-6.9999999999998508E-2</v>
      </c>
      <c r="P7" s="81">
        <f>IF(G7="","",ABS(O7-Components!$C$2))</f>
        <v>2.8233333333333284</v>
      </c>
      <c r="Q7" s="81">
        <f>IF(G7="","",ABS(O7-Components!$C$3))</f>
        <v>4.1059999999999981</v>
      </c>
      <c r="R7" s="81">
        <f>IF(G7="","",ABS(O7-Components!$C$4))</f>
        <v>1.0633333333333315</v>
      </c>
      <c r="S7" s="81">
        <f>IF(G7="","",ABS(O7-Components!$C$5))</f>
        <v>4.6326666666666689</v>
      </c>
      <c r="T7" s="81">
        <f>IF(G7="","",ABS(O7-Components!$C$6))</f>
        <v>1.2256666666666685</v>
      </c>
      <c r="U7" s="81">
        <f>IF(G7="","",ABS(O7-Components!$C$7))</f>
        <v>1.4443333333333286</v>
      </c>
      <c r="V7" s="81" t="str">
        <f>IF(G7="","",IF(M7="OK","NONE",INDEX({"S1","S2","W1","W2","N1","N2"},MATCH(MIN(P7:U7),P7:U7,0))))</f>
        <v>NONE</v>
      </c>
      <c r="W7" s="117">
        <f t="shared" si="8"/>
        <v>1</v>
      </c>
      <c r="X7" s="58"/>
    </row>
    <row r="8" spans="1:24">
      <c r="A8" s="115">
        <v>6</v>
      </c>
      <c r="B8" s="116">
        <v>1</v>
      </c>
      <c r="C8" s="81" t="s">
        <v>128</v>
      </c>
      <c r="D8" s="109" t="s">
        <v>238</v>
      </c>
      <c r="E8" s="81" t="s">
        <v>239</v>
      </c>
      <c r="F8" s="52">
        <v>9.84</v>
      </c>
      <c r="G8" s="52">
        <f t="shared" si="9"/>
        <v>10.81</v>
      </c>
      <c r="H8" s="110"/>
      <c r="I8" s="81">
        <f>VLOOKUP(C8,Recipes!$A$2:$N$4,10,FALSE())</f>
        <v>10.940000000000001</v>
      </c>
      <c r="J8" s="81">
        <f>VLOOKUP(C8,Recipes!$A$2:$N$4,12,FALSE())</f>
        <v>5.2703573566378441E-2</v>
      </c>
      <c r="K8" s="81">
        <f t="shared" si="3"/>
        <v>10.755537492517677</v>
      </c>
      <c r="L8" s="81">
        <f t="shared" si="4"/>
        <v>11.124462507482326</v>
      </c>
      <c r="M8" s="81" t="str">
        <f t="shared" si="5"/>
        <v>OK</v>
      </c>
      <c r="N8" s="117">
        <f t="shared" si="6"/>
        <v>1</v>
      </c>
      <c r="O8" s="81">
        <f t="shared" si="7"/>
        <v>0.13000000000000078</v>
      </c>
      <c r="P8" s="81">
        <f>IF(G8="","",ABS(O8-Components!$C$2))</f>
        <v>2.6233333333333291</v>
      </c>
      <c r="Q8" s="81">
        <f>IF(G8="","",ABS(O8-Components!$C$3))</f>
        <v>3.9059999999999988</v>
      </c>
      <c r="R8" s="81">
        <f>IF(G8="","",ABS(O8-Components!$C$4))</f>
        <v>0.86333333333333218</v>
      </c>
      <c r="S8" s="81">
        <f>IF(G8="","",ABS(O8-Components!$C$5))</f>
        <v>4.4326666666666696</v>
      </c>
      <c r="T8" s="81">
        <f>IF(G8="","",ABS(O8-Components!$C$6))</f>
        <v>1.0256666666666692</v>
      </c>
      <c r="U8" s="81">
        <f>IF(G8="","",ABS(O8-Components!$C$7))</f>
        <v>1.2443333333333293</v>
      </c>
      <c r="V8" s="81" t="str">
        <f>IF(G8="","",IF(M8="OK","NONE",INDEX({"S1","S2","W1","W2","N1","N2"},MATCH(MIN(P8:U8),P8:U8,0))))</f>
        <v>NONE</v>
      </c>
      <c r="W8" s="117">
        <f t="shared" si="8"/>
        <v>1</v>
      </c>
      <c r="X8" s="58"/>
    </row>
    <row r="9" spans="1:24">
      <c r="A9" s="115">
        <v>7</v>
      </c>
      <c r="B9" s="116">
        <v>1</v>
      </c>
      <c r="C9" s="81" t="s">
        <v>128</v>
      </c>
      <c r="D9" s="109" t="s">
        <v>238</v>
      </c>
      <c r="E9" s="81" t="s">
        <v>239</v>
      </c>
      <c r="F9" s="52">
        <v>9.9</v>
      </c>
      <c r="G9" s="52">
        <f t="shared" si="9"/>
        <v>10.870000000000001</v>
      </c>
      <c r="H9" s="110"/>
      <c r="I9" s="81">
        <f>VLOOKUP(C9,Recipes!$A$2:$N$4,10,FALSE())</f>
        <v>10.940000000000001</v>
      </c>
      <c r="J9" s="81">
        <f>VLOOKUP(C9,Recipes!$A$2:$N$4,12,FALSE())</f>
        <v>5.2703573566378441E-2</v>
      </c>
      <c r="K9" s="81">
        <f t="shared" si="3"/>
        <v>10.755537492517677</v>
      </c>
      <c r="L9" s="81">
        <f t="shared" si="4"/>
        <v>11.124462507482326</v>
      </c>
      <c r="M9" s="81" t="str">
        <f t="shared" si="5"/>
        <v>OK</v>
      </c>
      <c r="N9" s="117">
        <f t="shared" si="6"/>
        <v>1</v>
      </c>
      <c r="O9" s="81">
        <f t="shared" si="7"/>
        <v>7.0000000000000284E-2</v>
      </c>
      <c r="P9" s="81">
        <f>IF(G9="","",ABS(O9-Components!$C$2))</f>
        <v>2.6833333333333296</v>
      </c>
      <c r="Q9" s="81">
        <f>IF(G9="","",ABS(O9-Components!$C$3))</f>
        <v>3.9659999999999993</v>
      </c>
      <c r="R9" s="81">
        <f>IF(G9="","",ABS(O9-Components!$C$4))</f>
        <v>0.92333333333333267</v>
      </c>
      <c r="S9" s="81">
        <f>IF(G9="","",ABS(O9-Components!$C$5))</f>
        <v>4.4926666666666701</v>
      </c>
      <c r="T9" s="81">
        <f>IF(G9="","",ABS(O9-Components!$C$6))</f>
        <v>1.0856666666666697</v>
      </c>
      <c r="U9" s="81">
        <f>IF(G9="","",ABS(O9-Components!$C$7))</f>
        <v>1.3043333333333298</v>
      </c>
      <c r="V9" s="81" t="str">
        <f>IF(G9="","",IF(M9="OK","NONE",INDEX({"S1","S2","W1","W2","N1","N2"},MATCH(MIN(P9:U9),P9:U9,0))))</f>
        <v>NONE</v>
      </c>
      <c r="W9" s="117">
        <f t="shared" si="8"/>
        <v>1</v>
      </c>
      <c r="X9" s="58"/>
    </row>
    <row r="10" spans="1:24">
      <c r="A10" s="115">
        <v>8</v>
      </c>
      <c r="B10" s="116">
        <v>1</v>
      </c>
      <c r="C10" s="81" t="s">
        <v>128</v>
      </c>
      <c r="D10" s="109" t="s">
        <v>238</v>
      </c>
      <c r="E10" s="81" t="s">
        <v>239</v>
      </c>
      <c r="F10" s="52">
        <v>9.92</v>
      </c>
      <c r="G10" s="52">
        <f t="shared" si="9"/>
        <v>10.89</v>
      </c>
      <c r="H10" s="110"/>
      <c r="I10" s="81">
        <f>VLOOKUP(C10,Recipes!$A$2:$N$4,10,FALSE())</f>
        <v>10.940000000000001</v>
      </c>
      <c r="J10" s="81">
        <f>VLOOKUP(C10,Recipes!$A$2:$N$4,12,FALSE())</f>
        <v>5.2703573566378441E-2</v>
      </c>
      <c r="K10" s="81">
        <f t="shared" si="3"/>
        <v>10.755537492517677</v>
      </c>
      <c r="L10" s="81">
        <f t="shared" si="4"/>
        <v>11.124462507482326</v>
      </c>
      <c r="M10" s="81" t="str">
        <f t="shared" si="5"/>
        <v>OK</v>
      </c>
      <c r="N10" s="117">
        <f t="shared" si="6"/>
        <v>1</v>
      </c>
      <c r="O10" s="81">
        <f t="shared" si="7"/>
        <v>5.0000000000000711E-2</v>
      </c>
      <c r="P10" s="81">
        <f>IF(G10="","",ABS(O10-Components!$C$2))</f>
        <v>2.7033333333333291</v>
      </c>
      <c r="Q10" s="81">
        <f>IF(G10="","",ABS(O10-Components!$C$3))</f>
        <v>3.9859999999999989</v>
      </c>
      <c r="R10" s="81">
        <f>IF(G10="","",ABS(O10-Components!$C$4))</f>
        <v>0.94333333333333225</v>
      </c>
      <c r="S10" s="81">
        <f>IF(G10="","",ABS(O10-Components!$C$5))</f>
        <v>4.5126666666666697</v>
      </c>
      <c r="T10" s="81">
        <f>IF(G10="","",ABS(O10-Components!$C$6))</f>
        <v>1.1056666666666692</v>
      </c>
      <c r="U10" s="81">
        <f>IF(G10="","",ABS(O10-Components!$C$7))</f>
        <v>1.3243333333333294</v>
      </c>
      <c r="V10" s="81" t="str">
        <f>IF(G10="","",IF(M10="OK","NONE",INDEX({"S1","S2","W1","W2","N1","N2"},MATCH(MIN(P10:U10),P10:U10,0))))</f>
        <v>NONE</v>
      </c>
      <c r="W10" s="117">
        <f t="shared" si="8"/>
        <v>1</v>
      </c>
      <c r="X10" s="58"/>
    </row>
    <row r="11" spans="1:24">
      <c r="A11" s="115">
        <v>9</v>
      </c>
      <c r="B11" s="116">
        <v>1</v>
      </c>
      <c r="C11" s="81" t="s">
        <v>128</v>
      </c>
      <c r="D11" s="109" t="s">
        <v>238</v>
      </c>
      <c r="E11" s="81" t="s">
        <v>239</v>
      </c>
      <c r="F11" s="52">
        <v>9.9499999999999993</v>
      </c>
      <c r="G11" s="52">
        <f t="shared" si="9"/>
        <v>10.92</v>
      </c>
      <c r="H11" s="110"/>
      <c r="I11" s="81">
        <f>VLOOKUP(C11,Recipes!$A$2:$N$4,10,FALSE())</f>
        <v>10.940000000000001</v>
      </c>
      <c r="J11" s="81">
        <f>VLOOKUP(C11,Recipes!$A$2:$N$4,12,FALSE())</f>
        <v>5.2703573566378441E-2</v>
      </c>
      <c r="K11" s="81">
        <f t="shared" si="3"/>
        <v>10.755537492517677</v>
      </c>
      <c r="L11" s="81">
        <f t="shared" si="4"/>
        <v>11.124462507482326</v>
      </c>
      <c r="M11" s="81" t="str">
        <f t="shared" si="5"/>
        <v>OK</v>
      </c>
      <c r="N11" s="117">
        <f t="shared" si="6"/>
        <v>1</v>
      </c>
      <c r="O11" s="81">
        <f t="shared" si="7"/>
        <v>2.000000000000135E-2</v>
      </c>
      <c r="P11" s="81">
        <f>IF(G11="","",ABS(O11-Components!$C$2))</f>
        <v>2.7333333333333285</v>
      </c>
      <c r="Q11" s="81">
        <f>IF(G11="","",ABS(O11-Components!$C$3))</f>
        <v>4.0159999999999982</v>
      </c>
      <c r="R11" s="81">
        <f>IF(G11="","",ABS(O11-Components!$C$4))</f>
        <v>0.97333333333333161</v>
      </c>
      <c r="S11" s="81">
        <f>IF(G11="","",ABS(O11-Components!$C$5))</f>
        <v>4.5426666666666691</v>
      </c>
      <c r="T11" s="81">
        <f>IF(G11="","",ABS(O11-Components!$C$6))</f>
        <v>1.1356666666666686</v>
      </c>
      <c r="U11" s="81">
        <f>IF(G11="","",ABS(O11-Components!$C$7))</f>
        <v>1.3543333333333287</v>
      </c>
      <c r="V11" s="81" t="str">
        <f>IF(G11="","",IF(M11="OK","NONE",INDEX({"S1","S2","W1","W2","N1","N2"},MATCH(MIN(P11:U11),P11:U11,0))))</f>
        <v>NONE</v>
      </c>
      <c r="W11" s="117">
        <f t="shared" si="8"/>
        <v>1</v>
      </c>
      <c r="X11" s="58"/>
    </row>
    <row r="12" spans="1:24">
      <c r="A12" s="115">
        <v>10</v>
      </c>
      <c r="B12" s="116">
        <v>1</v>
      </c>
      <c r="C12" s="81" t="s">
        <v>128</v>
      </c>
      <c r="D12" s="109" t="s">
        <v>238</v>
      </c>
      <c r="E12" s="81" t="s">
        <v>239</v>
      </c>
      <c r="F12" s="52">
        <v>9.8699999999999992</v>
      </c>
      <c r="G12" s="52">
        <f t="shared" si="9"/>
        <v>10.84</v>
      </c>
      <c r="H12" s="110"/>
      <c r="I12" s="81">
        <f>VLOOKUP(C12,Recipes!$A$2:$N$4,10,FALSE())</f>
        <v>10.940000000000001</v>
      </c>
      <c r="J12" s="81">
        <f>VLOOKUP(C12,Recipes!$A$2:$N$4,12,FALSE())</f>
        <v>5.2703573566378441E-2</v>
      </c>
      <c r="K12" s="81">
        <f t="shared" si="3"/>
        <v>10.755537492517677</v>
      </c>
      <c r="L12" s="81">
        <f t="shared" si="4"/>
        <v>11.124462507482326</v>
      </c>
      <c r="M12" s="81" t="str">
        <f t="shared" si="5"/>
        <v>OK</v>
      </c>
      <c r="N12" s="117">
        <f t="shared" si="6"/>
        <v>1</v>
      </c>
      <c r="O12" s="81">
        <f t="shared" si="7"/>
        <v>0.10000000000000142</v>
      </c>
      <c r="P12" s="81">
        <f>IF(G12="","",ABS(O12-Components!$C$2))</f>
        <v>2.6533333333333284</v>
      </c>
      <c r="Q12" s="81">
        <f>IF(G12="","",ABS(O12-Components!$C$3))</f>
        <v>3.9359999999999982</v>
      </c>
      <c r="R12" s="81">
        <f>IF(G12="","",ABS(O12-Components!$C$4))</f>
        <v>0.89333333333333154</v>
      </c>
      <c r="S12" s="81">
        <f>IF(G12="","",ABS(O12-Components!$C$5))</f>
        <v>4.462666666666669</v>
      </c>
      <c r="T12" s="81">
        <f>IF(G12="","",ABS(O12-Components!$C$6))</f>
        <v>1.0556666666666685</v>
      </c>
      <c r="U12" s="81">
        <f>IF(G12="","",ABS(O12-Components!$C$7))</f>
        <v>1.2743333333333287</v>
      </c>
      <c r="V12" s="81" t="str">
        <f>IF(G12="","",IF(M12="OK","NONE",INDEX({"S1","S2","W1","W2","N1","N2"},MATCH(MIN(P12:U12),P12:U12,0))))</f>
        <v>NONE</v>
      </c>
      <c r="W12" s="117">
        <f t="shared" si="8"/>
        <v>1</v>
      </c>
      <c r="X12" s="58"/>
    </row>
    <row r="13" spans="1:24">
      <c r="A13" s="115">
        <v>11</v>
      </c>
      <c r="B13" s="116">
        <v>1</v>
      </c>
      <c r="C13" s="81" t="s">
        <v>128</v>
      </c>
      <c r="D13" s="109" t="s">
        <v>238</v>
      </c>
      <c r="E13" s="81" t="s">
        <v>239</v>
      </c>
      <c r="F13" s="52">
        <v>9.8800000000000008</v>
      </c>
      <c r="G13" s="52">
        <f t="shared" si="9"/>
        <v>10.850000000000001</v>
      </c>
      <c r="H13" s="110"/>
      <c r="I13" s="81">
        <f>VLOOKUP(C13,Recipes!$A$2:$N$4,10,FALSE())</f>
        <v>10.940000000000001</v>
      </c>
      <c r="J13" s="81">
        <f>VLOOKUP(C13,Recipes!$A$2:$N$4,12,FALSE())</f>
        <v>5.2703573566378441E-2</v>
      </c>
      <c r="K13" s="81">
        <f t="shared" si="3"/>
        <v>10.755537492517677</v>
      </c>
      <c r="L13" s="81">
        <f t="shared" si="4"/>
        <v>11.124462507482326</v>
      </c>
      <c r="M13" s="81" t="str">
        <f t="shared" si="5"/>
        <v>OK</v>
      </c>
      <c r="N13" s="117">
        <f t="shared" si="6"/>
        <v>1</v>
      </c>
      <c r="O13" s="81">
        <f t="shared" si="7"/>
        <v>8.9999999999999858E-2</v>
      </c>
      <c r="P13" s="81">
        <f>IF(G13="","",ABS(O13-Components!$C$2))</f>
        <v>2.66333333333333</v>
      </c>
      <c r="Q13" s="81">
        <f>IF(G13="","",ABS(O13-Components!$C$3))</f>
        <v>3.9459999999999997</v>
      </c>
      <c r="R13" s="81">
        <f>IF(G13="","",ABS(O13-Components!$C$4))</f>
        <v>0.9033333333333331</v>
      </c>
      <c r="S13" s="81">
        <f>IF(G13="","",ABS(O13-Components!$C$5))</f>
        <v>4.4726666666666706</v>
      </c>
      <c r="T13" s="81">
        <f>IF(G13="","",ABS(O13-Components!$C$6))</f>
        <v>1.0656666666666701</v>
      </c>
      <c r="U13" s="81">
        <f>IF(G13="","",ABS(O13-Components!$C$7))</f>
        <v>1.2843333333333302</v>
      </c>
      <c r="V13" s="81" t="str">
        <f>IF(G13="","",IF(M13="OK","NONE",INDEX({"S1","S2","W1","W2","N1","N2"},MATCH(MIN(P13:U13),P13:U13,0))))</f>
        <v>NONE</v>
      </c>
      <c r="W13" s="117">
        <f t="shared" si="8"/>
        <v>1</v>
      </c>
      <c r="X13" s="58"/>
    </row>
    <row r="14" spans="1:24">
      <c r="A14" s="115">
        <v>12</v>
      </c>
      <c r="B14" s="116">
        <v>1</v>
      </c>
      <c r="C14" s="81" t="s">
        <v>128</v>
      </c>
      <c r="D14" s="109" t="s">
        <v>238</v>
      </c>
      <c r="E14" s="81" t="s">
        <v>239</v>
      </c>
      <c r="F14" s="52">
        <v>9.91</v>
      </c>
      <c r="G14" s="52">
        <f t="shared" si="9"/>
        <v>10.88</v>
      </c>
      <c r="H14" s="110"/>
      <c r="I14" s="81">
        <f>VLOOKUP(C14,Recipes!$A$2:$N$4,10,FALSE())</f>
        <v>10.940000000000001</v>
      </c>
      <c r="J14" s="81">
        <f>VLOOKUP(C14,Recipes!$A$2:$N$4,12,FALSE())</f>
        <v>5.2703573566378441E-2</v>
      </c>
      <c r="K14" s="81">
        <f t="shared" si="3"/>
        <v>10.755537492517677</v>
      </c>
      <c r="L14" s="81">
        <f t="shared" si="4"/>
        <v>11.124462507482326</v>
      </c>
      <c r="M14" s="81" t="str">
        <f t="shared" si="5"/>
        <v>OK</v>
      </c>
      <c r="N14" s="117">
        <f t="shared" si="6"/>
        <v>1</v>
      </c>
      <c r="O14" s="81">
        <f t="shared" si="7"/>
        <v>6.0000000000000497E-2</v>
      </c>
      <c r="P14" s="81">
        <f>IF(G14="","",ABS(O14-Components!$C$2))</f>
        <v>2.6933333333333294</v>
      </c>
      <c r="Q14" s="81">
        <f>IF(G14="","",ABS(O14-Components!$C$3))</f>
        <v>3.9759999999999991</v>
      </c>
      <c r="R14" s="81">
        <f>IF(G14="","",ABS(O14-Components!$C$4))</f>
        <v>0.93333333333333246</v>
      </c>
      <c r="S14" s="81">
        <f>IF(G14="","",ABS(O14-Components!$C$5))</f>
        <v>4.5026666666666699</v>
      </c>
      <c r="T14" s="81">
        <f>IF(G14="","",ABS(O14-Components!$C$6))</f>
        <v>1.0956666666666695</v>
      </c>
      <c r="U14" s="81">
        <f>IF(G14="","",ABS(O14-Components!$C$7))</f>
        <v>1.3143333333333296</v>
      </c>
      <c r="V14" s="81" t="str">
        <f>IF(G14="","",IF(M14="OK","NONE",INDEX({"S1","S2","W1","W2","N1","N2"},MATCH(MIN(P14:U14),P14:U14,0))))</f>
        <v>NONE</v>
      </c>
      <c r="W14" s="117">
        <f t="shared" si="8"/>
        <v>1</v>
      </c>
      <c r="X14" s="58"/>
    </row>
    <row r="15" spans="1:24">
      <c r="A15" s="115">
        <v>13</v>
      </c>
      <c r="B15" s="116">
        <v>1</v>
      </c>
      <c r="C15" s="81" t="s">
        <v>128</v>
      </c>
      <c r="D15" s="109" t="s">
        <v>238</v>
      </c>
      <c r="E15" s="81" t="s">
        <v>239</v>
      </c>
      <c r="F15" s="52">
        <v>9.9</v>
      </c>
      <c r="G15" s="52">
        <f t="shared" si="9"/>
        <v>10.870000000000001</v>
      </c>
      <c r="H15" s="110"/>
      <c r="I15" s="81">
        <f>VLOOKUP(C15,Recipes!$A$2:$N$4,10,FALSE())</f>
        <v>10.940000000000001</v>
      </c>
      <c r="J15" s="81">
        <f>VLOOKUP(C15,Recipes!$A$2:$N$4,12,FALSE())</f>
        <v>5.2703573566378441E-2</v>
      </c>
      <c r="K15" s="81">
        <f t="shared" si="3"/>
        <v>10.755537492517677</v>
      </c>
      <c r="L15" s="81">
        <f t="shared" si="4"/>
        <v>11.124462507482326</v>
      </c>
      <c r="M15" s="81" t="str">
        <f t="shared" si="5"/>
        <v>OK</v>
      </c>
      <c r="N15" s="117">
        <f t="shared" si="6"/>
        <v>1</v>
      </c>
      <c r="O15" s="81">
        <f t="shared" si="7"/>
        <v>7.0000000000000284E-2</v>
      </c>
      <c r="P15" s="81">
        <f>IF(G15="","",ABS(O15-Components!$C$2))</f>
        <v>2.6833333333333296</v>
      </c>
      <c r="Q15" s="81">
        <f>IF(G15="","",ABS(O15-Components!$C$3))</f>
        <v>3.9659999999999993</v>
      </c>
      <c r="R15" s="81">
        <f>IF(G15="","",ABS(O15-Components!$C$4))</f>
        <v>0.92333333333333267</v>
      </c>
      <c r="S15" s="81">
        <f>IF(G15="","",ABS(O15-Components!$C$5))</f>
        <v>4.4926666666666701</v>
      </c>
      <c r="T15" s="81">
        <f>IF(G15="","",ABS(O15-Components!$C$6))</f>
        <v>1.0856666666666697</v>
      </c>
      <c r="U15" s="81">
        <f>IF(G15="","",ABS(O15-Components!$C$7))</f>
        <v>1.3043333333333298</v>
      </c>
      <c r="V15" s="81" t="str">
        <f>IF(G15="","",IF(M15="OK","NONE",INDEX({"S1","S2","W1","W2","N1","N2"},MATCH(MIN(P15:U15),P15:U15,0))))</f>
        <v>NONE</v>
      </c>
      <c r="W15" s="117">
        <f t="shared" si="8"/>
        <v>1</v>
      </c>
      <c r="X15" s="58"/>
    </row>
    <row r="16" spans="1:24">
      <c r="A16" s="115">
        <v>14</v>
      </c>
      <c r="B16" s="116">
        <v>1</v>
      </c>
      <c r="C16" s="81" t="s">
        <v>128</v>
      </c>
      <c r="D16" s="109" t="s">
        <v>238</v>
      </c>
      <c r="E16" s="81" t="s">
        <v>239</v>
      </c>
      <c r="F16" s="52">
        <v>9.92</v>
      </c>
      <c r="G16" s="52">
        <f t="shared" si="9"/>
        <v>10.89</v>
      </c>
      <c r="H16" s="110"/>
      <c r="I16" s="81">
        <f>VLOOKUP(C16,Recipes!$A$2:$N$4,10,FALSE())</f>
        <v>10.940000000000001</v>
      </c>
      <c r="J16" s="81">
        <f>VLOOKUP(C16,Recipes!$A$2:$N$4,12,FALSE())</f>
        <v>5.2703573566378441E-2</v>
      </c>
      <c r="K16" s="81">
        <f t="shared" si="3"/>
        <v>10.755537492517677</v>
      </c>
      <c r="L16" s="81">
        <f t="shared" si="4"/>
        <v>11.124462507482326</v>
      </c>
      <c r="M16" s="81" t="str">
        <f t="shared" si="5"/>
        <v>OK</v>
      </c>
      <c r="N16" s="117">
        <f t="shared" si="6"/>
        <v>1</v>
      </c>
      <c r="O16" s="81">
        <f t="shared" si="7"/>
        <v>5.0000000000000711E-2</v>
      </c>
      <c r="P16" s="81">
        <f>IF(G16="","",ABS(O16-Components!$C$2))</f>
        <v>2.7033333333333291</v>
      </c>
      <c r="Q16" s="81">
        <f>IF(G16="","",ABS(O16-Components!$C$3))</f>
        <v>3.9859999999999989</v>
      </c>
      <c r="R16" s="81">
        <f>IF(G16="","",ABS(O16-Components!$C$4))</f>
        <v>0.94333333333333225</v>
      </c>
      <c r="S16" s="81">
        <f>IF(G16="","",ABS(O16-Components!$C$5))</f>
        <v>4.5126666666666697</v>
      </c>
      <c r="T16" s="81">
        <f>IF(G16="","",ABS(O16-Components!$C$6))</f>
        <v>1.1056666666666692</v>
      </c>
      <c r="U16" s="81">
        <f>IF(G16="","",ABS(O16-Components!$C$7))</f>
        <v>1.3243333333333294</v>
      </c>
      <c r="V16" s="81" t="str">
        <f>IF(G16="","",IF(M16="OK","NONE",INDEX({"S1","S2","W1","W2","N1","N2"},MATCH(MIN(P16:U16),P16:U16,0))))</f>
        <v>NONE</v>
      </c>
      <c r="W16" s="117">
        <f t="shared" si="8"/>
        <v>1</v>
      </c>
      <c r="X16" s="58"/>
    </row>
    <row r="17" spans="1:24">
      <c r="A17" s="115">
        <v>15</v>
      </c>
      <c r="B17" s="116">
        <v>1</v>
      </c>
      <c r="C17" s="81" t="s">
        <v>128</v>
      </c>
      <c r="D17" s="109" t="s">
        <v>238</v>
      </c>
      <c r="E17" s="81" t="s">
        <v>239</v>
      </c>
      <c r="F17" s="52">
        <v>9.94</v>
      </c>
      <c r="G17" s="52">
        <f t="shared" si="9"/>
        <v>10.91</v>
      </c>
      <c r="H17" s="110"/>
      <c r="I17" s="81">
        <f>VLOOKUP(C17,Recipes!$A$2:$N$4,10,FALSE())</f>
        <v>10.940000000000001</v>
      </c>
      <c r="J17" s="81">
        <f>VLOOKUP(C17,Recipes!$A$2:$N$4,12,FALSE())</f>
        <v>5.2703573566378441E-2</v>
      </c>
      <c r="K17" s="81">
        <f t="shared" si="3"/>
        <v>10.755537492517677</v>
      </c>
      <c r="L17" s="81">
        <f t="shared" si="4"/>
        <v>11.124462507482326</v>
      </c>
      <c r="M17" s="81" t="str">
        <f t="shared" si="5"/>
        <v>OK</v>
      </c>
      <c r="N17" s="117">
        <f t="shared" si="6"/>
        <v>1</v>
      </c>
      <c r="O17" s="81">
        <f t="shared" si="7"/>
        <v>3.0000000000001137E-2</v>
      </c>
      <c r="P17" s="81">
        <f>IF(G17="","",ABS(O17-Components!$C$2))</f>
        <v>2.7233333333333287</v>
      </c>
      <c r="Q17" s="81">
        <f>IF(G17="","",ABS(O17-Components!$C$3))</f>
        <v>4.0059999999999985</v>
      </c>
      <c r="R17" s="81">
        <f>IF(G17="","",ABS(O17-Components!$C$4))</f>
        <v>0.96333333333333182</v>
      </c>
      <c r="S17" s="81">
        <f>IF(G17="","",ABS(O17-Components!$C$5))</f>
        <v>4.5326666666666693</v>
      </c>
      <c r="T17" s="81">
        <f>IF(G17="","",ABS(O17-Components!$C$6))</f>
        <v>1.1256666666666688</v>
      </c>
      <c r="U17" s="81">
        <f>IF(G17="","",ABS(O17-Components!$C$7))</f>
        <v>1.3443333333333289</v>
      </c>
      <c r="V17" s="81" t="str">
        <f>IF(G17="","",IF(M17="OK","NONE",INDEX({"S1","S2","W1","W2","N1","N2"},MATCH(MIN(P17:U17),P17:U17,0))))</f>
        <v>NONE</v>
      </c>
      <c r="W17" s="117">
        <f t="shared" si="8"/>
        <v>1</v>
      </c>
      <c r="X17" s="58"/>
    </row>
    <row r="18" spans="1:24">
      <c r="A18" s="115">
        <v>16</v>
      </c>
      <c r="B18" s="116">
        <v>1</v>
      </c>
      <c r="C18" s="81" t="s">
        <v>128</v>
      </c>
      <c r="D18" s="109" t="s">
        <v>238</v>
      </c>
      <c r="E18" s="81" t="s">
        <v>239</v>
      </c>
      <c r="F18" s="52">
        <v>9.92</v>
      </c>
      <c r="G18" s="52">
        <f t="shared" si="9"/>
        <v>10.89</v>
      </c>
      <c r="H18" s="110"/>
      <c r="I18" s="81">
        <f>VLOOKUP(C18,Recipes!$A$2:$N$4,10,FALSE())</f>
        <v>10.940000000000001</v>
      </c>
      <c r="J18" s="81">
        <f>VLOOKUP(C18,Recipes!$A$2:$N$4,12,FALSE())</f>
        <v>5.2703573566378441E-2</v>
      </c>
      <c r="K18" s="81">
        <f t="shared" si="3"/>
        <v>10.755537492517677</v>
      </c>
      <c r="L18" s="81">
        <f t="shared" si="4"/>
        <v>11.124462507482326</v>
      </c>
      <c r="M18" s="81" t="str">
        <f t="shared" si="5"/>
        <v>OK</v>
      </c>
      <c r="N18" s="117">
        <f t="shared" si="6"/>
        <v>1</v>
      </c>
      <c r="O18" s="81">
        <f t="shared" si="7"/>
        <v>5.0000000000000711E-2</v>
      </c>
      <c r="P18" s="81">
        <f>IF(G18="","",ABS(O18-Components!$C$2))</f>
        <v>2.7033333333333291</v>
      </c>
      <c r="Q18" s="81">
        <f>IF(G18="","",ABS(O18-Components!$C$3))</f>
        <v>3.9859999999999989</v>
      </c>
      <c r="R18" s="81">
        <f>IF(G18="","",ABS(O18-Components!$C$4))</f>
        <v>0.94333333333333225</v>
      </c>
      <c r="S18" s="81">
        <f>IF(G18="","",ABS(O18-Components!$C$5))</f>
        <v>4.5126666666666697</v>
      </c>
      <c r="T18" s="81">
        <f>IF(G18="","",ABS(O18-Components!$C$6))</f>
        <v>1.1056666666666692</v>
      </c>
      <c r="U18" s="81">
        <f>IF(G18="","",ABS(O18-Components!$C$7))</f>
        <v>1.3243333333333294</v>
      </c>
      <c r="V18" s="81" t="str">
        <f>IF(G18="","",IF(M18="OK","NONE",INDEX({"S1","S2","W1","W2","N1","N2"},MATCH(MIN(P18:U18),P18:U18,0))))</f>
        <v>NONE</v>
      </c>
      <c r="W18" s="117">
        <f t="shared" si="8"/>
        <v>1</v>
      </c>
      <c r="X18" s="58"/>
    </row>
    <row r="19" spans="1:24">
      <c r="A19" s="115">
        <v>17</v>
      </c>
      <c r="B19" s="116">
        <v>1</v>
      </c>
      <c r="C19" s="81" t="s">
        <v>128</v>
      </c>
      <c r="D19" s="109" t="s">
        <v>238</v>
      </c>
      <c r="E19" s="81" t="s">
        <v>239</v>
      </c>
      <c r="F19" s="52">
        <v>9.89</v>
      </c>
      <c r="G19" s="52">
        <f t="shared" si="9"/>
        <v>10.860000000000001</v>
      </c>
      <c r="H19" s="110"/>
      <c r="I19" s="81">
        <f>VLOOKUP(C19,Recipes!$A$2:$N$4,10,FALSE())</f>
        <v>10.940000000000001</v>
      </c>
      <c r="J19" s="81">
        <f>VLOOKUP(C19,Recipes!$A$2:$N$4,12,FALSE())</f>
        <v>5.2703573566378441E-2</v>
      </c>
      <c r="K19" s="81">
        <f t="shared" si="3"/>
        <v>10.755537492517677</v>
      </c>
      <c r="L19" s="81">
        <f t="shared" si="4"/>
        <v>11.124462507482326</v>
      </c>
      <c r="M19" s="81" t="str">
        <f t="shared" si="5"/>
        <v>OK</v>
      </c>
      <c r="N19" s="117">
        <f t="shared" si="6"/>
        <v>1</v>
      </c>
      <c r="O19" s="81">
        <f t="shared" si="7"/>
        <v>8.0000000000000071E-2</v>
      </c>
      <c r="P19" s="81">
        <f>IF(G19="","",ABS(O19-Components!$C$2))</f>
        <v>2.6733333333333298</v>
      </c>
      <c r="Q19" s="81">
        <f>IF(G19="","",ABS(O19-Components!$C$3))</f>
        <v>3.9559999999999995</v>
      </c>
      <c r="R19" s="81">
        <f>IF(G19="","",ABS(O19-Components!$C$4))</f>
        <v>0.91333333333333289</v>
      </c>
      <c r="S19" s="81">
        <f>IF(G19="","",ABS(O19-Components!$C$5))</f>
        <v>4.4826666666666704</v>
      </c>
      <c r="T19" s="81">
        <f>IF(G19="","",ABS(O19-Components!$C$6))</f>
        <v>1.0756666666666699</v>
      </c>
      <c r="U19" s="81">
        <f>IF(G19="","",ABS(O19-Components!$C$7))</f>
        <v>1.29433333333333</v>
      </c>
      <c r="V19" s="81" t="str">
        <f>IF(G19="","",IF(M19="OK","NONE",INDEX({"S1","S2","W1","W2","N1","N2"},MATCH(MIN(P19:U19),P19:U19,0))))</f>
        <v>NONE</v>
      </c>
      <c r="W19" s="117">
        <f t="shared" si="8"/>
        <v>1</v>
      </c>
      <c r="X19" s="58"/>
    </row>
    <row r="20" spans="1:24">
      <c r="A20" s="115">
        <v>18</v>
      </c>
      <c r="B20" s="116">
        <v>1</v>
      </c>
      <c r="C20" s="81" t="s">
        <v>128</v>
      </c>
      <c r="D20" s="109" t="s">
        <v>238</v>
      </c>
      <c r="E20" s="81" t="s">
        <v>239</v>
      </c>
      <c r="F20" s="52">
        <v>9.92</v>
      </c>
      <c r="G20" s="52">
        <f t="shared" si="9"/>
        <v>10.89</v>
      </c>
      <c r="H20" s="110"/>
      <c r="I20" s="81">
        <f>VLOOKUP(C20,Recipes!$A$2:$N$4,10,FALSE())</f>
        <v>10.940000000000001</v>
      </c>
      <c r="J20" s="81">
        <f>VLOOKUP(C20,Recipes!$A$2:$N$4,12,FALSE())</f>
        <v>5.2703573566378441E-2</v>
      </c>
      <c r="K20" s="81">
        <f t="shared" si="3"/>
        <v>10.755537492517677</v>
      </c>
      <c r="L20" s="81">
        <f t="shared" si="4"/>
        <v>11.124462507482326</v>
      </c>
      <c r="M20" s="81" t="str">
        <f t="shared" si="5"/>
        <v>OK</v>
      </c>
      <c r="N20" s="117">
        <f t="shared" si="6"/>
        <v>1</v>
      </c>
      <c r="O20" s="81">
        <f t="shared" si="7"/>
        <v>5.0000000000000711E-2</v>
      </c>
      <c r="P20" s="81">
        <f>IF(G20="","",ABS(O20-Components!$C$2))</f>
        <v>2.7033333333333291</v>
      </c>
      <c r="Q20" s="81">
        <f>IF(G20="","",ABS(O20-Components!$C$3))</f>
        <v>3.9859999999999989</v>
      </c>
      <c r="R20" s="81">
        <f>IF(G20="","",ABS(O20-Components!$C$4))</f>
        <v>0.94333333333333225</v>
      </c>
      <c r="S20" s="81">
        <f>IF(G20="","",ABS(O20-Components!$C$5))</f>
        <v>4.5126666666666697</v>
      </c>
      <c r="T20" s="81">
        <f>IF(G20="","",ABS(O20-Components!$C$6))</f>
        <v>1.1056666666666692</v>
      </c>
      <c r="U20" s="81">
        <f>IF(G20="","",ABS(O20-Components!$C$7))</f>
        <v>1.3243333333333294</v>
      </c>
      <c r="V20" s="81" t="str">
        <f>IF(G20="","",IF(M20="OK","NONE",INDEX({"S1","S2","W1","W2","N1","N2"},MATCH(MIN(P20:U20),P20:U20,0))))</f>
        <v>NONE</v>
      </c>
      <c r="W20" s="117">
        <f t="shared" si="8"/>
        <v>1</v>
      </c>
      <c r="X20" s="58"/>
    </row>
    <row r="21" spans="1:24">
      <c r="A21" s="115">
        <v>19</v>
      </c>
      <c r="B21" s="116">
        <v>1</v>
      </c>
      <c r="C21" s="81" t="s">
        <v>128</v>
      </c>
      <c r="D21" s="109" t="s">
        <v>238</v>
      </c>
      <c r="E21" s="81" t="s">
        <v>239</v>
      </c>
      <c r="F21" s="52">
        <v>9.9499999999999993</v>
      </c>
      <c r="G21" s="52">
        <f t="shared" si="9"/>
        <v>10.92</v>
      </c>
      <c r="H21" s="110"/>
      <c r="I21" s="81">
        <f>VLOOKUP(C21,Recipes!$A$2:$N$4,10,FALSE())</f>
        <v>10.940000000000001</v>
      </c>
      <c r="J21" s="81">
        <f>VLOOKUP(C21,Recipes!$A$2:$N$4,12,FALSE())</f>
        <v>5.2703573566378441E-2</v>
      </c>
      <c r="K21" s="81">
        <f t="shared" si="3"/>
        <v>10.755537492517677</v>
      </c>
      <c r="L21" s="81">
        <f t="shared" si="4"/>
        <v>11.124462507482326</v>
      </c>
      <c r="M21" s="81" t="str">
        <f t="shared" si="5"/>
        <v>OK</v>
      </c>
      <c r="N21" s="117">
        <f t="shared" si="6"/>
        <v>1</v>
      </c>
      <c r="O21" s="81">
        <f t="shared" si="7"/>
        <v>2.000000000000135E-2</v>
      </c>
      <c r="P21" s="81">
        <f>IF(G21="","",ABS(O21-Components!$C$2))</f>
        <v>2.7333333333333285</v>
      </c>
      <c r="Q21" s="81">
        <f>IF(G21="","",ABS(O21-Components!$C$3))</f>
        <v>4.0159999999999982</v>
      </c>
      <c r="R21" s="81">
        <f>IF(G21="","",ABS(O21-Components!$C$4))</f>
        <v>0.97333333333333161</v>
      </c>
      <c r="S21" s="81">
        <f>IF(G21="","",ABS(O21-Components!$C$5))</f>
        <v>4.5426666666666691</v>
      </c>
      <c r="T21" s="81">
        <f>IF(G21="","",ABS(O21-Components!$C$6))</f>
        <v>1.1356666666666686</v>
      </c>
      <c r="U21" s="81">
        <f>IF(G21="","",ABS(O21-Components!$C$7))</f>
        <v>1.3543333333333287</v>
      </c>
      <c r="V21" s="81" t="str">
        <f>IF(G21="","",IF(M21="OK","NONE",INDEX({"S1","S2","W1","W2","N1","N2"},MATCH(MIN(P21:U21),P21:U21,0))))</f>
        <v>NONE</v>
      </c>
      <c r="W21" s="117">
        <f t="shared" si="8"/>
        <v>1</v>
      </c>
      <c r="X21" s="58"/>
    </row>
    <row r="22" spans="1:24">
      <c r="A22" s="115">
        <v>20</v>
      </c>
      <c r="B22" s="116">
        <v>1</v>
      </c>
      <c r="C22" s="81" t="s">
        <v>128</v>
      </c>
      <c r="D22" s="109" t="s">
        <v>238</v>
      </c>
      <c r="E22" s="81" t="s">
        <v>239</v>
      </c>
      <c r="F22" s="52">
        <v>9.98</v>
      </c>
      <c r="G22" s="52">
        <f t="shared" si="9"/>
        <v>10.950000000000001</v>
      </c>
      <c r="H22" s="110"/>
      <c r="I22" s="81">
        <f>VLOOKUP(C22,Recipes!$A$2:$N$4,10,FALSE())</f>
        <v>10.940000000000001</v>
      </c>
      <c r="J22" s="81">
        <f>VLOOKUP(C22,Recipes!$A$2:$N$4,12,FALSE())</f>
        <v>5.2703573566378441E-2</v>
      </c>
      <c r="K22" s="81">
        <f t="shared" si="3"/>
        <v>10.755537492517677</v>
      </c>
      <c r="L22" s="81">
        <f t="shared" si="4"/>
        <v>11.124462507482326</v>
      </c>
      <c r="M22" s="81" t="str">
        <f t="shared" si="5"/>
        <v>OK</v>
      </c>
      <c r="N22" s="117">
        <f t="shared" si="6"/>
        <v>1</v>
      </c>
      <c r="O22" s="81">
        <f t="shared" si="7"/>
        <v>-9.9999999999997868E-3</v>
      </c>
      <c r="P22" s="81">
        <f>IF(G22="","",ABS(O22-Components!$C$2))</f>
        <v>2.7633333333333296</v>
      </c>
      <c r="Q22" s="81">
        <f>IF(G22="","",ABS(O22-Components!$C$3))</f>
        <v>4.0459999999999994</v>
      </c>
      <c r="R22" s="81">
        <f>IF(G22="","",ABS(O22-Components!$C$4))</f>
        <v>1.0033333333333327</v>
      </c>
      <c r="S22" s="81">
        <f>IF(G22="","",ABS(O22-Components!$C$5))</f>
        <v>4.5726666666666702</v>
      </c>
      <c r="T22" s="81">
        <f>IF(G22="","",ABS(O22-Components!$C$6))</f>
        <v>1.1656666666666697</v>
      </c>
      <c r="U22" s="81">
        <f>IF(G22="","",ABS(O22-Components!$C$7))</f>
        <v>1.3843333333333299</v>
      </c>
      <c r="V22" s="81" t="str">
        <f>IF(G22="","",IF(M22="OK","NONE",INDEX({"S1","S2","W1","W2","N1","N2"},MATCH(MIN(P22:U22),P22:U22,0))))</f>
        <v>NONE</v>
      </c>
      <c r="W22" s="117">
        <f t="shared" si="8"/>
        <v>1</v>
      </c>
      <c r="X22" s="58"/>
    </row>
    <row r="23" spans="1:24">
      <c r="A23" s="115">
        <v>21</v>
      </c>
      <c r="B23" s="116">
        <v>1</v>
      </c>
      <c r="C23" s="81" t="s">
        <v>128</v>
      </c>
      <c r="D23" s="109" t="s">
        <v>238</v>
      </c>
      <c r="E23" s="81" t="s">
        <v>239</v>
      </c>
      <c r="F23" s="52">
        <v>9.99</v>
      </c>
      <c r="G23" s="52">
        <f t="shared" si="9"/>
        <v>10.96</v>
      </c>
      <c r="H23" s="110"/>
      <c r="I23" s="81">
        <f>VLOOKUP(C23,Recipes!$A$2:$N$4,10,FALSE())</f>
        <v>10.940000000000001</v>
      </c>
      <c r="J23" s="81">
        <f>VLOOKUP(C23,Recipes!$A$2:$N$4,12,FALSE())</f>
        <v>5.2703573566378441E-2</v>
      </c>
      <c r="K23" s="81">
        <f t="shared" si="3"/>
        <v>10.755537492517677</v>
      </c>
      <c r="L23" s="81">
        <f t="shared" si="4"/>
        <v>11.124462507482326</v>
      </c>
      <c r="M23" s="81" t="str">
        <f t="shared" si="5"/>
        <v>OK</v>
      </c>
      <c r="N23" s="117">
        <f t="shared" si="6"/>
        <v>1</v>
      </c>
      <c r="O23" s="81">
        <f t="shared" si="7"/>
        <v>-1.9999999999999574E-2</v>
      </c>
      <c r="P23" s="81">
        <f>IF(G23="","",ABS(O23-Components!$C$2))</f>
        <v>2.7733333333333294</v>
      </c>
      <c r="Q23" s="81">
        <f>IF(G23="","",ABS(O23-Components!$C$3))</f>
        <v>4.0559999999999992</v>
      </c>
      <c r="R23" s="81">
        <f>IF(G23="","",ABS(O23-Components!$C$4))</f>
        <v>1.0133333333333325</v>
      </c>
      <c r="S23" s="81">
        <f>IF(G23="","",ABS(O23-Components!$C$5))</f>
        <v>4.58266666666667</v>
      </c>
      <c r="T23" s="81">
        <f>IF(G23="","",ABS(O23-Components!$C$6))</f>
        <v>1.1756666666666695</v>
      </c>
      <c r="U23" s="81">
        <f>IF(G23="","",ABS(O23-Components!$C$7))</f>
        <v>1.3943333333333296</v>
      </c>
      <c r="V23" s="81" t="str">
        <f>IF(G23="","",IF(M23="OK","NONE",INDEX({"S1","S2","W1","W2","N1","N2"},MATCH(MIN(P23:U23),P23:U23,0))))</f>
        <v>NONE</v>
      </c>
      <c r="W23" s="117">
        <f t="shared" si="8"/>
        <v>1</v>
      </c>
      <c r="X23" s="58"/>
    </row>
    <row r="24" spans="1:24">
      <c r="A24" s="115">
        <v>22</v>
      </c>
      <c r="B24" s="116">
        <v>1</v>
      </c>
      <c r="C24" s="81" t="s">
        <v>128</v>
      </c>
      <c r="D24" s="109" t="s">
        <v>238</v>
      </c>
      <c r="E24" s="81" t="s">
        <v>239</v>
      </c>
      <c r="F24" s="52">
        <v>9.9</v>
      </c>
      <c r="G24" s="52">
        <f t="shared" si="9"/>
        <v>10.870000000000001</v>
      </c>
      <c r="H24" s="110"/>
      <c r="I24" s="81">
        <f>VLOOKUP(C24,Recipes!$A$2:$N$4,10,FALSE())</f>
        <v>10.940000000000001</v>
      </c>
      <c r="J24" s="81">
        <f>VLOOKUP(C24,Recipes!$A$2:$N$4,12,FALSE())</f>
        <v>5.2703573566378441E-2</v>
      </c>
      <c r="K24" s="81">
        <f t="shared" si="3"/>
        <v>10.755537492517677</v>
      </c>
      <c r="L24" s="81">
        <f t="shared" si="4"/>
        <v>11.124462507482326</v>
      </c>
      <c r="M24" s="81" t="str">
        <f t="shared" si="5"/>
        <v>OK</v>
      </c>
      <c r="N24" s="117">
        <f t="shared" si="6"/>
        <v>1</v>
      </c>
      <c r="O24" s="81">
        <f t="shared" si="7"/>
        <v>7.0000000000000284E-2</v>
      </c>
      <c r="P24" s="81">
        <f>IF(G24="","",ABS(O24-Components!$C$2))</f>
        <v>2.6833333333333296</v>
      </c>
      <c r="Q24" s="81">
        <f>IF(G24="","",ABS(O24-Components!$C$3))</f>
        <v>3.9659999999999993</v>
      </c>
      <c r="R24" s="81">
        <f>IF(G24="","",ABS(O24-Components!$C$4))</f>
        <v>0.92333333333333267</v>
      </c>
      <c r="S24" s="81">
        <f>IF(G24="","",ABS(O24-Components!$C$5))</f>
        <v>4.4926666666666701</v>
      </c>
      <c r="T24" s="81">
        <f>IF(G24="","",ABS(O24-Components!$C$6))</f>
        <v>1.0856666666666697</v>
      </c>
      <c r="U24" s="81">
        <f>IF(G24="","",ABS(O24-Components!$C$7))</f>
        <v>1.3043333333333298</v>
      </c>
      <c r="V24" s="81" t="str">
        <f>IF(G24="","",IF(M24="OK","NONE",INDEX({"S1","S2","W1","W2","N1","N2"},MATCH(MIN(P24:U24),P24:U24,0))))</f>
        <v>NONE</v>
      </c>
      <c r="W24" s="117">
        <f t="shared" si="8"/>
        <v>1</v>
      </c>
      <c r="X24" s="58"/>
    </row>
    <row r="25" spans="1:24">
      <c r="A25" s="115">
        <v>23</v>
      </c>
      <c r="B25" s="116">
        <v>1</v>
      </c>
      <c r="C25" s="81" t="s">
        <v>128</v>
      </c>
      <c r="D25" s="109" t="s">
        <v>238</v>
      </c>
      <c r="E25" s="81" t="s">
        <v>239</v>
      </c>
      <c r="F25" s="52">
        <v>9.9700000000000006</v>
      </c>
      <c r="G25" s="52">
        <f t="shared" si="9"/>
        <v>10.940000000000001</v>
      </c>
      <c r="H25" s="110"/>
      <c r="I25" s="81">
        <f>VLOOKUP(C25,Recipes!$A$2:$N$4,10,FALSE())</f>
        <v>10.940000000000001</v>
      </c>
      <c r="J25" s="81">
        <f>VLOOKUP(C25,Recipes!$A$2:$N$4,12,FALSE())</f>
        <v>5.2703573566378441E-2</v>
      </c>
      <c r="K25" s="81">
        <f t="shared" si="3"/>
        <v>10.755537492517677</v>
      </c>
      <c r="L25" s="81">
        <f t="shared" si="4"/>
        <v>11.124462507482326</v>
      </c>
      <c r="M25" s="81" t="str">
        <f t="shared" si="5"/>
        <v>OK</v>
      </c>
      <c r="N25" s="117">
        <f t="shared" si="6"/>
        <v>1</v>
      </c>
      <c r="O25" s="81">
        <f t="shared" si="7"/>
        <v>0</v>
      </c>
      <c r="P25" s="81">
        <f>IF(G25="","",ABS(O25-Components!$C$2))</f>
        <v>2.7533333333333299</v>
      </c>
      <c r="Q25" s="81">
        <f>IF(G25="","",ABS(O25-Components!$C$3))</f>
        <v>4.0359999999999996</v>
      </c>
      <c r="R25" s="81">
        <f>IF(G25="","",ABS(O25-Components!$C$4))</f>
        <v>0.99333333333333296</v>
      </c>
      <c r="S25" s="81">
        <f>IF(G25="","",ABS(O25-Components!$C$5))</f>
        <v>4.5626666666666704</v>
      </c>
      <c r="T25" s="81">
        <f>IF(G25="","",ABS(O25-Components!$C$6))</f>
        <v>1.15566666666667</v>
      </c>
      <c r="U25" s="81">
        <f>IF(G25="","",ABS(O25-Components!$C$7))</f>
        <v>1.3743333333333301</v>
      </c>
      <c r="V25" s="81" t="str">
        <f>IF(G25="","",IF(M25="OK","NONE",INDEX({"S1","S2","W1","W2","N1","N2"},MATCH(MIN(P25:U25),P25:U25,0))))</f>
        <v>NONE</v>
      </c>
      <c r="W25" s="117">
        <f t="shared" si="8"/>
        <v>1</v>
      </c>
      <c r="X25" s="58"/>
    </row>
    <row r="26" spans="1:24">
      <c r="A26" s="115">
        <v>24</v>
      </c>
      <c r="B26" s="116">
        <v>1</v>
      </c>
      <c r="C26" s="81" t="s">
        <v>128</v>
      </c>
      <c r="D26" s="109" t="s">
        <v>238</v>
      </c>
      <c r="E26" s="81" t="s">
        <v>239</v>
      </c>
      <c r="F26" s="52">
        <v>10.02</v>
      </c>
      <c r="G26" s="52">
        <f t="shared" si="9"/>
        <v>10.99</v>
      </c>
      <c r="H26" s="110"/>
      <c r="I26" s="81">
        <f>VLOOKUP(C26,Recipes!$A$2:$N$4,10,FALSE())</f>
        <v>10.940000000000001</v>
      </c>
      <c r="J26" s="81">
        <f>VLOOKUP(C26,Recipes!$A$2:$N$4,12,FALSE())</f>
        <v>5.2703573566378441E-2</v>
      </c>
      <c r="K26" s="81">
        <f t="shared" si="3"/>
        <v>10.755537492517677</v>
      </c>
      <c r="L26" s="81">
        <f t="shared" si="4"/>
        <v>11.124462507482326</v>
      </c>
      <c r="M26" s="81" t="str">
        <f t="shared" si="5"/>
        <v>OK</v>
      </c>
      <c r="N26" s="117">
        <f t="shared" si="6"/>
        <v>1</v>
      </c>
      <c r="O26" s="81">
        <f t="shared" si="7"/>
        <v>-4.9999999999998934E-2</v>
      </c>
      <c r="P26" s="81">
        <f>IF(G26="","",ABS(O26-Components!$C$2))</f>
        <v>2.8033333333333288</v>
      </c>
      <c r="Q26" s="81">
        <f>IF(G26="","",ABS(O26-Components!$C$3))</f>
        <v>4.0859999999999985</v>
      </c>
      <c r="R26" s="81">
        <f>IF(G26="","",ABS(O26-Components!$C$4))</f>
        <v>1.0433333333333319</v>
      </c>
      <c r="S26" s="81">
        <f>IF(G26="","",ABS(O26-Components!$C$5))</f>
        <v>4.6126666666666694</v>
      </c>
      <c r="T26" s="81">
        <f>IF(G26="","",ABS(O26-Components!$C$6))</f>
        <v>1.2056666666666689</v>
      </c>
      <c r="U26" s="81">
        <f>IF(G26="","",ABS(O26-Components!$C$7))</f>
        <v>1.424333333333329</v>
      </c>
      <c r="V26" s="81" t="str">
        <f>IF(G26="","",IF(M26="OK","NONE",INDEX({"S1","S2","W1","W2","N1","N2"},MATCH(MIN(P26:U26),P26:U26,0))))</f>
        <v>NONE</v>
      </c>
      <c r="W26" s="117">
        <f t="shared" si="8"/>
        <v>1</v>
      </c>
      <c r="X26" s="58"/>
    </row>
    <row r="27" spans="1:24">
      <c r="A27" s="115">
        <v>25</v>
      </c>
      <c r="B27" s="116">
        <v>1</v>
      </c>
      <c r="C27" s="81" t="s">
        <v>128</v>
      </c>
      <c r="D27" s="109" t="s">
        <v>238</v>
      </c>
      <c r="E27" s="81" t="s">
        <v>239</v>
      </c>
      <c r="F27" s="52">
        <v>10</v>
      </c>
      <c r="G27" s="52">
        <f t="shared" si="9"/>
        <v>10.97</v>
      </c>
      <c r="H27" s="110"/>
      <c r="I27" s="81">
        <f>VLOOKUP(C27,Recipes!$A$2:$N$4,10,FALSE())</f>
        <v>10.940000000000001</v>
      </c>
      <c r="J27" s="81">
        <f>VLOOKUP(C27,Recipes!$A$2:$N$4,12,FALSE())</f>
        <v>5.2703573566378441E-2</v>
      </c>
      <c r="K27" s="81">
        <f t="shared" si="3"/>
        <v>10.755537492517677</v>
      </c>
      <c r="L27" s="81">
        <f t="shared" si="4"/>
        <v>11.124462507482326</v>
      </c>
      <c r="M27" s="81" t="str">
        <f t="shared" si="5"/>
        <v>OK</v>
      </c>
      <c r="N27" s="117">
        <f t="shared" si="6"/>
        <v>1</v>
      </c>
      <c r="O27" s="81">
        <f t="shared" si="7"/>
        <v>-2.9999999999999361E-2</v>
      </c>
      <c r="P27" s="81">
        <f>IF(G27="","",ABS(O27-Components!$C$2))</f>
        <v>2.7833333333333292</v>
      </c>
      <c r="Q27" s="81">
        <f>IF(G27="","",ABS(O27-Components!$C$3))</f>
        <v>4.0659999999999989</v>
      </c>
      <c r="R27" s="81">
        <f>IF(G27="","",ABS(O27-Components!$C$4))</f>
        <v>1.0233333333333323</v>
      </c>
      <c r="S27" s="81">
        <f>IF(G27="","",ABS(O27-Components!$C$5))</f>
        <v>4.5926666666666698</v>
      </c>
      <c r="T27" s="81">
        <f>IF(G27="","",ABS(O27-Components!$C$6))</f>
        <v>1.1856666666666693</v>
      </c>
      <c r="U27" s="81">
        <f>IF(G27="","",ABS(O27-Components!$C$7))</f>
        <v>1.4043333333333294</v>
      </c>
      <c r="V27" s="81" t="str">
        <f>IF(G27="","",IF(M27="OK","NONE",INDEX({"S1","S2","W1","W2","N1","N2"},MATCH(MIN(P27:U27),P27:U27,0))))</f>
        <v>NONE</v>
      </c>
      <c r="W27" s="117">
        <f t="shared" si="8"/>
        <v>1</v>
      </c>
      <c r="X27" s="58"/>
    </row>
    <row r="28" spans="1:24">
      <c r="A28" s="115">
        <v>26</v>
      </c>
      <c r="B28" s="116">
        <v>1</v>
      </c>
      <c r="C28" s="81" t="s">
        <v>128</v>
      </c>
      <c r="D28" s="109" t="s">
        <v>238</v>
      </c>
      <c r="E28" s="81" t="s">
        <v>239</v>
      </c>
      <c r="F28" s="52">
        <v>9.93</v>
      </c>
      <c r="G28" s="52">
        <f t="shared" si="9"/>
        <v>10.9</v>
      </c>
      <c r="H28" s="110"/>
      <c r="I28" s="81">
        <f>VLOOKUP(C28,Recipes!$A$2:$N$4,10,FALSE())</f>
        <v>10.940000000000001</v>
      </c>
      <c r="J28" s="81">
        <f>VLOOKUP(C28,Recipes!$A$2:$N$4,12,FALSE())</f>
        <v>5.2703573566378441E-2</v>
      </c>
      <c r="K28" s="81">
        <f t="shared" si="3"/>
        <v>10.755537492517677</v>
      </c>
      <c r="L28" s="81">
        <f t="shared" si="4"/>
        <v>11.124462507482326</v>
      </c>
      <c r="M28" s="81" t="str">
        <f t="shared" si="5"/>
        <v>OK</v>
      </c>
      <c r="N28" s="117">
        <f t="shared" si="6"/>
        <v>1</v>
      </c>
      <c r="O28" s="81">
        <f t="shared" si="7"/>
        <v>4.0000000000000924E-2</v>
      </c>
      <c r="P28" s="81">
        <f>IF(G28="","",ABS(O28-Components!$C$2))</f>
        <v>2.7133333333333289</v>
      </c>
      <c r="Q28" s="81">
        <f>IF(G28="","",ABS(O28-Components!$C$3))</f>
        <v>3.9959999999999987</v>
      </c>
      <c r="R28" s="81">
        <f>IF(G28="","",ABS(O28-Components!$C$4))</f>
        <v>0.95333333333333203</v>
      </c>
      <c r="S28" s="81">
        <f>IF(G28="","",ABS(O28-Components!$C$5))</f>
        <v>4.5226666666666695</v>
      </c>
      <c r="T28" s="81">
        <f>IF(G28="","",ABS(O28-Components!$C$6))</f>
        <v>1.115666666666669</v>
      </c>
      <c r="U28" s="81">
        <f>IF(G28="","",ABS(O28-Components!$C$7))</f>
        <v>1.3343333333333292</v>
      </c>
      <c r="V28" s="81" t="str">
        <f>IF(G28="","",IF(M28="OK","NONE",INDEX({"S1","S2","W1","W2","N1","N2"},MATCH(MIN(P28:U28),P28:U28,0))))</f>
        <v>NONE</v>
      </c>
      <c r="W28" s="117">
        <f t="shared" si="8"/>
        <v>1</v>
      </c>
      <c r="X28" s="58"/>
    </row>
    <row r="29" spans="1:24">
      <c r="A29" s="115">
        <v>27</v>
      </c>
      <c r="B29" s="116">
        <v>1</v>
      </c>
      <c r="C29" s="81" t="s">
        <v>128</v>
      </c>
      <c r="D29" s="109" t="s">
        <v>238</v>
      </c>
      <c r="E29" s="81" t="s">
        <v>239</v>
      </c>
      <c r="F29" s="52">
        <v>9.9700000000000006</v>
      </c>
      <c r="G29" s="52">
        <f t="shared" si="9"/>
        <v>10.940000000000001</v>
      </c>
      <c r="H29" s="110"/>
      <c r="I29" s="81">
        <f>VLOOKUP(C29,Recipes!$A$2:$N$4,10,FALSE())</f>
        <v>10.940000000000001</v>
      </c>
      <c r="J29" s="81">
        <f>VLOOKUP(C29,Recipes!$A$2:$N$4,12,FALSE())</f>
        <v>5.2703573566378441E-2</v>
      </c>
      <c r="K29" s="81">
        <f t="shared" si="3"/>
        <v>10.755537492517677</v>
      </c>
      <c r="L29" s="81">
        <f t="shared" si="4"/>
        <v>11.124462507482326</v>
      </c>
      <c r="M29" s="81" t="str">
        <f t="shared" si="5"/>
        <v>OK</v>
      </c>
      <c r="N29" s="117">
        <f t="shared" si="6"/>
        <v>1</v>
      </c>
      <c r="O29" s="81">
        <f t="shared" si="7"/>
        <v>0</v>
      </c>
      <c r="P29" s="81">
        <f>IF(G29="","",ABS(O29-Components!$C$2))</f>
        <v>2.7533333333333299</v>
      </c>
      <c r="Q29" s="81">
        <f>IF(G29="","",ABS(O29-Components!$C$3))</f>
        <v>4.0359999999999996</v>
      </c>
      <c r="R29" s="81">
        <f>IF(G29="","",ABS(O29-Components!$C$4))</f>
        <v>0.99333333333333296</v>
      </c>
      <c r="S29" s="81">
        <f>IF(G29="","",ABS(O29-Components!$C$5))</f>
        <v>4.5626666666666704</v>
      </c>
      <c r="T29" s="81">
        <f>IF(G29="","",ABS(O29-Components!$C$6))</f>
        <v>1.15566666666667</v>
      </c>
      <c r="U29" s="81">
        <f>IF(G29="","",ABS(O29-Components!$C$7))</f>
        <v>1.3743333333333301</v>
      </c>
      <c r="V29" s="81" t="str">
        <f>IF(G29="","",IF(M29="OK","NONE",INDEX({"S1","S2","W1","W2","N1","N2"},MATCH(MIN(P29:U29),P29:U29,0))))</f>
        <v>NONE</v>
      </c>
      <c r="W29" s="117">
        <f t="shared" si="8"/>
        <v>1</v>
      </c>
      <c r="X29" s="58"/>
    </row>
    <row r="30" spans="1:24">
      <c r="A30" s="115">
        <v>28</v>
      </c>
      <c r="B30" s="116">
        <v>1</v>
      </c>
      <c r="C30" s="81" t="s">
        <v>128</v>
      </c>
      <c r="D30" s="109" t="s">
        <v>238</v>
      </c>
      <c r="E30" s="81" t="s">
        <v>239</v>
      </c>
      <c r="F30" s="52">
        <v>9.94</v>
      </c>
      <c r="G30" s="52">
        <f t="shared" si="9"/>
        <v>10.91</v>
      </c>
      <c r="H30" s="110"/>
      <c r="I30" s="81">
        <f>VLOOKUP(C30,Recipes!$A$2:$N$4,10,FALSE())</f>
        <v>10.940000000000001</v>
      </c>
      <c r="J30" s="81">
        <f>VLOOKUP(C30,Recipes!$A$2:$N$4,12,FALSE())</f>
        <v>5.2703573566378441E-2</v>
      </c>
      <c r="K30" s="81">
        <f t="shared" si="3"/>
        <v>10.755537492517677</v>
      </c>
      <c r="L30" s="81">
        <f t="shared" si="4"/>
        <v>11.124462507482326</v>
      </c>
      <c r="M30" s="81" t="str">
        <f t="shared" si="5"/>
        <v>OK</v>
      </c>
      <c r="N30" s="117">
        <f t="shared" si="6"/>
        <v>1</v>
      </c>
      <c r="O30" s="81">
        <f t="shared" si="7"/>
        <v>3.0000000000001137E-2</v>
      </c>
      <c r="P30" s="81">
        <f>IF(G30="","",ABS(O30-Components!$C$2))</f>
        <v>2.7233333333333287</v>
      </c>
      <c r="Q30" s="81">
        <f>IF(G30="","",ABS(O30-Components!$C$3))</f>
        <v>4.0059999999999985</v>
      </c>
      <c r="R30" s="81">
        <f>IF(G30="","",ABS(O30-Components!$C$4))</f>
        <v>0.96333333333333182</v>
      </c>
      <c r="S30" s="81">
        <f>IF(G30="","",ABS(O30-Components!$C$5))</f>
        <v>4.5326666666666693</v>
      </c>
      <c r="T30" s="81">
        <f>IF(G30="","",ABS(O30-Components!$C$6))</f>
        <v>1.1256666666666688</v>
      </c>
      <c r="U30" s="81">
        <f>IF(G30="","",ABS(O30-Components!$C$7))</f>
        <v>1.3443333333333289</v>
      </c>
      <c r="V30" s="81" t="str">
        <f>IF(G30="","",IF(M30="OK","NONE",INDEX({"S1","S2","W1","W2","N1","N2"},MATCH(MIN(P30:U30),P30:U30,0))))</f>
        <v>NONE</v>
      </c>
      <c r="W30" s="117">
        <f t="shared" si="8"/>
        <v>1</v>
      </c>
      <c r="X30" s="58"/>
    </row>
    <row r="31" spans="1:24">
      <c r="A31" s="115">
        <v>29</v>
      </c>
      <c r="B31" s="116">
        <v>1</v>
      </c>
      <c r="C31" s="81" t="s">
        <v>128</v>
      </c>
      <c r="D31" s="109" t="s">
        <v>238</v>
      </c>
      <c r="E31" s="81" t="s">
        <v>239</v>
      </c>
      <c r="F31" s="52">
        <v>9.99</v>
      </c>
      <c r="G31" s="52">
        <f t="shared" si="9"/>
        <v>10.96</v>
      </c>
      <c r="H31" s="110"/>
      <c r="I31" s="81">
        <f>VLOOKUP(C31,Recipes!$A$2:$N$4,10,FALSE())</f>
        <v>10.940000000000001</v>
      </c>
      <c r="J31" s="81">
        <f>VLOOKUP(C31,Recipes!$A$2:$N$4,12,FALSE())</f>
        <v>5.2703573566378441E-2</v>
      </c>
      <c r="K31" s="81">
        <f t="shared" si="3"/>
        <v>10.755537492517677</v>
      </c>
      <c r="L31" s="81">
        <f t="shared" si="4"/>
        <v>11.124462507482326</v>
      </c>
      <c r="M31" s="81" t="str">
        <f t="shared" si="5"/>
        <v>OK</v>
      </c>
      <c r="N31" s="117">
        <f t="shared" si="6"/>
        <v>1</v>
      </c>
      <c r="O31" s="81">
        <f t="shared" si="7"/>
        <v>-1.9999999999999574E-2</v>
      </c>
      <c r="P31" s="81">
        <f>IF(G31="","",ABS(O31-Components!$C$2))</f>
        <v>2.7733333333333294</v>
      </c>
      <c r="Q31" s="81">
        <f>IF(G31="","",ABS(O31-Components!$C$3))</f>
        <v>4.0559999999999992</v>
      </c>
      <c r="R31" s="81">
        <f>IF(G31="","",ABS(O31-Components!$C$4))</f>
        <v>1.0133333333333325</v>
      </c>
      <c r="S31" s="81">
        <f>IF(G31="","",ABS(O31-Components!$C$5))</f>
        <v>4.58266666666667</v>
      </c>
      <c r="T31" s="81">
        <f>IF(G31="","",ABS(O31-Components!$C$6))</f>
        <v>1.1756666666666695</v>
      </c>
      <c r="U31" s="81">
        <f>IF(G31="","",ABS(O31-Components!$C$7))</f>
        <v>1.3943333333333296</v>
      </c>
      <c r="V31" s="81" t="str">
        <f>IF(G31="","",IF(M31="OK","NONE",INDEX({"S1","S2","W1","W2","N1","N2"},MATCH(MIN(P31:U31),P31:U31,0))))</f>
        <v>NONE</v>
      </c>
      <c r="W31" s="117">
        <f t="shared" si="8"/>
        <v>1</v>
      </c>
      <c r="X31" s="58"/>
    </row>
    <row r="32" spans="1:24">
      <c r="A32" s="115">
        <v>30</v>
      </c>
      <c r="B32" s="116">
        <v>1</v>
      </c>
      <c r="C32" s="81" t="s">
        <v>128</v>
      </c>
      <c r="D32" s="109" t="s">
        <v>238</v>
      </c>
      <c r="E32" s="81" t="s">
        <v>239</v>
      </c>
      <c r="F32" s="61">
        <v>9.48</v>
      </c>
      <c r="G32" s="52">
        <f t="shared" si="9"/>
        <v>10.450000000000001</v>
      </c>
      <c r="H32" s="110"/>
      <c r="I32" s="81">
        <f>VLOOKUP(C32,Recipes!$A$2:$N$4,10,FALSE())</f>
        <v>10.940000000000001</v>
      </c>
      <c r="J32" s="81">
        <f>VLOOKUP(C32,Recipes!$A$2:$N$4,12,FALSE())</f>
        <v>5.2703573566378441E-2</v>
      </c>
      <c r="K32" s="81">
        <f t="shared" si="3"/>
        <v>10.755537492517677</v>
      </c>
      <c r="L32" s="81">
        <f t="shared" si="4"/>
        <v>11.124462507482326</v>
      </c>
      <c r="M32" s="81" t="str">
        <f t="shared" si="5"/>
        <v>NG</v>
      </c>
      <c r="N32" s="122">
        <f t="shared" si="6"/>
        <v>0</v>
      </c>
      <c r="O32" s="81">
        <f t="shared" si="7"/>
        <v>0.49000000000000021</v>
      </c>
      <c r="P32" s="81">
        <f>IF(G32="","",ABS(O32-Components!$C$2))</f>
        <v>2.2633333333333296</v>
      </c>
      <c r="Q32" s="81">
        <f>IF(G32="","",ABS(O32-Components!$C$3))</f>
        <v>3.5459999999999994</v>
      </c>
      <c r="R32" s="81">
        <f>IF(G32="","",ABS(O32-Components!$C$4))</f>
        <v>0.50333333333333274</v>
      </c>
      <c r="S32" s="81">
        <f>IF(G32="","",ABS(O32-Components!$C$5))</f>
        <v>4.0726666666666702</v>
      </c>
      <c r="T32" s="81">
        <f>IF(G32="","",ABS(O32-Components!$C$6))</f>
        <v>0.66566666666666974</v>
      </c>
      <c r="U32" s="81">
        <f>IF(G32="","",ABS(O32-Components!$C$7))</f>
        <v>0.88433333333332986</v>
      </c>
      <c r="V32" s="81" t="str">
        <f>IF(G32="","",IF(M32="OK","NONE",INDEX({"S1","S2","W1","W2","N1","N2"},MATCH(MIN(P32:U32),P32:U32,0))))</f>
        <v>W1</v>
      </c>
      <c r="W32" s="122">
        <f t="shared" si="8"/>
        <v>0</v>
      </c>
      <c r="X32" s="58"/>
    </row>
    <row r="33" spans="1:24">
      <c r="A33" s="115">
        <v>31</v>
      </c>
      <c r="B33" s="116">
        <v>2</v>
      </c>
      <c r="C33" s="81" t="s">
        <v>128</v>
      </c>
      <c r="D33" s="111" t="s">
        <v>240</v>
      </c>
      <c r="E33" s="81" t="s">
        <v>102</v>
      </c>
      <c r="F33" s="52">
        <v>5.91</v>
      </c>
      <c r="G33" s="52">
        <f t="shared" si="9"/>
        <v>6.88</v>
      </c>
      <c r="H33" s="110"/>
      <c r="I33" s="81">
        <f>VLOOKUP(C33,Recipes!$A$2:$N$4,10,FALSE())</f>
        <v>10.940000000000001</v>
      </c>
      <c r="J33" s="81">
        <f>VLOOKUP(C33,Recipes!$A$2:$N$4,12,FALSE())</f>
        <v>5.2703573566378441E-2</v>
      </c>
      <c r="K33" s="81">
        <f t="shared" si="3"/>
        <v>10.755537492517677</v>
      </c>
      <c r="L33" s="81">
        <f t="shared" si="4"/>
        <v>11.124462507482326</v>
      </c>
      <c r="M33" s="81" t="str">
        <f t="shared" si="5"/>
        <v>NG</v>
      </c>
      <c r="N33" s="117">
        <f t="shared" si="6"/>
        <v>1</v>
      </c>
      <c r="O33" s="81">
        <f t="shared" si="7"/>
        <v>4.0600000000000014</v>
      </c>
      <c r="P33" s="81">
        <f>IF(G33="","",ABS(O33-Components!$C$2))</f>
        <v>1.3066666666666715</v>
      </c>
      <c r="Q33" s="81">
        <f>IF(G33="","",ABS(O33-Components!$C$3))</f>
        <v>2.4000000000001798E-2</v>
      </c>
      <c r="R33" s="81">
        <f>IF(G33="","",ABS(O33-Components!$C$4))</f>
        <v>3.0666666666666682</v>
      </c>
      <c r="S33" s="81">
        <f>IF(G33="","",ABS(O33-Components!$C$5))</f>
        <v>0.50266666666666904</v>
      </c>
      <c r="T33" s="81">
        <f>IF(G33="","",ABS(O33-Components!$C$6))</f>
        <v>2.9043333333333314</v>
      </c>
      <c r="U33" s="81">
        <f>IF(G33="","",ABS(O33-Components!$C$7))</f>
        <v>2.6856666666666715</v>
      </c>
      <c r="V33" s="81" t="str">
        <f>IF(G33="","",IF(M33="OK","NONE",INDEX({"S1","S2","W1","W2","N1","N2"},MATCH(MIN(P33:U33),P33:U33,0))))</f>
        <v>S2</v>
      </c>
      <c r="W33" s="117">
        <f t="shared" si="8"/>
        <v>1</v>
      </c>
      <c r="X33" s="58"/>
    </row>
    <row r="34" spans="1:24">
      <c r="A34" s="115">
        <v>32</v>
      </c>
      <c r="B34" s="116">
        <v>2</v>
      </c>
      <c r="C34" s="81" t="s">
        <v>128</v>
      </c>
      <c r="D34" s="111" t="s">
        <v>240</v>
      </c>
      <c r="E34" s="81" t="s">
        <v>102</v>
      </c>
      <c r="F34" s="52">
        <v>5.93</v>
      </c>
      <c r="G34" s="52">
        <f t="shared" si="9"/>
        <v>6.8999999999999995</v>
      </c>
      <c r="H34" s="110"/>
      <c r="I34" s="81">
        <f>VLOOKUP(C34,Recipes!$A$2:$N$4,10,FALSE())</f>
        <v>10.940000000000001</v>
      </c>
      <c r="J34" s="81">
        <f>VLOOKUP(C34,Recipes!$A$2:$N$4,12,FALSE())</f>
        <v>5.2703573566378441E-2</v>
      </c>
      <c r="K34" s="81">
        <f t="shared" si="3"/>
        <v>10.755537492517677</v>
      </c>
      <c r="L34" s="81">
        <f t="shared" si="4"/>
        <v>11.124462507482326</v>
      </c>
      <c r="M34" s="81" t="str">
        <f t="shared" si="5"/>
        <v>NG</v>
      </c>
      <c r="N34" s="117">
        <f t="shared" si="6"/>
        <v>1</v>
      </c>
      <c r="O34" s="81">
        <f t="shared" si="7"/>
        <v>4.0400000000000018</v>
      </c>
      <c r="P34" s="81">
        <f>IF(G34="","",ABS(O34-Components!$C$2))</f>
        <v>1.286666666666672</v>
      </c>
      <c r="Q34" s="81">
        <f>IF(G34="","",ABS(O34-Components!$C$3))</f>
        <v>4.000000000002224E-3</v>
      </c>
      <c r="R34" s="81">
        <f>IF(G34="","",ABS(O34-Components!$C$4))</f>
        <v>3.0466666666666686</v>
      </c>
      <c r="S34" s="81">
        <f>IF(G34="","",ABS(O34-Components!$C$5))</f>
        <v>0.52266666666666861</v>
      </c>
      <c r="T34" s="81">
        <f>IF(G34="","",ABS(O34-Components!$C$6))</f>
        <v>2.8843333333333319</v>
      </c>
      <c r="U34" s="81">
        <f>IF(G34="","",ABS(O34-Components!$C$7))</f>
        <v>2.665666666666672</v>
      </c>
      <c r="V34" s="81" t="str">
        <f>IF(G34="","",IF(M34="OK","NONE",INDEX({"S1","S2","W1","W2","N1","N2"},MATCH(MIN(P34:U34),P34:U34,0))))</f>
        <v>S2</v>
      </c>
      <c r="W34" s="117">
        <f t="shared" si="8"/>
        <v>1</v>
      </c>
      <c r="X34" s="58"/>
    </row>
    <row r="35" spans="1:24">
      <c r="A35" s="115">
        <v>33</v>
      </c>
      <c r="B35" s="116">
        <v>2</v>
      </c>
      <c r="C35" s="81" t="s">
        <v>128</v>
      </c>
      <c r="D35" s="111" t="s">
        <v>240</v>
      </c>
      <c r="E35" s="81" t="s">
        <v>102</v>
      </c>
      <c r="F35" s="52">
        <v>5.86</v>
      </c>
      <c r="G35" s="52">
        <f t="shared" si="9"/>
        <v>6.83</v>
      </c>
      <c r="H35" s="110"/>
      <c r="I35" s="81">
        <f>VLOOKUP(C35,Recipes!$A$2:$N$4,10,FALSE())</f>
        <v>10.940000000000001</v>
      </c>
      <c r="J35" s="81">
        <f>VLOOKUP(C35,Recipes!$A$2:$N$4,12,FALSE())</f>
        <v>5.2703573566378441E-2</v>
      </c>
      <c r="K35" s="81">
        <f t="shared" si="3"/>
        <v>10.755537492517677</v>
      </c>
      <c r="L35" s="81">
        <f t="shared" si="4"/>
        <v>11.124462507482326</v>
      </c>
      <c r="M35" s="81" t="str">
        <f t="shared" si="5"/>
        <v>NG</v>
      </c>
      <c r="N35" s="117">
        <f t="shared" si="6"/>
        <v>1</v>
      </c>
      <c r="O35" s="81">
        <f t="shared" si="7"/>
        <v>4.1100000000000012</v>
      </c>
      <c r="P35" s="81">
        <f>IF(G35="","",ABS(O35-Components!$C$2))</f>
        <v>1.3566666666666714</v>
      </c>
      <c r="Q35" s="81">
        <f>IF(G35="","",ABS(O35-Components!$C$3))</f>
        <v>7.400000000000162E-2</v>
      </c>
      <c r="R35" s="81">
        <f>IF(G35="","",ABS(O35-Components!$C$4))</f>
        <v>3.116666666666668</v>
      </c>
      <c r="S35" s="81">
        <f>IF(G35="","",ABS(O35-Components!$C$5))</f>
        <v>0.45266666666666922</v>
      </c>
      <c r="T35" s="81">
        <f>IF(G35="","",ABS(O35-Components!$C$6))</f>
        <v>2.9543333333333313</v>
      </c>
      <c r="U35" s="81">
        <f>IF(G35="","",ABS(O35-Components!$C$7))</f>
        <v>2.7356666666666714</v>
      </c>
      <c r="V35" s="81" t="str">
        <f>IF(G35="","",IF(M35="OK","NONE",INDEX({"S1","S2","W1","W2","N1","N2"},MATCH(MIN(P35:U35),P35:U35,0))))</f>
        <v>S2</v>
      </c>
      <c r="W35" s="117">
        <f t="shared" si="8"/>
        <v>1</v>
      </c>
      <c r="X35" s="58"/>
    </row>
    <row r="36" spans="1:24">
      <c r="A36" s="115">
        <v>34</v>
      </c>
      <c r="B36" s="116">
        <v>2</v>
      </c>
      <c r="C36" s="81" t="s">
        <v>128</v>
      </c>
      <c r="D36" s="111" t="s">
        <v>240</v>
      </c>
      <c r="E36" s="81" t="s">
        <v>102</v>
      </c>
      <c r="F36" s="52">
        <v>5.94</v>
      </c>
      <c r="G36" s="52">
        <f t="shared" si="9"/>
        <v>6.91</v>
      </c>
      <c r="H36" s="110"/>
      <c r="I36" s="81">
        <f>VLOOKUP(C36,Recipes!$A$2:$N$4,10,FALSE())</f>
        <v>10.940000000000001</v>
      </c>
      <c r="J36" s="81">
        <f>VLOOKUP(C36,Recipes!$A$2:$N$4,12,FALSE())</f>
        <v>5.2703573566378441E-2</v>
      </c>
      <c r="K36" s="81">
        <f t="shared" si="3"/>
        <v>10.755537492517677</v>
      </c>
      <c r="L36" s="81">
        <f t="shared" si="4"/>
        <v>11.124462507482326</v>
      </c>
      <c r="M36" s="81" t="str">
        <f t="shared" si="5"/>
        <v>NG</v>
      </c>
      <c r="N36" s="117">
        <f t="shared" si="6"/>
        <v>1</v>
      </c>
      <c r="O36" s="81">
        <f t="shared" si="7"/>
        <v>4.0300000000000011</v>
      </c>
      <c r="P36" s="81">
        <f>IF(G36="","",ABS(O36-Components!$C$2))</f>
        <v>1.2766666666666713</v>
      </c>
      <c r="Q36" s="81">
        <f>IF(G36="","",ABS(O36-Components!$C$3))</f>
        <v>5.999999999998451E-3</v>
      </c>
      <c r="R36" s="81">
        <f>IF(G36="","",ABS(O36-Components!$C$4))</f>
        <v>3.036666666666668</v>
      </c>
      <c r="S36" s="81">
        <f>IF(G36="","",ABS(O36-Components!$C$5))</f>
        <v>0.53266666666666929</v>
      </c>
      <c r="T36" s="81">
        <f>IF(G36="","",ABS(O36-Components!$C$6))</f>
        <v>2.8743333333333312</v>
      </c>
      <c r="U36" s="81">
        <f>IF(G36="","",ABS(O36-Components!$C$7))</f>
        <v>2.6556666666666713</v>
      </c>
      <c r="V36" s="81" t="str">
        <f>IF(G36="","",IF(M36="OK","NONE",INDEX({"S1","S2","W1","W2","N1","N2"},MATCH(MIN(P36:U36),P36:U36,0))))</f>
        <v>S2</v>
      </c>
      <c r="W36" s="117">
        <f t="shared" si="8"/>
        <v>1</v>
      </c>
      <c r="X36" s="58"/>
    </row>
    <row r="37" spans="1:24">
      <c r="A37" s="115">
        <v>35</v>
      </c>
      <c r="B37" s="116">
        <v>2</v>
      </c>
      <c r="C37" s="81" t="s">
        <v>128</v>
      </c>
      <c r="D37" s="111" t="s">
        <v>240</v>
      </c>
      <c r="E37" s="81" t="s">
        <v>102</v>
      </c>
      <c r="F37" s="52">
        <v>5.9</v>
      </c>
      <c r="G37" s="52">
        <f t="shared" si="9"/>
        <v>6.87</v>
      </c>
      <c r="H37" s="110"/>
      <c r="I37" s="81">
        <f>VLOOKUP(C37,Recipes!$A$2:$N$4,10,FALSE())</f>
        <v>10.940000000000001</v>
      </c>
      <c r="J37" s="81">
        <f>VLOOKUP(C37,Recipes!$A$2:$N$4,12,FALSE())</f>
        <v>5.2703573566378441E-2</v>
      </c>
      <c r="K37" s="81">
        <f t="shared" si="3"/>
        <v>10.755537492517677</v>
      </c>
      <c r="L37" s="81">
        <f t="shared" si="4"/>
        <v>11.124462507482326</v>
      </c>
      <c r="M37" s="81" t="str">
        <f t="shared" si="5"/>
        <v>NG</v>
      </c>
      <c r="N37" s="117">
        <f t="shared" si="6"/>
        <v>1</v>
      </c>
      <c r="O37" s="81">
        <f t="shared" si="7"/>
        <v>4.0700000000000012</v>
      </c>
      <c r="P37" s="81">
        <f>IF(G37="","",ABS(O37-Components!$C$2))</f>
        <v>1.3166666666666713</v>
      </c>
      <c r="Q37" s="81">
        <f>IF(G37="","",ABS(O37-Components!$C$3))</f>
        <v>3.4000000000001585E-2</v>
      </c>
      <c r="R37" s="81">
        <f>IF(G37="","",ABS(O37-Components!$C$4))</f>
        <v>3.076666666666668</v>
      </c>
      <c r="S37" s="81">
        <f>IF(G37="","",ABS(O37-Components!$C$5))</f>
        <v>0.49266666666666925</v>
      </c>
      <c r="T37" s="81">
        <f>IF(G37="","",ABS(O37-Components!$C$6))</f>
        <v>2.9143333333333312</v>
      </c>
      <c r="U37" s="81">
        <f>IF(G37="","",ABS(O37-Components!$C$7))</f>
        <v>2.6956666666666713</v>
      </c>
      <c r="V37" s="81" t="str">
        <f>IF(G37="","",IF(M37="OK","NONE",INDEX({"S1","S2","W1","W2","N1","N2"},MATCH(MIN(P37:U37),P37:U37,0))))</f>
        <v>S2</v>
      </c>
      <c r="W37" s="117">
        <f t="shared" si="8"/>
        <v>1</v>
      </c>
      <c r="X37" s="58"/>
    </row>
    <row r="38" spans="1:24">
      <c r="A38" s="115">
        <v>36</v>
      </c>
      <c r="B38" s="116">
        <v>2</v>
      </c>
      <c r="C38" s="81" t="s">
        <v>128</v>
      </c>
      <c r="D38" s="111" t="s">
        <v>240</v>
      </c>
      <c r="E38" s="81" t="s">
        <v>102</v>
      </c>
      <c r="F38" s="52">
        <v>5.82</v>
      </c>
      <c r="G38" s="52">
        <f t="shared" si="9"/>
        <v>6.79</v>
      </c>
      <c r="H38" s="110"/>
      <c r="I38" s="81">
        <f>VLOOKUP(C38,Recipes!$A$2:$N$4,10,FALSE())</f>
        <v>10.940000000000001</v>
      </c>
      <c r="J38" s="81">
        <f>VLOOKUP(C38,Recipes!$A$2:$N$4,12,FALSE())</f>
        <v>5.2703573566378441E-2</v>
      </c>
      <c r="K38" s="81">
        <f t="shared" si="3"/>
        <v>10.755537492517677</v>
      </c>
      <c r="L38" s="81">
        <f t="shared" si="4"/>
        <v>11.124462507482326</v>
      </c>
      <c r="M38" s="81" t="str">
        <f t="shared" si="5"/>
        <v>NG</v>
      </c>
      <c r="N38" s="117">
        <f t="shared" si="6"/>
        <v>1</v>
      </c>
      <c r="O38" s="81">
        <f t="shared" si="7"/>
        <v>4.1500000000000012</v>
      </c>
      <c r="P38" s="81">
        <f>IF(G38="","",ABS(O38-Components!$C$2))</f>
        <v>1.3966666666666714</v>
      </c>
      <c r="Q38" s="81">
        <f>IF(G38="","",ABS(O38-Components!$C$3))</f>
        <v>0.11400000000000166</v>
      </c>
      <c r="R38" s="81">
        <f>IF(G38="","",ABS(O38-Components!$C$4))</f>
        <v>3.1566666666666681</v>
      </c>
      <c r="S38" s="81">
        <f>IF(G38="","",ABS(O38-Components!$C$5))</f>
        <v>0.41266666666666918</v>
      </c>
      <c r="T38" s="81">
        <f>IF(G38="","",ABS(O38-Components!$C$6))</f>
        <v>2.9943333333333313</v>
      </c>
      <c r="U38" s="81">
        <f>IF(G38="","",ABS(O38-Components!$C$7))</f>
        <v>2.7756666666666714</v>
      </c>
      <c r="V38" s="81" t="str">
        <f>IF(G38="","",IF(M38="OK","NONE",INDEX({"S1","S2","W1","W2","N1","N2"},MATCH(MIN(P38:U38),P38:U38,0))))</f>
        <v>S2</v>
      </c>
      <c r="W38" s="117">
        <f t="shared" si="8"/>
        <v>1</v>
      </c>
      <c r="X38" s="58"/>
    </row>
    <row r="39" spans="1:24">
      <c r="A39" s="115">
        <v>37</v>
      </c>
      <c r="B39" s="116">
        <v>2</v>
      </c>
      <c r="C39" s="81" t="s">
        <v>128</v>
      </c>
      <c r="D39" s="111" t="s">
        <v>240</v>
      </c>
      <c r="E39" s="81" t="s">
        <v>102</v>
      </c>
      <c r="F39" s="52">
        <v>5.87</v>
      </c>
      <c r="G39" s="52">
        <f t="shared" si="9"/>
        <v>6.84</v>
      </c>
      <c r="H39" s="110"/>
      <c r="I39" s="81">
        <f>VLOOKUP(C39,Recipes!$A$2:$N$4,10,FALSE())</f>
        <v>10.940000000000001</v>
      </c>
      <c r="J39" s="81">
        <f>VLOOKUP(C39,Recipes!$A$2:$N$4,12,FALSE())</f>
        <v>5.2703573566378441E-2</v>
      </c>
      <c r="K39" s="81">
        <f t="shared" si="3"/>
        <v>10.755537492517677</v>
      </c>
      <c r="L39" s="81">
        <f t="shared" si="4"/>
        <v>11.124462507482326</v>
      </c>
      <c r="M39" s="81" t="str">
        <f t="shared" si="5"/>
        <v>NG</v>
      </c>
      <c r="N39" s="117">
        <f t="shared" si="6"/>
        <v>1</v>
      </c>
      <c r="O39" s="81">
        <f t="shared" si="7"/>
        <v>4.1000000000000014</v>
      </c>
      <c r="P39" s="81">
        <f>IF(G39="","",ABS(O39-Components!$C$2))</f>
        <v>1.3466666666666716</v>
      </c>
      <c r="Q39" s="81">
        <f>IF(G39="","",ABS(O39-Components!$C$3))</f>
        <v>6.4000000000001833E-2</v>
      </c>
      <c r="R39" s="81">
        <f>IF(G39="","",ABS(O39-Components!$C$4))</f>
        <v>3.1066666666666682</v>
      </c>
      <c r="S39" s="81">
        <f>IF(G39="","",ABS(O39-Components!$C$5))</f>
        <v>0.462666666666669</v>
      </c>
      <c r="T39" s="81">
        <f>IF(G39="","",ABS(O39-Components!$C$6))</f>
        <v>2.9443333333333315</v>
      </c>
      <c r="U39" s="81">
        <f>IF(G39="","",ABS(O39-Components!$C$7))</f>
        <v>2.7256666666666716</v>
      </c>
      <c r="V39" s="81" t="str">
        <f>IF(G39="","",IF(M39="OK","NONE",INDEX({"S1","S2","W1","W2","N1","N2"},MATCH(MIN(P39:U39),P39:U39,0))))</f>
        <v>S2</v>
      </c>
      <c r="W39" s="117">
        <f t="shared" si="8"/>
        <v>1</v>
      </c>
      <c r="X39" s="58"/>
    </row>
    <row r="40" spans="1:24">
      <c r="A40" s="115">
        <v>38</v>
      </c>
      <c r="B40" s="116">
        <v>2</v>
      </c>
      <c r="C40" s="81" t="s">
        <v>128</v>
      </c>
      <c r="D40" s="111" t="s">
        <v>240</v>
      </c>
      <c r="E40" s="81" t="s">
        <v>102</v>
      </c>
      <c r="F40" s="52">
        <v>5.89</v>
      </c>
      <c r="G40" s="52">
        <f t="shared" si="9"/>
        <v>6.8599999999999994</v>
      </c>
      <c r="H40" s="110"/>
      <c r="I40" s="81">
        <f>VLOOKUP(C40,Recipes!$A$2:$N$4,10,FALSE())</f>
        <v>10.940000000000001</v>
      </c>
      <c r="J40" s="81">
        <f>VLOOKUP(C40,Recipes!$A$2:$N$4,12,FALSE())</f>
        <v>5.2703573566378441E-2</v>
      </c>
      <c r="K40" s="81">
        <f t="shared" si="3"/>
        <v>10.755537492517677</v>
      </c>
      <c r="L40" s="81">
        <f t="shared" si="4"/>
        <v>11.124462507482326</v>
      </c>
      <c r="M40" s="81" t="str">
        <f t="shared" si="5"/>
        <v>NG</v>
      </c>
      <c r="N40" s="117">
        <f t="shared" si="6"/>
        <v>1</v>
      </c>
      <c r="O40" s="81">
        <f t="shared" si="7"/>
        <v>4.0800000000000018</v>
      </c>
      <c r="P40" s="81">
        <f>IF(G40="","",ABS(O40-Components!$C$2))</f>
        <v>1.326666666666672</v>
      </c>
      <c r="Q40" s="81">
        <f>IF(G40="","",ABS(O40-Components!$C$3))</f>
        <v>4.400000000000226E-2</v>
      </c>
      <c r="R40" s="81">
        <f>IF(G40="","",ABS(O40-Components!$C$4))</f>
        <v>3.0866666666666687</v>
      </c>
      <c r="S40" s="81">
        <f>IF(G40="","",ABS(O40-Components!$C$5))</f>
        <v>0.48266666666666858</v>
      </c>
      <c r="T40" s="81">
        <f>IF(G40="","",ABS(O40-Components!$C$6))</f>
        <v>2.9243333333333319</v>
      </c>
      <c r="U40" s="81">
        <f>IF(G40="","",ABS(O40-Components!$C$7))</f>
        <v>2.705666666666672</v>
      </c>
      <c r="V40" s="81" t="str">
        <f>IF(G40="","",IF(M40="OK","NONE",INDEX({"S1","S2","W1","W2","N1","N2"},MATCH(MIN(P40:U40),P40:U40,0))))</f>
        <v>S2</v>
      </c>
      <c r="W40" s="117">
        <f t="shared" si="8"/>
        <v>1</v>
      </c>
      <c r="X40" s="58"/>
    </row>
    <row r="41" spans="1:24">
      <c r="A41" s="115">
        <v>39</v>
      </c>
      <c r="B41" s="116">
        <v>2</v>
      </c>
      <c r="C41" s="81" t="s">
        <v>128</v>
      </c>
      <c r="D41" s="111" t="s">
        <v>240</v>
      </c>
      <c r="E41" s="81" t="s">
        <v>102</v>
      </c>
      <c r="F41" s="52">
        <v>5.91</v>
      </c>
      <c r="G41" s="52">
        <f t="shared" si="9"/>
        <v>6.88</v>
      </c>
      <c r="H41" s="110"/>
      <c r="I41" s="81">
        <f>VLOOKUP(C41,Recipes!$A$2:$N$4,10,FALSE())</f>
        <v>10.940000000000001</v>
      </c>
      <c r="J41" s="81">
        <f>VLOOKUP(C41,Recipes!$A$2:$N$4,12,FALSE())</f>
        <v>5.2703573566378441E-2</v>
      </c>
      <c r="K41" s="81">
        <f t="shared" si="3"/>
        <v>10.755537492517677</v>
      </c>
      <c r="L41" s="81">
        <f t="shared" si="4"/>
        <v>11.124462507482326</v>
      </c>
      <c r="M41" s="81" t="str">
        <f t="shared" si="5"/>
        <v>NG</v>
      </c>
      <c r="N41" s="117">
        <f t="shared" si="6"/>
        <v>1</v>
      </c>
      <c r="O41" s="81">
        <f t="shared" si="7"/>
        <v>4.0600000000000014</v>
      </c>
      <c r="P41" s="81">
        <f>IF(G41="","",ABS(O41-Components!$C$2))</f>
        <v>1.3066666666666715</v>
      </c>
      <c r="Q41" s="81">
        <f>IF(G41="","",ABS(O41-Components!$C$3))</f>
        <v>2.4000000000001798E-2</v>
      </c>
      <c r="R41" s="81">
        <f>IF(G41="","",ABS(O41-Components!$C$4))</f>
        <v>3.0666666666666682</v>
      </c>
      <c r="S41" s="81">
        <f>IF(G41="","",ABS(O41-Components!$C$5))</f>
        <v>0.50266666666666904</v>
      </c>
      <c r="T41" s="81">
        <f>IF(G41="","",ABS(O41-Components!$C$6))</f>
        <v>2.9043333333333314</v>
      </c>
      <c r="U41" s="81">
        <f>IF(G41="","",ABS(O41-Components!$C$7))</f>
        <v>2.6856666666666715</v>
      </c>
      <c r="V41" s="81" t="str">
        <f>IF(G41="","",IF(M41="OK","NONE",INDEX({"S1","S2","W1","W2","N1","N2"},MATCH(MIN(P41:U41),P41:U41,0))))</f>
        <v>S2</v>
      </c>
      <c r="W41" s="117">
        <f t="shared" si="8"/>
        <v>1</v>
      </c>
      <c r="X41" s="58"/>
    </row>
    <row r="42" spans="1:24">
      <c r="A42" s="115">
        <v>40</v>
      </c>
      <c r="B42" s="116">
        <v>2</v>
      </c>
      <c r="C42" s="81" t="s">
        <v>128</v>
      </c>
      <c r="D42" s="111" t="s">
        <v>240</v>
      </c>
      <c r="E42" s="81" t="s">
        <v>102</v>
      </c>
      <c r="F42" s="52">
        <v>5.94</v>
      </c>
      <c r="G42" s="52">
        <f t="shared" si="9"/>
        <v>6.91</v>
      </c>
      <c r="H42" s="110"/>
      <c r="I42" s="81">
        <f>VLOOKUP(C42,Recipes!$A$2:$N$4,10,FALSE())</f>
        <v>10.940000000000001</v>
      </c>
      <c r="J42" s="81">
        <f>VLOOKUP(C42,Recipes!$A$2:$N$4,12,FALSE())</f>
        <v>5.2703573566378441E-2</v>
      </c>
      <c r="K42" s="81">
        <f t="shared" si="3"/>
        <v>10.755537492517677</v>
      </c>
      <c r="L42" s="81">
        <f t="shared" si="4"/>
        <v>11.124462507482326</v>
      </c>
      <c r="M42" s="81" t="str">
        <f t="shared" si="5"/>
        <v>NG</v>
      </c>
      <c r="N42" s="117">
        <f t="shared" si="6"/>
        <v>1</v>
      </c>
      <c r="O42" s="81">
        <f t="shared" si="7"/>
        <v>4.0300000000000011</v>
      </c>
      <c r="P42" s="81">
        <f>IF(G42="","",ABS(O42-Components!$C$2))</f>
        <v>1.2766666666666713</v>
      </c>
      <c r="Q42" s="81">
        <f>IF(G42="","",ABS(O42-Components!$C$3))</f>
        <v>5.999999999998451E-3</v>
      </c>
      <c r="R42" s="81">
        <f>IF(G42="","",ABS(O42-Components!$C$4))</f>
        <v>3.036666666666668</v>
      </c>
      <c r="S42" s="81">
        <f>IF(G42="","",ABS(O42-Components!$C$5))</f>
        <v>0.53266666666666929</v>
      </c>
      <c r="T42" s="81">
        <f>IF(G42="","",ABS(O42-Components!$C$6))</f>
        <v>2.8743333333333312</v>
      </c>
      <c r="U42" s="81">
        <f>IF(G42="","",ABS(O42-Components!$C$7))</f>
        <v>2.6556666666666713</v>
      </c>
      <c r="V42" s="81" t="str">
        <f>IF(G42="","",IF(M42="OK","NONE",INDEX({"S1","S2","W1","W2","N1","N2"},MATCH(MIN(P42:U42),P42:U42,0))))</f>
        <v>S2</v>
      </c>
      <c r="W42" s="117">
        <f t="shared" si="8"/>
        <v>1</v>
      </c>
      <c r="X42" s="58"/>
    </row>
    <row r="43" spans="1:24">
      <c r="A43" s="115">
        <v>41</v>
      </c>
      <c r="B43" s="116">
        <v>2</v>
      </c>
      <c r="C43" s="81" t="s">
        <v>128</v>
      </c>
      <c r="D43" s="111" t="s">
        <v>240</v>
      </c>
      <c r="E43" s="81" t="s">
        <v>102</v>
      </c>
      <c r="F43" s="52">
        <v>5.91</v>
      </c>
      <c r="G43" s="52">
        <f t="shared" si="9"/>
        <v>6.88</v>
      </c>
      <c r="H43" s="110"/>
      <c r="I43" s="81">
        <f>VLOOKUP(C43,Recipes!$A$2:$N$4,10,FALSE())</f>
        <v>10.940000000000001</v>
      </c>
      <c r="J43" s="81">
        <f>VLOOKUP(C43,Recipes!$A$2:$N$4,12,FALSE())</f>
        <v>5.2703573566378441E-2</v>
      </c>
      <c r="K43" s="81">
        <f t="shared" si="3"/>
        <v>10.755537492517677</v>
      </c>
      <c r="L43" s="81">
        <f t="shared" si="4"/>
        <v>11.124462507482326</v>
      </c>
      <c r="M43" s="81" t="str">
        <f t="shared" si="5"/>
        <v>NG</v>
      </c>
      <c r="N43" s="117">
        <f t="shared" si="6"/>
        <v>1</v>
      </c>
      <c r="O43" s="81">
        <f t="shared" si="7"/>
        <v>4.0600000000000014</v>
      </c>
      <c r="P43" s="81">
        <f>IF(G43="","",ABS(O43-Components!$C$2))</f>
        <v>1.3066666666666715</v>
      </c>
      <c r="Q43" s="81">
        <f>IF(G43="","",ABS(O43-Components!$C$3))</f>
        <v>2.4000000000001798E-2</v>
      </c>
      <c r="R43" s="81">
        <f>IF(G43="","",ABS(O43-Components!$C$4))</f>
        <v>3.0666666666666682</v>
      </c>
      <c r="S43" s="81">
        <f>IF(G43="","",ABS(O43-Components!$C$5))</f>
        <v>0.50266666666666904</v>
      </c>
      <c r="T43" s="81">
        <f>IF(G43="","",ABS(O43-Components!$C$6))</f>
        <v>2.9043333333333314</v>
      </c>
      <c r="U43" s="81">
        <f>IF(G43="","",ABS(O43-Components!$C$7))</f>
        <v>2.6856666666666715</v>
      </c>
      <c r="V43" s="81" t="str">
        <f>IF(G43="","",IF(M43="OK","NONE",INDEX({"S1","S2","W1","W2","N1","N2"},MATCH(MIN(P43:U43),P43:U43,0))))</f>
        <v>S2</v>
      </c>
      <c r="W43" s="117">
        <f t="shared" si="8"/>
        <v>1</v>
      </c>
      <c r="X43" s="58"/>
    </row>
    <row r="44" spans="1:24">
      <c r="A44" s="115">
        <v>42</v>
      </c>
      <c r="B44" s="116">
        <v>2</v>
      </c>
      <c r="C44" s="81" t="s">
        <v>128</v>
      </c>
      <c r="D44" s="111" t="s">
        <v>240</v>
      </c>
      <c r="E44" s="81" t="s">
        <v>102</v>
      </c>
      <c r="F44" s="52">
        <v>5.96</v>
      </c>
      <c r="G44" s="52">
        <f t="shared" si="9"/>
        <v>6.93</v>
      </c>
      <c r="H44" s="110"/>
      <c r="I44" s="81">
        <f>VLOOKUP(C44,Recipes!$A$2:$N$4,10,FALSE())</f>
        <v>10.940000000000001</v>
      </c>
      <c r="J44" s="81">
        <f>VLOOKUP(C44,Recipes!$A$2:$N$4,12,FALSE())</f>
        <v>5.2703573566378441E-2</v>
      </c>
      <c r="K44" s="81">
        <f t="shared" si="3"/>
        <v>10.755537492517677</v>
      </c>
      <c r="L44" s="81">
        <f t="shared" si="4"/>
        <v>11.124462507482326</v>
      </c>
      <c r="M44" s="81" t="str">
        <f t="shared" si="5"/>
        <v>NG</v>
      </c>
      <c r="N44" s="117">
        <f t="shared" si="6"/>
        <v>1</v>
      </c>
      <c r="O44" s="81">
        <f t="shared" si="7"/>
        <v>4.0100000000000016</v>
      </c>
      <c r="P44" s="81">
        <f>IF(G44="","",ABS(O44-Components!$C$2))</f>
        <v>1.2566666666666717</v>
      </c>
      <c r="Q44" s="81">
        <f>IF(G44="","",ABS(O44-Components!$C$3))</f>
        <v>2.5999999999998025E-2</v>
      </c>
      <c r="R44" s="81">
        <f>IF(G44="","",ABS(O44-Components!$C$4))</f>
        <v>3.0166666666666684</v>
      </c>
      <c r="S44" s="81">
        <f>IF(G44="","",ABS(O44-Components!$C$5))</f>
        <v>0.55266666666666886</v>
      </c>
      <c r="T44" s="81">
        <f>IF(G44="","",ABS(O44-Components!$C$6))</f>
        <v>2.8543333333333316</v>
      </c>
      <c r="U44" s="81">
        <f>IF(G44="","",ABS(O44-Components!$C$7))</f>
        <v>2.6356666666666717</v>
      </c>
      <c r="V44" s="81" t="str">
        <f>IF(G44="","",IF(M44="OK","NONE",INDEX({"S1","S2","W1","W2","N1","N2"},MATCH(MIN(P44:U44),P44:U44,0))))</f>
        <v>S2</v>
      </c>
      <c r="W44" s="117">
        <f t="shared" si="8"/>
        <v>1</v>
      </c>
      <c r="X44" s="58"/>
    </row>
    <row r="45" spans="1:24">
      <c r="A45" s="115">
        <v>43</v>
      </c>
      <c r="B45" s="116">
        <v>2</v>
      </c>
      <c r="C45" s="81" t="s">
        <v>128</v>
      </c>
      <c r="D45" s="111" t="s">
        <v>240</v>
      </c>
      <c r="E45" s="81" t="s">
        <v>102</v>
      </c>
      <c r="F45" s="52">
        <v>5.98</v>
      </c>
      <c r="G45" s="52">
        <f t="shared" si="9"/>
        <v>6.95</v>
      </c>
      <c r="H45" s="110"/>
      <c r="I45" s="81">
        <f>VLOOKUP(C45,Recipes!$A$2:$N$4,10,FALSE())</f>
        <v>10.940000000000001</v>
      </c>
      <c r="J45" s="81">
        <f>VLOOKUP(C45,Recipes!$A$2:$N$4,12,FALSE())</f>
        <v>5.2703573566378441E-2</v>
      </c>
      <c r="K45" s="81">
        <f t="shared" si="3"/>
        <v>10.755537492517677</v>
      </c>
      <c r="L45" s="81">
        <f t="shared" si="4"/>
        <v>11.124462507482326</v>
      </c>
      <c r="M45" s="81" t="str">
        <f t="shared" si="5"/>
        <v>NG</v>
      </c>
      <c r="N45" s="117">
        <f t="shared" si="6"/>
        <v>1</v>
      </c>
      <c r="O45" s="81">
        <f t="shared" si="7"/>
        <v>3.9900000000000011</v>
      </c>
      <c r="P45" s="81">
        <f>IF(G45="","",ABS(O45-Components!$C$2))</f>
        <v>1.2366666666666712</v>
      </c>
      <c r="Q45" s="81">
        <f>IF(G45="","",ABS(O45-Components!$C$3))</f>
        <v>4.5999999999998487E-2</v>
      </c>
      <c r="R45" s="81">
        <f>IF(G45="","",ABS(O45-Components!$C$4))</f>
        <v>2.9966666666666679</v>
      </c>
      <c r="S45" s="81">
        <f>IF(G45="","",ABS(O45-Components!$C$5))</f>
        <v>0.57266666666666932</v>
      </c>
      <c r="T45" s="81">
        <f>IF(G45="","",ABS(O45-Components!$C$6))</f>
        <v>2.8343333333333312</v>
      </c>
      <c r="U45" s="81">
        <f>IF(G45="","",ABS(O45-Components!$C$7))</f>
        <v>2.6156666666666712</v>
      </c>
      <c r="V45" s="81" t="str">
        <f>IF(G45="","",IF(M45="OK","NONE",INDEX({"S1","S2","W1","W2","N1","N2"},MATCH(MIN(P45:U45),P45:U45,0))))</f>
        <v>S2</v>
      </c>
      <c r="W45" s="117">
        <f t="shared" si="8"/>
        <v>1</v>
      </c>
      <c r="X45" s="58"/>
    </row>
    <row r="46" spans="1:24">
      <c r="A46" s="115">
        <v>44</v>
      </c>
      <c r="B46" s="116">
        <v>2</v>
      </c>
      <c r="C46" s="81" t="s">
        <v>128</v>
      </c>
      <c r="D46" s="111" t="s">
        <v>240</v>
      </c>
      <c r="E46" s="81" t="s">
        <v>102</v>
      </c>
      <c r="F46" s="52">
        <v>5.94</v>
      </c>
      <c r="G46" s="52">
        <f t="shared" si="9"/>
        <v>6.91</v>
      </c>
      <c r="H46" s="110"/>
      <c r="I46" s="81">
        <f>VLOOKUP(C46,Recipes!$A$2:$N$4,10,FALSE())</f>
        <v>10.940000000000001</v>
      </c>
      <c r="J46" s="81">
        <f>VLOOKUP(C46,Recipes!$A$2:$N$4,12,FALSE())</f>
        <v>5.2703573566378441E-2</v>
      </c>
      <c r="K46" s="81">
        <f t="shared" si="3"/>
        <v>10.755537492517677</v>
      </c>
      <c r="L46" s="81">
        <f t="shared" si="4"/>
        <v>11.124462507482326</v>
      </c>
      <c r="M46" s="81" t="str">
        <f t="shared" si="5"/>
        <v>NG</v>
      </c>
      <c r="N46" s="117">
        <f t="shared" si="6"/>
        <v>1</v>
      </c>
      <c r="O46" s="81">
        <f t="shared" si="7"/>
        <v>4.0300000000000011</v>
      </c>
      <c r="P46" s="81">
        <f>IF(G46="","",ABS(O46-Components!$C$2))</f>
        <v>1.2766666666666713</v>
      </c>
      <c r="Q46" s="81">
        <f>IF(G46="","",ABS(O46-Components!$C$3))</f>
        <v>5.999999999998451E-3</v>
      </c>
      <c r="R46" s="81">
        <f>IF(G46="","",ABS(O46-Components!$C$4))</f>
        <v>3.036666666666668</v>
      </c>
      <c r="S46" s="81">
        <f>IF(G46="","",ABS(O46-Components!$C$5))</f>
        <v>0.53266666666666929</v>
      </c>
      <c r="T46" s="81">
        <f>IF(G46="","",ABS(O46-Components!$C$6))</f>
        <v>2.8743333333333312</v>
      </c>
      <c r="U46" s="81">
        <f>IF(G46="","",ABS(O46-Components!$C$7))</f>
        <v>2.6556666666666713</v>
      </c>
      <c r="V46" s="81" t="str">
        <f>IF(G46="","",IF(M46="OK","NONE",INDEX({"S1","S2","W1","W2","N1","N2"},MATCH(MIN(P46:U46),P46:U46,0))))</f>
        <v>S2</v>
      </c>
      <c r="W46" s="117">
        <f t="shared" si="8"/>
        <v>1</v>
      </c>
      <c r="X46" s="58"/>
    </row>
    <row r="47" spans="1:24">
      <c r="A47" s="115">
        <v>45</v>
      </c>
      <c r="B47" s="116">
        <v>2</v>
      </c>
      <c r="C47" s="81" t="s">
        <v>128</v>
      </c>
      <c r="D47" s="111" t="s">
        <v>240</v>
      </c>
      <c r="E47" s="81" t="s">
        <v>102</v>
      </c>
      <c r="F47" s="52">
        <v>5.87</v>
      </c>
      <c r="G47" s="52">
        <f t="shared" si="9"/>
        <v>6.84</v>
      </c>
      <c r="H47" s="110"/>
      <c r="I47" s="81">
        <f>VLOOKUP(C47,Recipes!$A$2:$N$4,10,FALSE())</f>
        <v>10.940000000000001</v>
      </c>
      <c r="J47" s="81">
        <f>VLOOKUP(C47,Recipes!$A$2:$N$4,12,FALSE())</f>
        <v>5.2703573566378441E-2</v>
      </c>
      <c r="K47" s="81">
        <f t="shared" si="3"/>
        <v>10.755537492517677</v>
      </c>
      <c r="L47" s="81">
        <f t="shared" si="4"/>
        <v>11.124462507482326</v>
      </c>
      <c r="M47" s="81" t="str">
        <f t="shared" si="5"/>
        <v>NG</v>
      </c>
      <c r="N47" s="117">
        <f t="shared" si="6"/>
        <v>1</v>
      </c>
      <c r="O47" s="81">
        <f t="shared" si="7"/>
        <v>4.1000000000000014</v>
      </c>
      <c r="P47" s="81">
        <f>IF(G47="","",ABS(O47-Components!$C$2))</f>
        <v>1.3466666666666716</v>
      </c>
      <c r="Q47" s="81">
        <f>IF(G47="","",ABS(O47-Components!$C$3))</f>
        <v>6.4000000000001833E-2</v>
      </c>
      <c r="R47" s="81">
        <f>IF(G47="","",ABS(O47-Components!$C$4))</f>
        <v>3.1066666666666682</v>
      </c>
      <c r="S47" s="81">
        <f>IF(G47="","",ABS(O47-Components!$C$5))</f>
        <v>0.462666666666669</v>
      </c>
      <c r="T47" s="81">
        <f>IF(G47="","",ABS(O47-Components!$C$6))</f>
        <v>2.9443333333333315</v>
      </c>
      <c r="U47" s="81">
        <f>IF(G47="","",ABS(O47-Components!$C$7))</f>
        <v>2.7256666666666716</v>
      </c>
      <c r="V47" s="81" t="str">
        <f>IF(G47="","",IF(M47="OK","NONE",INDEX({"S1","S2","W1","W2","N1","N2"},MATCH(MIN(P47:U47),P47:U47,0))))</f>
        <v>S2</v>
      </c>
      <c r="W47" s="117">
        <f t="shared" si="8"/>
        <v>1</v>
      </c>
      <c r="X47" s="58"/>
    </row>
    <row r="48" spans="1:24">
      <c r="A48" s="115">
        <v>46</v>
      </c>
      <c r="B48" s="116">
        <v>2</v>
      </c>
      <c r="C48" s="81" t="s">
        <v>128</v>
      </c>
      <c r="D48" s="111" t="s">
        <v>240</v>
      </c>
      <c r="E48" s="81" t="s">
        <v>102</v>
      </c>
      <c r="F48" s="52">
        <v>5.95</v>
      </c>
      <c r="G48" s="52">
        <f t="shared" si="9"/>
        <v>6.92</v>
      </c>
      <c r="H48" s="110"/>
      <c r="I48" s="81">
        <f>VLOOKUP(C48,Recipes!$A$2:$N$4,10,FALSE())</f>
        <v>10.940000000000001</v>
      </c>
      <c r="J48" s="81">
        <f>VLOOKUP(C48,Recipes!$A$2:$N$4,12,FALSE())</f>
        <v>5.2703573566378441E-2</v>
      </c>
      <c r="K48" s="81">
        <f t="shared" si="3"/>
        <v>10.755537492517677</v>
      </c>
      <c r="L48" s="81">
        <f t="shared" si="4"/>
        <v>11.124462507482326</v>
      </c>
      <c r="M48" s="81" t="str">
        <f t="shared" si="5"/>
        <v>NG</v>
      </c>
      <c r="N48" s="117">
        <f t="shared" si="6"/>
        <v>1</v>
      </c>
      <c r="O48" s="81">
        <f t="shared" si="7"/>
        <v>4.0200000000000014</v>
      </c>
      <c r="P48" s="81">
        <f>IF(G48="","",ABS(O48-Components!$C$2))</f>
        <v>1.2666666666666715</v>
      </c>
      <c r="Q48" s="81">
        <f>IF(G48="","",ABS(O48-Components!$C$3))</f>
        <v>1.5999999999998238E-2</v>
      </c>
      <c r="R48" s="81">
        <f>IF(G48="","",ABS(O48-Components!$C$4))</f>
        <v>3.0266666666666682</v>
      </c>
      <c r="S48" s="81">
        <f>IF(G48="","",ABS(O48-Components!$C$5))</f>
        <v>0.54266666666666907</v>
      </c>
      <c r="T48" s="81">
        <f>IF(G48="","",ABS(O48-Components!$C$6))</f>
        <v>2.8643333333333314</v>
      </c>
      <c r="U48" s="81">
        <f>IF(G48="","",ABS(O48-Components!$C$7))</f>
        <v>2.6456666666666715</v>
      </c>
      <c r="V48" s="81" t="str">
        <f>IF(G48="","",IF(M48="OK","NONE",INDEX({"S1","S2","W1","W2","N1","N2"},MATCH(MIN(P48:U48),P48:U48,0))))</f>
        <v>S2</v>
      </c>
      <c r="W48" s="117">
        <f t="shared" si="8"/>
        <v>1</v>
      </c>
      <c r="X48" s="58"/>
    </row>
    <row r="49" spans="1:24">
      <c r="A49" s="115">
        <v>47</v>
      </c>
      <c r="B49" s="116">
        <v>2</v>
      </c>
      <c r="C49" s="81" t="s">
        <v>128</v>
      </c>
      <c r="D49" s="111" t="s">
        <v>240</v>
      </c>
      <c r="E49" s="81" t="s">
        <v>102</v>
      </c>
      <c r="F49" s="52">
        <v>5.89</v>
      </c>
      <c r="G49" s="52">
        <f t="shared" si="9"/>
        <v>6.8599999999999994</v>
      </c>
      <c r="H49" s="110"/>
      <c r="I49" s="81">
        <f>VLOOKUP(C49,Recipes!$A$2:$N$4,10,FALSE())</f>
        <v>10.940000000000001</v>
      </c>
      <c r="J49" s="81">
        <f>VLOOKUP(C49,Recipes!$A$2:$N$4,12,FALSE())</f>
        <v>5.2703573566378441E-2</v>
      </c>
      <c r="K49" s="81">
        <f t="shared" si="3"/>
        <v>10.755537492517677</v>
      </c>
      <c r="L49" s="81">
        <f t="shared" si="4"/>
        <v>11.124462507482326</v>
      </c>
      <c r="M49" s="81" t="str">
        <f t="shared" si="5"/>
        <v>NG</v>
      </c>
      <c r="N49" s="117">
        <f t="shared" si="6"/>
        <v>1</v>
      </c>
      <c r="O49" s="81">
        <f t="shared" si="7"/>
        <v>4.0800000000000018</v>
      </c>
      <c r="P49" s="81">
        <f>IF(G49="","",ABS(O49-Components!$C$2))</f>
        <v>1.326666666666672</v>
      </c>
      <c r="Q49" s="81">
        <f>IF(G49="","",ABS(O49-Components!$C$3))</f>
        <v>4.400000000000226E-2</v>
      </c>
      <c r="R49" s="81">
        <f>IF(G49="","",ABS(O49-Components!$C$4))</f>
        <v>3.0866666666666687</v>
      </c>
      <c r="S49" s="81">
        <f>IF(G49="","",ABS(O49-Components!$C$5))</f>
        <v>0.48266666666666858</v>
      </c>
      <c r="T49" s="81">
        <f>IF(G49="","",ABS(O49-Components!$C$6))</f>
        <v>2.9243333333333319</v>
      </c>
      <c r="U49" s="81">
        <f>IF(G49="","",ABS(O49-Components!$C$7))</f>
        <v>2.705666666666672</v>
      </c>
      <c r="V49" s="81" t="str">
        <f>IF(G49="","",IF(M49="OK","NONE",INDEX({"S1","S2","W1","W2","N1","N2"},MATCH(MIN(P49:U49),P49:U49,0))))</f>
        <v>S2</v>
      </c>
      <c r="W49" s="117">
        <f t="shared" si="8"/>
        <v>1</v>
      </c>
      <c r="X49" s="58"/>
    </row>
    <row r="50" spans="1:24">
      <c r="A50" s="115">
        <v>48</v>
      </c>
      <c r="B50" s="116">
        <v>2</v>
      </c>
      <c r="C50" s="81" t="s">
        <v>128</v>
      </c>
      <c r="D50" s="111" t="s">
        <v>240</v>
      </c>
      <c r="E50" s="81" t="s">
        <v>102</v>
      </c>
      <c r="F50" s="52">
        <v>5.88</v>
      </c>
      <c r="G50" s="52">
        <f t="shared" si="9"/>
        <v>6.85</v>
      </c>
      <c r="H50" s="110"/>
      <c r="I50" s="81">
        <f>VLOOKUP(C50,Recipes!$A$2:$N$4,10,FALSE())</f>
        <v>10.940000000000001</v>
      </c>
      <c r="J50" s="81">
        <f>VLOOKUP(C50,Recipes!$A$2:$N$4,12,FALSE())</f>
        <v>5.2703573566378441E-2</v>
      </c>
      <c r="K50" s="81">
        <f t="shared" si="3"/>
        <v>10.755537492517677</v>
      </c>
      <c r="L50" s="81">
        <f t="shared" si="4"/>
        <v>11.124462507482326</v>
      </c>
      <c r="M50" s="81" t="str">
        <f t="shared" si="5"/>
        <v>NG</v>
      </c>
      <c r="N50" s="117">
        <f t="shared" si="6"/>
        <v>1</v>
      </c>
      <c r="O50" s="81">
        <f t="shared" si="7"/>
        <v>4.0900000000000016</v>
      </c>
      <c r="P50" s="81">
        <f>IF(G50="","",ABS(O50-Components!$C$2))</f>
        <v>1.3366666666666718</v>
      </c>
      <c r="Q50" s="81">
        <f>IF(G50="","",ABS(O50-Components!$C$3))</f>
        <v>5.4000000000002046E-2</v>
      </c>
      <c r="R50" s="81">
        <f>IF(G50="","",ABS(O50-Components!$C$4))</f>
        <v>3.0966666666666685</v>
      </c>
      <c r="S50" s="81">
        <f>IF(G50="","",ABS(O50-Components!$C$5))</f>
        <v>0.47266666666666879</v>
      </c>
      <c r="T50" s="81">
        <f>IF(G50="","",ABS(O50-Components!$C$6))</f>
        <v>2.9343333333333317</v>
      </c>
      <c r="U50" s="81">
        <f>IF(G50="","",ABS(O50-Components!$C$7))</f>
        <v>2.7156666666666718</v>
      </c>
      <c r="V50" s="81" t="str">
        <f>IF(G50="","",IF(M50="OK","NONE",INDEX({"S1","S2","W1","W2","N1","N2"},MATCH(MIN(P50:U50),P50:U50,0))))</f>
        <v>S2</v>
      </c>
      <c r="W50" s="117">
        <f t="shared" si="8"/>
        <v>1</v>
      </c>
      <c r="X50" s="58"/>
    </row>
    <row r="51" spans="1:24">
      <c r="A51" s="115">
        <v>49</v>
      </c>
      <c r="B51" s="116">
        <v>2</v>
      </c>
      <c r="C51" s="81" t="s">
        <v>128</v>
      </c>
      <c r="D51" s="111" t="s">
        <v>240</v>
      </c>
      <c r="E51" s="81" t="s">
        <v>102</v>
      </c>
      <c r="F51" s="52">
        <v>5.94</v>
      </c>
      <c r="G51" s="52">
        <f t="shared" si="9"/>
        <v>6.91</v>
      </c>
      <c r="H51" s="110"/>
      <c r="I51" s="81">
        <f>VLOOKUP(C51,Recipes!$A$2:$N$4,10,FALSE())</f>
        <v>10.940000000000001</v>
      </c>
      <c r="J51" s="81">
        <f>VLOOKUP(C51,Recipes!$A$2:$N$4,12,FALSE())</f>
        <v>5.2703573566378441E-2</v>
      </c>
      <c r="K51" s="81">
        <f t="shared" si="3"/>
        <v>10.755537492517677</v>
      </c>
      <c r="L51" s="81">
        <f t="shared" si="4"/>
        <v>11.124462507482326</v>
      </c>
      <c r="M51" s="81" t="str">
        <f t="shared" si="5"/>
        <v>NG</v>
      </c>
      <c r="N51" s="117">
        <f t="shared" si="6"/>
        <v>1</v>
      </c>
      <c r="O51" s="81">
        <f t="shared" si="7"/>
        <v>4.0300000000000011</v>
      </c>
      <c r="P51" s="81">
        <f>IF(G51="","",ABS(O51-Components!$C$2))</f>
        <v>1.2766666666666713</v>
      </c>
      <c r="Q51" s="81">
        <f>IF(G51="","",ABS(O51-Components!$C$3))</f>
        <v>5.999999999998451E-3</v>
      </c>
      <c r="R51" s="81">
        <f>IF(G51="","",ABS(O51-Components!$C$4))</f>
        <v>3.036666666666668</v>
      </c>
      <c r="S51" s="81">
        <f>IF(G51="","",ABS(O51-Components!$C$5))</f>
        <v>0.53266666666666929</v>
      </c>
      <c r="T51" s="81">
        <f>IF(G51="","",ABS(O51-Components!$C$6))</f>
        <v>2.8743333333333312</v>
      </c>
      <c r="U51" s="81">
        <f>IF(G51="","",ABS(O51-Components!$C$7))</f>
        <v>2.6556666666666713</v>
      </c>
      <c r="V51" s="81" t="str">
        <f>IF(G51="","",IF(M51="OK","NONE",INDEX({"S1","S2","W1","W2","N1","N2"},MATCH(MIN(P51:U51),P51:U51,0))))</f>
        <v>S2</v>
      </c>
      <c r="W51" s="117">
        <f t="shared" si="8"/>
        <v>1</v>
      </c>
      <c r="X51" s="58"/>
    </row>
    <row r="52" spans="1:24">
      <c r="A52" s="115">
        <v>50</v>
      </c>
      <c r="B52" s="116">
        <v>2</v>
      </c>
      <c r="C52" s="81" t="s">
        <v>128</v>
      </c>
      <c r="D52" s="111" t="s">
        <v>240</v>
      </c>
      <c r="E52" s="81" t="s">
        <v>102</v>
      </c>
      <c r="F52" s="52">
        <v>5.93</v>
      </c>
      <c r="G52" s="52">
        <f t="shared" si="9"/>
        <v>6.8999999999999995</v>
      </c>
      <c r="H52" s="110"/>
      <c r="I52" s="81">
        <f>VLOOKUP(C52,Recipes!$A$2:$N$4,10,FALSE())</f>
        <v>10.940000000000001</v>
      </c>
      <c r="J52" s="81">
        <f>VLOOKUP(C52,Recipes!$A$2:$N$4,12,FALSE())</f>
        <v>5.2703573566378441E-2</v>
      </c>
      <c r="K52" s="81">
        <f t="shared" si="3"/>
        <v>10.755537492517677</v>
      </c>
      <c r="L52" s="81">
        <f t="shared" si="4"/>
        <v>11.124462507482326</v>
      </c>
      <c r="M52" s="81" t="str">
        <f t="shared" si="5"/>
        <v>NG</v>
      </c>
      <c r="N52" s="117">
        <f t="shared" si="6"/>
        <v>1</v>
      </c>
      <c r="O52" s="81">
        <f t="shared" si="7"/>
        <v>4.0400000000000018</v>
      </c>
      <c r="P52" s="81">
        <f>IF(G52="","",ABS(O52-Components!$C$2))</f>
        <v>1.286666666666672</v>
      </c>
      <c r="Q52" s="81">
        <f>IF(G52="","",ABS(O52-Components!$C$3))</f>
        <v>4.000000000002224E-3</v>
      </c>
      <c r="R52" s="81">
        <f>IF(G52="","",ABS(O52-Components!$C$4))</f>
        <v>3.0466666666666686</v>
      </c>
      <c r="S52" s="81">
        <f>IF(G52="","",ABS(O52-Components!$C$5))</f>
        <v>0.52266666666666861</v>
      </c>
      <c r="T52" s="81">
        <f>IF(G52="","",ABS(O52-Components!$C$6))</f>
        <v>2.8843333333333319</v>
      </c>
      <c r="U52" s="81">
        <f>IF(G52="","",ABS(O52-Components!$C$7))</f>
        <v>2.665666666666672</v>
      </c>
      <c r="V52" s="81" t="str">
        <f>IF(G52="","",IF(M52="OK","NONE",INDEX({"S1","S2","W1","W2","N1","N2"},MATCH(MIN(P52:U52),P52:U52,0))))</f>
        <v>S2</v>
      </c>
      <c r="W52" s="117">
        <f t="shared" si="8"/>
        <v>1</v>
      </c>
      <c r="X52" s="58"/>
    </row>
    <row r="53" spans="1:24">
      <c r="A53" s="115">
        <v>51</v>
      </c>
      <c r="B53" s="116">
        <v>2</v>
      </c>
      <c r="C53" s="81" t="s">
        <v>128</v>
      </c>
      <c r="D53" s="111" t="s">
        <v>240</v>
      </c>
      <c r="E53" s="81" t="s">
        <v>102</v>
      </c>
      <c r="F53" s="52">
        <v>5.99</v>
      </c>
      <c r="G53" s="52">
        <f t="shared" si="9"/>
        <v>6.96</v>
      </c>
      <c r="H53" s="110"/>
      <c r="I53" s="81">
        <f>VLOOKUP(C53,Recipes!$A$2:$N$4,10,FALSE())</f>
        <v>10.940000000000001</v>
      </c>
      <c r="J53" s="81">
        <f>VLOOKUP(C53,Recipes!$A$2:$N$4,12,FALSE())</f>
        <v>5.2703573566378441E-2</v>
      </c>
      <c r="K53" s="81">
        <f t="shared" si="3"/>
        <v>10.755537492517677</v>
      </c>
      <c r="L53" s="81">
        <f t="shared" si="4"/>
        <v>11.124462507482326</v>
      </c>
      <c r="M53" s="81" t="str">
        <f t="shared" si="5"/>
        <v>NG</v>
      </c>
      <c r="N53" s="117">
        <f t="shared" si="6"/>
        <v>1</v>
      </c>
      <c r="O53" s="81">
        <f t="shared" si="7"/>
        <v>3.9800000000000013</v>
      </c>
      <c r="P53" s="81">
        <f>IF(G53="","",ABS(O53-Components!$C$2))</f>
        <v>1.2266666666666715</v>
      </c>
      <c r="Q53" s="81">
        <f>IF(G53="","",ABS(O53-Components!$C$3))</f>
        <v>5.5999999999998273E-2</v>
      </c>
      <c r="R53" s="81">
        <f>IF(G53="","",ABS(O53-Components!$C$4))</f>
        <v>2.9866666666666681</v>
      </c>
      <c r="S53" s="81">
        <f>IF(G53="","",ABS(O53-Components!$C$5))</f>
        <v>0.58266666666666911</v>
      </c>
      <c r="T53" s="81">
        <f>IF(G53="","",ABS(O53-Components!$C$6))</f>
        <v>2.8243333333333314</v>
      </c>
      <c r="U53" s="81">
        <f>IF(G53="","",ABS(O53-Components!$C$7))</f>
        <v>2.6056666666666715</v>
      </c>
      <c r="V53" s="81" t="str">
        <f>IF(G53="","",IF(M53="OK","NONE",INDEX({"S1","S2","W1","W2","N1","N2"},MATCH(MIN(P53:U53),P53:U53,0))))</f>
        <v>S2</v>
      </c>
      <c r="W53" s="117">
        <f t="shared" si="8"/>
        <v>1</v>
      </c>
      <c r="X53" s="58"/>
    </row>
    <row r="54" spans="1:24">
      <c r="A54" s="115">
        <v>52</v>
      </c>
      <c r="B54" s="116">
        <v>2</v>
      </c>
      <c r="C54" s="81" t="s">
        <v>128</v>
      </c>
      <c r="D54" s="111" t="s">
        <v>240</v>
      </c>
      <c r="E54" s="81" t="s">
        <v>102</v>
      </c>
      <c r="F54" s="52">
        <v>5.92</v>
      </c>
      <c r="G54" s="52">
        <f t="shared" si="9"/>
        <v>6.89</v>
      </c>
      <c r="H54" s="110"/>
      <c r="I54" s="81">
        <f>VLOOKUP(C54,Recipes!$A$2:$N$4,10,FALSE())</f>
        <v>10.940000000000001</v>
      </c>
      <c r="J54" s="81">
        <f>VLOOKUP(C54,Recipes!$A$2:$N$4,12,FALSE())</f>
        <v>5.2703573566378441E-2</v>
      </c>
      <c r="K54" s="81">
        <f t="shared" si="3"/>
        <v>10.755537492517677</v>
      </c>
      <c r="L54" s="81">
        <f t="shared" si="4"/>
        <v>11.124462507482326</v>
      </c>
      <c r="M54" s="81" t="str">
        <f t="shared" si="5"/>
        <v>NG</v>
      </c>
      <c r="N54" s="117">
        <f t="shared" si="6"/>
        <v>1</v>
      </c>
      <c r="O54" s="81">
        <f t="shared" si="7"/>
        <v>4.0500000000000016</v>
      </c>
      <c r="P54" s="81">
        <f>IF(G54="","",ABS(O54-Components!$C$2))</f>
        <v>1.2966666666666717</v>
      </c>
      <c r="Q54" s="81">
        <f>IF(G54="","",ABS(O54-Components!$C$3))</f>
        <v>1.4000000000002011E-2</v>
      </c>
      <c r="R54" s="81">
        <f>IF(G54="","",ABS(O54-Components!$C$4))</f>
        <v>3.0566666666666684</v>
      </c>
      <c r="S54" s="81">
        <f>IF(G54="","",ABS(O54-Components!$C$5))</f>
        <v>0.51266666666666882</v>
      </c>
      <c r="T54" s="81">
        <f>IF(G54="","",ABS(O54-Components!$C$6))</f>
        <v>2.8943333333333316</v>
      </c>
      <c r="U54" s="81">
        <f>IF(G54="","",ABS(O54-Components!$C$7))</f>
        <v>2.6756666666666717</v>
      </c>
      <c r="V54" s="81" t="str">
        <f>IF(G54="","",IF(M54="OK","NONE",INDEX({"S1","S2","W1","W2","N1","N2"},MATCH(MIN(P54:U54),P54:U54,0))))</f>
        <v>S2</v>
      </c>
      <c r="W54" s="117">
        <f t="shared" si="8"/>
        <v>1</v>
      </c>
      <c r="X54" s="58"/>
    </row>
    <row r="55" spans="1:24">
      <c r="A55" s="115">
        <v>53</v>
      </c>
      <c r="B55" s="116">
        <v>2</v>
      </c>
      <c r="C55" s="81" t="s">
        <v>128</v>
      </c>
      <c r="D55" s="111" t="s">
        <v>240</v>
      </c>
      <c r="E55" s="81" t="s">
        <v>102</v>
      </c>
      <c r="F55" s="52">
        <v>5.78</v>
      </c>
      <c r="G55" s="52">
        <f t="shared" si="9"/>
        <v>6.75</v>
      </c>
      <c r="H55" s="110"/>
      <c r="I55" s="81">
        <f>VLOOKUP(C55,Recipes!$A$2:$N$4,10,FALSE())</f>
        <v>10.940000000000001</v>
      </c>
      <c r="J55" s="81">
        <f>VLOOKUP(C55,Recipes!$A$2:$N$4,12,FALSE())</f>
        <v>5.2703573566378441E-2</v>
      </c>
      <c r="K55" s="81">
        <f t="shared" si="3"/>
        <v>10.755537492517677</v>
      </c>
      <c r="L55" s="81">
        <f t="shared" si="4"/>
        <v>11.124462507482326</v>
      </c>
      <c r="M55" s="81" t="str">
        <f t="shared" si="5"/>
        <v>NG</v>
      </c>
      <c r="N55" s="117">
        <f t="shared" si="6"/>
        <v>1</v>
      </c>
      <c r="O55" s="81">
        <f t="shared" si="7"/>
        <v>4.1900000000000013</v>
      </c>
      <c r="P55" s="81">
        <f>IF(G55="","",ABS(O55-Components!$C$2))</f>
        <v>1.4366666666666714</v>
      </c>
      <c r="Q55" s="81">
        <f>IF(G55="","",ABS(O55-Components!$C$3))</f>
        <v>0.15400000000000169</v>
      </c>
      <c r="R55" s="81">
        <f>IF(G55="","",ABS(O55-Components!$C$4))</f>
        <v>3.1966666666666681</v>
      </c>
      <c r="S55" s="81">
        <f>IF(G55="","",ABS(O55-Components!$C$5))</f>
        <v>0.37266666666666914</v>
      </c>
      <c r="T55" s="81">
        <f>IF(G55="","",ABS(O55-Components!$C$6))</f>
        <v>3.0343333333333313</v>
      </c>
      <c r="U55" s="81">
        <f>IF(G55="","",ABS(O55-Components!$C$7))</f>
        <v>2.8156666666666714</v>
      </c>
      <c r="V55" s="81" t="str">
        <f>IF(G55="","",IF(M55="OK","NONE",INDEX({"S1","S2","W1","W2","N1","N2"},MATCH(MIN(P55:U55),P55:U55,0))))</f>
        <v>S2</v>
      </c>
      <c r="W55" s="117">
        <f t="shared" si="8"/>
        <v>1</v>
      </c>
      <c r="X55" s="58"/>
    </row>
    <row r="56" spans="1:24">
      <c r="A56" s="115">
        <v>54</v>
      </c>
      <c r="B56" s="116">
        <v>2</v>
      </c>
      <c r="C56" s="81" t="s">
        <v>128</v>
      </c>
      <c r="D56" s="111" t="s">
        <v>240</v>
      </c>
      <c r="E56" s="81" t="s">
        <v>102</v>
      </c>
      <c r="F56" s="52">
        <v>5.95</v>
      </c>
      <c r="G56" s="52">
        <f t="shared" si="9"/>
        <v>6.92</v>
      </c>
      <c r="H56" s="110"/>
      <c r="I56" s="81">
        <f>VLOOKUP(C56,Recipes!$A$2:$N$4,10,FALSE())</f>
        <v>10.940000000000001</v>
      </c>
      <c r="J56" s="81">
        <f>VLOOKUP(C56,Recipes!$A$2:$N$4,12,FALSE())</f>
        <v>5.2703573566378441E-2</v>
      </c>
      <c r="K56" s="81">
        <f t="shared" si="3"/>
        <v>10.755537492517677</v>
      </c>
      <c r="L56" s="81">
        <f t="shared" si="4"/>
        <v>11.124462507482326</v>
      </c>
      <c r="M56" s="81" t="str">
        <f t="shared" si="5"/>
        <v>NG</v>
      </c>
      <c r="N56" s="117">
        <f t="shared" si="6"/>
        <v>1</v>
      </c>
      <c r="O56" s="81">
        <f t="shared" si="7"/>
        <v>4.0200000000000014</v>
      </c>
      <c r="P56" s="81">
        <f>IF(G56="","",ABS(O56-Components!$C$2))</f>
        <v>1.2666666666666715</v>
      </c>
      <c r="Q56" s="81">
        <f>IF(G56="","",ABS(O56-Components!$C$3))</f>
        <v>1.5999999999998238E-2</v>
      </c>
      <c r="R56" s="81">
        <f>IF(G56="","",ABS(O56-Components!$C$4))</f>
        <v>3.0266666666666682</v>
      </c>
      <c r="S56" s="81">
        <f>IF(G56="","",ABS(O56-Components!$C$5))</f>
        <v>0.54266666666666907</v>
      </c>
      <c r="T56" s="81">
        <f>IF(G56="","",ABS(O56-Components!$C$6))</f>
        <v>2.8643333333333314</v>
      </c>
      <c r="U56" s="81">
        <f>IF(G56="","",ABS(O56-Components!$C$7))</f>
        <v>2.6456666666666715</v>
      </c>
      <c r="V56" s="81" t="str">
        <f>IF(G56="","",IF(M56="OK","NONE",INDEX({"S1","S2","W1","W2","N1","N2"},MATCH(MIN(P56:U56),P56:U56,0))))</f>
        <v>S2</v>
      </c>
      <c r="W56" s="117">
        <f t="shared" si="8"/>
        <v>1</v>
      </c>
      <c r="X56" s="58"/>
    </row>
    <row r="57" spans="1:24">
      <c r="A57" s="115">
        <v>55</v>
      </c>
      <c r="B57" s="116">
        <v>2</v>
      </c>
      <c r="C57" s="81" t="s">
        <v>128</v>
      </c>
      <c r="D57" s="111" t="s">
        <v>240</v>
      </c>
      <c r="E57" s="81" t="s">
        <v>102</v>
      </c>
      <c r="F57" s="52">
        <v>5.92</v>
      </c>
      <c r="G57" s="52">
        <f t="shared" si="9"/>
        <v>6.89</v>
      </c>
      <c r="H57" s="110"/>
      <c r="I57" s="81">
        <f>VLOOKUP(C57,Recipes!$A$2:$N$4,10,FALSE())</f>
        <v>10.940000000000001</v>
      </c>
      <c r="J57" s="81">
        <f>VLOOKUP(C57,Recipes!$A$2:$N$4,12,FALSE())</f>
        <v>5.2703573566378441E-2</v>
      </c>
      <c r="K57" s="81">
        <f t="shared" si="3"/>
        <v>10.755537492517677</v>
      </c>
      <c r="L57" s="81">
        <f t="shared" si="4"/>
        <v>11.124462507482326</v>
      </c>
      <c r="M57" s="81" t="str">
        <f t="shared" si="5"/>
        <v>NG</v>
      </c>
      <c r="N57" s="117">
        <f t="shared" si="6"/>
        <v>1</v>
      </c>
      <c r="O57" s="81">
        <f t="shared" si="7"/>
        <v>4.0500000000000016</v>
      </c>
      <c r="P57" s="81">
        <f>IF(G57="","",ABS(O57-Components!$C$2))</f>
        <v>1.2966666666666717</v>
      </c>
      <c r="Q57" s="81">
        <f>IF(G57="","",ABS(O57-Components!$C$3))</f>
        <v>1.4000000000002011E-2</v>
      </c>
      <c r="R57" s="81">
        <f>IF(G57="","",ABS(O57-Components!$C$4))</f>
        <v>3.0566666666666684</v>
      </c>
      <c r="S57" s="81">
        <f>IF(G57="","",ABS(O57-Components!$C$5))</f>
        <v>0.51266666666666882</v>
      </c>
      <c r="T57" s="81">
        <f>IF(G57="","",ABS(O57-Components!$C$6))</f>
        <v>2.8943333333333316</v>
      </c>
      <c r="U57" s="81">
        <f>IF(G57="","",ABS(O57-Components!$C$7))</f>
        <v>2.6756666666666717</v>
      </c>
      <c r="V57" s="81" t="str">
        <f>IF(G57="","",IF(M57="OK","NONE",INDEX({"S1","S2","W1","W2","N1","N2"},MATCH(MIN(P57:U57),P57:U57,0))))</f>
        <v>S2</v>
      </c>
      <c r="W57" s="117">
        <f t="shared" si="8"/>
        <v>1</v>
      </c>
      <c r="X57" s="58"/>
    </row>
    <row r="58" spans="1:24">
      <c r="A58" s="115">
        <v>56</v>
      </c>
      <c r="B58" s="116">
        <v>2</v>
      </c>
      <c r="C58" s="81" t="s">
        <v>128</v>
      </c>
      <c r="D58" s="111" t="s">
        <v>240</v>
      </c>
      <c r="E58" s="81" t="s">
        <v>102</v>
      </c>
      <c r="F58" s="52">
        <v>5.94</v>
      </c>
      <c r="G58" s="52">
        <f t="shared" si="9"/>
        <v>6.91</v>
      </c>
      <c r="H58" s="110"/>
      <c r="I58" s="81">
        <f>VLOOKUP(C58,Recipes!$A$2:$N$4,10,FALSE())</f>
        <v>10.940000000000001</v>
      </c>
      <c r="J58" s="81">
        <f>VLOOKUP(C58,Recipes!$A$2:$N$4,12,FALSE())</f>
        <v>5.2703573566378441E-2</v>
      </c>
      <c r="K58" s="81">
        <f t="shared" si="3"/>
        <v>10.755537492517677</v>
      </c>
      <c r="L58" s="81">
        <f t="shared" si="4"/>
        <v>11.124462507482326</v>
      </c>
      <c r="M58" s="81" t="str">
        <f t="shared" si="5"/>
        <v>NG</v>
      </c>
      <c r="N58" s="117">
        <f t="shared" si="6"/>
        <v>1</v>
      </c>
      <c r="O58" s="81">
        <f t="shared" si="7"/>
        <v>4.0300000000000011</v>
      </c>
      <c r="P58" s="81">
        <f>IF(G58="","",ABS(O58-Components!$C$2))</f>
        <v>1.2766666666666713</v>
      </c>
      <c r="Q58" s="81">
        <f>IF(G58="","",ABS(O58-Components!$C$3))</f>
        <v>5.999999999998451E-3</v>
      </c>
      <c r="R58" s="81">
        <f>IF(G58="","",ABS(O58-Components!$C$4))</f>
        <v>3.036666666666668</v>
      </c>
      <c r="S58" s="81">
        <f>IF(G58="","",ABS(O58-Components!$C$5))</f>
        <v>0.53266666666666929</v>
      </c>
      <c r="T58" s="81">
        <f>IF(G58="","",ABS(O58-Components!$C$6))</f>
        <v>2.8743333333333312</v>
      </c>
      <c r="U58" s="81">
        <f>IF(G58="","",ABS(O58-Components!$C$7))</f>
        <v>2.6556666666666713</v>
      </c>
      <c r="V58" s="81" t="str">
        <f>IF(G58="","",IF(M58="OK","NONE",INDEX({"S1","S2","W1","W2","N1","N2"},MATCH(MIN(P58:U58),P58:U58,0))))</f>
        <v>S2</v>
      </c>
      <c r="W58" s="117">
        <f t="shared" si="8"/>
        <v>1</v>
      </c>
      <c r="X58" s="58"/>
    </row>
    <row r="59" spans="1:24">
      <c r="A59" s="115">
        <v>57</v>
      </c>
      <c r="B59" s="116">
        <v>2</v>
      </c>
      <c r="C59" s="81" t="s">
        <v>128</v>
      </c>
      <c r="D59" s="111" t="s">
        <v>240</v>
      </c>
      <c r="E59" s="81" t="s">
        <v>102</v>
      </c>
      <c r="F59" s="52">
        <v>5.9</v>
      </c>
      <c r="G59" s="52">
        <f t="shared" si="9"/>
        <v>6.87</v>
      </c>
      <c r="H59" s="110"/>
      <c r="I59" s="81">
        <f>VLOOKUP(C59,Recipes!$A$2:$N$4,10,FALSE())</f>
        <v>10.940000000000001</v>
      </c>
      <c r="J59" s="81">
        <f>VLOOKUP(C59,Recipes!$A$2:$N$4,12,FALSE())</f>
        <v>5.2703573566378441E-2</v>
      </c>
      <c r="K59" s="81">
        <f t="shared" si="3"/>
        <v>10.755537492517677</v>
      </c>
      <c r="L59" s="81">
        <f t="shared" si="4"/>
        <v>11.124462507482326</v>
      </c>
      <c r="M59" s="81" t="str">
        <f t="shared" si="5"/>
        <v>NG</v>
      </c>
      <c r="N59" s="117">
        <f t="shared" si="6"/>
        <v>1</v>
      </c>
      <c r="O59" s="81">
        <f t="shared" si="7"/>
        <v>4.0700000000000012</v>
      </c>
      <c r="P59" s="81">
        <f>IF(G59="","",ABS(O59-Components!$C$2))</f>
        <v>1.3166666666666713</v>
      </c>
      <c r="Q59" s="81">
        <f>IF(G59="","",ABS(O59-Components!$C$3))</f>
        <v>3.4000000000001585E-2</v>
      </c>
      <c r="R59" s="81">
        <f>IF(G59="","",ABS(O59-Components!$C$4))</f>
        <v>3.076666666666668</v>
      </c>
      <c r="S59" s="81">
        <f>IF(G59="","",ABS(O59-Components!$C$5))</f>
        <v>0.49266666666666925</v>
      </c>
      <c r="T59" s="81">
        <f>IF(G59="","",ABS(O59-Components!$C$6))</f>
        <v>2.9143333333333312</v>
      </c>
      <c r="U59" s="81">
        <f>IF(G59="","",ABS(O59-Components!$C$7))</f>
        <v>2.6956666666666713</v>
      </c>
      <c r="V59" s="81" t="str">
        <f>IF(G59="","",IF(M59="OK","NONE",INDEX({"S1","S2","W1","W2","N1","N2"},MATCH(MIN(P59:U59),P59:U59,0))))</f>
        <v>S2</v>
      </c>
      <c r="W59" s="117">
        <f t="shared" si="8"/>
        <v>1</v>
      </c>
      <c r="X59" s="58"/>
    </row>
    <row r="60" spans="1:24">
      <c r="A60" s="115">
        <v>58</v>
      </c>
      <c r="B60" s="116">
        <v>2</v>
      </c>
      <c r="C60" s="81" t="s">
        <v>128</v>
      </c>
      <c r="D60" s="111" t="s">
        <v>240</v>
      </c>
      <c r="E60" s="81" t="s">
        <v>102</v>
      </c>
      <c r="F60" s="52">
        <v>5.92</v>
      </c>
      <c r="G60" s="52">
        <f t="shared" si="9"/>
        <v>6.89</v>
      </c>
      <c r="H60" s="110"/>
      <c r="I60" s="81">
        <f>VLOOKUP(C60,Recipes!$A$2:$N$4,10,FALSE())</f>
        <v>10.940000000000001</v>
      </c>
      <c r="J60" s="81">
        <f>VLOOKUP(C60,Recipes!$A$2:$N$4,12,FALSE())</f>
        <v>5.2703573566378441E-2</v>
      </c>
      <c r="K60" s="81">
        <f t="shared" si="3"/>
        <v>10.755537492517677</v>
      </c>
      <c r="L60" s="81">
        <f t="shared" si="4"/>
        <v>11.124462507482326</v>
      </c>
      <c r="M60" s="81" t="str">
        <f t="shared" si="5"/>
        <v>NG</v>
      </c>
      <c r="N60" s="117">
        <f t="shared" si="6"/>
        <v>1</v>
      </c>
      <c r="O60" s="81">
        <f t="shared" si="7"/>
        <v>4.0500000000000016</v>
      </c>
      <c r="P60" s="81">
        <f>IF(G60="","",ABS(O60-Components!$C$2))</f>
        <v>1.2966666666666717</v>
      </c>
      <c r="Q60" s="81">
        <f>IF(G60="","",ABS(O60-Components!$C$3))</f>
        <v>1.4000000000002011E-2</v>
      </c>
      <c r="R60" s="81">
        <f>IF(G60="","",ABS(O60-Components!$C$4))</f>
        <v>3.0566666666666684</v>
      </c>
      <c r="S60" s="81">
        <f>IF(G60="","",ABS(O60-Components!$C$5))</f>
        <v>0.51266666666666882</v>
      </c>
      <c r="T60" s="81">
        <f>IF(G60="","",ABS(O60-Components!$C$6))</f>
        <v>2.8943333333333316</v>
      </c>
      <c r="U60" s="81">
        <f>IF(G60="","",ABS(O60-Components!$C$7))</f>
        <v>2.6756666666666717</v>
      </c>
      <c r="V60" s="81" t="str">
        <f>IF(G60="","",IF(M60="OK","NONE",INDEX({"S1","S2","W1","W2","N1","N2"},MATCH(MIN(P60:U60),P60:U60,0))))</f>
        <v>S2</v>
      </c>
      <c r="W60" s="117">
        <f t="shared" si="8"/>
        <v>1</v>
      </c>
      <c r="X60" s="58"/>
    </row>
    <row r="61" spans="1:24">
      <c r="A61" s="115">
        <v>59</v>
      </c>
      <c r="B61" s="116">
        <v>2</v>
      </c>
      <c r="C61" s="81" t="s">
        <v>128</v>
      </c>
      <c r="D61" s="111" t="s">
        <v>240</v>
      </c>
      <c r="E61" s="81" t="s">
        <v>102</v>
      </c>
      <c r="F61" s="52">
        <v>5.4</v>
      </c>
      <c r="G61" s="52">
        <f t="shared" si="9"/>
        <v>6.37</v>
      </c>
      <c r="H61" s="110"/>
      <c r="I61" s="81">
        <f>VLOOKUP(C61,Recipes!$A$2:$N$4,10,FALSE())</f>
        <v>10.940000000000001</v>
      </c>
      <c r="J61" s="81">
        <f>VLOOKUP(C61,Recipes!$A$2:$N$4,12,FALSE())</f>
        <v>5.2703573566378441E-2</v>
      </c>
      <c r="K61" s="81">
        <f t="shared" si="3"/>
        <v>10.755537492517677</v>
      </c>
      <c r="L61" s="81">
        <f t="shared" si="4"/>
        <v>11.124462507482326</v>
      </c>
      <c r="M61" s="81" t="str">
        <f t="shared" si="5"/>
        <v>NG</v>
      </c>
      <c r="N61" s="117">
        <f t="shared" si="6"/>
        <v>1</v>
      </c>
      <c r="O61" s="81">
        <f t="shared" si="7"/>
        <v>4.5700000000000012</v>
      </c>
      <c r="P61" s="81">
        <f>IF(G61="","",ABS(O61-Components!$C$2))</f>
        <v>1.8166666666666713</v>
      </c>
      <c r="Q61" s="81">
        <f>IF(G61="","",ABS(O61-Components!$C$3))</f>
        <v>0.53400000000000158</v>
      </c>
      <c r="R61" s="81">
        <f>IF(G61="","",ABS(O61-Components!$C$4))</f>
        <v>3.576666666666668</v>
      </c>
      <c r="S61" s="81">
        <f>IF(G61="","",ABS(O61-Components!$C$5))</f>
        <v>7.3333333333307493E-3</v>
      </c>
      <c r="T61" s="81">
        <f>IF(G61="","",ABS(O61-Components!$C$6))</f>
        <v>3.4143333333333312</v>
      </c>
      <c r="U61" s="81">
        <f>IF(G61="","",ABS(O61-Components!$C$7))</f>
        <v>3.1956666666666713</v>
      </c>
      <c r="V61" s="81" t="str">
        <f>IF(G61="","",IF(M61="OK","NONE",INDEX({"S1","S2","W1","W2","N1","N2"},MATCH(MIN(P61:U61),P61:U61,0))))</f>
        <v>W2</v>
      </c>
      <c r="W61" s="122">
        <f t="shared" si="8"/>
        <v>0</v>
      </c>
      <c r="X61" s="58"/>
    </row>
    <row r="62" spans="1:24">
      <c r="A62" s="115">
        <v>60</v>
      </c>
      <c r="B62" s="116">
        <v>2</v>
      </c>
      <c r="C62" s="81" t="s">
        <v>128</v>
      </c>
      <c r="D62" s="111" t="s">
        <v>240</v>
      </c>
      <c r="E62" s="81" t="s">
        <v>102</v>
      </c>
      <c r="F62" s="52">
        <v>5.8</v>
      </c>
      <c r="G62" s="52">
        <f t="shared" si="9"/>
        <v>6.77</v>
      </c>
      <c r="H62" s="110"/>
      <c r="I62" s="81">
        <f>VLOOKUP(C62,Recipes!$A$2:$N$4,10,FALSE())</f>
        <v>10.940000000000001</v>
      </c>
      <c r="J62" s="81">
        <f>VLOOKUP(C62,Recipes!$A$2:$N$4,12,FALSE())</f>
        <v>5.2703573566378441E-2</v>
      </c>
      <c r="K62" s="81">
        <f t="shared" si="3"/>
        <v>10.755537492517677</v>
      </c>
      <c r="L62" s="81">
        <f t="shared" si="4"/>
        <v>11.124462507482326</v>
      </c>
      <c r="M62" s="81" t="str">
        <f t="shared" si="5"/>
        <v>NG</v>
      </c>
      <c r="N62" s="117">
        <f t="shared" si="6"/>
        <v>1</v>
      </c>
      <c r="O62" s="81">
        <f t="shared" si="7"/>
        <v>4.1700000000000017</v>
      </c>
      <c r="P62" s="81">
        <f>IF(G62="","",ABS(O62-Components!$C$2))</f>
        <v>1.4166666666666718</v>
      </c>
      <c r="Q62" s="81">
        <f>IF(G62="","",ABS(O62-Components!$C$3))</f>
        <v>0.13400000000000212</v>
      </c>
      <c r="R62" s="81">
        <f>IF(G62="","",ABS(O62-Components!$C$4))</f>
        <v>3.1766666666666685</v>
      </c>
      <c r="S62" s="81">
        <f>IF(G62="","",ABS(O62-Components!$C$5))</f>
        <v>0.39266666666666872</v>
      </c>
      <c r="T62" s="81">
        <f>IF(G62="","",ABS(O62-Components!$C$6))</f>
        <v>3.0143333333333318</v>
      </c>
      <c r="U62" s="81">
        <f>IF(G62="","",ABS(O62-Components!$C$7))</f>
        <v>2.7956666666666719</v>
      </c>
      <c r="V62" s="81" t="str">
        <f>IF(G62="","",IF(M62="OK","NONE",INDEX({"S1","S2","W1","W2","N1","N2"},MATCH(MIN(P62:U62),P62:U62,0))))</f>
        <v>S2</v>
      </c>
      <c r="W62" s="117">
        <f t="shared" si="8"/>
        <v>1</v>
      </c>
      <c r="X62" s="58"/>
    </row>
    <row r="63" spans="1:24">
      <c r="A63" s="115">
        <v>61</v>
      </c>
      <c r="B63" s="116">
        <v>3</v>
      </c>
      <c r="C63" s="81" t="s">
        <v>128</v>
      </c>
      <c r="D63" s="111" t="s">
        <v>240</v>
      </c>
      <c r="E63" s="81" t="s">
        <v>106</v>
      </c>
      <c r="F63" s="52">
        <v>5.4</v>
      </c>
      <c r="G63" s="52">
        <f t="shared" si="9"/>
        <v>6.37</v>
      </c>
      <c r="H63" s="110"/>
      <c r="I63" s="81">
        <f>VLOOKUP(C63,Recipes!$A$2:$N$4,10,FALSE())</f>
        <v>10.940000000000001</v>
      </c>
      <c r="J63" s="81">
        <f>VLOOKUP(C63,Recipes!$A$2:$N$4,12,FALSE())</f>
        <v>5.2703573566378441E-2</v>
      </c>
      <c r="K63" s="81">
        <f t="shared" si="3"/>
        <v>10.755537492517677</v>
      </c>
      <c r="L63" s="81">
        <f t="shared" si="4"/>
        <v>11.124462507482326</v>
      </c>
      <c r="M63" s="81" t="str">
        <f t="shared" si="5"/>
        <v>NG</v>
      </c>
      <c r="N63" s="117">
        <f t="shared" si="6"/>
        <v>1</v>
      </c>
      <c r="O63" s="81">
        <f t="shared" si="7"/>
        <v>4.5700000000000012</v>
      </c>
      <c r="P63" s="81">
        <f>IF(G63="","",ABS(O63-Components!$C$2))</f>
        <v>1.8166666666666713</v>
      </c>
      <c r="Q63" s="81">
        <f>IF(G63="","",ABS(O63-Components!$C$3))</f>
        <v>0.53400000000000158</v>
      </c>
      <c r="R63" s="81">
        <f>IF(G63="","",ABS(O63-Components!$C$4))</f>
        <v>3.576666666666668</v>
      </c>
      <c r="S63" s="81">
        <f>IF(G63="","",ABS(O63-Components!$C$5))</f>
        <v>7.3333333333307493E-3</v>
      </c>
      <c r="T63" s="81">
        <f>IF(G63="","",ABS(O63-Components!$C$6))</f>
        <v>3.4143333333333312</v>
      </c>
      <c r="U63" s="81">
        <f>IF(G63="","",ABS(O63-Components!$C$7))</f>
        <v>3.1956666666666713</v>
      </c>
      <c r="V63" s="81" t="str">
        <f>IF(G63="","",IF(M63="OK","NONE",INDEX({"S1","S2","W1","W2","N1","N2"},MATCH(MIN(P63:U63),P63:U63,0))))</f>
        <v>W2</v>
      </c>
      <c r="W63" s="117">
        <f t="shared" si="8"/>
        <v>1</v>
      </c>
      <c r="X63" s="58"/>
    </row>
    <row r="64" spans="1:24">
      <c r="A64" s="115">
        <v>62</v>
      </c>
      <c r="B64" s="116">
        <v>3</v>
      </c>
      <c r="C64" s="81" t="s">
        <v>128</v>
      </c>
      <c r="D64" s="111" t="s">
        <v>240</v>
      </c>
      <c r="E64" s="81" t="s">
        <v>106</v>
      </c>
      <c r="F64" s="52">
        <v>5.45</v>
      </c>
      <c r="G64" s="52">
        <f t="shared" si="9"/>
        <v>6.42</v>
      </c>
      <c r="H64" s="110"/>
      <c r="I64" s="81">
        <f>VLOOKUP(C64,Recipes!$A$2:$N$4,10,FALSE())</f>
        <v>10.940000000000001</v>
      </c>
      <c r="J64" s="81">
        <f>VLOOKUP(C64,Recipes!$A$2:$N$4,12,FALSE())</f>
        <v>5.2703573566378441E-2</v>
      </c>
      <c r="K64" s="81">
        <f t="shared" si="3"/>
        <v>10.755537492517677</v>
      </c>
      <c r="L64" s="81">
        <f t="shared" si="4"/>
        <v>11.124462507482326</v>
      </c>
      <c r="M64" s="81" t="str">
        <f t="shared" si="5"/>
        <v>NG</v>
      </c>
      <c r="N64" s="117">
        <f t="shared" si="6"/>
        <v>1</v>
      </c>
      <c r="O64" s="81">
        <f t="shared" si="7"/>
        <v>4.5200000000000014</v>
      </c>
      <c r="P64" s="81">
        <f>IF(G64="","",ABS(O64-Components!$C$2))</f>
        <v>1.7666666666666715</v>
      </c>
      <c r="Q64" s="81">
        <f>IF(G64="","",ABS(O64-Components!$C$3))</f>
        <v>0.48400000000000176</v>
      </c>
      <c r="R64" s="81">
        <f>IF(G64="","",ABS(O64-Components!$C$4))</f>
        <v>3.5266666666666682</v>
      </c>
      <c r="S64" s="81">
        <f>IF(G64="","",ABS(O64-Components!$C$5))</f>
        <v>4.2666666666669073E-2</v>
      </c>
      <c r="T64" s="81">
        <f>IF(G64="","",ABS(O64-Components!$C$6))</f>
        <v>3.3643333333333314</v>
      </c>
      <c r="U64" s="81">
        <f>IF(G64="","",ABS(O64-Components!$C$7))</f>
        <v>3.1456666666666715</v>
      </c>
      <c r="V64" s="81" t="str">
        <f>IF(G64="","",IF(M64="OK","NONE",INDEX({"S1","S2","W1","W2","N1","N2"},MATCH(MIN(P64:U64),P64:U64,0))))</f>
        <v>W2</v>
      </c>
      <c r="W64" s="117">
        <f t="shared" si="8"/>
        <v>1</v>
      </c>
      <c r="X64" s="58"/>
    </row>
    <row r="65" spans="1:24">
      <c r="A65" s="115">
        <v>63</v>
      </c>
      <c r="B65" s="116">
        <v>3</v>
      </c>
      <c r="C65" s="81" t="s">
        <v>128</v>
      </c>
      <c r="D65" s="111" t="s">
        <v>240</v>
      </c>
      <c r="E65" s="81" t="s">
        <v>106</v>
      </c>
      <c r="F65" s="52">
        <v>5.42</v>
      </c>
      <c r="G65" s="52">
        <f t="shared" si="9"/>
        <v>6.39</v>
      </c>
      <c r="H65" s="110"/>
      <c r="I65" s="81">
        <f>VLOOKUP(C65,Recipes!$A$2:$N$4,10,FALSE())</f>
        <v>10.940000000000001</v>
      </c>
      <c r="J65" s="81">
        <f>VLOOKUP(C65,Recipes!$A$2:$N$4,12,FALSE())</f>
        <v>5.2703573566378441E-2</v>
      </c>
      <c r="K65" s="81">
        <f t="shared" si="3"/>
        <v>10.755537492517677</v>
      </c>
      <c r="L65" s="81">
        <f t="shared" si="4"/>
        <v>11.124462507482326</v>
      </c>
      <c r="M65" s="81" t="str">
        <f t="shared" si="5"/>
        <v>NG</v>
      </c>
      <c r="N65" s="117">
        <f t="shared" si="6"/>
        <v>1</v>
      </c>
      <c r="O65" s="81">
        <f t="shared" si="7"/>
        <v>4.5500000000000016</v>
      </c>
      <c r="P65" s="81">
        <f>IF(G65="","",ABS(O65-Components!$C$2))</f>
        <v>1.7966666666666717</v>
      </c>
      <c r="Q65" s="81">
        <f>IF(G65="","",ABS(O65-Components!$C$3))</f>
        <v>0.51400000000000201</v>
      </c>
      <c r="R65" s="81">
        <f>IF(G65="","",ABS(O65-Components!$C$4))</f>
        <v>3.5566666666666684</v>
      </c>
      <c r="S65" s="81">
        <f>IF(G65="","",ABS(O65-Components!$C$5))</f>
        <v>1.2666666666668824E-2</v>
      </c>
      <c r="T65" s="81">
        <f>IF(G65="","",ABS(O65-Components!$C$6))</f>
        <v>3.3943333333333316</v>
      </c>
      <c r="U65" s="81">
        <f>IF(G65="","",ABS(O65-Components!$C$7))</f>
        <v>3.1756666666666717</v>
      </c>
      <c r="V65" s="81" t="str">
        <f>IF(G65="","",IF(M65="OK","NONE",INDEX({"S1","S2","W1","W2","N1","N2"},MATCH(MIN(P65:U65),P65:U65,0))))</f>
        <v>W2</v>
      </c>
      <c r="W65" s="117">
        <f t="shared" si="8"/>
        <v>1</v>
      </c>
      <c r="X65" s="58"/>
    </row>
    <row r="66" spans="1:24">
      <c r="A66" s="115">
        <v>64</v>
      </c>
      <c r="B66" s="116">
        <v>3</v>
      </c>
      <c r="C66" s="81" t="s">
        <v>128</v>
      </c>
      <c r="D66" s="111" t="s">
        <v>240</v>
      </c>
      <c r="E66" s="81" t="s">
        <v>106</v>
      </c>
      <c r="F66" s="52">
        <v>5.42</v>
      </c>
      <c r="G66" s="52">
        <f t="shared" si="9"/>
        <v>6.39</v>
      </c>
      <c r="H66" s="110"/>
      <c r="I66" s="81">
        <f>VLOOKUP(C66,Recipes!$A$2:$N$4,10,FALSE())</f>
        <v>10.940000000000001</v>
      </c>
      <c r="J66" s="81">
        <f>VLOOKUP(C66,Recipes!$A$2:$N$4,12,FALSE())</f>
        <v>5.2703573566378441E-2</v>
      </c>
      <c r="K66" s="81">
        <f t="shared" si="3"/>
        <v>10.755537492517677</v>
      </c>
      <c r="L66" s="81">
        <f t="shared" si="4"/>
        <v>11.124462507482326</v>
      </c>
      <c r="M66" s="81" t="str">
        <f t="shared" si="5"/>
        <v>NG</v>
      </c>
      <c r="N66" s="117">
        <f t="shared" si="6"/>
        <v>1</v>
      </c>
      <c r="O66" s="81">
        <f t="shared" si="7"/>
        <v>4.5500000000000016</v>
      </c>
      <c r="P66" s="81">
        <f>IF(G66="","",ABS(O66-Components!$C$2))</f>
        <v>1.7966666666666717</v>
      </c>
      <c r="Q66" s="81">
        <f>IF(G66="","",ABS(O66-Components!$C$3))</f>
        <v>0.51400000000000201</v>
      </c>
      <c r="R66" s="81">
        <f>IF(G66="","",ABS(O66-Components!$C$4))</f>
        <v>3.5566666666666684</v>
      </c>
      <c r="S66" s="81">
        <f>IF(G66="","",ABS(O66-Components!$C$5))</f>
        <v>1.2666666666668824E-2</v>
      </c>
      <c r="T66" s="81">
        <f>IF(G66="","",ABS(O66-Components!$C$6))</f>
        <v>3.3943333333333316</v>
      </c>
      <c r="U66" s="81">
        <f>IF(G66="","",ABS(O66-Components!$C$7))</f>
        <v>3.1756666666666717</v>
      </c>
      <c r="V66" s="81" t="str">
        <f>IF(G66="","",IF(M66="OK","NONE",INDEX({"S1","S2","W1","W2","N1","N2"},MATCH(MIN(P66:U66),P66:U66,0))))</f>
        <v>W2</v>
      </c>
      <c r="W66" s="117">
        <f t="shared" si="8"/>
        <v>1</v>
      </c>
      <c r="X66" s="58"/>
    </row>
    <row r="67" spans="1:24">
      <c r="A67" s="115">
        <v>65</v>
      </c>
      <c r="B67" s="116">
        <v>3</v>
      </c>
      <c r="C67" s="81" t="s">
        <v>128</v>
      </c>
      <c r="D67" s="111" t="s">
        <v>240</v>
      </c>
      <c r="E67" s="81" t="s">
        <v>106</v>
      </c>
      <c r="F67" s="52">
        <v>5.42</v>
      </c>
      <c r="G67" s="52">
        <f t="shared" ref="G67:G130" si="10">0.97+F67</f>
        <v>6.39</v>
      </c>
      <c r="H67" s="110"/>
      <c r="I67" s="81">
        <f>VLOOKUP(C67,Recipes!$A$2:$N$4,10,FALSE())</f>
        <v>10.940000000000001</v>
      </c>
      <c r="J67" s="81">
        <f>VLOOKUP(C67,Recipes!$A$2:$N$4,12,FALSE())</f>
        <v>5.2703573566378441E-2</v>
      </c>
      <c r="K67" s="81">
        <f t="shared" si="3"/>
        <v>10.755537492517677</v>
      </c>
      <c r="L67" s="81">
        <f t="shared" si="4"/>
        <v>11.124462507482326</v>
      </c>
      <c r="M67" s="81" t="str">
        <f t="shared" si="5"/>
        <v>NG</v>
      </c>
      <c r="N67" s="117">
        <f t="shared" si="6"/>
        <v>1</v>
      </c>
      <c r="O67" s="81">
        <f t="shared" si="7"/>
        <v>4.5500000000000016</v>
      </c>
      <c r="P67" s="81">
        <f>IF(G67="","",ABS(O67-Components!$C$2))</f>
        <v>1.7966666666666717</v>
      </c>
      <c r="Q67" s="81">
        <f>IF(G67="","",ABS(O67-Components!$C$3))</f>
        <v>0.51400000000000201</v>
      </c>
      <c r="R67" s="81">
        <f>IF(G67="","",ABS(O67-Components!$C$4))</f>
        <v>3.5566666666666684</v>
      </c>
      <c r="S67" s="81">
        <f>IF(G67="","",ABS(O67-Components!$C$5))</f>
        <v>1.2666666666668824E-2</v>
      </c>
      <c r="T67" s="81">
        <f>IF(G67="","",ABS(O67-Components!$C$6))</f>
        <v>3.3943333333333316</v>
      </c>
      <c r="U67" s="81">
        <f>IF(G67="","",ABS(O67-Components!$C$7))</f>
        <v>3.1756666666666717</v>
      </c>
      <c r="V67" s="81" t="str">
        <f>IF(G67="","",IF(M67="OK","NONE",INDEX({"S1","S2","W1","W2","N1","N2"},MATCH(MIN(P67:U67),P67:U67,0))))</f>
        <v>W2</v>
      </c>
      <c r="W67" s="117">
        <f t="shared" si="8"/>
        <v>1</v>
      </c>
      <c r="X67" s="58"/>
    </row>
    <row r="68" spans="1:24">
      <c r="A68" s="115">
        <v>66</v>
      </c>
      <c r="B68" s="116">
        <v>3</v>
      </c>
      <c r="C68" s="81" t="s">
        <v>128</v>
      </c>
      <c r="D68" s="111" t="s">
        <v>240</v>
      </c>
      <c r="E68" s="81" t="s">
        <v>106</v>
      </c>
      <c r="F68" s="52">
        <v>5.42</v>
      </c>
      <c r="G68" s="52">
        <f t="shared" si="10"/>
        <v>6.39</v>
      </c>
      <c r="H68" s="110"/>
      <c r="I68" s="81">
        <f>VLOOKUP(C68,Recipes!$A$2:$N$4,10,FALSE())</f>
        <v>10.940000000000001</v>
      </c>
      <c r="J68" s="81">
        <f>VLOOKUP(C68,Recipes!$A$2:$N$4,12,FALSE())</f>
        <v>5.2703573566378441E-2</v>
      </c>
      <c r="K68" s="81">
        <f t="shared" ref="K68:K131" si="11">I68-3.5*J68</f>
        <v>10.755537492517677</v>
      </c>
      <c r="L68" s="81">
        <f t="shared" ref="L68:L131" si="12">I68+3.5*J68</f>
        <v>11.124462507482326</v>
      </c>
      <c r="M68" s="81" t="str">
        <f t="shared" ref="M68:M131" si="13">IF(G68="","",IF(AND(G68&gt;=K68,G68&lt;=L68),"OK","NG"))</f>
        <v>NG</v>
      </c>
      <c r="N68" s="117">
        <f t="shared" ref="N68:N131" si="14">IF(M68="","",IF(M68=D68,1,0))</f>
        <v>1</v>
      </c>
      <c r="O68" s="81">
        <f t="shared" ref="O68:O131" si="15">IF(G68="","",I68-G68)</f>
        <v>4.5500000000000016</v>
      </c>
      <c r="P68" s="81">
        <f>IF(G68="","",ABS(O68-Components!$C$2))</f>
        <v>1.7966666666666717</v>
      </c>
      <c r="Q68" s="81">
        <f>IF(G68="","",ABS(O68-Components!$C$3))</f>
        <v>0.51400000000000201</v>
      </c>
      <c r="R68" s="81">
        <f>IF(G68="","",ABS(O68-Components!$C$4))</f>
        <v>3.5566666666666684</v>
      </c>
      <c r="S68" s="81">
        <f>IF(G68="","",ABS(O68-Components!$C$5))</f>
        <v>1.2666666666668824E-2</v>
      </c>
      <c r="T68" s="81">
        <f>IF(G68="","",ABS(O68-Components!$C$6))</f>
        <v>3.3943333333333316</v>
      </c>
      <c r="U68" s="81">
        <f>IF(G68="","",ABS(O68-Components!$C$7))</f>
        <v>3.1756666666666717</v>
      </c>
      <c r="V68" s="81" t="str">
        <f>IF(G68="","",IF(M68="OK","NONE",INDEX({"S1","S2","W1","W2","N1","N2"},MATCH(MIN(P68:U68),P68:U68,0))))</f>
        <v>W2</v>
      </c>
      <c r="W68" s="117">
        <f t="shared" ref="W68:W131" si="16">IF(G68="","",IF(V68=E68,1,0))</f>
        <v>1</v>
      </c>
      <c r="X68" s="58"/>
    </row>
    <row r="69" spans="1:24">
      <c r="A69" s="115">
        <v>67</v>
      </c>
      <c r="B69" s="116">
        <v>3</v>
      </c>
      <c r="C69" s="81" t="s">
        <v>128</v>
      </c>
      <c r="D69" s="111" t="s">
        <v>240</v>
      </c>
      <c r="E69" s="81" t="s">
        <v>106</v>
      </c>
      <c r="F69" s="52">
        <v>5.45</v>
      </c>
      <c r="G69" s="52">
        <f t="shared" si="10"/>
        <v>6.42</v>
      </c>
      <c r="H69" s="110"/>
      <c r="I69" s="81">
        <f>VLOOKUP(C69,Recipes!$A$2:$N$4,10,FALSE())</f>
        <v>10.940000000000001</v>
      </c>
      <c r="J69" s="81">
        <f>VLOOKUP(C69,Recipes!$A$2:$N$4,12,FALSE())</f>
        <v>5.2703573566378441E-2</v>
      </c>
      <c r="K69" s="81">
        <f t="shared" si="11"/>
        <v>10.755537492517677</v>
      </c>
      <c r="L69" s="81">
        <f t="shared" si="12"/>
        <v>11.124462507482326</v>
      </c>
      <c r="M69" s="81" t="str">
        <f t="shared" si="13"/>
        <v>NG</v>
      </c>
      <c r="N69" s="117">
        <f t="shared" si="14"/>
        <v>1</v>
      </c>
      <c r="O69" s="81">
        <f t="shared" si="15"/>
        <v>4.5200000000000014</v>
      </c>
      <c r="P69" s="81">
        <f>IF(G69="","",ABS(O69-Components!$C$2))</f>
        <v>1.7666666666666715</v>
      </c>
      <c r="Q69" s="81">
        <f>IF(G69="","",ABS(O69-Components!$C$3))</f>
        <v>0.48400000000000176</v>
      </c>
      <c r="R69" s="81">
        <f>IF(G69="","",ABS(O69-Components!$C$4))</f>
        <v>3.5266666666666682</v>
      </c>
      <c r="S69" s="81">
        <f>IF(G69="","",ABS(O69-Components!$C$5))</f>
        <v>4.2666666666669073E-2</v>
      </c>
      <c r="T69" s="81">
        <f>IF(G69="","",ABS(O69-Components!$C$6))</f>
        <v>3.3643333333333314</v>
      </c>
      <c r="U69" s="81">
        <f>IF(G69="","",ABS(O69-Components!$C$7))</f>
        <v>3.1456666666666715</v>
      </c>
      <c r="V69" s="81" t="str">
        <f>IF(G69="","",IF(M69="OK","NONE",INDEX({"S1","S2","W1","W2","N1","N2"},MATCH(MIN(P69:U69),P69:U69,0))))</f>
        <v>W2</v>
      </c>
      <c r="W69" s="117">
        <f t="shared" si="16"/>
        <v>1</v>
      </c>
      <c r="X69" s="58"/>
    </row>
    <row r="70" spans="1:24">
      <c r="A70" s="115">
        <v>68</v>
      </c>
      <c r="B70" s="116">
        <v>3</v>
      </c>
      <c r="C70" s="81" t="s">
        <v>128</v>
      </c>
      <c r="D70" s="111" t="s">
        <v>240</v>
      </c>
      <c r="E70" s="81" t="s">
        <v>106</v>
      </c>
      <c r="F70" s="52">
        <v>5.41</v>
      </c>
      <c r="G70" s="52">
        <f t="shared" si="10"/>
        <v>6.38</v>
      </c>
      <c r="H70" s="110"/>
      <c r="I70" s="81">
        <f>VLOOKUP(C70,Recipes!$A$2:$N$4,10,FALSE())</f>
        <v>10.940000000000001</v>
      </c>
      <c r="J70" s="81">
        <f>VLOOKUP(C70,Recipes!$A$2:$N$4,12,FALSE())</f>
        <v>5.2703573566378441E-2</v>
      </c>
      <c r="K70" s="81">
        <f t="shared" si="11"/>
        <v>10.755537492517677</v>
      </c>
      <c r="L70" s="81">
        <f t="shared" si="12"/>
        <v>11.124462507482326</v>
      </c>
      <c r="M70" s="81" t="str">
        <f t="shared" si="13"/>
        <v>NG</v>
      </c>
      <c r="N70" s="117">
        <f t="shared" si="14"/>
        <v>1</v>
      </c>
      <c r="O70" s="81">
        <f t="shared" si="15"/>
        <v>4.5600000000000014</v>
      </c>
      <c r="P70" s="81">
        <f>IF(G70="","",ABS(O70-Components!$C$2))</f>
        <v>1.8066666666666715</v>
      </c>
      <c r="Q70" s="81">
        <f>IF(G70="","",ABS(O70-Components!$C$3))</f>
        <v>0.5240000000000018</v>
      </c>
      <c r="R70" s="81">
        <f>IF(G70="","",ABS(O70-Components!$C$4))</f>
        <v>3.5666666666666682</v>
      </c>
      <c r="S70" s="81">
        <f>IF(G70="","",ABS(O70-Components!$C$5))</f>
        <v>2.6666666666690375E-3</v>
      </c>
      <c r="T70" s="81">
        <f>IF(G70="","",ABS(O70-Components!$C$6))</f>
        <v>3.4043333333333314</v>
      </c>
      <c r="U70" s="81">
        <f>IF(G70="","",ABS(O70-Components!$C$7))</f>
        <v>3.1856666666666715</v>
      </c>
      <c r="V70" s="81" t="str">
        <f>IF(G70="","",IF(M70="OK","NONE",INDEX({"S1","S2","W1","W2","N1","N2"},MATCH(MIN(P70:U70),P70:U70,0))))</f>
        <v>W2</v>
      </c>
      <c r="W70" s="117">
        <f t="shared" si="16"/>
        <v>1</v>
      </c>
      <c r="X70" s="58"/>
    </row>
    <row r="71" spans="1:24">
      <c r="A71" s="115">
        <v>69</v>
      </c>
      <c r="B71" s="116">
        <v>3</v>
      </c>
      <c r="C71" s="81" t="s">
        <v>128</v>
      </c>
      <c r="D71" s="111" t="s">
        <v>240</v>
      </c>
      <c r="E71" s="81" t="s">
        <v>106</v>
      </c>
      <c r="F71" s="52">
        <v>5.38</v>
      </c>
      <c r="G71" s="52">
        <f t="shared" si="10"/>
        <v>6.35</v>
      </c>
      <c r="H71" s="110"/>
      <c r="I71" s="81">
        <f>VLOOKUP(C71,Recipes!$A$2:$N$4,10,FALSE())</f>
        <v>10.940000000000001</v>
      </c>
      <c r="J71" s="81">
        <f>VLOOKUP(C71,Recipes!$A$2:$N$4,12,FALSE())</f>
        <v>5.2703573566378441E-2</v>
      </c>
      <c r="K71" s="81">
        <f t="shared" si="11"/>
        <v>10.755537492517677</v>
      </c>
      <c r="L71" s="81">
        <f t="shared" si="12"/>
        <v>11.124462507482326</v>
      </c>
      <c r="M71" s="81" t="str">
        <f t="shared" si="13"/>
        <v>NG</v>
      </c>
      <c r="N71" s="117">
        <f t="shared" si="14"/>
        <v>1</v>
      </c>
      <c r="O71" s="81">
        <f t="shared" si="15"/>
        <v>4.5900000000000016</v>
      </c>
      <c r="P71" s="81">
        <f>IF(G71="","",ABS(O71-Components!$C$2))</f>
        <v>1.8366666666666718</v>
      </c>
      <c r="Q71" s="81">
        <f>IF(G71="","",ABS(O71-Components!$C$3))</f>
        <v>0.55400000000000205</v>
      </c>
      <c r="R71" s="81">
        <f>IF(G71="","",ABS(O71-Components!$C$4))</f>
        <v>3.5966666666666685</v>
      </c>
      <c r="S71" s="81">
        <f>IF(G71="","",ABS(O71-Components!$C$5))</f>
        <v>2.7333333333331211E-2</v>
      </c>
      <c r="T71" s="81">
        <f>IF(G71="","",ABS(O71-Components!$C$6))</f>
        <v>3.4343333333333317</v>
      </c>
      <c r="U71" s="81">
        <f>IF(G71="","",ABS(O71-Components!$C$7))</f>
        <v>3.2156666666666718</v>
      </c>
      <c r="V71" s="81" t="str">
        <f>IF(G71="","",IF(M71="OK","NONE",INDEX({"S1","S2","W1","W2","N1","N2"},MATCH(MIN(P71:U71),P71:U71,0))))</f>
        <v>W2</v>
      </c>
      <c r="W71" s="117">
        <f t="shared" si="16"/>
        <v>1</v>
      </c>
      <c r="X71" s="58"/>
    </row>
    <row r="72" spans="1:24">
      <c r="A72" s="115">
        <v>70</v>
      </c>
      <c r="B72" s="116">
        <v>3</v>
      </c>
      <c r="C72" s="81" t="s">
        <v>128</v>
      </c>
      <c r="D72" s="111" t="s">
        <v>240</v>
      </c>
      <c r="E72" s="81" t="s">
        <v>106</v>
      </c>
      <c r="F72" s="52">
        <v>5.37</v>
      </c>
      <c r="G72" s="52">
        <f t="shared" si="10"/>
        <v>6.34</v>
      </c>
      <c r="H72" s="110"/>
      <c r="I72" s="81">
        <f>VLOOKUP(C72,Recipes!$A$2:$N$4,10,FALSE())</f>
        <v>10.940000000000001</v>
      </c>
      <c r="J72" s="81">
        <f>VLOOKUP(C72,Recipes!$A$2:$N$4,12,FALSE())</f>
        <v>5.2703573566378441E-2</v>
      </c>
      <c r="K72" s="81">
        <f t="shared" si="11"/>
        <v>10.755537492517677</v>
      </c>
      <c r="L72" s="81">
        <f t="shared" si="12"/>
        <v>11.124462507482326</v>
      </c>
      <c r="M72" s="81" t="str">
        <f t="shared" si="13"/>
        <v>NG</v>
      </c>
      <c r="N72" s="117">
        <f t="shared" si="14"/>
        <v>1</v>
      </c>
      <c r="O72" s="81">
        <f t="shared" si="15"/>
        <v>4.6000000000000014</v>
      </c>
      <c r="P72" s="81">
        <f>IF(G72="","",ABS(O72-Components!$C$2))</f>
        <v>1.8466666666666716</v>
      </c>
      <c r="Q72" s="81">
        <f>IF(G72="","",ABS(O72-Components!$C$3))</f>
        <v>0.56400000000000183</v>
      </c>
      <c r="R72" s="81">
        <f>IF(G72="","",ABS(O72-Components!$C$4))</f>
        <v>3.6066666666666682</v>
      </c>
      <c r="S72" s="81">
        <f>IF(G72="","",ABS(O72-Components!$C$5))</f>
        <v>3.7333333333330998E-2</v>
      </c>
      <c r="T72" s="81">
        <f>IF(G72="","",ABS(O72-Components!$C$6))</f>
        <v>3.4443333333333315</v>
      </c>
      <c r="U72" s="81">
        <f>IF(G72="","",ABS(O72-Components!$C$7))</f>
        <v>3.2256666666666716</v>
      </c>
      <c r="V72" s="81" t="str">
        <f>IF(G72="","",IF(M72="OK","NONE",INDEX({"S1","S2","W1","W2","N1","N2"},MATCH(MIN(P72:U72),P72:U72,0))))</f>
        <v>W2</v>
      </c>
      <c r="W72" s="117">
        <f t="shared" si="16"/>
        <v>1</v>
      </c>
      <c r="X72" s="58"/>
    </row>
    <row r="73" spans="1:24">
      <c r="A73" s="115">
        <v>71</v>
      </c>
      <c r="B73" s="116">
        <v>3</v>
      </c>
      <c r="C73" s="81" t="s">
        <v>128</v>
      </c>
      <c r="D73" s="111" t="s">
        <v>240</v>
      </c>
      <c r="E73" s="81" t="s">
        <v>106</v>
      </c>
      <c r="F73" s="52">
        <v>5.36</v>
      </c>
      <c r="G73" s="52">
        <f t="shared" si="10"/>
        <v>6.33</v>
      </c>
      <c r="H73" s="110"/>
      <c r="I73" s="81">
        <f>VLOOKUP(C73,Recipes!$A$2:$N$4,10,FALSE())</f>
        <v>10.940000000000001</v>
      </c>
      <c r="J73" s="81">
        <f>VLOOKUP(C73,Recipes!$A$2:$N$4,12,FALSE())</f>
        <v>5.2703573566378441E-2</v>
      </c>
      <c r="K73" s="81">
        <f t="shared" si="11"/>
        <v>10.755537492517677</v>
      </c>
      <c r="L73" s="81">
        <f t="shared" si="12"/>
        <v>11.124462507482326</v>
      </c>
      <c r="M73" s="81" t="str">
        <f t="shared" si="13"/>
        <v>NG</v>
      </c>
      <c r="N73" s="117">
        <f t="shared" si="14"/>
        <v>1</v>
      </c>
      <c r="O73" s="81">
        <f t="shared" si="15"/>
        <v>4.6100000000000012</v>
      </c>
      <c r="P73" s="81">
        <f>IF(G73="","",ABS(O73-Components!$C$2))</f>
        <v>1.8566666666666714</v>
      </c>
      <c r="Q73" s="81">
        <f>IF(G73="","",ABS(O73-Components!$C$3))</f>
        <v>0.57400000000000162</v>
      </c>
      <c r="R73" s="81">
        <f>IF(G73="","",ABS(O73-Components!$C$4))</f>
        <v>3.616666666666668</v>
      </c>
      <c r="S73" s="81">
        <f>IF(G73="","",ABS(O73-Components!$C$5))</f>
        <v>4.7333333333330785E-2</v>
      </c>
      <c r="T73" s="81">
        <f>IF(G73="","",ABS(O73-Components!$C$6))</f>
        <v>3.4543333333333313</v>
      </c>
      <c r="U73" s="81">
        <f>IF(G73="","",ABS(O73-Components!$C$7))</f>
        <v>3.2356666666666714</v>
      </c>
      <c r="V73" s="81" t="str">
        <f>IF(G73="","",IF(M73="OK","NONE",INDEX({"S1","S2","W1","W2","N1","N2"},MATCH(MIN(P73:U73),P73:U73,0))))</f>
        <v>W2</v>
      </c>
      <c r="W73" s="117">
        <f t="shared" si="16"/>
        <v>1</v>
      </c>
      <c r="X73" s="58"/>
    </row>
    <row r="74" spans="1:24">
      <c r="A74" s="115">
        <v>72</v>
      </c>
      <c r="B74" s="116">
        <v>3</v>
      </c>
      <c r="C74" s="81" t="s">
        <v>128</v>
      </c>
      <c r="D74" s="111" t="s">
        <v>240</v>
      </c>
      <c r="E74" s="81" t="s">
        <v>106</v>
      </c>
      <c r="F74" s="52">
        <v>5.41</v>
      </c>
      <c r="G74" s="52">
        <f t="shared" si="10"/>
        <v>6.38</v>
      </c>
      <c r="H74" s="110"/>
      <c r="I74" s="81">
        <f>VLOOKUP(C74,Recipes!$A$2:$N$4,10,FALSE())</f>
        <v>10.940000000000001</v>
      </c>
      <c r="J74" s="81">
        <f>VLOOKUP(C74,Recipes!$A$2:$N$4,12,FALSE())</f>
        <v>5.2703573566378441E-2</v>
      </c>
      <c r="K74" s="81">
        <f t="shared" si="11"/>
        <v>10.755537492517677</v>
      </c>
      <c r="L74" s="81">
        <f t="shared" si="12"/>
        <v>11.124462507482326</v>
      </c>
      <c r="M74" s="81" t="str">
        <f t="shared" si="13"/>
        <v>NG</v>
      </c>
      <c r="N74" s="117">
        <f t="shared" si="14"/>
        <v>1</v>
      </c>
      <c r="O74" s="81">
        <f t="shared" si="15"/>
        <v>4.5600000000000014</v>
      </c>
      <c r="P74" s="81">
        <f>IF(G74="","",ABS(O74-Components!$C$2))</f>
        <v>1.8066666666666715</v>
      </c>
      <c r="Q74" s="81">
        <f>IF(G74="","",ABS(O74-Components!$C$3))</f>
        <v>0.5240000000000018</v>
      </c>
      <c r="R74" s="81">
        <f>IF(G74="","",ABS(O74-Components!$C$4))</f>
        <v>3.5666666666666682</v>
      </c>
      <c r="S74" s="81">
        <f>IF(G74="","",ABS(O74-Components!$C$5))</f>
        <v>2.6666666666690375E-3</v>
      </c>
      <c r="T74" s="81">
        <f>IF(G74="","",ABS(O74-Components!$C$6))</f>
        <v>3.4043333333333314</v>
      </c>
      <c r="U74" s="81">
        <f>IF(G74="","",ABS(O74-Components!$C$7))</f>
        <v>3.1856666666666715</v>
      </c>
      <c r="V74" s="81" t="str">
        <f>IF(G74="","",IF(M74="OK","NONE",INDEX({"S1","S2","W1","W2","N1","N2"},MATCH(MIN(P74:U74),P74:U74,0))))</f>
        <v>W2</v>
      </c>
      <c r="W74" s="117">
        <f t="shared" si="16"/>
        <v>1</v>
      </c>
      <c r="X74" s="58"/>
    </row>
    <row r="75" spans="1:24">
      <c r="A75" s="115">
        <v>73</v>
      </c>
      <c r="B75" s="116">
        <v>3</v>
      </c>
      <c r="C75" s="81" t="s">
        <v>128</v>
      </c>
      <c r="D75" s="111" t="s">
        <v>240</v>
      </c>
      <c r="E75" s="81" t="s">
        <v>106</v>
      </c>
      <c r="F75" s="52">
        <v>5.37</v>
      </c>
      <c r="G75" s="52">
        <f t="shared" si="10"/>
        <v>6.34</v>
      </c>
      <c r="H75" s="110"/>
      <c r="I75" s="81">
        <f>VLOOKUP(C75,Recipes!$A$2:$N$4,10,FALSE())</f>
        <v>10.940000000000001</v>
      </c>
      <c r="J75" s="81">
        <f>VLOOKUP(C75,Recipes!$A$2:$N$4,12,FALSE())</f>
        <v>5.2703573566378441E-2</v>
      </c>
      <c r="K75" s="81">
        <f t="shared" si="11"/>
        <v>10.755537492517677</v>
      </c>
      <c r="L75" s="81">
        <f t="shared" si="12"/>
        <v>11.124462507482326</v>
      </c>
      <c r="M75" s="81" t="str">
        <f t="shared" si="13"/>
        <v>NG</v>
      </c>
      <c r="N75" s="117">
        <f t="shared" si="14"/>
        <v>1</v>
      </c>
      <c r="O75" s="81">
        <f t="shared" si="15"/>
        <v>4.6000000000000014</v>
      </c>
      <c r="P75" s="81">
        <f>IF(G75="","",ABS(O75-Components!$C$2))</f>
        <v>1.8466666666666716</v>
      </c>
      <c r="Q75" s="81">
        <f>IF(G75="","",ABS(O75-Components!$C$3))</f>
        <v>0.56400000000000183</v>
      </c>
      <c r="R75" s="81">
        <f>IF(G75="","",ABS(O75-Components!$C$4))</f>
        <v>3.6066666666666682</v>
      </c>
      <c r="S75" s="81">
        <f>IF(G75="","",ABS(O75-Components!$C$5))</f>
        <v>3.7333333333330998E-2</v>
      </c>
      <c r="T75" s="81">
        <f>IF(G75="","",ABS(O75-Components!$C$6))</f>
        <v>3.4443333333333315</v>
      </c>
      <c r="U75" s="81">
        <f>IF(G75="","",ABS(O75-Components!$C$7))</f>
        <v>3.2256666666666716</v>
      </c>
      <c r="V75" s="81" t="str">
        <f>IF(G75="","",IF(M75="OK","NONE",INDEX({"S1","S2","W1","W2","N1","N2"},MATCH(MIN(P75:U75),P75:U75,0))))</f>
        <v>W2</v>
      </c>
      <c r="W75" s="117">
        <f t="shared" si="16"/>
        <v>1</v>
      </c>
      <c r="X75" s="58"/>
    </row>
    <row r="76" spans="1:24">
      <c r="A76" s="115">
        <v>74</v>
      </c>
      <c r="B76" s="116">
        <v>3</v>
      </c>
      <c r="C76" s="81" t="s">
        <v>128</v>
      </c>
      <c r="D76" s="111" t="s">
        <v>240</v>
      </c>
      <c r="E76" s="81" t="s">
        <v>106</v>
      </c>
      <c r="F76" s="52">
        <v>5.36</v>
      </c>
      <c r="G76" s="52">
        <f t="shared" si="10"/>
        <v>6.33</v>
      </c>
      <c r="H76" s="110"/>
      <c r="I76" s="81">
        <f>VLOOKUP(C76,Recipes!$A$2:$N$4,10,FALSE())</f>
        <v>10.940000000000001</v>
      </c>
      <c r="J76" s="81">
        <f>VLOOKUP(C76,Recipes!$A$2:$N$4,12,FALSE())</f>
        <v>5.2703573566378441E-2</v>
      </c>
      <c r="K76" s="81">
        <f t="shared" si="11"/>
        <v>10.755537492517677</v>
      </c>
      <c r="L76" s="81">
        <f t="shared" si="12"/>
        <v>11.124462507482326</v>
      </c>
      <c r="M76" s="81" t="str">
        <f t="shared" si="13"/>
        <v>NG</v>
      </c>
      <c r="N76" s="117">
        <f t="shared" si="14"/>
        <v>1</v>
      </c>
      <c r="O76" s="81">
        <f t="shared" si="15"/>
        <v>4.6100000000000012</v>
      </c>
      <c r="P76" s="81">
        <f>IF(G76="","",ABS(O76-Components!$C$2))</f>
        <v>1.8566666666666714</v>
      </c>
      <c r="Q76" s="81">
        <f>IF(G76="","",ABS(O76-Components!$C$3))</f>
        <v>0.57400000000000162</v>
      </c>
      <c r="R76" s="81">
        <f>IF(G76="","",ABS(O76-Components!$C$4))</f>
        <v>3.616666666666668</v>
      </c>
      <c r="S76" s="81">
        <f>IF(G76="","",ABS(O76-Components!$C$5))</f>
        <v>4.7333333333330785E-2</v>
      </c>
      <c r="T76" s="81">
        <f>IF(G76="","",ABS(O76-Components!$C$6))</f>
        <v>3.4543333333333313</v>
      </c>
      <c r="U76" s="81">
        <f>IF(G76="","",ABS(O76-Components!$C$7))</f>
        <v>3.2356666666666714</v>
      </c>
      <c r="V76" s="81" t="str">
        <f>IF(G76="","",IF(M76="OK","NONE",INDEX({"S1","S2","W1","W2","N1","N2"},MATCH(MIN(P76:U76),P76:U76,0))))</f>
        <v>W2</v>
      </c>
      <c r="W76" s="117">
        <f t="shared" si="16"/>
        <v>1</v>
      </c>
      <c r="X76" s="58"/>
    </row>
    <row r="77" spans="1:24">
      <c r="A77" s="115">
        <v>75</v>
      </c>
      <c r="B77" s="116">
        <v>3</v>
      </c>
      <c r="C77" s="81" t="s">
        <v>128</v>
      </c>
      <c r="D77" s="111" t="s">
        <v>240</v>
      </c>
      <c r="E77" s="81" t="s">
        <v>106</v>
      </c>
      <c r="F77" s="52">
        <v>5.38</v>
      </c>
      <c r="G77" s="52">
        <f t="shared" si="10"/>
        <v>6.35</v>
      </c>
      <c r="H77" s="110"/>
      <c r="I77" s="81">
        <f>VLOOKUP(C77,Recipes!$A$2:$N$4,10,FALSE())</f>
        <v>10.940000000000001</v>
      </c>
      <c r="J77" s="81">
        <f>VLOOKUP(C77,Recipes!$A$2:$N$4,12,FALSE())</f>
        <v>5.2703573566378441E-2</v>
      </c>
      <c r="K77" s="81">
        <f t="shared" si="11"/>
        <v>10.755537492517677</v>
      </c>
      <c r="L77" s="81">
        <f t="shared" si="12"/>
        <v>11.124462507482326</v>
      </c>
      <c r="M77" s="81" t="str">
        <f t="shared" si="13"/>
        <v>NG</v>
      </c>
      <c r="N77" s="117">
        <f t="shared" si="14"/>
        <v>1</v>
      </c>
      <c r="O77" s="81">
        <f t="shared" si="15"/>
        <v>4.5900000000000016</v>
      </c>
      <c r="P77" s="81">
        <f>IF(G77="","",ABS(O77-Components!$C$2))</f>
        <v>1.8366666666666718</v>
      </c>
      <c r="Q77" s="81">
        <f>IF(G77="","",ABS(O77-Components!$C$3))</f>
        <v>0.55400000000000205</v>
      </c>
      <c r="R77" s="81">
        <f>IF(G77="","",ABS(O77-Components!$C$4))</f>
        <v>3.5966666666666685</v>
      </c>
      <c r="S77" s="81">
        <f>IF(G77="","",ABS(O77-Components!$C$5))</f>
        <v>2.7333333333331211E-2</v>
      </c>
      <c r="T77" s="81">
        <f>IF(G77="","",ABS(O77-Components!$C$6))</f>
        <v>3.4343333333333317</v>
      </c>
      <c r="U77" s="81">
        <f>IF(G77="","",ABS(O77-Components!$C$7))</f>
        <v>3.2156666666666718</v>
      </c>
      <c r="V77" s="81" t="str">
        <f>IF(G77="","",IF(M77="OK","NONE",INDEX({"S1","S2","W1","W2","N1","N2"},MATCH(MIN(P77:U77),P77:U77,0))))</f>
        <v>W2</v>
      </c>
      <c r="W77" s="117">
        <f t="shared" si="16"/>
        <v>1</v>
      </c>
      <c r="X77" s="58"/>
    </row>
    <row r="78" spans="1:24">
      <c r="A78" s="115">
        <v>76</v>
      </c>
      <c r="B78" s="116">
        <v>3</v>
      </c>
      <c r="C78" s="81" t="s">
        <v>128</v>
      </c>
      <c r="D78" s="111" t="s">
        <v>240</v>
      </c>
      <c r="E78" s="81" t="s">
        <v>106</v>
      </c>
      <c r="F78" s="52">
        <v>5.38</v>
      </c>
      <c r="G78" s="52">
        <f t="shared" si="10"/>
        <v>6.35</v>
      </c>
      <c r="H78" s="110"/>
      <c r="I78" s="81">
        <f>VLOOKUP(C78,Recipes!$A$2:$N$4,10,FALSE())</f>
        <v>10.940000000000001</v>
      </c>
      <c r="J78" s="81">
        <f>VLOOKUP(C78,Recipes!$A$2:$N$4,12,FALSE())</f>
        <v>5.2703573566378441E-2</v>
      </c>
      <c r="K78" s="81">
        <f t="shared" si="11"/>
        <v>10.755537492517677</v>
      </c>
      <c r="L78" s="81">
        <f t="shared" si="12"/>
        <v>11.124462507482326</v>
      </c>
      <c r="M78" s="81" t="str">
        <f t="shared" si="13"/>
        <v>NG</v>
      </c>
      <c r="N78" s="117">
        <f t="shared" si="14"/>
        <v>1</v>
      </c>
      <c r="O78" s="81">
        <f t="shared" si="15"/>
        <v>4.5900000000000016</v>
      </c>
      <c r="P78" s="81">
        <f>IF(G78="","",ABS(O78-Components!$C$2))</f>
        <v>1.8366666666666718</v>
      </c>
      <c r="Q78" s="81">
        <f>IF(G78="","",ABS(O78-Components!$C$3))</f>
        <v>0.55400000000000205</v>
      </c>
      <c r="R78" s="81">
        <f>IF(G78="","",ABS(O78-Components!$C$4))</f>
        <v>3.5966666666666685</v>
      </c>
      <c r="S78" s="81">
        <f>IF(G78="","",ABS(O78-Components!$C$5))</f>
        <v>2.7333333333331211E-2</v>
      </c>
      <c r="T78" s="81">
        <f>IF(G78="","",ABS(O78-Components!$C$6))</f>
        <v>3.4343333333333317</v>
      </c>
      <c r="U78" s="81">
        <f>IF(G78="","",ABS(O78-Components!$C$7))</f>
        <v>3.2156666666666718</v>
      </c>
      <c r="V78" s="81" t="str">
        <f>IF(G78="","",IF(M78="OK","NONE",INDEX({"S1","S2","W1","W2","N1","N2"},MATCH(MIN(P78:U78),P78:U78,0))))</f>
        <v>W2</v>
      </c>
      <c r="W78" s="117">
        <f t="shared" si="16"/>
        <v>1</v>
      </c>
      <c r="X78" s="58"/>
    </row>
    <row r="79" spans="1:24">
      <c r="A79" s="115">
        <v>77</v>
      </c>
      <c r="B79" s="116">
        <v>3</v>
      </c>
      <c r="C79" s="81" t="s">
        <v>128</v>
      </c>
      <c r="D79" s="111" t="s">
        <v>240</v>
      </c>
      <c r="E79" s="81" t="s">
        <v>106</v>
      </c>
      <c r="F79" s="52">
        <v>5.42</v>
      </c>
      <c r="G79" s="52">
        <f t="shared" si="10"/>
        <v>6.39</v>
      </c>
      <c r="H79" s="110"/>
      <c r="I79" s="81">
        <f>VLOOKUP(C79,Recipes!$A$2:$N$4,10,FALSE())</f>
        <v>10.940000000000001</v>
      </c>
      <c r="J79" s="81">
        <f>VLOOKUP(C79,Recipes!$A$2:$N$4,12,FALSE())</f>
        <v>5.2703573566378441E-2</v>
      </c>
      <c r="K79" s="81">
        <f t="shared" si="11"/>
        <v>10.755537492517677</v>
      </c>
      <c r="L79" s="81">
        <f t="shared" si="12"/>
        <v>11.124462507482326</v>
      </c>
      <c r="M79" s="81" t="str">
        <f t="shared" si="13"/>
        <v>NG</v>
      </c>
      <c r="N79" s="117">
        <f t="shared" si="14"/>
        <v>1</v>
      </c>
      <c r="O79" s="81">
        <f t="shared" si="15"/>
        <v>4.5500000000000016</v>
      </c>
      <c r="P79" s="81">
        <f>IF(G79="","",ABS(O79-Components!$C$2))</f>
        <v>1.7966666666666717</v>
      </c>
      <c r="Q79" s="81">
        <f>IF(G79="","",ABS(O79-Components!$C$3))</f>
        <v>0.51400000000000201</v>
      </c>
      <c r="R79" s="81">
        <f>IF(G79="","",ABS(O79-Components!$C$4))</f>
        <v>3.5566666666666684</v>
      </c>
      <c r="S79" s="81">
        <f>IF(G79="","",ABS(O79-Components!$C$5))</f>
        <v>1.2666666666668824E-2</v>
      </c>
      <c r="T79" s="81">
        <f>IF(G79="","",ABS(O79-Components!$C$6))</f>
        <v>3.3943333333333316</v>
      </c>
      <c r="U79" s="81">
        <f>IF(G79="","",ABS(O79-Components!$C$7))</f>
        <v>3.1756666666666717</v>
      </c>
      <c r="V79" s="81" t="str">
        <f>IF(G79="","",IF(M79="OK","NONE",INDEX({"S1","S2","W1","W2","N1","N2"},MATCH(MIN(P79:U79),P79:U79,0))))</f>
        <v>W2</v>
      </c>
      <c r="W79" s="117">
        <f t="shared" si="16"/>
        <v>1</v>
      </c>
      <c r="X79" s="58"/>
    </row>
    <row r="80" spans="1:24">
      <c r="A80" s="115">
        <v>78</v>
      </c>
      <c r="B80" s="116">
        <v>3</v>
      </c>
      <c r="C80" s="81" t="s">
        <v>128</v>
      </c>
      <c r="D80" s="111" t="s">
        <v>240</v>
      </c>
      <c r="E80" s="81" t="s">
        <v>106</v>
      </c>
      <c r="F80" s="52">
        <v>5.39</v>
      </c>
      <c r="G80" s="52">
        <f t="shared" si="10"/>
        <v>6.3599999999999994</v>
      </c>
      <c r="H80" s="110"/>
      <c r="I80" s="81">
        <f>VLOOKUP(C80,Recipes!$A$2:$N$4,10,FALSE())</f>
        <v>10.940000000000001</v>
      </c>
      <c r="J80" s="81">
        <f>VLOOKUP(C80,Recipes!$A$2:$N$4,12,FALSE())</f>
        <v>5.2703573566378441E-2</v>
      </c>
      <c r="K80" s="81">
        <f t="shared" si="11"/>
        <v>10.755537492517677</v>
      </c>
      <c r="L80" s="81">
        <f t="shared" si="12"/>
        <v>11.124462507482326</v>
      </c>
      <c r="M80" s="81" t="str">
        <f t="shared" si="13"/>
        <v>NG</v>
      </c>
      <c r="N80" s="117">
        <f t="shared" si="14"/>
        <v>1</v>
      </c>
      <c r="O80" s="81">
        <f t="shared" si="15"/>
        <v>4.5800000000000018</v>
      </c>
      <c r="P80" s="81">
        <f>IF(G80="","",ABS(O80-Components!$C$2))</f>
        <v>1.826666666666672</v>
      </c>
      <c r="Q80" s="81">
        <f>IF(G80="","",ABS(O80-Components!$C$3))</f>
        <v>0.54400000000000226</v>
      </c>
      <c r="R80" s="81">
        <f>IF(G80="","",ABS(O80-Components!$C$4))</f>
        <v>3.5866666666666687</v>
      </c>
      <c r="S80" s="81">
        <f>IF(G80="","",ABS(O80-Components!$C$5))</f>
        <v>1.7333333333331424E-2</v>
      </c>
      <c r="T80" s="81">
        <f>IF(G80="","",ABS(O80-Components!$C$6))</f>
        <v>3.4243333333333319</v>
      </c>
      <c r="U80" s="81">
        <f>IF(G80="","",ABS(O80-Components!$C$7))</f>
        <v>3.205666666666672</v>
      </c>
      <c r="V80" s="81" t="str">
        <f>IF(G80="","",IF(M80="OK","NONE",INDEX({"S1","S2","W1","W2","N1","N2"},MATCH(MIN(P80:U80),P80:U80,0))))</f>
        <v>W2</v>
      </c>
      <c r="W80" s="117">
        <f t="shared" si="16"/>
        <v>1</v>
      </c>
      <c r="X80" s="58"/>
    </row>
    <row r="81" spans="1:24">
      <c r="A81" s="115">
        <v>79</v>
      </c>
      <c r="B81" s="116">
        <v>3</v>
      </c>
      <c r="C81" s="81" t="s">
        <v>128</v>
      </c>
      <c r="D81" s="111" t="s">
        <v>240</v>
      </c>
      <c r="E81" s="81" t="s">
        <v>106</v>
      </c>
      <c r="F81" s="52">
        <v>5.41</v>
      </c>
      <c r="G81" s="52">
        <f t="shared" si="10"/>
        <v>6.38</v>
      </c>
      <c r="H81" s="110"/>
      <c r="I81" s="81">
        <f>VLOOKUP(C81,Recipes!$A$2:$N$4,10,FALSE())</f>
        <v>10.940000000000001</v>
      </c>
      <c r="J81" s="81">
        <f>VLOOKUP(C81,Recipes!$A$2:$N$4,12,FALSE())</f>
        <v>5.2703573566378441E-2</v>
      </c>
      <c r="K81" s="81">
        <f t="shared" si="11"/>
        <v>10.755537492517677</v>
      </c>
      <c r="L81" s="81">
        <f t="shared" si="12"/>
        <v>11.124462507482326</v>
      </c>
      <c r="M81" s="81" t="str">
        <f t="shared" si="13"/>
        <v>NG</v>
      </c>
      <c r="N81" s="117">
        <f t="shared" si="14"/>
        <v>1</v>
      </c>
      <c r="O81" s="81">
        <f t="shared" si="15"/>
        <v>4.5600000000000014</v>
      </c>
      <c r="P81" s="81">
        <f>IF(G81="","",ABS(O81-Components!$C$2))</f>
        <v>1.8066666666666715</v>
      </c>
      <c r="Q81" s="81">
        <f>IF(G81="","",ABS(O81-Components!$C$3))</f>
        <v>0.5240000000000018</v>
      </c>
      <c r="R81" s="81">
        <f>IF(G81="","",ABS(O81-Components!$C$4))</f>
        <v>3.5666666666666682</v>
      </c>
      <c r="S81" s="81">
        <f>IF(G81="","",ABS(O81-Components!$C$5))</f>
        <v>2.6666666666690375E-3</v>
      </c>
      <c r="T81" s="81">
        <f>IF(G81="","",ABS(O81-Components!$C$6))</f>
        <v>3.4043333333333314</v>
      </c>
      <c r="U81" s="81">
        <f>IF(G81="","",ABS(O81-Components!$C$7))</f>
        <v>3.1856666666666715</v>
      </c>
      <c r="V81" s="81" t="str">
        <f>IF(G81="","",IF(M81="OK","NONE",INDEX({"S1","S2","W1","W2","N1","N2"},MATCH(MIN(P81:U81),P81:U81,0))))</f>
        <v>W2</v>
      </c>
      <c r="W81" s="117">
        <f t="shared" si="16"/>
        <v>1</v>
      </c>
      <c r="X81" s="58"/>
    </row>
    <row r="82" spans="1:24">
      <c r="A82" s="115">
        <v>80</v>
      </c>
      <c r="B82" s="116">
        <v>3</v>
      </c>
      <c r="C82" s="81" t="s">
        <v>128</v>
      </c>
      <c r="D82" s="111" t="s">
        <v>240</v>
      </c>
      <c r="E82" s="81" t="s">
        <v>106</v>
      </c>
      <c r="F82" s="52">
        <v>5.32</v>
      </c>
      <c r="G82" s="52">
        <f t="shared" si="10"/>
        <v>6.29</v>
      </c>
      <c r="H82" s="110"/>
      <c r="I82" s="81">
        <f>VLOOKUP(C82,Recipes!$A$2:$N$4,10,FALSE())</f>
        <v>10.940000000000001</v>
      </c>
      <c r="J82" s="81">
        <f>VLOOKUP(C82,Recipes!$A$2:$N$4,12,FALSE())</f>
        <v>5.2703573566378441E-2</v>
      </c>
      <c r="K82" s="81">
        <f t="shared" si="11"/>
        <v>10.755537492517677</v>
      </c>
      <c r="L82" s="81">
        <f t="shared" si="12"/>
        <v>11.124462507482326</v>
      </c>
      <c r="M82" s="81" t="str">
        <f t="shared" si="13"/>
        <v>NG</v>
      </c>
      <c r="N82" s="117">
        <f t="shared" si="14"/>
        <v>1</v>
      </c>
      <c r="O82" s="81">
        <f t="shared" si="15"/>
        <v>4.6500000000000012</v>
      </c>
      <c r="P82" s="81">
        <f>IF(G82="","",ABS(O82-Components!$C$2))</f>
        <v>1.8966666666666714</v>
      </c>
      <c r="Q82" s="81">
        <f>IF(G82="","",ABS(O82-Components!$C$3))</f>
        <v>0.61400000000000166</v>
      </c>
      <c r="R82" s="81">
        <f>IF(G82="","",ABS(O82-Components!$C$4))</f>
        <v>3.6566666666666681</v>
      </c>
      <c r="S82" s="81">
        <f>IF(G82="","",ABS(O82-Components!$C$5))</f>
        <v>8.733333333333082E-2</v>
      </c>
      <c r="T82" s="81">
        <f>IF(G82="","",ABS(O82-Components!$C$6))</f>
        <v>3.4943333333333313</v>
      </c>
      <c r="U82" s="81">
        <f>IF(G82="","",ABS(O82-Components!$C$7))</f>
        <v>3.2756666666666714</v>
      </c>
      <c r="V82" s="81" t="str">
        <f>IF(G82="","",IF(M82="OK","NONE",INDEX({"S1","S2","W1","W2","N1","N2"},MATCH(MIN(P82:U82),P82:U82,0))))</f>
        <v>W2</v>
      </c>
      <c r="W82" s="117">
        <f t="shared" si="16"/>
        <v>1</v>
      </c>
      <c r="X82" s="58"/>
    </row>
    <row r="83" spans="1:24">
      <c r="A83" s="115">
        <v>81</v>
      </c>
      <c r="B83" s="116">
        <v>3</v>
      </c>
      <c r="C83" s="81" t="s">
        <v>128</v>
      </c>
      <c r="D83" s="111" t="s">
        <v>240</v>
      </c>
      <c r="E83" s="81" t="s">
        <v>106</v>
      </c>
      <c r="F83" s="52">
        <v>5.36</v>
      </c>
      <c r="G83" s="52">
        <f t="shared" si="10"/>
        <v>6.33</v>
      </c>
      <c r="H83" s="110"/>
      <c r="I83" s="81">
        <f>VLOOKUP(C83,Recipes!$A$2:$N$4,10,FALSE())</f>
        <v>10.940000000000001</v>
      </c>
      <c r="J83" s="81">
        <f>VLOOKUP(C83,Recipes!$A$2:$N$4,12,FALSE())</f>
        <v>5.2703573566378441E-2</v>
      </c>
      <c r="K83" s="81">
        <f t="shared" si="11"/>
        <v>10.755537492517677</v>
      </c>
      <c r="L83" s="81">
        <f t="shared" si="12"/>
        <v>11.124462507482326</v>
      </c>
      <c r="M83" s="81" t="str">
        <f t="shared" si="13"/>
        <v>NG</v>
      </c>
      <c r="N83" s="117">
        <f t="shared" si="14"/>
        <v>1</v>
      </c>
      <c r="O83" s="81">
        <f t="shared" si="15"/>
        <v>4.6100000000000012</v>
      </c>
      <c r="P83" s="81">
        <f>IF(G83="","",ABS(O83-Components!$C$2))</f>
        <v>1.8566666666666714</v>
      </c>
      <c r="Q83" s="81">
        <f>IF(G83="","",ABS(O83-Components!$C$3))</f>
        <v>0.57400000000000162</v>
      </c>
      <c r="R83" s="81">
        <f>IF(G83="","",ABS(O83-Components!$C$4))</f>
        <v>3.616666666666668</v>
      </c>
      <c r="S83" s="81">
        <f>IF(G83="","",ABS(O83-Components!$C$5))</f>
        <v>4.7333333333330785E-2</v>
      </c>
      <c r="T83" s="81">
        <f>IF(G83="","",ABS(O83-Components!$C$6))</f>
        <v>3.4543333333333313</v>
      </c>
      <c r="U83" s="81">
        <f>IF(G83="","",ABS(O83-Components!$C$7))</f>
        <v>3.2356666666666714</v>
      </c>
      <c r="V83" s="81" t="str">
        <f>IF(G83="","",IF(M83="OK","NONE",INDEX({"S1","S2","W1","W2","N1","N2"},MATCH(MIN(P83:U83),P83:U83,0))))</f>
        <v>W2</v>
      </c>
      <c r="W83" s="117">
        <f t="shared" si="16"/>
        <v>1</v>
      </c>
      <c r="X83" s="58"/>
    </row>
    <row r="84" spans="1:24">
      <c r="A84" s="115">
        <v>82</v>
      </c>
      <c r="B84" s="116">
        <v>3</v>
      </c>
      <c r="C84" s="81" t="s">
        <v>128</v>
      </c>
      <c r="D84" s="111" t="s">
        <v>240</v>
      </c>
      <c r="E84" s="81" t="s">
        <v>106</v>
      </c>
      <c r="F84" s="52">
        <v>5.42</v>
      </c>
      <c r="G84" s="52">
        <f t="shared" si="10"/>
        <v>6.39</v>
      </c>
      <c r="H84" s="110"/>
      <c r="I84" s="81">
        <f>VLOOKUP(C84,Recipes!$A$2:$N$4,10,FALSE())</f>
        <v>10.940000000000001</v>
      </c>
      <c r="J84" s="81">
        <f>VLOOKUP(C84,Recipes!$A$2:$N$4,12,FALSE())</f>
        <v>5.2703573566378441E-2</v>
      </c>
      <c r="K84" s="81">
        <f t="shared" si="11"/>
        <v>10.755537492517677</v>
      </c>
      <c r="L84" s="81">
        <f t="shared" si="12"/>
        <v>11.124462507482326</v>
      </c>
      <c r="M84" s="81" t="str">
        <f t="shared" si="13"/>
        <v>NG</v>
      </c>
      <c r="N84" s="117">
        <f t="shared" si="14"/>
        <v>1</v>
      </c>
      <c r="O84" s="81">
        <f t="shared" si="15"/>
        <v>4.5500000000000016</v>
      </c>
      <c r="P84" s="81">
        <f>IF(G84="","",ABS(O84-Components!$C$2))</f>
        <v>1.7966666666666717</v>
      </c>
      <c r="Q84" s="81">
        <f>IF(G84="","",ABS(O84-Components!$C$3))</f>
        <v>0.51400000000000201</v>
      </c>
      <c r="R84" s="81">
        <f>IF(G84="","",ABS(O84-Components!$C$4))</f>
        <v>3.5566666666666684</v>
      </c>
      <c r="S84" s="81">
        <f>IF(G84="","",ABS(O84-Components!$C$5))</f>
        <v>1.2666666666668824E-2</v>
      </c>
      <c r="T84" s="81">
        <f>IF(G84="","",ABS(O84-Components!$C$6))</f>
        <v>3.3943333333333316</v>
      </c>
      <c r="U84" s="81">
        <f>IF(G84="","",ABS(O84-Components!$C$7))</f>
        <v>3.1756666666666717</v>
      </c>
      <c r="V84" s="81" t="str">
        <f>IF(G84="","",IF(M84="OK","NONE",INDEX({"S1","S2","W1","W2","N1","N2"},MATCH(MIN(P84:U84),P84:U84,0))))</f>
        <v>W2</v>
      </c>
      <c r="W84" s="117">
        <f t="shared" si="16"/>
        <v>1</v>
      </c>
      <c r="X84" s="58"/>
    </row>
    <row r="85" spans="1:24">
      <c r="A85" s="115">
        <v>83</v>
      </c>
      <c r="B85" s="116">
        <v>3</v>
      </c>
      <c r="C85" s="81" t="s">
        <v>128</v>
      </c>
      <c r="D85" s="111" t="s">
        <v>240</v>
      </c>
      <c r="E85" s="81" t="s">
        <v>106</v>
      </c>
      <c r="F85" s="52">
        <v>5.37</v>
      </c>
      <c r="G85" s="52">
        <f t="shared" si="10"/>
        <v>6.34</v>
      </c>
      <c r="H85" s="110"/>
      <c r="I85" s="81">
        <f>VLOOKUP(C85,Recipes!$A$2:$N$4,10,FALSE())</f>
        <v>10.940000000000001</v>
      </c>
      <c r="J85" s="81">
        <f>VLOOKUP(C85,Recipes!$A$2:$N$4,12,FALSE())</f>
        <v>5.2703573566378441E-2</v>
      </c>
      <c r="K85" s="81">
        <f t="shared" si="11"/>
        <v>10.755537492517677</v>
      </c>
      <c r="L85" s="81">
        <f t="shared" si="12"/>
        <v>11.124462507482326</v>
      </c>
      <c r="M85" s="81" t="str">
        <f t="shared" si="13"/>
        <v>NG</v>
      </c>
      <c r="N85" s="117">
        <f t="shared" si="14"/>
        <v>1</v>
      </c>
      <c r="O85" s="81">
        <f t="shared" si="15"/>
        <v>4.6000000000000014</v>
      </c>
      <c r="P85" s="81">
        <f>IF(G85="","",ABS(O85-Components!$C$2))</f>
        <v>1.8466666666666716</v>
      </c>
      <c r="Q85" s="81">
        <f>IF(G85="","",ABS(O85-Components!$C$3))</f>
        <v>0.56400000000000183</v>
      </c>
      <c r="R85" s="81">
        <f>IF(G85="","",ABS(O85-Components!$C$4))</f>
        <v>3.6066666666666682</v>
      </c>
      <c r="S85" s="81">
        <f>IF(G85="","",ABS(O85-Components!$C$5))</f>
        <v>3.7333333333330998E-2</v>
      </c>
      <c r="T85" s="81">
        <f>IF(G85="","",ABS(O85-Components!$C$6))</f>
        <v>3.4443333333333315</v>
      </c>
      <c r="U85" s="81">
        <f>IF(G85="","",ABS(O85-Components!$C$7))</f>
        <v>3.2256666666666716</v>
      </c>
      <c r="V85" s="81" t="str">
        <f>IF(G85="","",IF(M85="OK","NONE",INDEX({"S1","S2","W1","W2","N1","N2"},MATCH(MIN(P85:U85),P85:U85,0))))</f>
        <v>W2</v>
      </c>
      <c r="W85" s="117">
        <f t="shared" si="16"/>
        <v>1</v>
      </c>
      <c r="X85" s="58"/>
    </row>
    <row r="86" spans="1:24">
      <c r="A86" s="115">
        <v>84</v>
      </c>
      <c r="B86" s="116">
        <v>3</v>
      </c>
      <c r="C86" s="81" t="s">
        <v>128</v>
      </c>
      <c r="D86" s="111" t="s">
        <v>240</v>
      </c>
      <c r="E86" s="81" t="s">
        <v>106</v>
      </c>
      <c r="F86" s="52">
        <v>5.4</v>
      </c>
      <c r="G86" s="52">
        <f t="shared" si="10"/>
        <v>6.37</v>
      </c>
      <c r="H86" s="110"/>
      <c r="I86" s="81">
        <f>VLOOKUP(C86,Recipes!$A$2:$N$4,10,FALSE())</f>
        <v>10.940000000000001</v>
      </c>
      <c r="J86" s="81">
        <f>VLOOKUP(C86,Recipes!$A$2:$N$4,12,FALSE())</f>
        <v>5.2703573566378441E-2</v>
      </c>
      <c r="K86" s="81">
        <f t="shared" si="11"/>
        <v>10.755537492517677</v>
      </c>
      <c r="L86" s="81">
        <f t="shared" si="12"/>
        <v>11.124462507482326</v>
      </c>
      <c r="M86" s="81" t="str">
        <f t="shared" si="13"/>
        <v>NG</v>
      </c>
      <c r="N86" s="117">
        <f t="shared" si="14"/>
        <v>1</v>
      </c>
      <c r="O86" s="81">
        <f t="shared" si="15"/>
        <v>4.5700000000000012</v>
      </c>
      <c r="P86" s="81">
        <f>IF(G86="","",ABS(O86-Components!$C$2))</f>
        <v>1.8166666666666713</v>
      </c>
      <c r="Q86" s="81">
        <f>IF(G86="","",ABS(O86-Components!$C$3))</f>
        <v>0.53400000000000158</v>
      </c>
      <c r="R86" s="81">
        <f>IF(G86="","",ABS(O86-Components!$C$4))</f>
        <v>3.576666666666668</v>
      </c>
      <c r="S86" s="81">
        <f>IF(G86="","",ABS(O86-Components!$C$5))</f>
        <v>7.3333333333307493E-3</v>
      </c>
      <c r="T86" s="81">
        <f>IF(G86="","",ABS(O86-Components!$C$6))</f>
        <v>3.4143333333333312</v>
      </c>
      <c r="U86" s="81">
        <f>IF(G86="","",ABS(O86-Components!$C$7))</f>
        <v>3.1956666666666713</v>
      </c>
      <c r="V86" s="81" t="str">
        <f>IF(G86="","",IF(M86="OK","NONE",INDEX({"S1","S2","W1","W2","N1","N2"},MATCH(MIN(P86:U86),P86:U86,0))))</f>
        <v>W2</v>
      </c>
      <c r="W86" s="117">
        <f t="shared" si="16"/>
        <v>1</v>
      </c>
      <c r="X86" s="58"/>
    </row>
    <row r="87" spans="1:24">
      <c r="A87" s="115">
        <v>85</v>
      </c>
      <c r="B87" s="116">
        <v>3</v>
      </c>
      <c r="C87" s="81" t="s">
        <v>128</v>
      </c>
      <c r="D87" s="111" t="s">
        <v>240</v>
      </c>
      <c r="E87" s="81" t="s">
        <v>106</v>
      </c>
      <c r="F87" s="52">
        <v>5.35</v>
      </c>
      <c r="G87" s="52">
        <f t="shared" si="10"/>
        <v>6.3199999999999994</v>
      </c>
      <c r="H87" s="110"/>
      <c r="I87" s="81">
        <f>VLOOKUP(C87,Recipes!$A$2:$N$4,10,FALSE())</f>
        <v>10.940000000000001</v>
      </c>
      <c r="J87" s="81">
        <f>VLOOKUP(C87,Recipes!$A$2:$N$4,12,FALSE())</f>
        <v>5.2703573566378441E-2</v>
      </c>
      <c r="K87" s="81">
        <f t="shared" si="11"/>
        <v>10.755537492517677</v>
      </c>
      <c r="L87" s="81">
        <f t="shared" si="12"/>
        <v>11.124462507482326</v>
      </c>
      <c r="M87" s="81" t="str">
        <f t="shared" si="13"/>
        <v>NG</v>
      </c>
      <c r="N87" s="117">
        <f t="shared" si="14"/>
        <v>1</v>
      </c>
      <c r="O87" s="81">
        <f t="shared" si="15"/>
        <v>4.6200000000000019</v>
      </c>
      <c r="P87" s="81">
        <f>IF(G87="","",ABS(O87-Components!$C$2))</f>
        <v>1.866666666666672</v>
      </c>
      <c r="Q87" s="81">
        <f>IF(G87="","",ABS(O87-Components!$C$3))</f>
        <v>0.5840000000000023</v>
      </c>
      <c r="R87" s="81">
        <f>IF(G87="","",ABS(O87-Components!$C$4))</f>
        <v>3.6266666666666687</v>
      </c>
      <c r="S87" s="81">
        <f>IF(G87="","",ABS(O87-Components!$C$5))</f>
        <v>5.733333333333146E-2</v>
      </c>
      <c r="T87" s="81">
        <f>IF(G87="","",ABS(O87-Components!$C$6))</f>
        <v>3.4643333333333319</v>
      </c>
      <c r="U87" s="81">
        <f>IF(G87="","",ABS(O87-Components!$C$7))</f>
        <v>3.245666666666672</v>
      </c>
      <c r="V87" s="81" t="str">
        <f>IF(G87="","",IF(M87="OK","NONE",INDEX({"S1","S2","W1","W2","N1","N2"},MATCH(MIN(P87:U87),P87:U87,0))))</f>
        <v>W2</v>
      </c>
      <c r="W87" s="117">
        <f t="shared" si="16"/>
        <v>1</v>
      </c>
      <c r="X87" s="58"/>
    </row>
    <row r="88" spans="1:24">
      <c r="A88" s="115">
        <v>86</v>
      </c>
      <c r="B88" s="116">
        <v>3</v>
      </c>
      <c r="C88" s="81" t="s">
        <v>128</v>
      </c>
      <c r="D88" s="111" t="s">
        <v>240</v>
      </c>
      <c r="E88" s="81" t="s">
        <v>106</v>
      </c>
      <c r="F88" s="52">
        <v>5.38</v>
      </c>
      <c r="G88" s="52">
        <f t="shared" si="10"/>
        <v>6.35</v>
      </c>
      <c r="H88" s="110"/>
      <c r="I88" s="81">
        <f>VLOOKUP(C88,Recipes!$A$2:$N$4,10,FALSE())</f>
        <v>10.940000000000001</v>
      </c>
      <c r="J88" s="81">
        <f>VLOOKUP(C88,Recipes!$A$2:$N$4,12,FALSE())</f>
        <v>5.2703573566378441E-2</v>
      </c>
      <c r="K88" s="81">
        <f t="shared" si="11"/>
        <v>10.755537492517677</v>
      </c>
      <c r="L88" s="81">
        <f t="shared" si="12"/>
        <v>11.124462507482326</v>
      </c>
      <c r="M88" s="81" t="str">
        <f t="shared" si="13"/>
        <v>NG</v>
      </c>
      <c r="N88" s="117">
        <f t="shared" si="14"/>
        <v>1</v>
      </c>
      <c r="O88" s="81">
        <f t="shared" si="15"/>
        <v>4.5900000000000016</v>
      </c>
      <c r="P88" s="81">
        <f>IF(G88="","",ABS(O88-Components!$C$2))</f>
        <v>1.8366666666666718</v>
      </c>
      <c r="Q88" s="81">
        <f>IF(G88="","",ABS(O88-Components!$C$3))</f>
        <v>0.55400000000000205</v>
      </c>
      <c r="R88" s="81">
        <f>IF(G88="","",ABS(O88-Components!$C$4))</f>
        <v>3.5966666666666685</v>
      </c>
      <c r="S88" s="81">
        <f>IF(G88="","",ABS(O88-Components!$C$5))</f>
        <v>2.7333333333331211E-2</v>
      </c>
      <c r="T88" s="81">
        <f>IF(G88="","",ABS(O88-Components!$C$6))</f>
        <v>3.4343333333333317</v>
      </c>
      <c r="U88" s="81">
        <f>IF(G88="","",ABS(O88-Components!$C$7))</f>
        <v>3.2156666666666718</v>
      </c>
      <c r="V88" s="81" t="str">
        <f>IF(G88="","",IF(M88="OK","NONE",INDEX({"S1","S2","W1","W2","N1","N2"},MATCH(MIN(P88:U88),P88:U88,0))))</f>
        <v>W2</v>
      </c>
      <c r="W88" s="117">
        <f t="shared" si="16"/>
        <v>1</v>
      </c>
      <c r="X88" s="58"/>
    </row>
    <row r="89" spans="1:24">
      <c r="A89" s="115">
        <v>87</v>
      </c>
      <c r="B89" s="116">
        <v>3</v>
      </c>
      <c r="C89" s="81" t="s">
        <v>128</v>
      </c>
      <c r="D89" s="111" t="s">
        <v>240</v>
      </c>
      <c r="E89" s="81" t="s">
        <v>106</v>
      </c>
      <c r="F89" s="52">
        <v>5.34</v>
      </c>
      <c r="G89" s="52">
        <f t="shared" si="10"/>
        <v>6.31</v>
      </c>
      <c r="H89" s="110"/>
      <c r="I89" s="81">
        <f>VLOOKUP(C89,Recipes!$A$2:$N$4,10,FALSE())</f>
        <v>10.940000000000001</v>
      </c>
      <c r="J89" s="81">
        <f>VLOOKUP(C89,Recipes!$A$2:$N$4,12,FALSE())</f>
        <v>5.2703573566378441E-2</v>
      </c>
      <c r="K89" s="81">
        <f t="shared" si="11"/>
        <v>10.755537492517677</v>
      </c>
      <c r="L89" s="81">
        <f t="shared" si="12"/>
        <v>11.124462507482326</v>
      </c>
      <c r="M89" s="81" t="str">
        <f t="shared" si="13"/>
        <v>NG</v>
      </c>
      <c r="N89" s="117">
        <f t="shared" si="14"/>
        <v>1</v>
      </c>
      <c r="O89" s="81">
        <f t="shared" si="15"/>
        <v>4.6300000000000017</v>
      </c>
      <c r="P89" s="81">
        <f>IF(G89="","",ABS(O89-Components!$C$2))</f>
        <v>1.8766666666666718</v>
      </c>
      <c r="Q89" s="81">
        <f>IF(G89="","",ABS(O89-Components!$C$3))</f>
        <v>0.59400000000000208</v>
      </c>
      <c r="R89" s="81">
        <f>IF(G89="","",ABS(O89-Components!$C$4))</f>
        <v>3.6366666666666685</v>
      </c>
      <c r="S89" s="81">
        <f>IF(G89="","",ABS(O89-Components!$C$5))</f>
        <v>6.7333333333331247E-2</v>
      </c>
      <c r="T89" s="81">
        <f>IF(G89="","",ABS(O89-Components!$C$6))</f>
        <v>3.4743333333333317</v>
      </c>
      <c r="U89" s="81">
        <f>IF(G89="","",ABS(O89-Components!$C$7))</f>
        <v>3.2556666666666718</v>
      </c>
      <c r="V89" s="81" t="str">
        <f>IF(G89="","",IF(M89="OK","NONE",INDEX({"S1","S2","W1","W2","N1","N2"},MATCH(MIN(P89:U89),P89:U89,0))))</f>
        <v>W2</v>
      </c>
      <c r="W89" s="117">
        <f t="shared" si="16"/>
        <v>1</v>
      </c>
      <c r="X89" s="58"/>
    </row>
    <row r="90" spans="1:24">
      <c r="A90" s="115">
        <v>88</v>
      </c>
      <c r="B90" s="116">
        <v>3</v>
      </c>
      <c r="C90" s="81" t="s">
        <v>128</v>
      </c>
      <c r="D90" s="111" t="s">
        <v>240</v>
      </c>
      <c r="E90" s="81" t="s">
        <v>106</v>
      </c>
      <c r="F90" s="52">
        <v>5.42</v>
      </c>
      <c r="G90" s="52">
        <f t="shared" si="10"/>
        <v>6.39</v>
      </c>
      <c r="H90" s="110"/>
      <c r="I90" s="81">
        <f>VLOOKUP(C90,Recipes!$A$2:$N$4,10,FALSE())</f>
        <v>10.940000000000001</v>
      </c>
      <c r="J90" s="81">
        <f>VLOOKUP(C90,Recipes!$A$2:$N$4,12,FALSE())</f>
        <v>5.2703573566378441E-2</v>
      </c>
      <c r="K90" s="81">
        <f t="shared" si="11"/>
        <v>10.755537492517677</v>
      </c>
      <c r="L90" s="81">
        <f t="shared" si="12"/>
        <v>11.124462507482326</v>
      </c>
      <c r="M90" s="81" t="str">
        <f t="shared" si="13"/>
        <v>NG</v>
      </c>
      <c r="N90" s="117">
        <f t="shared" si="14"/>
        <v>1</v>
      </c>
      <c r="O90" s="81">
        <f t="shared" si="15"/>
        <v>4.5500000000000016</v>
      </c>
      <c r="P90" s="81">
        <f>IF(G90="","",ABS(O90-Components!$C$2))</f>
        <v>1.7966666666666717</v>
      </c>
      <c r="Q90" s="81">
        <f>IF(G90="","",ABS(O90-Components!$C$3))</f>
        <v>0.51400000000000201</v>
      </c>
      <c r="R90" s="81">
        <f>IF(G90="","",ABS(O90-Components!$C$4))</f>
        <v>3.5566666666666684</v>
      </c>
      <c r="S90" s="81">
        <f>IF(G90="","",ABS(O90-Components!$C$5))</f>
        <v>1.2666666666668824E-2</v>
      </c>
      <c r="T90" s="81">
        <f>IF(G90="","",ABS(O90-Components!$C$6))</f>
        <v>3.3943333333333316</v>
      </c>
      <c r="U90" s="81">
        <f>IF(G90="","",ABS(O90-Components!$C$7))</f>
        <v>3.1756666666666717</v>
      </c>
      <c r="V90" s="81" t="str">
        <f>IF(G90="","",IF(M90="OK","NONE",INDEX({"S1","S2","W1","W2","N1","N2"},MATCH(MIN(P90:U90),P90:U90,0))))</f>
        <v>W2</v>
      </c>
      <c r="W90" s="117">
        <f t="shared" si="16"/>
        <v>1</v>
      </c>
      <c r="X90" s="58"/>
    </row>
    <row r="91" spans="1:24">
      <c r="A91" s="115">
        <v>89</v>
      </c>
      <c r="B91" s="116">
        <v>3</v>
      </c>
      <c r="C91" s="81" t="s">
        <v>128</v>
      </c>
      <c r="D91" s="111" t="s">
        <v>240</v>
      </c>
      <c r="E91" s="81" t="s">
        <v>106</v>
      </c>
      <c r="F91" s="52">
        <v>5.4</v>
      </c>
      <c r="G91" s="52">
        <f t="shared" si="10"/>
        <v>6.37</v>
      </c>
      <c r="H91" s="110"/>
      <c r="I91" s="81">
        <f>VLOOKUP(C91,Recipes!$A$2:$N$4,10,FALSE())</f>
        <v>10.940000000000001</v>
      </c>
      <c r="J91" s="81">
        <f>VLOOKUP(C91,Recipes!$A$2:$N$4,12,FALSE())</f>
        <v>5.2703573566378441E-2</v>
      </c>
      <c r="K91" s="81">
        <f t="shared" si="11"/>
        <v>10.755537492517677</v>
      </c>
      <c r="L91" s="81">
        <f t="shared" si="12"/>
        <v>11.124462507482326</v>
      </c>
      <c r="M91" s="81" t="str">
        <f t="shared" si="13"/>
        <v>NG</v>
      </c>
      <c r="N91" s="117">
        <f t="shared" si="14"/>
        <v>1</v>
      </c>
      <c r="O91" s="81">
        <f t="shared" si="15"/>
        <v>4.5700000000000012</v>
      </c>
      <c r="P91" s="81">
        <f>IF(G91="","",ABS(O91-Components!$C$2))</f>
        <v>1.8166666666666713</v>
      </c>
      <c r="Q91" s="81">
        <f>IF(G91="","",ABS(O91-Components!$C$3))</f>
        <v>0.53400000000000158</v>
      </c>
      <c r="R91" s="81">
        <f>IF(G91="","",ABS(O91-Components!$C$4))</f>
        <v>3.576666666666668</v>
      </c>
      <c r="S91" s="81">
        <f>IF(G91="","",ABS(O91-Components!$C$5))</f>
        <v>7.3333333333307493E-3</v>
      </c>
      <c r="T91" s="81">
        <f>IF(G91="","",ABS(O91-Components!$C$6))</f>
        <v>3.4143333333333312</v>
      </c>
      <c r="U91" s="81">
        <f>IF(G91="","",ABS(O91-Components!$C$7))</f>
        <v>3.1956666666666713</v>
      </c>
      <c r="V91" s="81" t="str">
        <f>IF(G91="","",IF(M91="OK","NONE",INDEX({"S1","S2","W1","W2","N1","N2"},MATCH(MIN(P91:U91),P91:U91,0))))</f>
        <v>W2</v>
      </c>
      <c r="W91" s="117">
        <f t="shared" si="16"/>
        <v>1</v>
      </c>
      <c r="X91" s="58"/>
    </row>
    <row r="92" spans="1:24">
      <c r="A92" s="115">
        <v>90</v>
      </c>
      <c r="B92" s="116">
        <v>3</v>
      </c>
      <c r="C92" s="81" t="s">
        <v>128</v>
      </c>
      <c r="D92" s="111" t="s">
        <v>240</v>
      </c>
      <c r="E92" s="81" t="s">
        <v>106</v>
      </c>
      <c r="F92" s="52">
        <v>5.42</v>
      </c>
      <c r="G92" s="52">
        <f t="shared" si="10"/>
        <v>6.39</v>
      </c>
      <c r="H92" s="110"/>
      <c r="I92" s="81">
        <f>VLOOKUP(C92,Recipes!$A$2:$N$4,10,FALSE())</f>
        <v>10.940000000000001</v>
      </c>
      <c r="J92" s="81">
        <f>VLOOKUP(C92,Recipes!$A$2:$N$4,12,FALSE())</f>
        <v>5.2703573566378441E-2</v>
      </c>
      <c r="K92" s="81">
        <f t="shared" si="11"/>
        <v>10.755537492517677</v>
      </c>
      <c r="L92" s="81">
        <f t="shared" si="12"/>
        <v>11.124462507482326</v>
      </c>
      <c r="M92" s="81" t="str">
        <f t="shared" si="13"/>
        <v>NG</v>
      </c>
      <c r="N92" s="117">
        <f t="shared" si="14"/>
        <v>1</v>
      </c>
      <c r="O92" s="81">
        <f t="shared" si="15"/>
        <v>4.5500000000000016</v>
      </c>
      <c r="P92" s="81">
        <f>IF(G92="","",ABS(O92-Components!$C$2))</f>
        <v>1.7966666666666717</v>
      </c>
      <c r="Q92" s="81">
        <f>IF(G92="","",ABS(O92-Components!$C$3))</f>
        <v>0.51400000000000201</v>
      </c>
      <c r="R92" s="81">
        <f>IF(G92="","",ABS(O92-Components!$C$4))</f>
        <v>3.5566666666666684</v>
      </c>
      <c r="S92" s="81">
        <f>IF(G92="","",ABS(O92-Components!$C$5))</f>
        <v>1.2666666666668824E-2</v>
      </c>
      <c r="T92" s="81">
        <f>IF(G92="","",ABS(O92-Components!$C$6))</f>
        <v>3.3943333333333316</v>
      </c>
      <c r="U92" s="81">
        <f>IF(G92="","",ABS(O92-Components!$C$7))</f>
        <v>3.1756666666666717</v>
      </c>
      <c r="V92" s="81" t="str">
        <f>IF(G92="","",IF(M92="OK","NONE",INDEX({"S1","S2","W1","W2","N1","N2"},MATCH(MIN(P92:U92),P92:U92,0))))</f>
        <v>W2</v>
      </c>
      <c r="W92" s="117">
        <f t="shared" si="16"/>
        <v>1</v>
      </c>
      <c r="X92" s="58"/>
    </row>
    <row r="93" spans="1:24">
      <c r="A93" s="115">
        <v>91</v>
      </c>
      <c r="B93" s="116">
        <v>4</v>
      </c>
      <c r="C93" s="81" t="s">
        <v>128</v>
      </c>
      <c r="D93" s="111" t="s">
        <v>240</v>
      </c>
      <c r="E93" s="81" t="s">
        <v>110</v>
      </c>
      <c r="F93" s="52">
        <v>8.61</v>
      </c>
      <c r="G93" s="52">
        <f t="shared" si="10"/>
        <v>9.58</v>
      </c>
      <c r="H93" s="110"/>
      <c r="I93" s="81">
        <f>VLOOKUP(C93,Recipes!$A$2:$N$4,10,FALSE())</f>
        <v>10.940000000000001</v>
      </c>
      <c r="J93" s="81">
        <f>VLOOKUP(C93,Recipes!$A$2:$N$4,12,FALSE())</f>
        <v>5.2703573566378441E-2</v>
      </c>
      <c r="K93" s="81">
        <f t="shared" si="11"/>
        <v>10.755537492517677</v>
      </c>
      <c r="L93" s="81">
        <f t="shared" si="12"/>
        <v>11.124462507482326</v>
      </c>
      <c r="M93" s="81" t="str">
        <f t="shared" si="13"/>
        <v>NG</v>
      </c>
      <c r="N93" s="117">
        <f t="shared" si="14"/>
        <v>1</v>
      </c>
      <c r="O93" s="81">
        <f t="shared" si="15"/>
        <v>1.3600000000000012</v>
      </c>
      <c r="P93" s="81">
        <f>IF(G93="","",ABS(O93-Components!$C$2))</f>
        <v>1.3933333333333286</v>
      </c>
      <c r="Q93" s="81">
        <f>IF(G93="","",ABS(O93-Components!$C$3))</f>
        <v>2.6759999999999984</v>
      </c>
      <c r="R93" s="81">
        <f>IF(G93="","",ABS(O93-Components!$C$4))</f>
        <v>0.36666666666666825</v>
      </c>
      <c r="S93" s="81">
        <f>IF(G93="","",ABS(O93-Components!$C$5))</f>
        <v>3.2026666666666692</v>
      </c>
      <c r="T93" s="81">
        <f>IF(G93="","",ABS(O93-Components!$C$6))</f>
        <v>0.20433333333333126</v>
      </c>
      <c r="U93" s="81">
        <f>IF(G93="","",ABS(O93-Components!$C$7))</f>
        <v>1.4333333333328868E-2</v>
      </c>
      <c r="V93" s="81" t="str">
        <f>IF(G93="","",IF(M93="OK","NONE",INDEX({"S1","S2","W1","W2","N1","N2"},MATCH(MIN(P93:U93),P93:U93,0))))</f>
        <v>N2</v>
      </c>
      <c r="W93" s="117">
        <f t="shared" si="16"/>
        <v>1</v>
      </c>
      <c r="X93" s="58"/>
    </row>
    <row r="94" spans="1:24">
      <c r="A94" s="115">
        <v>92</v>
      </c>
      <c r="B94" s="116">
        <v>4</v>
      </c>
      <c r="C94" s="81" t="s">
        <v>128</v>
      </c>
      <c r="D94" s="111" t="s">
        <v>240</v>
      </c>
      <c r="E94" s="81" t="s">
        <v>110</v>
      </c>
      <c r="F94" s="52">
        <v>8.6199999999999992</v>
      </c>
      <c r="G94" s="52">
        <f t="shared" si="10"/>
        <v>9.59</v>
      </c>
      <c r="H94" s="110"/>
      <c r="I94" s="81">
        <f>VLOOKUP(C94,Recipes!$A$2:$N$4,10,FALSE())</f>
        <v>10.940000000000001</v>
      </c>
      <c r="J94" s="81">
        <f>VLOOKUP(C94,Recipes!$A$2:$N$4,12,FALSE())</f>
        <v>5.2703573566378441E-2</v>
      </c>
      <c r="K94" s="81">
        <f t="shared" si="11"/>
        <v>10.755537492517677</v>
      </c>
      <c r="L94" s="81">
        <f t="shared" si="12"/>
        <v>11.124462507482326</v>
      </c>
      <c r="M94" s="81" t="str">
        <f t="shared" si="13"/>
        <v>NG</v>
      </c>
      <c r="N94" s="117">
        <f t="shared" si="14"/>
        <v>1</v>
      </c>
      <c r="O94" s="81">
        <f t="shared" si="15"/>
        <v>1.3500000000000014</v>
      </c>
      <c r="P94" s="81">
        <f>IF(G94="","",ABS(O94-Components!$C$2))</f>
        <v>1.4033333333333284</v>
      </c>
      <c r="Q94" s="81">
        <f>IF(G94="","",ABS(O94-Components!$C$3))</f>
        <v>2.6859999999999982</v>
      </c>
      <c r="R94" s="81">
        <f>IF(G94="","",ABS(O94-Components!$C$4))</f>
        <v>0.35666666666666846</v>
      </c>
      <c r="S94" s="81">
        <f>IF(G94="","",ABS(O94-Components!$C$5))</f>
        <v>3.212666666666669</v>
      </c>
      <c r="T94" s="81">
        <f>IF(G94="","",ABS(O94-Components!$C$6))</f>
        <v>0.19433333333333147</v>
      </c>
      <c r="U94" s="81">
        <f>IF(G94="","",ABS(O94-Components!$C$7))</f>
        <v>2.4333333333328655E-2</v>
      </c>
      <c r="V94" s="81" t="str">
        <f>IF(G94="","",IF(M94="OK","NONE",INDEX({"S1","S2","W1","W2","N1","N2"},MATCH(MIN(P94:U94),P94:U94,0))))</f>
        <v>N2</v>
      </c>
      <c r="W94" s="117">
        <f t="shared" si="16"/>
        <v>1</v>
      </c>
      <c r="X94" s="58"/>
    </row>
    <row r="95" spans="1:24">
      <c r="A95" s="115">
        <v>93</v>
      </c>
      <c r="B95" s="116">
        <v>4</v>
      </c>
      <c r="C95" s="81" t="s">
        <v>128</v>
      </c>
      <c r="D95" s="111" t="s">
        <v>240</v>
      </c>
      <c r="E95" s="81" t="s">
        <v>110</v>
      </c>
      <c r="F95" s="52">
        <v>8.6300000000000008</v>
      </c>
      <c r="G95" s="52">
        <f t="shared" si="10"/>
        <v>9.6000000000000014</v>
      </c>
      <c r="H95" s="110"/>
      <c r="I95" s="81">
        <f>VLOOKUP(C95,Recipes!$A$2:$N$4,10,FALSE())</f>
        <v>10.940000000000001</v>
      </c>
      <c r="J95" s="81">
        <f>VLOOKUP(C95,Recipes!$A$2:$N$4,12,FALSE())</f>
        <v>5.2703573566378441E-2</v>
      </c>
      <c r="K95" s="81">
        <f t="shared" si="11"/>
        <v>10.755537492517677</v>
      </c>
      <c r="L95" s="81">
        <f t="shared" si="12"/>
        <v>11.124462507482326</v>
      </c>
      <c r="M95" s="81" t="str">
        <f t="shared" si="13"/>
        <v>NG</v>
      </c>
      <c r="N95" s="117">
        <f t="shared" si="14"/>
        <v>1</v>
      </c>
      <c r="O95" s="81">
        <f t="shared" si="15"/>
        <v>1.3399999999999999</v>
      </c>
      <c r="P95" s="81">
        <f>IF(G95="","",ABS(O95-Components!$C$2))</f>
        <v>1.41333333333333</v>
      </c>
      <c r="Q95" s="81">
        <f>IF(G95="","",ABS(O95-Components!$C$3))</f>
        <v>2.6959999999999997</v>
      </c>
      <c r="R95" s="81">
        <f>IF(G95="","",ABS(O95-Components!$C$4))</f>
        <v>0.3466666666666669</v>
      </c>
      <c r="S95" s="81">
        <f>IF(G95="","",ABS(O95-Components!$C$5))</f>
        <v>3.2226666666666706</v>
      </c>
      <c r="T95" s="81">
        <f>IF(G95="","",ABS(O95-Components!$C$6))</f>
        <v>0.18433333333332991</v>
      </c>
      <c r="U95" s="81">
        <f>IF(G95="","",ABS(O95-Components!$C$7))</f>
        <v>3.4333333333330218E-2</v>
      </c>
      <c r="V95" s="81" t="str">
        <f>IF(G95="","",IF(M95="OK","NONE",INDEX({"S1","S2","W1","W2","N1","N2"},MATCH(MIN(P95:U95),P95:U95,0))))</f>
        <v>N2</v>
      </c>
      <c r="W95" s="117">
        <f t="shared" si="16"/>
        <v>1</v>
      </c>
      <c r="X95" s="58"/>
    </row>
    <row r="96" spans="1:24">
      <c r="A96" s="115">
        <v>94</v>
      </c>
      <c r="B96" s="116">
        <v>4</v>
      </c>
      <c r="C96" s="81" t="s">
        <v>128</v>
      </c>
      <c r="D96" s="111" t="s">
        <v>240</v>
      </c>
      <c r="E96" s="81" t="s">
        <v>110</v>
      </c>
      <c r="F96" s="52">
        <v>8.6199999999999992</v>
      </c>
      <c r="G96" s="52">
        <f t="shared" si="10"/>
        <v>9.59</v>
      </c>
      <c r="H96" s="110"/>
      <c r="I96" s="81">
        <f>VLOOKUP(C96,Recipes!$A$2:$N$4,10,FALSE())</f>
        <v>10.940000000000001</v>
      </c>
      <c r="J96" s="81">
        <f>VLOOKUP(C96,Recipes!$A$2:$N$4,12,FALSE())</f>
        <v>5.2703573566378441E-2</v>
      </c>
      <c r="K96" s="81">
        <f t="shared" si="11"/>
        <v>10.755537492517677</v>
      </c>
      <c r="L96" s="81">
        <f t="shared" si="12"/>
        <v>11.124462507482326</v>
      </c>
      <c r="M96" s="81" t="str">
        <f t="shared" si="13"/>
        <v>NG</v>
      </c>
      <c r="N96" s="117">
        <f t="shared" si="14"/>
        <v>1</v>
      </c>
      <c r="O96" s="81">
        <f t="shared" si="15"/>
        <v>1.3500000000000014</v>
      </c>
      <c r="P96" s="81">
        <f>IF(G96="","",ABS(O96-Components!$C$2))</f>
        <v>1.4033333333333284</v>
      </c>
      <c r="Q96" s="81">
        <f>IF(G96="","",ABS(O96-Components!$C$3))</f>
        <v>2.6859999999999982</v>
      </c>
      <c r="R96" s="81">
        <f>IF(G96="","",ABS(O96-Components!$C$4))</f>
        <v>0.35666666666666846</v>
      </c>
      <c r="S96" s="81">
        <f>IF(G96="","",ABS(O96-Components!$C$5))</f>
        <v>3.212666666666669</v>
      </c>
      <c r="T96" s="81">
        <f>IF(G96="","",ABS(O96-Components!$C$6))</f>
        <v>0.19433333333333147</v>
      </c>
      <c r="U96" s="81">
        <f>IF(G96="","",ABS(O96-Components!$C$7))</f>
        <v>2.4333333333328655E-2</v>
      </c>
      <c r="V96" s="81" t="str">
        <f>IF(G96="","",IF(M96="OK","NONE",INDEX({"S1","S2","W1","W2","N1","N2"},MATCH(MIN(P96:U96),P96:U96,0))))</f>
        <v>N2</v>
      </c>
      <c r="W96" s="117">
        <f t="shared" si="16"/>
        <v>1</v>
      </c>
      <c r="X96" s="58"/>
    </row>
    <row r="97" spans="1:24">
      <c r="A97" s="115">
        <v>95</v>
      </c>
      <c r="B97" s="116">
        <v>4</v>
      </c>
      <c r="C97" s="81" t="s">
        <v>128</v>
      </c>
      <c r="D97" s="111" t="s">
        <v>240</v>
      </c>
      <c r="E97" s="81" t="s">
        <v>110</v>
      </c>
      <c r="F97" s="52">
        <v>8.5399999999999991</v>
      </c>
      <c r="G97" s="52">
        <f t="shared" si="10"/>
        <v>9.51</v>
      </c>
      <c r="H97" s="110"/>
      <c r="I97" s="81">
        <f>VLOOKUP(C97,Recipes!$A$2:$N$4,10,FALSE())</f>
        <v>10.940000000000001</v>
      </c>
      <c r="J97" s="81">
        <f>VLOOKUP(C97,Recipes!$A$2:$N$4,12,FALSE())</f>
        <v>5.2703573566378441E-2</v>
      </c>
      <c r="K97" s="81">
        <f t="shared" si="11"/>
        <v>10.755537492517677</v>
      </c>
      <c r="L97" s="81">
        <f t="shared" si="12"/>
        <v>11.124462507482326</v>
      </c>
      <c r="M97" s="81" t="str">
        <f t="shared" si="13"/>
        <v>NG</v>
      </c>
      <c r="N97" s="117">
        <f t="shared" si="14"/>
        <v>1</v>
      </c>
      <c r="O97" s="81">
        <f t="shared" si="15"/>
        <v>1.4300000000000015</v>
      </c>
      <c r="P97" s="81">
        <f>IF(G97="","",ABS(O97-Components!$C$2))</f>
        <v>1.3233333333333284</v>
      </c>
      <c r="Q97" s="81">
        <f>IF(G97="","",ABS(O97-Components!$C$3))</f>
        <v>2.6059999999999981</v>
      </c>
      <c r="R97" s="81">
        <f>IF(G97="","",ABS(O97-Components!$C$4))</f>
        <v>0.43666666666666853</v>
      </c>
      <c r="S97" s="81">
        <f>IF(G97="","",ABS(O97-Components!$C$5))</f>
        <v>3.1326666666666689</v>
      </c>
      <c r="T97" s="81">
        <f>IF(G97="","",ABS(O97-Components!$C$6))</f>
        <v>0.27433333333333154</v>
      </c>
      <c r="U97" s="81">
        <f>IF(G97="","",ABS(O97-Components!$C$7))</f>
        <v>5.5666666666671416E-2</v>
      </c>
      <c r="V97" s="81" t="str">
        <f>IF(G97="","",IF(M97="OK","NONE",INDEX({"S1","S2","W1","W2","N1","N2"},MATCH(MIN(P97:U97),P97:U97,0))))</f>
        <v>N2</v>
      </c>
      <c r="W97" s="117">
        <f t="shared" si="16"/>
        <v>1</v>
      </c>
      <c r="X97" s="58"/>
    </row>
    <row r="98" spans="1:24">
      <c r="A98" s="115">
        <v>96</v>
      </c>
      <c r="B98" s="116">
        <v>4</v>
      </c>
      <c r="C98" s="81" t="s">
        <v>128</v>
      </c>
      <c r="D98" s="111" t="s">
        <v>240</v>
      </c>
      <c r="E98" s="81" t="s">
        <v>110</v>
      </c>
      <c r="F98" s="52">
        <v>8.48</v>
      </c>
      <c r="G98" s="52">
        <f t="shared" si="10"/>
        <v>9.4500000000000011</v>
      </c>
      <c r="H98" s="110"/>
      <c r="I98" s="81">
        <f>VLOOKUP(C98,Recipes!$A$2:$N$4,10,FALSE())</f>
        <v>10.940000000000001</v>
      </c>
      <c r="J98" s="81">
        <f>VLOOKUP(C98,Recipes!$A$2:$N$4,12,FALSE())</f>
        <v>5.2703573566378441E-2</v>
      </c>
      <c r="K98" s="81">
        <f t="shared" si="11"/>
        <v>10.755537492517677</v>
      </c>
      <c r="L98" s="81">
        <f t="shared" si="12"/>
        <v>11.124462507482326</v>
      </c>
      <c r="M98" s="81" t="str">
        <f t="shared" si="13"/>
        <v>NG</v>
      </c>
      <c r="N98" s="117">
        <f t="shared" si="14"/>
        <v>1</v>
      </c>
      <c r="O98" s="81">
        <f t="shared" si="15"/>
        <v>1.4900000000000002</v>
      </c>
      <c r="P98" s="81">
        <f>IF(G98="","",ABS(O98-Components!$C$2))</f>
        <v>1.2633333333333296</v>
      </c>
      <c r="Q98" s="81">
        <f>IF(G98="","",ABS(O98-Components!$C$3))</f>
        <v>2.5459999999999994</v>
      </c>
      <c r="R98" s="81">
        <f>IF(G98="","",ABS(O98-Components!$C$4))</f>
        <v>0.49666666666666726</v>
      </c>
      <c r="S98" s="81">
        <f>IF(G98="","",ABS(O98-Components!$C$5))</f>
        <v>3.0726666666666702</v>
      </c>
      <c r="T98" s="81">
        <f>IF(G98="","",ABS(O98-Components!$C$6))</f>
        <v>0.33433333333333026</v>
      </c>
      <c r="U98" s="81">
        <f>IF(G98="","",ABS(O98-Components!$C$7))</f>
        <v>0.11566666666667014</v>
      </c>
      <c r="V98" s="81" t="str">
        <f>IF(G98="","",IF(M98="OK","NONE",INDEX({"S1","S2","W1","W2","N1","N2"},MATCH(MIN(P98:U98),P98:U98,0))))</f>
        <v>N2</v>
      </c>
      <c r="W98" s="117">
        <f t="shared" si="16"/>
        <v>1</v>
      </c>
      <c r="X98" s="58"/>
    </row>
    <row r="99" spans="1:24">
      <c r="A99" s="115">
        <v>97</v>
      </c>
      <c r="B99" s="116">
        <v>4</v>
      </c>
      <c r="C99" s="81" t="s">
        <v>128</v>
      </c>
      <c r="D99" s="111" t="s">
        <v>240</v>
      </c>
      <c r="E99" s="81" t="s">
        <v>110</v>
      </c>
      <c r="F99" s="52">
        <v>8.6</v>
      </c>
      <c r="G99" s="52">
        <f t="shared" si="10"/>
        <v>9.57</v>
      </c>
      <c r="H99" s="110"/>
      <c r="I99" s="81">
        <f>VLOOKUP(C99,Recipes!$A$2:$N$4,10,FALSE())</f>
        <v>10.940000000000001</v>
      </c>
      <c r="J99" s="81">
        <f>VLOOKUP(C99,Recipes!$A$2:$N$4,12,FALSE())</f>
        <v>5.2703573566378441E-2</v>
      </c>
      <c r="K99" s="81">
        <f t="shared" si="11"/>
        <v>10.755537492517677</v>
      </c>
      <c r="L99" s="81">
        <f t="shared" si="12"/>
        <v>11.124462507482326</v>
      </c>
      <c r="M99" s="81" t="str">
        <f t="shared" si="13"/>
        <v>NG</v>
      </c>
      <c r="N99" s="117">
        <f t="shared" si="14"/>
        <v>1</v>
      </c>
      <c r="O99" s="81">
        <f t="shared" si="15"/>
        <v>1.370000000000001</v>
      </c>
      <c r="P99" s="81">
        <f>IF(G99="","",ABS(O99-Components!$C$2))</f>
        <v>1.3833333333333289</v>
      </c>
      <c r="Q99" s="81">
        <f>IF(G99="","",ABS(O99-Components!$C$3))</f>
        <v>2.6659999999999986</v>
      </c>
      <c r="R99" s="81">
        <f>IF(G99="","",ABS(O99-Components!$C$4))</f>
        <v>0.37666666666666804</v>
      </c>
      <c r="S99" s="81">
        <f>IF(G99="","",ABS(O99-Components!$C$5))</f>
        <v>3.1926666666666694</v>
      </c>
      <c r="T99" s="81">
        <f>IF(G99="","",ABS(O99-Components!$C$6))</f>
        <v>0.21433333333333104</v>
      </c>
      <c r="U99" s="81">
        <f>IF(G99="","",ABS(O99-Components!$C$7))</f>
        <v>4.3333333333290813E-3</v>
      </c>
      <c r="V99" s="81" t="str">
        <f>IF(G99="","",IF(M99="OK","NONE",INDEX({"S1","S2","W1","W2","N1","N2"},MATCH(MIN(P99:U99),P99:U99,0))))</f>
        <v>N2</v>
      </c>
      <c r="W99" s="117">
        <f t="shared" si="16"/>
        <v>1</v>
      </c>
      <c r="X99" s="58"/>
    </row>
    <row r="100" spans="1:24">
      <c r="A100" s="115">
        <v>98</v>
      </c>
      <c r="B100" s="116">
        <v>4</v>
      </c>
      <c r="C100" s="81" t="s">
        <v>128</v>
      </c>
      <c r="D100" s="111" t="s">
        <v>240</v>
      </c>
      <c r="E100" s="81" t="s">
        <v>110</v>
      </c>
      <c r="F100" s="52">
        <v>8.6300000000000008</v>
      </c>
      <c r="G100" s="52">
        <f t="shared" si="10"/>
        <v>9.6000000000000014</v>
      </c>
      <c r="H100" s="110"/>
      <c r="I100" s="81">
        <f>VLOOKUP(C100,Recipes!$A$2:$N$4,10,FALSE())</f>
        <v>10.940000000000001</v>
      </c>
      <c r="J100" s="81">
        <f>VLOOKUP(C100,Recipes!$A$2:$N$4,12,FALSE())</f>
        <v>5.2703573566378441E-2</v>
      </c>
      <c r="K100" s="81">
        <f t="shared" si="11"/>
        <v>10.755537492517677</v>
      </c>
      <c r="L100" s="81">
        <f t="shared" si="12"/>
        <v>11.124462507482326</v>
      </c>
      <c r="M100" s="81" t="str">
        <f t="shared" si="13"/>
        <v>NG</v>
      </c>
      <c r="N100" s="117">
        <f t="shared" si="14"/>
        <v>1</v>
      </c>
      <c r="O100" s="81">
        <f t="shared" si="15"/>
        <v>1.3399999999999999</v>
      </c>
      <c r="P100" s="81">
        <f>IF(G100="","",ABS(O100-Components!$C$2))</f>
        <v>1.41333333333333</v>
      </c>
      <c r="Q100" s="81">
        <f>IF(G100="","",ABS(O100-Components!$C$3))</f>
        <v>2.6959999999999997</v>
      </c>
      <c r="R100" s="81">
        <f>IF(G100="","",ABS(O100-Components!$C$4))</f>
        <v>0.3466666666666669</v>
      </c>
      <c r="S100" s="81">
        <f>IF(G100="","",ABS(O100-Components!$C$5))</f>
        <v>3.2226666666666706</v>
      </c>
      <c r="T100" s="81">
        <f>IF(G100="","",ABS(O100-Components!$C$6))</f>
        <v>0.18433333333332991</v>
      </c>
      <c r="U100" s="81">
        <f>IF(G100="","",ABS(O100-Components!$C$7))</f>
        <v>3.4333333333330218E-2</v>
      </c>
      <c r="V100" s="81" t="str">
        <f>IF(G100="","",IF(M100="OK","NONE",INDEX({"S1","S2","W1","W2","N1","N2"},MATCH(MIN(P100:U100),P100:U100,0))))</f>
        <v>N2</v>
      </c>
      <c r="W100" s="117">
        <f t="shared" si="16"/>
        <v>1</v>
      </c>
      <c r="X100" s="58"/>
    </row>
    <row r="101" spans="1:24">
      <c r="A101" s="115">
        <v>99</v>
      </c>
      <c r="B101" s="116">
        <v>4</v>
      </c>
      <c r="C101" s="81" t="s">
        <v>128</v>
      </c>
      <c r="D101" s="111" t="s">
        <v>240</v>
      </c>
      <c r="E101" s="81" t="s">
        <v>110</v>
      </c>
      <c r="F101" s="52">
        <v>8.6</v>
      </c>
      <c r="G101" s="52">
        <f t="shared" si="10"/>
        <v>9.57</v>
      </c>
      <c r="H101" s="110"/>
      <c r="I101" s="81">
        <f>VLOOKUP(C101,Recipes!$A$2:$N$4,10,FALSE())</f>
        <v>10.940000000000001</v>
      </c>
      <c r="J101" s="81">
        <f>VLOOKUP(C101,Recipes!$A$2:$N$4,12,FALSE())</f>
        <v>5.2703573566378441E-2</v>
      </c>
      <c r="K101" s="81">
        <f t="shared" si="11"/>
        <v>10.755537492517677</v>
      </c>
      <c r="L101" s="81">
        <f t="shared" si="12"/>
        <v>11.124462507482326</v>
      </c>
      <c r="M101" s="81" t="str">
        <f t="shared" si="13"/>
        <v>NG</v>
      </c>
      <c r="N101" s="117">
        <f t="shared" si="14"/>
        <v>1</v>
      </c>
      <c r="O101" s="81">
        <f t="shared" si="15"/>
        <v>1.370000000000001</v>
      </c>
      <c r="P101" s="81">
        <f>IF(G101="","",ABS(O101-Components!$C$2))</f>
        <v>1.3833333333333289</v>
      </c>
      <c r="Q101" s="81">
        <f>IF(G101="","",ABS(O101-Components!$C$3))</f>
        <v>2.6659999999999986</v>
      </c>
      <c r="R101" s="81">
        <f>IF(G101="","",ABS(O101-Components!$C$4))</f>
        <v>0.37666666666666804</v>
      </c>
      <c r="S101" s="81">
        <f>IF(G101="","",ABS(O101-Components!$C$5))</f>
        <v>3.1926666666666694</v>
      </c>
      <c r="T101" s="81">
        <f>IF(G101="","",ABS(O101-Components!$C$6))</f>
        <v>0.21433333333333104</v>
      </c>
      <c r="U101" s="81">
        <f>IF(G101="","",ABS(O101-Components!$C$7))</f>
        <v>4.3333333333290813E-3</v>
      </c>
      <c r="V101" s="81" t="str">
        <f>IF(G101="","",IF(M101="OK","NONE",INDEX({"S1","S2","W1","W2","N1","N2"},MATCH(MIN(P101:U101),P101:U101,0))))</f>
        <v>N2</v>
      </c>
      <c r="W101" s="117">
        <f t="shared" si="16"/>
        <v>1</v>
      </c>
      <c r="X101" s="58"/>
    </row>
    <row r="102" spans="1:24">
      <c r="A102" s="115">
        <v>100</v>
      </c>
      <c r="B102" s="116">
        <v>4</v>
      </c>
      <c r="C102" s="81" t="s">
        <v>128</v>
      </c>
      <c r="D102" s="111" t="s">
        <v>240</v>
      </c>
      <c r="E102" s="81" t="s">
        <v>110</v>
      </c>
      <c r="F102" s="52">
        <v>8.6199999999999992</v>
      </c>
      <c r="G102" s="52">
        <f t="shared" si="10"/>
        <v>9.59</v>
      </c>
      <c r="H102" s="110"/>
      <c r="I102" s="81">
        <f>VLOOKUP(C102,Recipes!$A$2:$N$4,10,FALSE())</f>
        <v>10.940000000000001</v>
      </c>
      <c r="J102" s="81">
        <f>VLOOKUP(C102,Recipes!$A$2:$N$4,12,FALSE())</f>
        <v>5.2703573566378441E-2</v>
      </c>
      <c r="K102" s="81">
        <f t="shared" si="11"/>
        <v>10.755537492517677</v>
      </c>
      <c r="L102" s="81">
        <f t="shared" si="12"/>
        <v>11.124462507482326</v>
      </c>
      <c r="M102" s="81" t="str">
        <f t="shared" si="13"/>
        <v>NG</v>
      </c>
      <c r="N102" s="117">
        <f t="shared" si="14"/>
        <v>1</v>
      </c>
      <c r="O102" s="81">
        <f t="shared" si="15"/>
        <v>1.3500000000000014</v>
      </c>
      <c r="P102" s="81">
        <f>IF(G102="","",ABS(O102-Components!$C$2))</f>
        <v>1.4033333333333284</v>
      </c>
      <c r="Q102" s="81">
        <f>IF(G102="","",ABS(O102-Components!$C$3))</f>
        <v>2.6859999999999982</v>
      </c>
      <c r="R102" s="81">
        <f>IF(G102="","",ABS(O102-Components!$C$4))</f>
        <v>0.35666666666666846</v>
      </c>
      <c r="S102" s="81">
        <f>IF(G102="","",ABS(O102-Components!$C$5))</f>
        <v>3.212666666666669</v>
      </c>
      <c r="T102" s="81">
        <f>IF(G102="","",ABS(O102-Components!$C$6))</f>
        <v>0.19433333333333147</v>
      </c>
      <c r="U102" s="81">
        <f>IF(G102="","",ABS(O102-Components!$C$7))</f>
        <v>2.4333333333328655E-2</v>
      </c>
      <c r="V102" s="81" t="str">
        <f>IF(G102="","",IF(M102="OK","NONE",INDEX({"S1","S2","W1","W2","N1","N2"},MATCH(MIN(P102:U102),P102:U102,0))))</f>
        <v>N2</v>
      </c>
      <c r="W102" s="117">
        <f t="shared" si="16"/>
        <v>1</v>
      </c>
      <c r="X102" s="58"/>
    </row>
    <row r="103" spans="1:24">
      <c r="A103" s="115">
        <v>101</v>
      </c>
      <c r="B103" s="116">
        <v>4</v>
      </c>
      <c r="C103" s="81" t="s">
        <v>128</v>
      </c>
      <c r="D103" s="111" t="s">
        <v>240</v>
      </c>
      <c r="E103" s="81" t="s">
        <v>110</v>
      </c>
      <c r="F103" s="52">
        <v>8.6</v>
      </c>
      <c r="G103" s="52">
        <f t="shared" si="10"/>
        <v>9.57</v>
      </c>
      <c r="H103" s="110"/>
      <c r="I103" s="81">
        <f>VLOOKUP(C103,Recipes!$A$2:$N$4,10,FALSE())</f>
        <v>10.940000000000001</v>
      </c>
      <c r="J103" s="81">
        <f>VLOOKUP(C103,Recipes!$A$2:$N$4,12,FALSE())</f>
        <v>5.2703573566378441E-2</v>
      </c>
      <c r="K103" s="81">
        <f t="shared" si="11"/>
        <v>10.755537492517677</v>
      </c>
      <c r="L103" s="81">
        <f t="shared" si="12"/>
        <v>11.124462507482326</v>
      </c>
      <c r="M103" s="81" t="str">
        <f t="shared" si="13"/>
        <v>NG</v>
      </c>
      <c r="N103" s="117">
        <f t="shared" si="14"/>
        <v>1</v>
      </c>
      <c r="O103" s="81">
        <f t="shared" si="15"/>
        <v>1.370000000000001</v>
      </c>
      <c r="P103" s="81">
        <f>IF(G103="","",ABS(O103-Components!$C$2))</f>
        <v>1.3833333333333289</v>
      </c>
      <c r="Q103" s="81">
        <f>IF(G103="","",ABS(O103-Components!$C$3))</f>
        <v>2.6659999999999986</v>
      </c>
      <c r="R103" s="81">
        <f>IF(G103="","",ABS(O103-Components!$C$4))</f>
        <v>0.37666666666666804</v>
      </c>
      <c r="S103" s="81">
        <f>IF(G103="","",ABS(O103-Components!$C$5))</f>
        <v>3.1926666666666694</v>
      </c>
      <c r="T103" s="81">
        <f>IF(G103="","",ABS(O103-Components!$C$6))</f>
        <v>0.21433333333333104</v>
      </c>
      <c r="U103" s="81">
        <f>IF(G103="","",ABS(O103-Components!$C$7))</f>
        <v>4.3333333333290813E-3</v>
      </c>
      <c r="V103" s="81" t="str">
        <f>IF(G103="","",IF(M103="OK","NONE",INDEX({"S1","S2","W1","W2","N1","N2"},MATCH(MIN(P103:U103),P103:U103,0))))</f>
        <v>N2</v>
      </c>
      <c r="W103" s="117">
        <f t="shared" si="16"/>
        <v>1</v>
      </c>
      <c r="X103" s="58"/>
    </row>
    <row r="104" spans="1:24">
      <c r="A104" s="115">
        <v>102</v>
      </c>
      <c r="B104" s="116">
        <v>4</v>
      </c>
      <c r="C104" s="81" t="s">
        <v>128</v>
      </c>
      <c r="D104" s="111" t="s">
        <v>240</v>
      </c>
      <c r="E104" s="81" t="s">
        <v>110</v>
      </c>
      <c r="F104" s="52">
        <v>8.5399999999999991</v>
      </c>
      <c r="G104" s="52">
        <f t="shared" si="10"/>
        <v>9.51</v>
      </c>
      <c r="H104" s="110"/>
      <c r="I104" s="81">
        <f>VLOOKUP(C104,Recipes!$A$2:$N$4,10,FALSE())</f>
        <v>10.940000000000001</v>
      </c>
      <c r="J104" s="81">
        <f>VLOOKUP(C104,Recipes!$A$2:$N$4,12,FALSE())</f>
        <v>5.2703573566378441E-2</v>
      </c>
      <c r="K104" s="81">
        <f t="shared" si="11"/>
        <v>10.755537492517677</v>
      </c>
      <c r="L104" s="81">
        <f t="shared" si="12"/>
        <v>11.124462507482326</v>
      </c>
      <c r="M104" s="81" t="str">
        <f t="shared" si="13"/>
        <v>NG</v>
      </c>
      <c r="N104" s="117">
        <f t="shared" si="14"/>
        <v>1</v>
      </c>
      <c r="O104" s="81">
        <f t="shared" si="15"/>
        <v>1.4300000000000015</v>
      </c>
      <c r="P104" s="81">
        <f>IF(G104="","",ABS(O104-Components!$C$2))</f>
        <v>1.3233333333333284</v>
      </c>
      <c r="Q104" s="81">
        <f>IF(G104="","",ABS(O104-Components!$C$3))</f>
        <v>2.6059999999999981</v>
      </c>
      <c r="R104" s="81">
        <f>IF(G104="","",ABS(O104-Components!$C$4))</f>
        <v>0.43666666666666853</v>
      </c>
      <c r="S104" s="81">
        <f>IF(G104="","",ABS(O104-Components!$C$5))</f>
        <v>3.1326666666666689</v>
      </c>
      <c r="T104" s="81">
        <f>IF(G104="","",ABS(O104-Components!$C$6))</f>
        <v>0.27433333333333154</v>
      </c>
      <c r="U104" s="81">
        <f>IF(G104="","",ABS(O104-Components!$C$7))</f>
        <v>5.5666666666671416E-2</v>
      </c>
      <c r="V104" s="81" t="str">
        <f>IF(G104="","",IF(M104="OK","NONE",INDEX({"S1","S2","W1","W2","N1","N2"},MATCH(MIN(P104:U104),P104:U104,0))))</f>
        <v>N2</v>
      </c>
      <c r="W104" s="117">
        <f t="shared" si="16"/>
        <v>1</v>
      </c>
      <c r="X104" s="58"/>
    </row>
    <row r="105" spans="1:24">
      <c r="A105" s="115">
        <v>103</v>
      </c>
      <c r="B105" s="116">
        <v>4</v>
      </c>
      <c r="C105" s="81" t="s">
        <v>128</v>
      </c>
      <c r="D105" s="111" t="s">
        <v>240</v>
      </c>
      <c r="E105" s="81" t="s">
        <v>110</v>
      </c>
      <c r="F105" s="52">
        <v>8.64</v>
      </c>
      <c r="G105" s="52">
        <f t="shared" si="10"/>
        <v>9.6100000000000012</v>
      </c>
      <c r="H105" s="110"/>
      <c r="I105" s="81">
        <f>VLOOKUP(C105,Recipes!$A$2:$N$4,10,FALSE())</f>
        <v>10.940000000000001</v>
      </c>
      <c r="J105" s="81">
        <f>VLOOKUP(C105,Recipes!$A$2:$N$4,12,FALSE())</f>
        <v>5.2703573566378441E-2</v>
      </c>
      <c r="K105" s="81">
        <f t="shared" si="11"/>
        <v>10.755537492517677</v>
      </c>
      <c r="L105" s="81">
        <f t="shared" si="12"/>
        <v>11.124462507482326</v>
      </c>
      <c r="M105" s="81" t="str">
        <f t="shared" si="13"/>
        <v>NG</v>
      </c>
      <c r="N105" s="117">
        <f t="shared" si="14"/>
        <v>1</v>
      </c>
      <c r="O105" s="81">
        <f t="shared" si="15"/>
        <v>1.33</v>
      </c>
      <c r="P105" s="81">
        <f>IF(G105="","",ABS(O105-Components!$C$2))</f>
        <v>1.4233333333333298</v>
      </c>
      <c r="Q105" s="81">
        <f>IF(G105="","",ABS(O105-Components!$C$3))</f>
        <v>2.7059999999999995</v>
      </c>
      <c r="R105" s="81">
        <f>IF(G105="","",ABS(O105-Components!$C$4))</f>
        <v>0.33666666666666711</v>
      </c>
      <c r="S105" s="81">
        <f>IF(G105="","",ABS(O105-Components!$C$5))</f>
        <v>3.2326666666666704</v>
      </c>
      <c r="T105" s="81">
        <f>IF(G105="","",ABS(O105-Components!$C$6))</f>
        <v>0.17433333333333012</v>
      </c>
      <c r="U105" s="81">
        <f>IF(G105="","",ABS(O105-Components!$C$7))</f>
        <v>4.4333333333330005E-2</v>
      </c>
      <c r="V105" s="81" t="str">
        <f>IF(G105="","",IF(M105="OK","NONE",INDEX({"S1","S2","W1","W2","N1","N2"},MATCH(MIN(P105:U105),P105:U105,0))))</f>
        <v>N2</v>
      </c>
      <c r="W105" s="117">
        <f t="shared" si="16"/>
        <v>1</v>
      </c>
      <c r="X105" s="58"/>
    </row>
    <row r="106" spans="1:24">
      <c r="A106" s="115">
        <v>104</v>
      </c>
      <c r="B106" s="116">
        <v>4</v>
      </c>
      <c r="C106" s="81" t="s">
        <v>128</v>
      </c>
      <c r="D106" s="111" t="s">
        <v>240</v>
      </c>
      <c r="E106" s="81" t="s">
        <v>110</v>
      </c>
      <c r="F106" s="52">
        <v>8.6</v>
      </c>
      <c r="G106" s="52">
        <f t="shared" si="10"/>
        <v>9.57</v>
      </c>
      <c r="H106" s="110"/>
      <c r="I106" s="81">
        <f>VLOOKUP(C106,Recipes!$A$2:$N$4,10,FALSE())</f>
        <v>10.940000000000001</v>
      </c>
      <c r="J106" s="81">
        <f>VLOOKUP(C106,Recipes!$A$2:$N$4,12,FALSE())</f>
        <v>5.2703573566378441E-2</v>
      </c>
      <c r="K106" s="81">
        <f t="shared" si="11"/>
        <v>10.755537492517677</v>
      </c>
      <c r="L106" s="81">
        <f t="shared" si="12"/>
        <v>11.124462507482326</v>
      </c>
      <c r="M106" s="81" t="str">
        <f t="shared" si="13"/>
        <v>NG</v>
      </c>
      <c r="N106" s="117">
        <f t="shared" si="14"/>
        <v>1</v>
      </c>
      <c r="O106" s="81">
        <f t="shared" si="15"/>
        <v>1.370000000000001</v>
      </c>
      <c r="P106" s="81">
        <f>IF(G106="","",ABS(O106-Components!$C$2))</f>
        <v>1.3833333333333289</v>
      </c>
      <c r="Q106" s="81">
        <f>IF(G106="","",ABS(O106-Components!$C$3))</f>
        <v>2.6659999999999986</v>
      </c>
      <c r="R106" s="81">
        <f>IF(G106="","",ABS(O106-Components!$C$4))</f>
        <v>0.37666666666666804</v>
      </c>
      <c r="S106" s="81">
        <f>IF(G106="","",ABS(O106-Components!$C$5))</f>
        <v>3.1926666666666694</v>
      </c>
      <c r="T106" s="81">
        <f>IF(G106="","",ABS(O106-Components!$C$6))</f>
        <v>0.21433333333333104</v>
      </c>
      <c r="U106" s="81">
        <f>IF(G106="","",ABS(O106-Components!$C$7))</f>
        <v>4.3333333333290813E-3</v>
      </c>
      <c r="V106" s="81" t="str">
        <f>IF(G106="","",IF(M106="OK","NONE",INDEX({"S1","S2","W1","W2","N1","N2"},MATCH(MIN(P106:U106),P106:U106,0))))</f>
        <v>N2</v>
      </c>
      <c r="W106" s="117">
        <f t="shared" si="16"/>
        <v>1</v>
      </c>
      <c r="X106" s="58"/>
    </row>
    <row r="107" spans="1:24">
      <c r="A107" s="115">
        <v>105</v>
      </c>
      <c r="B107" s="116">
        <v>4</v>
      </c>
      <c r="C107" s="81" t="s">
        <v>128</v>
      </c>
      <c r="D107" s="111" t="s">
        <v>240</v>
      </c>
      <c r="E107" s="81" t="s">
        <v>110</v>
      </c>
      <c r="F107" s="52">
        <v>8.59</v>
      </c>
      <c r="G107" s="52">
        <f t="shared" si="10"/>
        <v>9.56</v>
      </c>
      <c r="H107" s="110"/>
      <c r="I107" s="81">
        <f>VLOOKUP(C107,Recipes!$A$2:$N$4,10,FALSE())</f>
        <v>10.940000000000001</v>
      </c>
      <c r="J107" s="81">
        <f>VLOOKUP(C107,Recipes!$A$2:$N$4,12,FALSE())</f>
        <v>5.2703573566378441E-2</v>
      </c>
      <c r="K107" s="81">
        <f t="shared" si="11"/>
        <v>10.755537492517677</v>
      </c>
      <c r="L107" s="81">
        <f t="shared" si="12"/>
        <v>11.124462507482326</v>
      </c>
      <c r="M107" s="81" t="str">
        <f t="shared" si="13"/>
        <v>NG</v>
      </c>
      <c r="N107" s="117">
        <f t="shared" si="14"/>
        <v>1</v>
      </c>
      <c r="O107" s="81">
        <f t="shared" si="15"/>
        <v>1.3800000000000008</v>
      </c>
      <c r="P107" s="81">
        <f>IF(G107="","",ABS(O107-Components!$C$2))</f>
        <v>1.3733333333333291</v>
      </c>
      <c r="Q107" s="81">
        <f>IF(G107="","",ABS(O107-Components!$C$3))</f>
        <v>2.6559999999999988</v>
      </c>
      <c r="R107" s="81">
        <f>IF(G107="","",ABS(O107-Components!$C$4))</f>
        <v>0.38666666666666782</v>
      </c>
      <c r="S107" s="81">
        <f>IF(G107="","",ABS(O107-Components!$C$5))</f>
        <v>3.1826666666666696</v>
      </c>
      <c r="T107" s="81">
        <f>IF(G107="","",ABS(O107-Components!$C$6))</f>
        <v>0.22433333333333083</v>
      </c>
      <c r="U107" s="81">
        <f>IF(G107="","",ABS(O107-Components!$C$7))</f>
        <v>5.6666666666707055E-3</v>
      </c>
      <c r="V107" s="81" t="str">
        <f>IF(G107="","",IF(M107="OK","NONE",INDEX({"S1","S2","W1","W2","N1","N2"},MATCH(MIN(P107:U107),P107:U107,0))))</f>
        <v>N2</v>
      </c>
      <c r="W107" s="117">
        <f t="shared" si="16"/>
        <v>1</v>
      </c>
      <c r="X107" s="58"/>
    </row>
    <row r="108" spans="1:24">
      <c r="A108" s="115">
        <v>106</v>
      </c>
      <c r="B108" s="116">
        <v>4</v>
      </c>
      <c r="C108" s="81" t="s">
        <v>128</v>
      </c>
      <c r="D108" s="111" t="s">
        <v>240</v>
      </c>
      <c r="E108" s="81" t="s">
        <v>110</v>
      </c>
      <c r="F108" s="52">
        <v>8.57</v>
      </c>
      <c r="G108" s="52">
        <f t="shared" si="10"/>
        <v>9.5400000000000009</v>
      </c>
      <c r="H108" s="110"/>
      <c r="I108" s="81">
        <f>VLOOKUP(C108,Recipes!$A$2:$N$4,10,FALSE())</f>
        <v>10.940000000000001</v>
      </c>
      <c r="J108" s="81">
        <f>VLOOKUP(C108,Recipes!$A$2:$N$4,12,FALSE())</f>
        <v>5.2703573566378441E-2</v>
      </c>
      <c r="K108" s="81">
        <f t="shared" si="11"/>
        <v>10.755537492517677</v>
      </c>
      <c r="L108" s="81">
        <f t="shared" si="12"/>
        <v>11.124462507482326</v>
      </c>
      <c r="M108" s="81" t="str">
        <f t="shared" si="13"/>
        <v>NG</v>
      </c>
      <c r="N108" s="117">
        <f t="shared" si="14"/>
        <v>1</v>
      </c>
      <c r="O108" s="81">
        <f t="shared" si="15"/>
        <v>1.4000000000000004</v>
      </c>
      <c r="P108" s="81">
        <f>IF(G108="","",ABS(O108-Components!$C$2))</f>
        <v>1.3533333333333295</v>
      </c>
      <c r="Q108" s="81">
        <f>IF(G108="","",ABS(O108-Components!$C$3))</f>
        <v>2.6359999999999992</v>
      </c>
      <c r="R108" s="81">
        <f>IF(G108="","",ABS(O108-Components!$C$4))</f>
        <v>0.4066666666666674</v>
      </c>
      <c r="S108" s="81">
        <f>IF(G108="","",ABS(O108-Components!$C$5))</f>
        <v>3.1626666666666701</v>
      </c>
      <c r="T108" s="81">
        <f>IF(G108="","",ABS(O108-Components!$C$6))</f>
        <v>0.2443333333333304</v>
      </c>
      <c r="U108" s="81">
        <f>IF(G108="","",ABS(O108-Components!$C$7))</f>
        <v>2.5666666666670279E-2</v>
      </c>
      <c r="V108" s="81" t="str">
        <f>IF(G108="","",IF(M108="OK","NONE",INDEX({"S1","S2","W1","W2","N1","N2"},MATCH(MIN(P108:U108),P108:U108,0))))</f>
        <v>N2</v>
      </c>
      <c r="W108" s="117">
        <f t="shared" si="16"/>
        <v>1</v>
      </c>
      <c r="X108" s="58"/>
    </row>
    <row r="109" spans="1:24">
      <c r="A109" s="115">
        <v>107</v>
      </c>
      <c r="B109" s="116">
        <v>4</v>
      </c>
      <c r="C109" s="81" t="s">
        <v>128</v>
      </c>
      <c r="D109" s="111" t="s">
        <v>240</v>
      </c>
      <c r="E109" s="81" t="s">
        <v>110</v>
      </c>
      <c r="F109" s="52">
        <v>8.61</v>
      </c>
      <c r="G109" s="52">
        <f t="shared" si="10"/>
        <v>9.58</v>
      </c>
      <c r="H109" s="110"/>
      <c r="I109" s="81">
        <f>VLOOKUP(C109,Recipes!$A$2:$N$4,10,FALSE())</f>
        <v>10.940000000000001</v>
      </c>
      <c r="J109" s="81">
        <f>VLOOKUP(C109,Recipes!$A$2:$N$4,12,FALSE())</f>
        <v>5.2703573566378441E-2</v>
      </c>
      <c r="K109" s="81">
        <f t="shared" si="11"/>
        <v>10.755537492517677</v>
      </c>
      <c r="L109" s="81">
        <f t="shared" si="12"/>
        <v>11.124462507482326</v>
      </c>
      <c r="M109" s="81" t="str">
        <f t="shared" si="13"/>
        <v>NG</v>
      </c>
      <c r="N109" s="117">
        <f t="shared" si="14"/>
        <v>1</v>
      </c>
      <c r="O109" s="81">
        <f t="shared" si="15"/>
        <v>1.3600000000000012</v>
      </c>
      <c r="P109" s="81">
        <f>IF(G109="","",ABS(O109-Components!$C$2))</f>
        <v>1.3933333333333286</v>
      </c>
      <c r="Q109" s="81">
        <f>IF(G109="","",ABS(O109-Components!$C$3))</f>
        <v>2.6759999999999984</v>
      </c>
      <c r="R109" s="81">
        <f>IF(G109="","",ABS(O109-Components!$C$4))</f>
        <v>0.36666666666666825</v>
      </c>
      <c r="S109" s="81">
        <f>IF(G109="","",ABS(O109-Components!$C$5))</f>
        <v>3.2026666666666692</v>
      </c>
      <c r="T109" s="81">
        <f>IF(G109="","",ABS(O109-Components!$C$6))</f>
        <v>0.20433333333333126</v>
      </c>
      <c r="U109" s="81">
        <f>IF(G109="","",ABS(O109-Components!$C$7))</f>
        <v>1.4333333333328868E-2</v>
      </c>
      <c r="V109" s="81" t="str">
        <f>IF(G109="","",IF(M109="OK","NONE",INDEX({"S1","S2","W1","W2","N1","N2"},MATCH(MIN(P109:U109),P109:U109,0))))</f>
        <v>N2</v>
      </c>
      <c r="W109" s="117">
        <f t="shared" si="16"/>
        <v>1</v>
      </c>
      <c r="X109" s="58"/>
    </row>
    <row r="110" spans="1:24">
      <c r="A110" s="115">
        <v>108</v>
      </c>
      <c r="B110" s="116">
        <v>4</v>
      </c>
      <c r="C110" s="81" t="s">
        <v>128</v>
      </c>
      <c r="D110" s="111" t="s">
        <v>240</v>
      </c>
      <c r="E110" s="81" t="s">
        <v>110</v>
      </c>
      <c r="F110" s="52">
        <v>8.59</v>
      </c>
      <c r="G110" s="52">
        <f t="shared" si="10"/>
        <v>9.56</v>
      </c>
      <c r="H110" s="110"/>
      <c r="I110" s="81">
        <f>VLOOKUP(C110,Recipes!$A$2:$N$4,10,FALSE())</f>
        <v>10.940000000000001</v>
      </c>
      <c r="J110" s="81">
        <f>VLOOKUP(C110,Recipes!$A$2:$N$4,12,FALSE())</f>
        <v>5.2703573566378441E-2</v>
      </c>
      <c r="K110" s="81">
        <f t="shared" si="11"/>
        <v>10.755537492517677</v>
      </c>
      <c r="L110" s="81">
        <f t="shared" si="12"/>
        <v>11.124462507482326</v>
      </c>
      <c r="M110" s="81" t="str">
        <f t="shared" si="13"/>
        <v>NG</v>
      </c>
      <c r="N110" s="117">
        <f t="shared" si="14"/>
        <v>1</v>
      </c>
      <c r="O110" s="81">
        <f t="shared" si="15"/>
        <v>1.3800000000000008</v>
      </c>
      <c r="P110" s="81">
        <f>IF(G110="","",ABS(O110-Components!$C$2))</f>
        <v>1.3733333333333291</v>
      </c>
      <c r="Q110" s="81">
        <f>IF(G110="","",ABS(O110-Components!$C$3))</f>
        <v>2.6559999999999988</v>
      </c>
      <c r="R110" s="81">
        <f>IF(G110="","",ABS(O110-Components!$C$4))</f>
        <v>0.38666666666666782</v>
      </c>
      <c r="S110" s="81">
        <f>IF(G110="","",ABS(O110-Components!$C$5))</f>
        <v>3.1826666666666696</v>
      </c>
      <c r="T110" s="81">
        <f>IF(G110="","",ABS(O110-Components!$C$6))</f>
        <v>0.22433333333333083</v>
      </c>
      <c r="U110" s="81">
        <f>IF(G110="","",ABS(O110-Components!$C$7))</f>
        <v>5.6666666666707055E-3</v>
      </c>
      <c r="V110" s="81" t="str">
        <f>IF(G110="","",IF(M110="OK","NONE",INDEX({"S1","S2","W1","W2","N1","N2"},MATCH(MIN(P110:U110),P110:U110,0))))</f>
        <v>N2</v>
      </c>
      <c r="W110" s="117">
        <f t="shared" si="16"/>
        <v>1</v>
      </c>
      <c r="X110" s="58"/>
    </row>
    <row r="111" spans="1:24">
      <c r="A111" s="115">
        <v>109</v>
      </c>
      <c r="B111" s="116">
        <v>4</v>
      </c>
      <c r="C111" s="81" t="s">
        <v>128</v>
      </c>
      <c r="D111" s="111" t="s">
        <v>240</v>
      </c>
      <c r="E111" s="81" t="s">
        <v>110</v>
      </c>
      <c r="F111" s="52">
        <v>8.5</v>
      </c>
      <c r="G111" s="52">
        <f t="shared" si="10"/>
        <v>9.4700000000000006</v>
      </c>
      <c r="H111" s="110"/>
      <c r="I111" s="81">
        <f>VLOOKUP(C111,Recipes!$A$2:$N$4,10,FALSE())</f>
        <v>10.940000000000001</v>
      </c>
      <c r="J111" s="81">
        <f>VLOOKUP(C111,Recipes!$A$2:$N$4,12,FALSE())</f>
        <v>5.2703573566378441E-2</v>
      </c>
      <c r="K111" s="81">
        <f t="shared" si="11"/>
        <v>10.755537492517677</v>
      </c>
      <c r="L111" s="81">
        <f t="shared" si="12"/>
        <v>11.124462507482326</v>
      </c>
      <c r="M111" s="81" t="str">
        <f t="shared" si="13"/>
        <v>NG</v>
      </c>
      <c r="N111" s="117">
        <f t="shared" si="14"/>
        <v>1</v>
      </c>
      <c r="O111" s="81">
        <f t="shared" si="15"/>
        <v>1.4700000000000006</v>
      </c>
      <c r="P111" s="81">
        <f>IF(G111="","",ABS(O111-Components!$C$2))</f>
        <v>1.2833333333333292</v>
      </c>
      <c r="Q111" s="81">
        <f>IF(G111="","",ABS(O111-Components!$C$3))</f>
        <v>2.5659999999999989</v>
      </c>
      <c r="R111" s="81">
        <f>IF(G111="","",ABS(O111-Components!$C$4))</f>
        <v>0.47666666666666768</v>
      </c>
      <c r="S111" s="81">
        <f>IF(G111="","",ABS(O111-Components!$C$5))</f>
        <v>3.0926666666666698</v>
      </c>
      <c r="T111" s="81">
        <f>IF(G111="","",ABS(O111-Components!$C$6))</f>
        <v>0.31433333333333069</v>
      </c>
      <c r="U111" s="81">
        <f>IF(G111="","",ABS(O111-Components!$C$7))</f>
        <v>9.5666666666670563E-2</v>
      </c>
      <c r="V111" s="81" t="str">
        <f>IF(G111="","",IF(M111="OK","NONE",INDEX({"S1","S2","W1","W2","N1","N2"},MATCH(MIN(P111:U111),P111:U111,0))))</f>
        <v>N2</v>
      </c>
      <c r="W111" s="117">
        <f t="shared" si="16"/>
        <v>1</v>
      </c>
      <c r="X111" s="58"/>
    </row>
    <row r="112" spans="1:24">
      <c r="A112" s="115">
        <v>110</v>
      </c>
      <c r="B112" s="116">
        <v>4</v>
      </c>
      <c r="C112" s="81" t="s">
        <v>128</v>
      </c>
      <c r="D112" s="111" t="s">
        <v>240</v>
      </c>
      <c r="E112" s="81" t="s">
        <v>110</v>
      </c>
      <c r="F112" s="52">
        <v>8.6199999999999992</v>
      </c>
      <c r="G112" s="52">
        <f t="shared" si="10"/>
        <v>9.59</v>
      </c>
      <c r="H112" s="110"/>
      <c r="I112" s="81">
        <f>VLOOKUP(C112,Recipes!$A$2:$N$4,10,FALSE())</f>
        <v>10.940000000000001</v>
      </c>
      <c r="J112" s="81">
        <f>VLOOKUP(C112,Recipes!$A$2:$N$4,12,FALSE())</f>
        <v>5.2703573566378441E-2</v>
      </c>
      <c r="K112" s="81">
        <f t="shared" si="11"/>
        <v>10.755537492517677</v>
      </c>
      <c r="L112" s="81">
        <f t="shared" si="12"/>
        <v>11.124462507482326</v>
      </c>
      <c r="M112" s="81" t="str">
        <f t="shared" si="13"/>
        <v>NG</v>
      </c>
      <c r="N112" s="117">
        <f t="shared" si="14"/>
        <v>1</v>
      </c>
      <c r="O112" s="81">
        <f t="shared" si="15"/>
        <v>1.3500000000000014</v>
      </c>
      <c r="P112" s="81">
        <f>IF(G112="","",ABS(O112-Components!$C$2))</f>
        <v>1.4033333333333284</v>
      </c>
      <c r="Q112" s="81">
        <f>IF(G112="","",ABS(O112-Components!$C$3))</f>
        <v>2.6859999999999982</v>
      </c>
      <c r="R112" s="81">
        <f>IF(G112="","",ABS(O112-Components!$C$4))</f>
        <v>0.35666666666666846</v>
      </c>
      <c r="S112" s="81">
        <f>IF(G112="","",ABS(O112-Components!$C$5))</f>
        <v>3.212666666666669</v>
      </c>
      <c r="T112" s="81">
        <f>IF(G112="","",ABS(O112-Components!$C$6))</f>
        <v>0.19433333333333147</v>
      </c>
      <c r="U112" s="81">
        <f>IF(G112="","",ABS(O112-Components!$C$7))</f>
        <v>2.4333333333328655E-2</v>
      </c>
      <c r="V112" s="81" t="str">
        <f>IF(G112="","",IF(M112="OK","NONE",INDEX({"S1","S2","W1","W2","N1","N2"},MATCH(MIN(P112:U112),P112:U112,0))))</f>
        <v>N2</v>
      </c>
      <c r="W112" s="117">
        <f t="shared" si="16"/>
        <v>1</v>
      </c>
      <c r="X112" s="58"/>
    </row>
    <row r="113" spans="1:24">
      <c r="A113" s="115">
        <v>111</v>
      </c>
      <c r="B113" s="116">
        <v>4</v>
      </c>
      <c r="C113" s="81" t="s">
        <v>128</v>
      </c>
      <c r="D113" s="111" t="s">
        <v>240</v>
      </c>
      <c r="E113" s="81" t="s">
        <v>110</v>
      </c>
      <c r="F113" s="52">
        <v>8.61</v>
      </c>
      <c r="G113" s="52">
        <f t="shared" si="10"/>
        <v>9.58</v>
      </c>
      <c r="H113" s="110"/>
      <c r="I113" s="81">
        <f>VLOOKUP(C113,Recipes!$A$2:$N$4,10,FALSE())</f>
        <v>10.940000000000001</v>
      </c>
      <c r="J113" s="81">
        <f>VLOOKUP(C113,Recipes!$A$2:$N$4,12,FALSE())</f>
        <v>5.2703573566378441E-2</v>
      </c>
      <c r="K113" s="81">
        <f t="shared" si="11"/>
        <v>10.755537492517677</v>
      </c>
      <c r="L113" s="81">
        <f t="shared" si="12"/>
        <v>11.124462507482326</v>
      </c>
      <c r="M113" s="81" t="str">
        <f t="shared" si="13"/>
        <v>NG</v>
      </c>
      <c r="N113" s="117">
        <f t="shared" si="14"/>
        <v>1</v>
      </c>
      <c r="O113" s="81">
        <f t="shared" si="15"/>
        <v>1.3600000000000012</v>
      </c>
      <c r="P113" s="81">
        <f>IF(G113="","",ABS(O113-Components!$C$2))</f>
        <v>1.3933333333333286</v>
      </c>
      <c r="Q113" s="81">
        <f>IF(G113="","",ABS(O113-Components!$C$3))</f>
        <v>2.6759999999999984</v>
      </c>
      <c r="R113" s="81">
        <f>IF(G113="","",ABS(O113-Components!$C$4))</f>
        <v>0.36666666666666825</v>
      </c>
      <c r="S113" s="81">
        <f>IF(G113="","",ABS(O113-Components!$C$5))</f>
        <v>3.2026666666666692</v>
      </c>
      <c r="T113" s="81">
        <f>IF(G113="","",ABS(O113-Components!$C$6))</f>
        <v>0.20433333333333126</v>
      </c>
      <c r="U113" s="81">
        <f>IF(G113="","",ABS(O113-Components!$C$7))</f>
        <v>1.4333333333328868E-2</v>
      </c>
      <c r="V113" s="81" t="str">
        <f>IF(G113="","",IF(M113="OK","NONE",INDEX({"S1","S2","W1","W2","N1","N2"},MATCH(MIN(P113:U113),P113:U113,0))))</f>
        <v>N2</v>
      </c>
      <c r="W113" s="117">
        <f t="shared" si="16"/>
        <v>1</v>
      </c>
      <c r="X113" s="58"/>
    </row>
    <row r="114" spans="1:24">
      <c r="A114" s="115">
        <v>112</v>
      </c>
      <c r="B114" s="116">
        <v>4</v>
      </c>
      <c r="C114" s="81" t="s">
        <v>128</v>
      </c>
      <c r="D114" s="111" t="s">
        <v>240</v>
      </c>
      <c r="E114" s="81" t="s">
        <v>110</v>
      </c>
      <c r="F114" s="52">
        <v>8.58</v>
      </c>
      <c r="G114" s="52">
        <f t="shared" si="10"/>
        <v>9.5500000000000007</v>
      </c>
      <c r="H114" s="110"/>
      <c r="I114" s="81">
        <f>VLOOKUP(C114,Recipes!$A$2:$N$4,10,FALSE())</f>
        <v>10.940000000000001</v>
      </c>
      <c r="J114" s="81">
        <f>VLOOKUP(C114,Recipes!$A$2:$N$4,12,FALSE())</f>
        <v>5.2703573566378441E-2</v>
      </c>
      <c r="K114" s="81">
        <f t="shared" si="11"/>
        <v>10.755537492517677</v>
      </c>
      <c r="L114" s="81">
        <f t="shared" si="12"/>
        <v>11.124462507482326</v>
      </c>
      <c r="M114" s="81" t="str">
        <f t="shared" si="13"/>
        <v>NG</v>
      </c>
      <c r="N114" s="117">
        <f t="shared" si="14"/>
        <v>1</v>
      </c>
      <c r="O114" s="81">
        <f t="shared" si="15"/>
        <v>1.3900000000000006</v>
      </c>
      <c r="P114" s="81">
        <f>IF(G114="","",ABS(O114-Components!$C$2))</f>
        <v>1.3633333333333293</v>
      </c>
      <c r="Q114" s="81">
        <f>IF(G114="","",ABS(O114-Components!$C$3))</f>
        <v>2.645999999999999</v>
      </c>
      <c r="R114" s="81">
        <f>IF(G114="","",ABS(O114-Components!$C$4))</f>
        <v>0.39666666666666761</v>
      </c>
      <c r="S114" s="81">
        <f>IF(G114="","",ABS(O114-Components!$C$5))</f>
        <v>3.1726666666666699</v>
      </c>
      <c r="T114" s="81">
        <f>IF(G114="","",ABS(O114-Components!$C$6))</f>
        <v>0.23433333333333062</v>
      </c>
      <c r="U114" s="81">
        <f>IF(G114="","",ABS(O114-Components!$C$7))</f>
        <v>1.5666666666670492E-2</v>
      </c>
      <c r="V114" s="81" t="str">
        <f>IF(G114="","",IF(M114="OK","NONE",INDEX({"S1","S2","W1","W2","N1","N2"},MATCH(MIN(P114:U114),P114:U114,0))))</f>
        <v>N2</v>
      </c>
      <c r="W114" s="117">
        <f t="shared" si="16"/>
        <v>1</v>
      </c>
      <c r="X114" s="58"/>
    </row>
    <row r="115" spans="1:24">
      <c r="A115" s="115">
        <v>113</v>
      </c>
      <c r="B115" s="116">
        <v>4</v>
      </c>
      <c r="C115" s="81" t="s">
        <v>128</v>
      </c>
      <c r="D115" s="111" t="s">
        <v>240</v>
      </c>
      <c r="E115" s="81" t="s">
        <v>110</v>
      </c>
      <c r="F115" s="52">
        <v>8.59</v>
      </c>
      <c r="G115" s="52">
        <f t="shared" si="10"/>
        <v>9.56</v>
      </c>
      <c r="H115" s="110"/>
      <c r="I115" s="81">
        <f>VLOOKUP(C115,Recipes!$A$2:$N$4,10,FALSE())</f>
        <v>10.940000000000001</v>
      </c>
      <c r="J115" s="81">
        <f>VLOOKUP(C115,Recipes!$A$2:$N$4,12,FALSE())</f>
        <v>5.2703573566378441E-2</v>
      </c>
      <c r="K115" s="81">
        <f t="shared" si="11"/>
        <v>10.755537492517677</v>
      </c>
      <c r="L115" s="81">
        <f t="shared" si="12"/>
        <v>11.124462507482326</v>
      </c>
      <c r="M115" s="81" t="str">
        <f t="shared" si="13"/>
        <v>NG</v>
      </c>
      <c r="N115" s="117">
        <f t="shared" si="14"/>
        <v>1</v>
      </c>
      <c r="O115" s="81">
        <f t="shared" si="15"/>
        <v>1.3800000000000008</v>
      </c>
      <c r="P115" s="81">
        <f>IF(G115="","",ABS(O115-Components!$C$2))</f>
        <v>1.3733333333333291</v>
      </c>
      <c r="Q115" s="81">
        <f>IF(G115="","",ABS(O115-Components!$C$3))</f>
        <v>2.6559999999999988</v>
      </c>
      <c r="R115" s="81">
        <f>IF(G115="","",ABS(O115-Components!$C$4))</f>
        <v>0.38666666666666782</v>
      </c>
      <c r="S115" s="81">
        <f>IF(G115="","",ABS(O115-Components!$C$5))</f>
        <v>3.1826666666666696</v>
      </c>
      <c r="T115" s="81">
        <f>IF(G115="","",ABS(O115-Components!$C$6))</f>
        <v>0.22433333333333083</v>
      </c>
      <c r="U115" s="81">
        <f>IF(G115="","",ABS(O115-Components!$C$7))</f>
        <v>5.6666666666707055E-3</v>
      </c>
      <c r="V115" s="81" t="str">
        <f>IF(G115="","",IF(M115="OK","NONE",INDEX({"S1","S2","W1","W2","N1","N2"},MATCH(MIN(P115:U115),P115:U115,0))))</f>
        <v>N2</v>
      </c>
      <c r="W115" s="117">
        <f t="shared" si="16"/>
        <v>1</v>
      </c>
      <c r="X115" s="58"/>
    </row>
    <row r="116" spans="1:24">
      <c r="A116" s="115">
        <v>114</v>
      </c>
      <c r="B116" s="116">
        <v>4</v>
      </c>
      <c r="C116" s="81" t="s">
        <v>128</v>
      </c>
      <c r="D116" s="111" t="s">
        <v>240</v>
      </c>
      <c r="E116" s="81" t="s">
        <v>110</v>
      </c>
      <c r="F116" s="52">
        <v>8.6300000000000008</v>
      </c>
      <c r="G116" s="52">
        <f t="shared" si="10"/>
        <v>9.6000000000000014</v>
      </c>
      <c r="H116" s="110"/>
      <c r="I116" s="81">
        <f>VLOOKUP(C116,Recipes!$A$2:$N$4,10,FALSE())</f>
        <v>10.940000000000001</v>
      </c>
      <c r="J116" s="81">
        <f>VLOOKUP(C116,Recipes!$A$2:$N$4,12,FALSE())</f>
        <v>5.2703573566378441E-2</v>
      </c>
      <c r="K116" s="81">
        <f t="shared" si="11"/>
        <v>10.755537492517677</v>
      </c>
      <c r="L116" s="81">
        <f t="shared" si="12"/>
        <v>11.124462507482326</v>
      </c>
      <c r="M116" s="81" t="str">
        <f t="shared" si="13"/>
        <v>NG</v>
      </c>
      <c r="N116" s="117">
        <f t="shared" si="14"/>
        <v>1</v>
      </c>
      <c r="O116" s="81">
        <f t="shared" si="15"/>
        <v>1.3399999999999999</v>
      </c>
      <c r="P116" s="81">
        <f>IF(G116="","",ABS(O116-Components!$C$2))</f>
        <v>1.41333333333333</v>
      </c>
      <c r="Q116" s="81">
        <f>IF(G116="","",ABS(O116-Components!$C$3))</f>
        <v>2.6959999999999997</v>
      </c>
      <c r="R116" s="81">
        <f>IF(G116="","",ABS(O116-Components!$C$4))</f>
        <v>0.3466666666666669</v>
      </c>
      <c r="S116" s="81">
        <f>IF(G116="","",ABS(O116-Components!$C$5))</f>
        <v>3.2226666666666706</v>
      </c>
      <c r="T116" s="81">
        <f>IF(G116="","",ABS(O116-Components!$C$6))</f>
        <v>0.18433333333332991</v>
      </c>
      <c r="U116" s="81">
        <f>IF(G116="","",ABS(O116-Components!$C$7))</f>
        <v>3.4333333333330218E-2</v>
      </c>
      <c r="V116" s="81" t="str">
        <f>IF(G116="","",IF(M116="OK","NONE",INDEX({"S1","S2","W1","W2","N1","N2"},MATCH(MIN(P116:U116),P116:U116,0))))</f>
        <v>N2</v>
      </c>
      <c r="W116" s="117">
        <f t="shared" si="16"/>
        <v>1</v>
      </c>
      <c r="X116" s="58"/>
    </row>
    <row r="117" spans="1:24">
      <c r="A117" s="115">
        <v>115</v>
      </c>
      <c r="B117" s="116">
        <v>4</v>
      </c>
      <c r="C117" s="81" t="s">
        <v>128</v>
      </c>
      <c r="D117" s="111" t="s">
        <v>240</v>
      </c>
      <c r="E117" s="81" t="s">
        <v>110</v>
      </c>
      <c r="F117" s="52">
        <v>8.6300000000000008</v>
      </c>
      <c r="G117" s="52">
        <f t="shared" si="10"/>
        <v>9.6000000000000014</v>
      </c>
      <c r="H117" s="110"/>
      <c r="I117" s="81">
        <f>VLOOKUP(C117,Recipes!$A$2:$N$4,10,FALSE())</f>
        <v>10.940000000000001</v>
      </c>
      <c r="J117" s="81">
        <f>VLOOKUP(C117,Recipes!$A$2:$N$4,12,FALSE())</f>
        <v>5.2703573566378441E-2</v>
      </c>
      <c r="K117" s="81">
        <f t="shared" si="11"/>
        <v>10.755537492517677</v>
      </c>
      <c r="L117" s="81">
        <f t="shared" si="12"/>
        <v>11.124462507482326</v>
      </c>
      <c r="M117" s="81" t="str">
        <f t="shared" si="13"/>
        <v>NG</v>
      </c>
      <c r="N117" s="117">
        <f t="shared" si="14"/>
        <v>1</v>
      </c>
      <c r="O117" s="81">
        <f t="shared" si="15"/>
        <v>1.3399999999999999</v>
      </c>
      <c r="P117" s="81">
        <f>IF(G117="","",ABS(O117-Components!$C$2))</f>
        <v>1.41333333333333</v>
      </c>
      <c r="Q117" s="81">
        <f>IF(G117="","",ABS(O117-Components!$C$3))</f>
        <v>2.6959999999999997</v>
      </c>
      <c r="R117" s="81">
        <f>IF(G117="","",ABS(O117-Components!$C$4))</f>
        <v>0.3466666666666669</v>
      </c>
      <c r="S117" s="81">
        <f>IF(G117="","",ABS(O117-Components!$C$5))</f>
        <v>3.2226666666666706</v>
      </c>
      <c r="T117" s="81">
        <f>IF(G117="","",ABS(O117-Components!$C$6))</f>
        <v>0.18433333333332991</v>
      </c>
      <c r="U117" s="81">
        <f>IF(G117="","",ABS(O117-Components!$C$7))</f>
        <v>3.4333333333330218E-2</v>
      </c>
      <c r="V117" s="81" t="str">
        <f>IF(G117="","",IF(M117="OK","NONE",INDEX({"S1","S2","W1","W2","N1","N2"},MATCH(MIN(P117:U117),P117:U117,0))))</f>
        <v>N2</v>
      </c>
      <c r="W117" s="117">
        <f t="shared" si="16"/>
        <v>1</v>
      </c>
      <c r="X117" s="58"/>
    </row>
    <row r="118" spans="1:24">
      <c r="A118" s="115">
        <v>116</v>
      </c>
      <c r="B118" s="116">
        <v>4</v>
      </c>
      <c r="C118" s="81" t="s">
        <v>128</v>
      </c>
      <c r="D118" s="111" t="s">
        <v>240</v>
      </c>
      <c r="E118" s="81" t="s">
        <v>110</v>
      </c>
      <c r="F118" s="52">
        <v>8.59</v>
      </c>
      <c r="G118" s="52">
        <f t="shared" si="10"/>
        <v>9.56</v>
      </c>
      <c r="H118" s="110"/>
      <c r="I118" s="81">
        <f>VLOOKUP(C118,Recipes!$A$2:$N$4,10,FALSE())</f>
        <v>10.940000000000001</v>
      </c>
      <c r="J118" s="81">
        <f>VLOOKUP(C118,Recipes!$A$2:$N$4,12,FALSE())</f>
        <v>5.2703573566378441E-2</v>
      </c>
      <c r="K118" s="81">
        <f t="shared" si="11"/>
        <v>10.755537492517677</v>
      </c>
      <c r="L118" s="81">
        <f t="shared" si="12"/>
        <v>11.124462507482326</v>
      </c>
      <c r="M118" s="81" t="str">
        <f t="shared" si="13"/>
        <v>NG</v>
      </c>
      <c r="N118" s="117">
        <f t="shared" si="14"/>
        <v>1</v>
      </c>
      <c r="O118" s="81">
        <f t="shared" si="15"/>
        <v>1.3800000000000008</v>
      </c>
      <c r="P118" s="81">
        <f>IF(G118="","",ABS(O118-Components!$C$2))</f>
        <v>1.3733333333333291</v>
      </c>
      <c r="Q118" s="81">
        <f>IF(G118="","",ABS(O118-Components!$C$3))</f>
        <v>2.6559999999999988</v>
      </c>
      <c r="R118" s="81">
        <f>IF(G118="","",ABS(O118-Components!$C$4))</f>
        <v>0.38666666666666782</v>
      </c>
      <c r="S118" s="81">
        <f>IF(G118="","",ABS(O118-Components!$C$5))</f>
        <v>3.1826666666666696</v>
      </c>
      <c r="T118" s="81">
        <f>IF(G118="","",ABS(O118-Components!$C$6))</f>
        <v>0.22433333333333083</v>
      </c>
      <c r="U118" s="81">
        <f>IF(G118="","",ABS(O118-Components!$C$7))</f>
        <v>5.6666666666707055E-3</v>
      </c>
      <c r="V118" s="81" t="str">
        <f>IF(G118="","",IF(M118="OK","NONE",INDEX({"S1","S2","W1","W2","N1","N2"},MATCH(MIN(P118:U118),P118:U118,0))))</f>
        <v>N2</v>
      </c>
      <c r="W118" s="117">
        <f t="shared" si="16"/>
        <v>1</v>
      </c>
      <c r="X118" s="58"/>
    </row>
    <row r="119" spans="1:24">
      <c r="A119" s="115">
        <v>117</v>
      </c>
      <c r="B119" s="116">
        <v>4</v>
      </c>
      <c r="C119" s="81" t="s">
        <v>128</v>
      </c>
      <c r="D119" s="111" t="s">
        <v>240</v>
      </c>
      <c r="E119" s="81" t="s">
        <v>110</v>
      </c>
      <c r="F119" s="52">
        <v>8.56</v>
      </c>
      <c r="G119" s="52">
        <f t="shared" si="10"/>
        <v>9.5300000000000011</v>
      </c>
      <c r="H119" s="110"/>
      <c r="I119" s="81">
        <f>VLOOKUP(C119,Recipes!$A$2:$N$4,10,FALSE())</f>
        <v>10.940000000000001</v>
      </c>
      <c r="J119" s="81">
        <f>VLOOKUP(C119,Recipes!$A$2:$N$4,12,FALSE())</f>
        <v>5.2703573566378441E-2</v>
      </c>
      <c r="K119" s="81">
        <f t="shared" si="11"/>
        <v>10.755537492517677</v>
      </c>
      <c r="L119" s="81">
        <f t="shared" si="12"/>
        <v>11.124462507482326</v>
      </c>
      <c r="M119" s="81" t="str">
        <f t="shared" si="13"/>
        <v>NG</v>
      </c>
      <c r="N119" s="117">
        <f t="shared" si="14"/>
        <v>1</v>
      </c>
      <c r="O119" s="81">
        <f t="shared" si="15"/>
        <v>1.4100000000000001</v>
      </c>
      <c r="P119" s="81">
        <f>IF(G119="","",ABS(O119-Components!$C$2))</f>
        <v>1.3433333333333297</v>
      </c>
      <c r="Q119" s="81">
        <f>IF(G119="","",ABS(O119-Components!$C$3))</f>
        <v>2.6259999999999994</v>
      </c>
      <c r="R119" s="81">
        <f>IF(G119="","",ABS(O119-Components!$C$4))</f>
        <v>0.41666666666666718</v>
      </c>
      <c r="S119" s="81">
        <f>IF(G119="","",ABS(O119-Components!$C$5))</f>
        <v>3.1526666666666703</v>
      </c>
      <c r="T119" s="81">
        <f>IF(G119="","",ABS(O119-Components!$C$6))</f>
        <v>0.25433333333333019</v>
      </c>
      <c r="U119" s="81">
        <f>IF(G119="","",ABS(O119-Components!$C$7))</f>
        <v>3.5666666666670066E-2</v>
      </c>
      <c r="V119" s="81" t="str">
        <f>IF(G119="","",IF(M119="OK","NONE",INDEX({"S1","S2","W1","W2","N1","N2"},MATCH(MIN(P119:U119),P119:U119,0))))</f>
        <v>N2</v>
      </c>
      <c r="W119" s="117">
        <f t="shared" si="16"/>
        <v>1</v>
      </c>
      <c r="X119" s="58"/>
    </row>
    <row r="120" spans="1:24">
      <c r="A120" s="115">
        <v>118</v>
      </c>
      <c r="B120" s="116">
        <v>4</v>
      </c>
      <c r="C120" s="81" t="s">
        <v>128</v>
      </c>
      <c r="D120" s="111" t="s">
        <v>240</v>
      </c>
      <c r="E120" s="81" t="s">
        <v>110</v>
      </c>
      <c r="F120" s="52">
        <v>8.58</v>
      </c>
      <c r="G120" s="52">
        <f t="shared" si="10"/>
        <v>9.5500000000000007</v>
      </c>
      <c r="H120" s="110"/>
      <c r="I120" s="81">
        <f>VLOOKUP(C120,Recipes!$A$2:$N$4,10,FALSE())</f>
        <v>10.940000000000001</v>
      </c>
      <c r="J120" s="81">
        <f>VLOOKUP(C120,Recipes!$A$2:$N$4,12,FALSE())</f>
        <v>5.2703573566378441E-2</v>
      </c>
      <c r="K120" s="81">
        <f t="shared" si="11"/>
        <v>10.755537492517677</v>
      </c>
      <c r="L120" s="81">
        <f t="shared" si="12"/>
        <v>11.124462507482326</v>
      </c>
      <c r="M120" s="81" t="str">
        <f t="shared" si="13"/>
        <v>NG</v>
      </c>
      <c r="N120" s="117">
        <f t="shared" si="14"/>
        <v>1</v>
      </c>
      <c r="O120" s="81">
        <f t="shared" si="15"/>
        <v>1.3900000000000006</v>
      </c>
      <c r="P120" s="81">
        <f>IF(G120="","",ABS(O120-Components!$C$2))</f>
        <v>1.3633333333333293</v>
      </c>
      <c r="Q120" s="81">
        <f>IF(G120="","",ABS(O120-Components!$C$3))</f>
        <v>2.645999999999999</v>
      </c>
      <c r="R120" s="81">
        <f>IF(G120="","",ABS(O120-Components!$C$4))</f>
        <v>0.39666666666666761</v>
      </c>
      <c r="S120" s="81">
        <f>IF(G120="","",ABS(O120-Components!$C$5))</f>
        <v>3.1726666666666699</v>
      </c>
      <c r="T120" s="81">
        <f>IF(G120="","",ABS(O120-Components!$C$6))</f>
        <v>0.23433333333333062</v>
      </c>
      <c r="U120" s="81">
        <f>IF(G120="","",ABS(O120-Components!$C$7))</f>
        <v>1.5666666666670492E-2</v>
      </c>
      <c r="V120" s="81" t="str">
        <f>IF(G120="","",IF(M120="OK","NONE",INDEX({"S1","S2","W1","W2","N1","N2"},MATCH(MIN(P120:U120),P120:U120,0))))</f>
        <v>N2</v>
      </c>
      <c r="W120" s="117">
        <f t="shared" si="16"/>
        <v>1</v>
      </c>
      <c r="X120" s="58"/>
    </row>
    <row r="121" spans="1:24">
      <c r="A121" s="115">
        <v>119</v>
      </c>
      <c r="B121" s="116">
        <v>4</v>
      </c>
      <c r="C121" s="81" t="s">
        <v>128</v>
      </c>
      <c r="D121" s="111" t="s">
        <v>240</v>
      </c>
      <c r="E121" s="81" t="s">
        <v>110</v>
      </c>
      <c r="F121" s="52">
        <v>8.6300000000000008</v>
      </c>
      <c r="G121" s="52">
        <f t="shared" si="10"/>
        <v>9.6000000000000014</v>
      </c>
      <c r="H121" s="110"/>
      <c r="I121" s="81">
        <f>VLOOKUP(C121,Recipes!$A$2:$N$4,10,FALSE())</f>
        <v>10.940000000000001</v>
      </c>
      <c r="J121" s="81">
        <f>VLOOKUP(C121,Recipes!$A$2:$N$4,12,FALSE())</f>
        <v>5.2703573566378441E-2</v>
      </c>
      <c r="K121" s="81">
        <f t="shared" si="11"/>
        <v>10.755537492517677</v>
      </c>
      <c r="L121" s="81">
        <f t="shared" si="12"/>
        <v>11.124462507482326</v>
      </c>
      <c r="M121" s="81" t="str">
        <f t="shared" si="13"/>
        <v>NG</v>
      </c>
      <c r="N121" s="117">
        <f t="shared" si="14"/>
        <v>1</v>
      </c>
      <c r="O121" s="81">
        <f t="shared" si="15"/>
        <v>1.3399999999999999</v>
      </c>
      <c r="P121" s="81">
        <f>IF(G121="","",ABS(O121-Components!$C$2))</f>
        <v>1.41333333333333</v>
      </c>
      <c r="Q121" s="81">
        <f>IF(G121="","",ABS(O121-Components!$C$3))</f>
        <v>2.6959999999999997</v>
      </c>
      <c r="R121" s="81">
        <f>IF(G121="","",ABS(O121-Components!$C$4))</f>
        <v>0.3466666666666669</v>
      </c>
      <c r="S121" s="81">
        <f>IF(G121="","",ABS(O121-Components!$C$5))</f>
        <v>3.2226666666666706</v>
      </c>
      <c r="T121" s="81">
        <f>IF(G121="","",ABS(O121-Components!$C$6))</f>
        <v>0.18433333333332991</v>
      </c>
      <c r="U121" s="81">
        <f>IF(G121="","",ABS(O121-Components!$C$7))</f>
        <v>3.4333333333330218E-2</v>
      </c>
      <c r="V121" s="81" t="str">
        <f>IF(G121="","",IF(M121="OK","NONE",INDEX({"S1","S2","W1","W2","N1","N2"},MATCH(MIN(P121:U121),P121:U121,0))))</f>
        <v>N2</v>
      </c>
      <c r="W121" s="117">
        <f t="shared" si="16"/>
        <v>1</v>
      </c>
      <c r="X121" s="58"/>
    </row>
    <row r="122" spans="1:24">
      <c r="A122" s="115">
        <v>120</v>
      </c>
      <c r="B122" s="116">
        <v>4</v>
      </c>
      <c r="C122" s="81" t="s">
        <v>128</v>
      </c>
      <c r="D122" s="111" t="s">
        <v>240</v>
      </c>
      <c r="E122" s="81" t="s">
        <v>110</v>
      </c>
      <c r="F122" s="52">
        <v>8.59</v>
      </c>
      <c r="G122" s="52">
        <f t="shared" si="10"/>
        <v>9.56</v>
      </c>
      <c r="H122" s="110"/>
      <c r="I122" s="81">
        <f>VLOOKUP(C122,Recipes!$A$2:$N$4,10,FALSE())</f>
        <v>10.940000000000001</v>
      </c>
      <c r="J122" s="81">
        <f>VLOOKUP(C122,Recipes!$A$2:$N$4,12,FALSE())</f>
        <v>5.2703573566378441E-2</v>
      </c>
      <c r="K122" s="81">
        <f t="shared" si="11"/>
        <v>10.755537492517677</v>
      </c>
      <c r="L122" s="81">
        <f t="shared" si="12"/>
        <v>11.124462507482326</v>
      </c>
      <c r="M122" s="81" t="str">
        <f t="shared" si="13"/>
        <v>NG</v>
      </c>
      <c r="N122" s="117">
        <f t="shared" si="14"/>
        <v>1</v>
      </c>
      <c r="O122" s="81">
        <f t="shared" si="15"/>
        <v>1.3800000000000008</v>
      </c>
      <c r="P122" s="81">
        <f>IF(G122="","",ABS(O122-Components!$C$2))</f>
        <v>1.3733333333333291</v>
      </c>
      <c r="Q122" s="81">
        <f>IF(G122="","",ABS(O122-Components!$C$3))</f>
        <v>2.6559999999999988</v>
      </c>
      <c r="R122" s="81">
        <f>IF(G122="","",ABS(O122-Components!$C$4))</f>
        <v>0.38666666666666782</v>
      </c>
      <c r="S122" s="81">
        <f>IF(G122="","",ABS(O122-Components!$C$5))</f>
        <v>3.1826666666666696</v>
      </c>
      <c r="T122" s="81">
        <f>IF(G122="","",ABS(O122-Components!$C$6))</f>
        <v>0.22433333333333083</v>
      </c>
      <c r="U122" s="81">
        <f>IF(G122="","",ABS(O122-Components!$C$7))</f>
        <v>5.6666666666707055E-3</v>
      </c>
      <c r="V122" s="81" t="str">
        <f>IF(G122="","",IF(M122="OK","NONE",INDEX({"S1","S2","W1","W2","N1","N2"},MATCH(MIN(P122:U122),P122:U122,0))))</f>
        <v>N2</v>
      </c>
      <c r="W122" s="117">
        <f t="shared" si="16"/>
        <v>1</v>
      </c>
      <c r="X122" s="58"/>
    </row>
    <row r="123" spans="1:24">
      <c r="A123" s="115">
        <v>121</v>
      </c>
      <c r="B123" s="116">
        <v>5</v>
      </c>
      <c r="C123" s="81" t="s">
        <v>130</v>
      </c>
      <c r="D123" s="109" t="s">
        <v>238</v>
      </c>
      <c r="E123" s="81" t="s">
        <v>239</v>
      </c>
      <c r="F123" s="52">
        <v>8.9499999999999993</v>
      </c>
      <c r="G123" s="52">
        <f t="shared" si="10"/>
        <v>9.92</v>
      </c>
      <c r="H123" s="110"/>
      <c r="I123" s="81">
        <v>9.91</v>
      </c>
      <c r="J123" s="81">
        <f>VLOOKUP(C123,Recipes!$A$2:$N$4,12,FALSE())</f>
        <v>5.0137397426368718E-2</v>
      </c>
      <c r="K123" s="81">
        <f t="shared" si="11"/>
        <v>9.7345191090077101</v>
      </c>
      <c r="L123" s="81">
        <f t="shared" si="12"/>
        <v>10.08548089099229</v>
      </c>
      <c r="M123" s="81" t="str">
        <f t="shared" si="13"/>
        <v>OK</v>
      </c>
      <c r="N123" s="117">
        <f t="shared" si="14"/>
        <v>1</v>
      </c>
      <c r="O123" s="81">
        <f t="shared" si="15"/>
        <v>-9.9999999999997868E-3</v>
      </c>
      <c r="P123" s="81">
        <f>IF(G123="","",ABS(O123-Components!$C$2))</f>
        <v>2.7633333333333296</v>
      </c>
      <c r="Q123" s="81">
        <f>IF(G123="","",ABS(O123-Components!$C$3))</f>
        <v>4.0459999999999994</v>
      </c>
      <c r="R123" s="81">
        <f>IF(G123="","",ABS(O123-Components!$C$4))</f>
        <v>1.0033333333333327</v>
      </c>
      <c r="S123" s="81">
        <f>IF(G123="","",ABS(O123-Components!$C$5))</f>
        <v>4.5726666666666702</v>
      </c>
      <c r="T123" s="81">
        <f>IF(G123="","",ABS(O123-Components!$C$6))</f>
        <v>1.1656666666666697</v>
      </c>
      <c r="U123" s="81">
        <f>IF(G123="","",ABS(O123-Components!$C$7))</f>
        <v>1.3843333333333299</v>
      </c>
      <c r="V123" s="81" t="str">
        <f>IF(G123="","",IF(M123="OK","NONE",INDEX({"S1","S2","W1","W2","N1","N2"},MATCH(MIN(P123:U123),P123:U123,0))))</f>
        <v>NONE</v>
      </c>
      <c r="W123" s="117">
        <f t="shared" si="16"/>
        <v>1</v>
      </c>
      <c r="X123" s="58"/>
    </row>
    <row r="124" spans="1:24">
      <c r="A124" s="115">
        <v>122</v>
      </c>
      <c r="B124" s="116">
        <v>5</v>
      </c>
      <c r="C124" s="81" t="s">
        <v>130</v>
      </c>
      <c r="D124" s="109" t="s">
        <v>238</v>
      </c>
      <c r="E124" s="81" t="s">
        <v>239</v>
      </c>
      <c r="F124" s="52">
        <v>8.94</v>
      </c>
      <c r="G124" s="52">
        <f t="shared" si="10"/>
        <v>9.91</v>
      </c>
      <c r="H124" s="110"/>
      <c r="I124" s="81">
        <v>9.91</v>
      </c>
      <c r="J124" s="81">
        <f>VLOOKUP(C124,Recipes!$A$2:$N$4,12,FALSE())</f>
        <v>5.0137397426368718E-2</v>
      </c>
      <c r="K124" s="81">
        <f t="shared" si="11"/>
        <v>9.7345191090077101</v>
      </c>
      <c r="L124" s="81">
        <f t="shared" si="12"/>
        <v>10.08548089099229</v>
      </c>
      <c r="M124" s="81" t="str">
        <f t="shared" si="13"/>
        <v>OK</v>
      </c>
      <c r="N124" s="117">
        <f t="shared" si="14"/>
        <v>1</v>
      </c>
      <c r="O124" s="81">
        <f t="shared" si="15"/>
        <v>0</v>
      </c>
      <c r="P124" s="81">
        <f>IF(G124="","",ABS(O124-Components!$C$2))</f>
        <v>2.7533333333333299</v>
      </c>
      <c r="Q124" s="81">
        <f>IF(G124="","",ABS(O124-Components!$C$3))</f>
        <v>4.0359999999999996</v>
      </c>
      <c r="R124" s="81">
        <f>IF(G124="","",ABS(O124-Components!$C$4))</f>
        <v>0.99333333333333296</v>
      </c>
      <c r="S124" s="81">
        <f>IF(G124="","",ABS(O124-Components!$C$5))</f>
        <v>4.5626666666666704</v>
      </c>
      <c r="T124" s="81">
        <f>IF(G124="","",ABS(O124-Components!$C$6))</f>
        <v>1.15566666666667</v>
      </c>
      <c r="U124" s="81">
        <f>IF(G124="","",ABS(O124-Components!$C$7))</f>
        <v>1.3743333333333301</v>
      </c>
      <c r="V124" s="81" t="str">
        <f>IF(G124="","",IF(M124="OK","NONE",INDEX({"S1","S2","W1","W2","N1","N2"},MATCH(MIN(P124:U124),P124:U124,0))))</f>
        <v>NONE</v>
      </c>
      <c r="W124" s="117">
        <f t="shared" si="16"/>
        <v>1</v>
      </c>
      <c r="X124" s="58"/>
    </row>
    <row r="125" spans="1:24">
      <c r="A125" s="115">
        <v>123</v>
      </c>
      <c r="B125" s="116">
        <v>5</v>
      </c>
      <c r="C125" s="81" t="s">
        <v>130</v>
      </c>
      <c r="D125" s="109" t="s">
        <v>238</v>
      </c>
      <c r="E125" s="81" t="s">
        <v>239</v>
      </c>
      <c r="F125" s="52">
        <v>8.94</v>
      </c>
      <c r="G125" s="52">
        <f t="shared" si="10"/>
        <v>9.91</v>
      </c>
      <c r="H125" s="110"/>
      <c r="I125" s="81">
        <v>9.91</v>
      </c>
      <c r="J125" s="81">
        <f>VLOOKUP(C125,Recipes!$A$2:$N$4,12,FALSE())</f>
        <v>5.0137397426368718E-2</v>
      </c>
      <c r="K125" s="81">
        <f t="shared" si="11"/>
        <v>9.7345191090077101</v>
      </c>
      <c r="L125" s="81">
        <f t="shared" si="12"/>
        <v>10.08548089099229</v>
      </c>
      <c r="M125" s="81" t="str">
        <f t="shared" si="13"/>
        <v>OK</v>
      </c>
      <c r="N125" s="117">
        <f t="shared" si="14"/>
        <v>1</v>
      </c>
      <c r="O125" s="81">
        <f t="shared" si="15"/>
        <v>0</v>
      </c>
      <c r="P125" s="81">
        <f>IF(G125="","",ABS(O125-Components!$C$2))</f>
        <v>2.7533333333333299</v>
      </c>
      <c r="Q125" s="81">
        <f>IF(G125="","",ABS(O125-Components!$C$3))</f>
        <v>4.0359999999999996</v>
      </c>
      <c r="R125" s="81">
        <f>IF(G125="","",ABS(O125-Components!$C$4))</f>
        <v>0.99333333333333296</v>
      </c>
      <c r="S125" s="81">
        <f>IF(G125="","",ABS(O125-Components!$C$5))</f>
        <v>4.5626666666666704</v>
      </c>
      <c r="T125" s="81">
        <f>IF(G125="","",ABS(O125-Components!$C$6))</f>
        <v>1.15566666666667</v>
      </c>
      <c r="U125" s="81">
        <f>IF(G125="","",ABS(O125-Components!$C$7))</f>
        <v>1.3743333333333301</v>
      </c>
      <c r="V125" s="81" t="str">
        <f>IF(G125="","",IF(M125="OK","NONE",INDEX({"S1","S2","W1","W2","N1","N2"},MATCH(MIN(P125:U125),P125:U125,0))))</f>
        <v>NONE</v>
      </c>
      <c r="W125" s="117">
        <f t="shared" si="16"/>
        <v>1</v>
      </c>
      <c r="X125" s="58"/>
    </row>
    <row r="126" spans="1:24">
      <c r="A126" s="115">
        <v>124</v>
      </c>
      <c r="B126" s="116">
        <v>5</v>
      </c>
      <c r="C126" s="81" t="s">
        <v>130</v>
      </c>
      <c r="D126" s="109" t="s">
        <v>238</v>
      </c>
      <c r="E126" s="81" t="s">
        <v>239</v>
      </c>
      <c r="F126" s="52">
        <v>8.89</v>
      </c>
      <c r="G126" s="52">
        <f t="shared" si="10"/>
        <v>9.8600000000000012</v>
      </c>
      <c r="H126" s="110"/>
      <c r="I126" s="81">
        <v>9.91</v>
      </c>
      <c r="J126" s="81">
        <f>VLOOKUP(C126,Recipes!$A$2:$N$4,12,FALSE())</f>
        <v>5.0137397426368718E-2</v>
      </c>
      <c r="K126" s="81">
        <f t="shared" si="11"/>
        <v>9.7345191090077101</v>
      </c>
      <c r="L126" s="81">
        <f t="shared" si="12"/>
        <v>10.08548089099229</v>
      </c>
      <c r="M126" s="81" t="str">
        <f t="shared" si="13"/>
        <v>OK</v>
      </c>
      <c r="N126" s="117">
        <f t="shared" si="14"/>
        <v>1</v>
      </c>
      <c r="O126" s="81">
        <f t="shared" si="15"/>
        <v>4.9999999999998934E-2</v>
      </c>
      <c r="P126" s="81">
        <f>IF(G126="","",ABS(O126-Components!$C$2))</f>
        <v>2.7033333333333309</v>
      </c>
      <c r="Q126" s="81">
        <f>IF(G126="","",ABS(O126-Components!$C$3))</f>
        <v>3.9860000000000007</v>
      </c>
      <c r="R126" s="81">
        <f>IF(G126="","",ABS(O126-Components!$C$4))</f>
        <v>0.94333333333333402</v>
      </c>
      <c r="S126" s="81">
        <f>IF(G126="","",ABS(O126-Components!$C$5))</f>
        <v>4.5126666666666715</v>
      </c>
      <c r="T126" s="81">
        <f>IF(G126="","",ABS(O126-Components!$C$6))</f>
        <v>1.105666666666671</v>
      </c>
      <c r="U126" s="81">
        <f>IF(G126="","",ABS(O126-Components!$C$7))</f>
        <v>1.3243333333333311</v>
      </c>
      <c r="V126" s="81" t="str">
        <f>IF(G126="","",IF(M126="OK","NONE",INDEX({"S1","S2","W1","W2","N1","N2"},MATCH(MIN(P126:U126),P126:U126,0))))</f>
        <v>NONE</v>
      </c>
      <c r="W126" s="117">
        <f t="shared" si="16"/>
        <v>1</v>
      </c>
      <c r="X126" s="58"/>
    </row>
    <row r="127" spans="1:24">
      <c r="A127" s="115">
        <v>125</v>
      </c>
      <c r="B127" s="116">
        <v>5</v>
      </c>
      <c r="C127" s="81" t="s">
        <v>130</v>
      </c>
      <c r="D127" s="109" t="s">
        <v>238</v>
      </c>
      <c r="E127" s="81" t="s">
        <v>239</v>
      </c>
      <c r="F127" s="52">
        <v>8.89</v>
      </c>
      <c r="G127" s="52">
        <f t="shared" si="10"/>
        <v>9.8600000000000012</v>
      </c>
      <c r="H127" s="110"/>
      <c r="I127" s="81">
        <v>9.91</v>
      </c>
      <c r="J127" s="81">
        <f>VLOOKUP(C127,Recipes!$A$2:$N$4,12,FALSE())</f>
        <v>5.0137397426368718E-2</v>
      </c>
      <c r="K127" s="81">
        <f t="shared" si="11"/>
        <v>9.7345191090077101</v>
      </c>
      <c r="L127" s="81">
        <f t="shared" si="12"/>
        <v>10.08548089099229</v>
      </c>
      <c r="M127" s="81" t="str">
        <f t="shared" si="13"/>
        <v>OK</v>
      </c>
      <c r="N127" s="117">
        <f t="shared" si="14"/>
        <v>1</v>
      </c>
      <c r="O127" s="81">
        <f t="shared" si="15"/>
        <v>4.9999999999998934E-2</v>
      </c>
      <c r="P127" s="81">
        <f>IF(G127="","",ABS(O127-Components!$C$2))</f>
        <v>2.7033333333333309</v>
      </c>
      <c r="Q127" s="81">
        <f>IF(G127="","",ABS(O127-Components!$C$3))</f>
        <v>3.9860000000000007</v>
      </c>
      <c r="R127" s="81">
        <f>IF(G127="","",ABS(O127-Components!$C$4))</f>
        <v>0.94333333333333402</v>
      </c>
      <c r="S127" s="81">
        <f>IF(G127="","",ABS(O127-Components!$C$5))</f>
        <v>4.5126666666666715</v>
      </c>
      <c r="T127" s="81">
        <f>IF(G127="","",ABS(O127-Components!$C$6))</f>
        <v>1.105666666666671</v>
      </c>
      <c r="U127" s="81">
        <f>IF(G127="","",ABS(O127-Components!$C$7))</f>
        <v>1.3243333333333311</v>
      </c>
      <c r="V127" s="81" t="str">
        <f>IF(G127="","",IF(M127="OK","NONE",INDEX({"S1","S2","W1","W2","N1","N2"},MATCH(MIN(P127:U127),P127:U127,0))))</f>
        <v>NONE</v>
      </c>
      <c r="W127" s="117">
        <f t="shared" si="16"/>
        <v>1</v>
      </c>
      <c r="X127" s="58"/>
    </row>
    <row r="128" spans="1:24">
      <c r="A128" s="115">
        <v>126</v>
      </c>
      <c r="B128" s="116">
        <v>5</v>
      </c>
      <c r="C128" s="81" t="s">
        <v>130</v>
      </c>
      <c r="D128" s="109" t="s">
        <v>238</v>
      </c>
      <c r="E128" s="81" t="s">
        <v>239</v>
      </c>
      <c r="F128" s="61">
        <v>8.8800000000000008</v>
      </c>
      <c r="G128" s="52">
        <f t="shared" si="10"/>
        <v>9.8500000000000014</v>
      </c>
      <c r="H128" s="110"/>
      <c r="I128" s="81">
        <v>9.91</v>
      </c>
      <c r="J128" s="81">
        <f>VLOOKUP(C128,Recipes!$A$2:$N$4,12,FALSE())</f>
        <v>5.0137397426368718E-2</v>
      </c>
      <c r="K128" s="81">
        <f t="shared" si="11"/>
        <v>9.7345191090077101</v>
      </c>
      <c r="L128" s="81">
        <f t="shared" si="12"/>
        <v>10.08548089099229</v>
      </c>
      <c r="M128" s="81" t="str">
        <f t="shared" si="13"/>
        <v>OK</v>
      </c>
      <c r="N128" s="117">
        <f t="shared" si="14"/>
        <v>1</v>
      </c>
      <c r="O128" s="81">
        <f t="shared" si="15"/>
        <v>5.9999999999998721E-2</v>
      </c>
      <c r="P128" s="81">
        <f>IF(G128="","",ABS(O128-Components!$C$2))</f>
        <v>2.6933333333333311</v>
      </c>
      <c r="Q128" s="81">
        <f>IF(G128="","",ABS(O128-Components!$C$3))</f>
        <v>3.9760000000000009</v>
      </c>
      <c r="R128" s="81">
        <f>IF(G128="","",ABS(O128-Components!$C$4))</f>
        <v>0.93333333333333424</v>
      </c>
      <c r="S128" s="81">
        <f>IF(G128="","",ABS(O128-Components!$C$5))</f>
        <v>4.5026666666666717</v>
      </c>
      <c r="T128" s="81">
        <f>IF(G128="","",ABS(O128-Components!$C$6))</f>
        <v>1.0956666666666712</v>
      </c>
      <c r="U128" s="81">
        <f>IF(G128="","",ABS(O128-Components!$C$7))</f>
        <v>1.3143333333333314</v>
      </c>
      <c r="V128" s="81" t="str">
        <f>IF(G128="","",IF(M128="OK","NONE",INDEX({"S1","S2","W1","W2","N1","N2"},MATCH(MIN(P128:U128),P128:U128,0))))</f>
        <v>NONE</v>
      </c>
      <c r="W128" s="117">
        <f t="shared" si="16"/>
        <v>1</v>
      </c>
      <c r="X128" s="58"/>
    </row>
    <row r="129" spans="1:24">
      <c r="A129" s="115">
        <v>127</v>
      </c>
      <c r="B129" s="116">
        <v>5</v>
      </c>
      <c r="C129" s="81" t="s">
        <v>130</v>
      </c>
      <c r="D129" s="109" t="s">
        <v>238</v>
      </c>
      <c r="E129" s="81" t="s">
        <v>239</v>
      </c>
      <c r="F129" s="61">
        <v>8.91</v>
      </c>
      <c r="G129" s="52">
        <f t="shared" si="10"/>
        <v>9.8800000000000008</v>
      </c>
      <c r="H129" s="110"/>
      <c r="I129" s="81">
        <v>9.91</v>
      </c>
      <c r="J129" s="81">
        <f>VLOOKUP(C129,Recipes!$A$2:$N$4,12,FALSE())</f>
        <v>5.0137397426368718E-2</v>
      </c>
      <c r="K129" s="81">
        <f t="shared" si="11"/>
        <v>9.7345191090077101</v>
      </c>
      <c r="L129" s="81">
        <f t="shared" si="12"/>
        <v>10.08548089099229</v>
      </c>
      <c r="M129" s="81" t="str">
        <f t="shared" si="13"/>
        <v>OK</v>
      </c>
      <c r="N129" s="117">
        <f t="shared" si="14"/>
        <v>1</v>
      </c>
      <c r="O129" s="81">
        <f t="shared" si="15"/>
        <v>2.9999999999999361E-2</v>
      </c>
      <c r="P129" s="81">
        <f>IF(G129="","",ABS(O129-Components!$C$2))</f>
        <v>2.7233333333333305</v>
      </c>
      <c r="Q129" s="81">
        <f>IF(G129="","",ABS(O129-Components!$C$3))</f>
        <v>4.0060000000000002</v>
      </c>
      <c r="R129" s="81">
        <f>IF(G129="","",ABS(O129-Components!$C$4))</f>
        <v>0.9633333333333336</v>
      </c>
      <c r="S129" s="81">
        <f>IF(G129="","",ABS(O129-Components!$C$5))</f>
        <v>4.5326666666666711</v>
      </c>
      <c r="T129" s="81">
        <f>IF(G129="","",ABS(O129-Components!$C$6))</f>
        <v>1.1256666666666706</v>
      </c>
      <c r="U129" s="81">
        <f>IF(G129="","",ABS(O129-Components!$C$7))</f>
        <v>1.3443333333333307</v>
      </c>
      <c r="V129" s="81" t="str">
        <f>IF(G129="","",IF(M129="OK","NONE",INDEX({"S1","S2","W1","W2","N1","N2"},MATCH(MIN(P129:U129),P129:U129,0))))</f>
        <v>NONE</v>
      </c>
      <c r="W129" s="117">
        <f t="shared" si="16"/>
        <v>1</v>
      </c>
      <c r="X129" s="58"/>
    </row>
    <row r="130" spans="1:24">
      <c r="A130" s="115">
        <v>128</v>
      </c>
      <c r="B130" s="116">
        <v>5</v>
      </c>
      <c r="C130" s="81" t="s">
        <v>130</v>
      </c>
      <c r="D130" s="109" t="s">
        <v>238</v>
      </c>
      <c r="E130" s="81" t="s">
        <v>239</v>
      </c>
      <c r="F130" s="61">
        <v>8.85</v>
      </c>
      <c r="G130" s="52">
        <f t="shared" si="10"/>
        <v>9.82</v>
      </c>
      <c r="H130" s="110"/>
      <c r="I130" s="81">
        <v>9.91</v>
      </c>
      <c r="J130" s="81">
        <f>VLOOKUP(C130,Recipes!$A$2:$N$4,12,FALSE())</f>
        <v>5.0137397426368718E-2</v>
      </c>
      <c r="K130" s="81">
        <f t="shared" si="11"/>
        <v>9.7345191090077101</v>
      </c>
      <c r="L130" s="81">
        <f t="shared" si="12"/>
        <v>10.08548089099229</v>
      </c>
      <c r="M130" s="81" t="str">
        <f t="shared" si="13"/>
        <v>OK</v>
      </c>
      <c r="N130" s="117">
        <f t="shared" si="14"/>
        <v>1</v>
      </c>
      <c r="O130" s="81">
        <f t="shared" si="15"/>
        <v>8.9999999999999858E-2</v>
      </c>
      <c r="P130" s="81">
        <f>IF(G130="","",ABS(O130-Components!$C$2))</f>
        <v>2.66333333333333</v>
      </c>
      <c r="Q130" s="81">
        <f>IF(G130="","",ABS(O130-Components!$C$3))</f>
        <v>3.9459999999999997</v>
      </c>
      <c r="R130" s="81">
        <f>IF(G130="","",ABS(O130-Components!$C$4))</f>
        <v>0.9033333333333331</v>
      </c>
      <c r="S130" s="81">
        <f>IF(G130="","",ABS(O130-Components!$C$5))</f>
        <v>4.4726666666666706</v>
      </c>
      <c r="T130" s="81">
        <f>IF(G130="","",ABS(O130-Components!$C$6))</f>
        <v>1.0656666666666701</v>
      </c>
      <c r="U130" s="81">
        <f>IF(G130="","",ABS(O130-Components!$C$7))</f>
        <v>1.2843333333333302</v>
      </c>
      <c r="V130" s="81" t="str">
        <f>IF(G130="","",IF(M130="OK","NONE",INDEX({"S1","S2","W1","W2","N1","N2"},MATCH(MIN(P130:U130),P130:U130,0))))</f>
        <v>NONE</v>
      </c>
      <c r="W130" s="117">
        <f t="shared" si="16"/>
        <v>1</v>
      </c>
      <c r="X130" s="58"/>
    </row>
    <row r="131" spans="1:24">
      <c r="A131" s="115">
        <v>129</v>
      </c>
      <c r="B131" s="116">
        <v>5</v>
      </c>
      <c r="C131" s="81" t="s">
        <v>130</v>
      </c>
      <c r="D131" s="109" t="s">
        <v>238</v>
      </c>
      <c r="E131" s="81" t="s">
        <v>239</v>
      </c>
      <c r="F131" s="61">
        <v>8.8800000000000008</v>
      </c>
      <c r="G131" s="52">
        <f t="shared" ref="G131:G194" si="17">0.97+F131</f>
        <v>9.8500000000000014</v>
      </c>
      <c r="H131" s="110"/>
      <c r="I131" s="81">
        <v>9.91</v>
      </c>
      <c r="J131" s="81">
        <f>VLOOKUP(C131,Recipes!$A$2:$N$4,12,FALSE())</f>
        <v>5.0137397426368718E-2</v>
      </c>
      <c r="K131" s="81">
        <f t="shared" si="11"/>
        <v>9.7345191090077101</v>
      </c>
      <c r="L131" s="81">
        <f t="shared" si="12"/>
        <v>10.08548089099229</v>
      </c>
      <c r="M131" s="81" t="str">
        <f t="shared" si="13"/>
        <v>OK</v>
      </c>
      <c r="N131" s="117">
        <f t="shared" si="14"/>
        <v>1</v>
      </c>
      <c r="O131" s="81">
        <f t="shared" si="15"/>
        <v>5.9999999999998721E-2</v>
      </c>
      <c r="P131" s="81">
        <f>IF(G131="","",ABS(O131-Components!$C$2))</f>
        <v>2.6933333333333311</v>
      </c>
      <c r="Q131" s="81">
        <f>IF(G131="","",ABS(O131-Components!$C$3))</f>
        <v>3.9760000000000009</v>
      </c>
      <c r="R131" s="81">
        <f>IF(G131="","",ABS(O131-Components!$C$4))</f>
        <v>0.93333333333333424</v>
      </c>
      <c r="S131" s="81">
        <f>IF(G131="","",ABS(O131-Components!$C$5))</f>
        <v>4.5026666666666717</v>
      </c>
      <c r="T131" s="81">
        <f>IF(G131="","",ABS(O131-Components!$C$6))</f>
        <v>1.0956666666666712</v>
      </c>
      <c r="U131" s="81">
        <f>IF(G131="","",ABS(O131-Components!$C$7))</f>
        <v>1.3143333333333314</v>
      </c>
      <c r="V131" s="81" t="str">
        <f>IF(G131="","",IF(M131="OK","NONE",INDEX({"S1","S2","W1","W2","N1","N2"},MATCH(MIN(P131:U131),P131:U131,0))))</f>
        <v>NONE</v>
      </c>
      <c r="W131" s="117">
        <f t="shared" si="16"/>
        <v>1</v>
      </c>
      <c r="X131" s="58"/>
    </row>
    <row r="132" spans="1:24">
      <c r="A132" s="115">
        <v>130</v>
      </c>
      <c r="B132" s="116">
        <v>5</v>
      </c>
      <c r="C132" s="81" t="s">
        <v>130</v>
      </c>
      <c r="D132" s="109" t="s">
        <v>238</v>
      </c>
      <c r="E132" s="81" t="s">
        <v>239</v>
      </c>
      <c r="F132" s="61">
        <v>8.8699999999999992</v>
      </c>
      <c r="G132" s="52">
        <f t="shared" si="17"/>
        <v>9.84</v>
      </c>
      <c r="H132" s="110"/>
      <c r="I132" s="81">
        <v>9.91</v>
      </c>
      <c r="J132" s="81">
        <f>VLOOKUP(C132,Recipes!$A$2:$N$4,12,FALSE())</f>
        <v>5.0137397426368718E-2</v>
      </c>
      <c r="K132" s="81">
        <f t="shared" ref="K132:K195" si="18">I132-3.5*J132</f>
        <v>9.7345191090077101</v>
      </c>
      <c r="L132" s="81">
        <f t="shared" ref="L132:L195" si="19">I132+3.5*J132</f>
        <v>10.08548089099229</v>
      </c>
      <c r="M132" s="81" t="str">
        <f t="shared" ref="M132:M195" si="20">IF(G132="","",IF(AND(G132&gt;=K132,G132&lt;=L132),"OK","NG"))</f>
        <v>OK</v>
      </c>
      <c r="N132" s="117">
        <f t="shared" ref="N132:N195" si="21">IF(M132="","",IF(M132=D132,1,0))</f>
        <v>1</v>
      </c>
      <c r="O132" s="81">
        <f t="shared" ref="O132:O195" si="22">IF(G132="","",I132-G132)</f>
        <v>7.0000000000000284E-2</v>
      </c>
      <c r="P132" s="81">
        <f>IF(G132="","",ABS(O132-Components!$C$2))</f>
        <v>2.6833333333333296</v>
      </c>
      <c r="Q132" s="81">
        <f>IF(G132="","",ABS(O132-Components!$C$3))</f>
        <v>3.9659999999999993</v>
      </c>
      <c r="R132" s="81">
        <f>IF(G132="","",ABS(O132-Components!$C$4))</f>
        <v>0.92333333333333267</v>
      </c>
      <c r="S132" s="81">
        <f>IF(G132="","",ABS(O132-Components!$C$5))</f>
        <v>4.4926666666666701</v>
      </c>
      <c r="T132" s="81">
        <f>IF(G132="","",ABS(O132-Components!$C$6))</f>
        <v>1.0856666666666697</v>
      </c>
      <c r="U132" s="81">
        <f>IF(G132="","",ABS(O132-Components!$C$7))</f>
        <v>1.3043333333333298</v>
      </c>
      <c r="V132" s="81" t="str">
        <f>IF(G132="","",IF(M132="OK","NONE",INDEX({"S1","S2","W1","W2","N1","N2"},MATCH(MIN(P132:U132),P132:U132,0))))</f>
        <v>NONE</v>
      </c>
      <c r="W132" s="117">
        <f t="shared" ref="W132:W195" si="23">IF(G132="","",IF(V132=E132,1,0))</f>
        <v>1</v>
      </c>
      <c r="X132" s="58"/>
    </row>
    <row r="133" spans="1:24">
      <c r="A133" s="115">
        <v>131</v>
      </c>
      <c r="B133" s="116">
        <v>5</v>
      </c>
      <c r="C133" s="81" t="s">
        <v>130</v>
      </c>
      <c r="D133" s="109" t="s">
        <v>238</v>
      </c>
      <c r="E133" s="81" t="s">
        <v>239</v>
      </c>
      <c r="F133" s="61">
        <v>8.89</v>
      </c>
      <c r="G133" s="52">
        <f t="shared" si="17"/>
        <v>9.8600000000000012</v>
      </c>
      <c r="H133" s="110"/>
      <c r="I133" s="81">
        <v>9.91</v>
      </c>
      <c r="J133" s="81">
        <f>VLOOKUP(C133,Recipes!$A$2:$N$4,12,FALSE())</f>
        <v>5.0137397426368718E-2</v>
      </c>
      <c r="K133" s="81">
        <f t="shared" si="18"/>
        <v>9.7345191090077101</v>
      </c>
      <c r="L133" s="81">
        <f t="shared" si="19"/>
        <v>10.08548089099229</v>
      </c>
      <c r="M133" s="81" t="str">
        <f t="shared" si="20"/>
        <v>OK</v>
      </c>
      <c r="N133" s="117">
        <f t="shared" si="21"/>
        <v>1</v>
      </c>
      <c r="O133" s="81">
        <f t="shared" si="22"/>
        <v>4.9999999999998934E-2</v>
      </c>
      <c r="P133" s="81">
        <f>IF(G133="","",ABS(O133-Components!$C$2))</f>
        <v>2.7033333333333309</v>
      </c>
      <c r="Q133" s="81">
        <f>IF(G133="","",ABS(O133-Components!$C$3))</f>
        <v>3.9860000000000007</v>
      </c>
      <c r="R133" s="81">
        <f>IF(G133="","",ABS(O133-Components!$C$4))</f>
        <v>0.94333333333333402</v>
      </c>
      <c r="S133" s="81">
        <f>IF(G133="","",ABS(O133-Components!$C$5))</f>
        <v>4.5126666666666715</v>
      </c>
      <c r="T133" s="81">
        <f>IF(G133="","",ABS(O133-Components!$C$6))</f>
        <v>1.105666666666671</v>
      </c>
      <c r="U133" s="81">
        <f>IF(G133="","",ABS(O133-Components!$C$7))</f>
        <v>1.3243333333333311</v>
      </c>
      <c r="V133" s="81" t="str">
        <f>IF(G133="","",IF(M133="OK","NONE",INDEX({"S1","S2","W1","W2","N1","N2"},MATCH(MIN(P133:U133),P133:U133,0))))</f>
        <v>NONE</v>
      </c>
      <c r="W133" s="117">
        <f t="shared" si="23"/>
        <v>1</v>
      </c>
      <c r="X133" s="58"/>
    </row>
    <row r="134" spans="1:24">
      <c r="A134" s="115">
        <v>132</v>
      </c>
      <c r="B134" s="116">
        <v>5</v>
      </c>
      <c r="C134" s="81" t="s">
        <v>130</v>
      </c>
      <c r="D134" s="109" t="s">
        <v>238</v>
      </c>
      <c r="E134" s="81" t="s">
        <v>239</v>
      </c>
      <c r="F134" s="61">
        <v>8.8699999999999992</v>
      </c>
      <c r="G134" s="52">
        <f t="shared" si="17"/>
        <v>9.84</v>
      </c>
      <c r="H134" s="110"/>
      <c r="I134" s="81">
        <v>9.91</v>
      </c>
      <c r="J134" s="81">
        <f>VLOOKUP(C134,Recipes!$A$2:$N$4,12,FALSE())</f>
        <v>5.0137397426368718E-2</v>
      </c>
      <c r="K134" s="81">
        <f t="shared" si="18"/>
        <v>9.7345191090077101</v>
      </c>
      <c r="L134" s="81">
        <f t="shared" si="19"/>
        <v>10.08548089099229</v>
      </c>
      <c r="M134" s="81" t="str">
        <f t="shared" si="20"/>
        <v>OK</v>
      </c>
      <c r="N134" s="117">
        <f t="shared" si="21"/>
        <v>1</v>
      </c>
      <c r="O134" s="81">
        <f t="shared" si="22"/>
        <v>7.0000000000000284E-2</v>
      </c>
      <c r="P134" s="81">
        <f>IF(G134="","",ABS(O134-Components!$C$2))</f>
        <v>2.6833333333333296</v>
      </c>
      <c r="Q134" s="81">
        <f>IF(G134="","",ABS(O134-Components!$C$3))</f>
        <v>3.9659999999999993</v>
      </c>
      <c r="R134" s="81">
        <f>IF(G134="","",ABS(O134-Components!$C$4))</f>
        <v>0.92333333333333267</v>
      </c>
      <c r="S134" s="81">
        <f>IF(G134="","",ABS(O134-Components!$C$5))</f>
        <v>4.4926666666666701</v>
      </c>
      <c r="T134" s="81">
        <f>IF(G134="","",ABS(O134-Components!$C$6))</f>
        <v>1.0856666666666697</v>
      </c>
      <c r="U134" s="81">
        <f>IF(G134="","",ABS(O134-Components!$C$7))</f>
        <v>1.3043333333333298</v>
      </c>
      <c r="V134" s="81" t="str">
        <f>IF(G134="","",IF(M134="OK","NONE",INDEX({"S1","S2","W1","W2","N1","N2"},MATCH(MIN(P134:U134),P134:U134,0))))</f>
        <v>NONE</v>
      </c>
      <c r="W134" s="117">
        <f t="shared" si="23"/>
        <v>1</v>
      </c>
      <c r="X134" s="58"/>
    </row>
    <row r="135" spans="1:24">
      <c r="A135" s="115">
        <v>133</v>
      </c>
      <c r="B135" s="116">
        <v>5</v>
      </c>
      <c r="C135" s="81" t="s">
        <v>130</v>
      </c>
      <c r="D135" s="109" t="s">
        <v>238</v>
      </c>
      <c r="E135" s="81" t="s">
        <v>239</v>
      </c>
      <c r="F135" s="61">
        <v>8.9700000000000006</v>
      </c>
      <c r="G135" s="52">
        <f t="shared" si="17"/>
        <v>9.9400000000000013</v>
      </c>
      <c r="H135" s="110"/>
      <c r="I135" s="81">
        <v>9.91</v>
      </c>
      <c r="J135" s="81">
        <f>VLOOKUP(C135,Recipes!$A$2:$N$4,12,FALSE())</f>
        <v>5.0137397426368718E-2</v>
      </c>
      <c r="K135" s="81">
        <f t="shared" si="18"/>
        <v>9.7345191090077101</v>
      </c>
      <c r="L135" s="81">
        <f t="shared" si="19"/>
        <v>10.08548089099229</v>
      </c>
      <c r="M135" s="81" t="str">
        <f t="shared" si="20"/>
        <v>OK</v>
      </c>
      <c r="N135" s="117">
        <f t="shared" si="21"/>
        <v>1</v>
      </c>
      <c r="O135" s="81">
        <f t="shared" si="22"/>
        <v>-3.0000000000001137E-2</v>
      </c>
      <c r="P135" s="81">
        <f>IF(G135="","",ABS(O135-Components!$C$2))</f>
        <v>2.783333333333331</v>
      </c>
      <c r="Q135" s="81">
        <f>IF(G135="","",ABS(O135-Components!$C$3))</f>
        <v>4.0660000000000007</v>
      </c>
      <c r="R135" s="81">
        <f>IF(G135="","",ABS(O135-Components!$C$4))</f>
        <v>1.0233333333333341</v>
      </c>
      <c r="S135" s="81">
        <f>IF(G135="","",ABS(O135-Components!$C$5))</f>
        <v>4.5926666666666716</v>
      </c>
      <c r="T135" s="81">
        <f>IF(G135="","",ABS(O135-Components!$C$6))</f>
        <v>1.1856666666666711</v>
      </c>
      <c r="U135" s="81">
        <f>IF(G135="","",ABS(O135-Components!$C$7))</f>
        <v>1.4043333333333312</v>
      </c>
      <c r="V135" s="81" t="str">
        <f>IF(G135="","",IF(M135="OK","NONE",INDEX({"S1","S2","W1","W2","N1","N2"},MATCH(MIN(P135:U135),P135:U135,0))))</f>
        <v>NONE</v>
      </c>
      <c r="W135" s="117">
        <f t="shared" si="23"/>
        <v>1</v>
      </c>
      <c r="X135" s="58"/>
    </row>
    <row r="136" spans="1:24">
      <c r="A136" s="115">
        <v>134</v>
      </c>
      <c r="B136" s="116">
        <v>5</v>
      </c>
      <c r="C136" s="81" t="s">
        <v>130</v>
      </c>
      <c r="D136" s="109" t="s">
        <v>238</v>
      </c>
      <c r="E136" s="81" t="s">
        <v>239</v>
      </c>
      <c r="F136" s="61">
        <v>8.94</v>
      </c>
      <c r="G136" s="52">
        <f t="shared" si="17"/>
        <v>9.91</v>
      </c>
      <c r="H136" s="110"/>
      <c r="I136" s="81">
        <v>9.91</v>
      </c>
      <c r="J136" s="81">
        <f>VLOOKUP(C136,Recipes!$A$2:$N$4,12,FALSE())</f>
        <v>5.0137397426368718E-2</v>
      </c>
      <c r="K136" s="81">
        <f t="shared" si="18"/>
        <v>9.7345191090077101</v>
      </c>
      <c r="L136" s="81">
        <f t="shared" si="19"/>
        <v>10.08548089099229</v>
      </c>
      <c r="M136" s="81" t="str">
        <f t="shared" si="20"/>
        <v>OK</v>
      </c>
      <c r="N136" s="117">
        <f t="shared" si="21"/>
        <v>1</v>
      </c>
      <c r="O136" s="81">
        <f t="shared" si="22"/>
        <v>0</v>
      </c>
      <c r="P136" s="81">
        <f>IF(G136="","",ABS(O136-Components!$C$2))</f>
        <v>2.7533333333333299</v>
      </c>
      <c r="Q136" s="81">
        <f>IF(G136="","",ABS(O136-Components!$C$3))</f>
        <v>4.0359999999999996</v>
      </c>
      <c r="R136" s="81">
        <f>IF(G136="","",ABS(O136-Components!$C$4))</f>
        <v>0.99333333333333296</v>
      </c>
      <c r="S136" s="81">
        <f>IF(G136="","",ABS(O136-Components!$C$5))</f>
        <v>4.5626666666666704</v>
      </c>
      <c r="T136" s="81">
        <f>IF(G136="","",ABS(O136-Components!$C$6))</f>
        <v>1.15566666666667</v>
      </c>
      <c r="U136" s="81">
        <f>IF(G136="","",ABS(O136-Components!$C$7))</f>
        <v>1.3743333333333301</v>
      </c>
      <c r="V136" s="81" t="str">
        <f>IF(G136="","",IF(M136="OK","NONE",INDEX({"S1","S2","W1","W2","N1","N2"},MATCH(MIN(P136:U136),P136:U136,0))))</f>
        <v>NONE</v>
      </c>
      <c r="W136" s="117">
        <f t="shared" si="23"/>
        <v>1</v>
      </c>
      <c r="X136" s="58"/>
    </row>
    <row r="137" spans="1:24">
      <c r="A137" s="115">
        <v>135</v>
      </c>
      <c r="B137" s="116">
        <v>5</v>
      </c>
      <c r="C137" s="81" t="s">
        <v>130</v>
      </c>
      <c r="D137" s="109" t="s">
        <v>238</v>
      </c>
      <c r="E137" s="81" t="s">
        <v>239</v>
      </c>
      <c r="F137" s="61">
        <v>8.89</v>
      </c>
      <c r="G137" s="52">
        <f t="shared" si="17"/>
        <v>9.8600000000000012</v>
      </c>
      <c r="H137" s="110"/>
      <c r="I137" s="81">
        <v>9.91</v>
      </c>
      <c r="J137" s="81">
        <f>VLOOKUP(C137,Recipes!$A$2:$N$4,12,FALSE())</f>
        <v>5.0137397426368718E-2</v>
      </c>
      <c r="K137" s="81">
        <f t="shared" si="18"/>
        <v>9.7345191090077101</v>
      </c>
      <c r="L137" s="81">
        <f t="shared" si="19"/>
        <v>10.08548089099229</v>
      </c>
      <c r="M137" s="81" t="str">
        <f t="shared" si="20"/>
        <v>OK</v>
      </c>
      <c r="N137" s="117">
        <f t="shared" si="21"/>
        <v>1</v>
      </c>
      <c r="O137" s="81">
        <f t="shared" si="22"/>
        <v>4.9999999999998934E-2</v>
      </c>
      <c r="P137" s="81">
        <f>IF(G137="","",ABS(O137-Components!$C$2))</f>
        <v>2.7033333333333309</v>
      </c>
      <c r="Q137" s="81">
        <f>IF(G137="","",ABS(O137-Components!$C$3))</f>
        <v>3.9860000000000007</v>
      </c>
      <c r="R137" s="81">
        <f>IF(G137="","",ABS(O137-Components!$C$4))</f>
        <v>0.94333333333333402</v>
      </c>
      <c r="S137" s="81">
        <f>IF(G137="","",ABS(O137-Components!$C$5))</f>
        <v>4.5126666666666715</v>
      </c>
      <c r="T137" s="81">
        <f>IF(G137="","",ABS(O137-Components!$C$6))</f>
        <v>1.105666666666671</v>
      </c>
      <c r="U137" s="81">
        <f>IF(G137="","",ABS(O137-Components!$C$7))</f>
        <v>1.3243333333333311</v>
      </c>
      <c r="V137" s="81" t="str">
        <f>IF(G137="","",IF(M137="OK","NONE",INDEX({"S1","S2","W1","W2","N1","N2"},MATCH(MIN(P137:U137),P137:U137,0))))</f>
        <v>NONE</v>
      </c>
      <c r="W137" s="117">
        <f t="shared" si="23"/>
        <v>1</v>
      </c>
      <c r="X137" s="58"/>
    </row>
    <row r="138" spans="1:24">
      <c r="A138" s="115">
        <v>136</v>
      </c>
      <c r="B138" s="116">
        <v>5</v>
      </c>
      <c r="C138" s="81" t="s">
        <v>130</v>
      </c>
      <c r="D138" s="109" t="s">
        <v>238</v>
      </c>
      <c r="E138" s="81" t="s">
        <v>239</v>
      </c>
      <c r="F138" s="61">
        <v>8.8800000000000008</v>
      </c>
      <c r="G138" s="52">
        <f t="shared" si="17"/>
        <v>9.8500000000000014</v>
      </c>
      <c r="H138" s="110"/>
      <c r="I138" s="81">
        <v>9.91</v>
      </c>
      <c r="J138" s="81">
        <f>VLOOKUP(C138,Recipes!$A$2:$N$4,12,FALSE())</f>
        <v>5.0137397426368718E-2</v>
      </c>
      <c r="K138" s="81">
        <f t="shared" si="18"/>
        <v>9.7345191090077101</v>
      </c>
      <c r="L138" s="81">
        <f t="shared" si="19"/>
        <v>10.08548089099229</v>
      </c>
      <c r="M138" s="81" t="str">
        <f t="shared" si="20"/>
        <v>OK</v>
      </c>
      <c r="N138" s="117">
        <f t="shared" si="21"/>
        <v>1</v>
      </c>
      <c r="O138" s="81">
        <f t="shared" si="22"/>
        <v>5.9999999999998721E-2</v>
      </c>
      <c r="P138" s="81">
        <f>IF(G138="","",ABS(O138-Components!$C$2))</f>
        <v>2.6933333333333311</v>
      </c>
      <c r="Q138" s="81">
        <f>IF(G138="","",ABS(O138-Components!$C$3))</f>
        <v>3.9760000000000009</v>
      </c>
      <c r="R138" s="81">
        <f>IF(G138="","",ABS(O138-Components!$C$4))</f>
        <v>0.93333333333333424</v>
      </c>
      <c r="S138" s="81">
        <f>IF(G138="","",ABS(O138-Components!$C$5))</f>
        <v>4.5026666666666717</v>
      </c>
      <c r="T138" s="81">
        <f>IF(G138="","",ABS(O138-Components!$C$6))</f>
        <v>1.0956666666666712</v>
      </c>
      <c r="U138" s="81">
        <f>IF(G138="","",ABS(O138-Components!$C$7))</f>
        <v>1.3143333333333314</v>
      </c>
      <c r="V138" s="81" t="str">
        <f>IF(G138="","",IF(M138="OK","NONE",INDEX({"S1","S2","W1","W2","N1","N2"},MATCH(MIN(P138:U138),P138:U138,0))))</f>
        <v>NONE</v>
      </c>
      <c r="W138" s="117">
        <f t="shared" si="23"/>
        <v>1</v>
      </c>
      <c r="X138" s="58"/>
    </row>
    <row r="139" spans="1:24">
      <c r="A139" s="115">
        <v>137</v>
      </c>
      <c r="B139" s="116">
        <v>5</v>
      </c>
      <c r="C139" s="81" t="s">
        <v>130</v>
      </c>
      <c r="D139" s="109" t="s">
        <v>238</v>
      </c>
      <c r="E139" s="81" t="s">
        <v>239</v>
      </c>
      <c r="F139" s="61">
        <v>8.93</v>
      </c>
      <c r="G139" s="52">
        <f t="shared" si="17"/>
        <v>9.9</v>
      </c>
      <c r="H139" s="110"/>
      <c r="I139" s="81">
        <v>9.91</v>
      </c>
      <c r="J139" s="81">
        <f>VLOOKUP(C139,Recipes!$A$2:$N$4,12,FALSE())</f>
        <v>5.0137397426368718E-2</v>
      </c>
      <c r="K139" s="81">
        <f t="shared" si="18"/>
        <v>9.7345191090077101</v>
      </c>
      <c r="L139" s="81">
        <f t="shared" si="19"/>
        <v>10.08548089099229</v>
      </c>
      <c r="M139" s="81" t="str">
        <f t="shared" si="20"/>
        <v>OK</v>
      </c>
      <c r="N139" s="117">
        <f t="shared" si="21"/>
        <v>1</v>
      </c>
      <c r="O139" s="81">
        <f t="shared" si="22"/>
        <v>9.9999999999997868E-3</v>
      </c>
      <c r="P139" s="81">
        <f>IF(G139="","",ABS(O139-Components!$C$2))</f>
        <v>2.7433333333333301</v>
      </c>
      <c r="Q139" s="81">
        <f>IF(G139="","",ABS(O139-Components!$C$3))</f>
        <v>4.0259999999999998</v>
      </c>
      <c r="R139" s="81">
        <f>IF(G139="","",ABS(O139-Components!$C$4))</f>
        <v>0.98333333333333317</v>
      </c>
      <c r="S139" s="81">
        <f>IF(G139="","",ABS(O139-Components!$C$5))</f>
        <v>4.5526666666666706</v>
      </c>
      <c r="T139" s="81">
        <f>IF(G139="","",ABS(O139-Components!$C$6))</f>
        <v>1.1456666666666702</v>
      </c>
      <c r="U139" s="81">
        <f>IF(G139="","",ABS(O139-Components!$C$7))</f>
        <v>1.3643333333333303</v>
      </c>
      <c r="V139" s="81" t="str">
        <f>IF(G139="","",IF(M139="OK","NONE",INDEX({"S1","S2","W1","W2","N1","N2"},MATCH(MIN(P139:U139),P139:U139,0))))</f>
        <v>NONE</v>
      </c>
      <c r="W139" s="117">
        <f t="shared" si="23"/>
        <v>1</v>
      </c>
      <c r="X139" s="58"/>
    </row>
    <row r="140" spans="1:24">
      <c r="A140" s="115">
        <v>138</v>
      </c>
      <c r="B140" s="116">
        <v>5</v>
      </c>
      <c r="C140" s="81" t="s">
        <v>130</v>
      </c>
      <c r="D140" s="109" t="s">
        <v>238</v>
      </c>
      <c r="E140" s="81" t="s">
        <v>239</v>
      </c>
      <c r="F140" s="61">
        <v>8.93</v>
      </c>
      <c r="G140" s="52">
        <f t="shared" si="17"/>
        <v>9.9</v>
      </c>
      <c r="H140" s="110"/>
      <c r="I140" s="81">
        <v>9.91</v>
      </c>
      <c r="J140" s="81">
        <f>VLOOKUP(C140,Recipes!$A$2:$N$4,12,FALSE())</f>
        <v>5.0137397426368718E-2</v>
      </c>
      <c r="K140" s="81">
        <f t="shared" si="18"/>
        <v>9.7345191090077101</v>
      </c>
      <c r="L140" s="81">
        <f t="shared" si="19"/>
        <v>10.08548089099229</v>
      </c>
      <c r="M140" s="81" t="str">
        <f t="shared" si="20"/>
        <v>OK</v>
      </c>
      <c r="N140" s="117">
        <f t="shared" si="21"/>
        <v>1</v>
      </c>
      <c r="O140" s="81">
        <f t="shared" si="22"/>
        <v>9.9999999999997868E-3</v>
      </c>
      <c r="P140" s="81">
        <f>IF(G140="","",ABS(O140-Components!$C$2))</f>
        <v>2.7433333333333301</v>
      </c>
      <c r="Q140" s="81">
        <f>IF(G140="","",ABS(O140-Components!$C$3))</f>
        <v>4.0259999999999998</v>
      </c>
      <c r="R140" s="81">
        <f>IF(G140="","",ABS(O140-Components!$C$4))</f>
        <v>0.98333333333333317</v>
      </c>
      <c r="S140" s="81">
        <f>IF(G140="","",ABS(O140-Components!$C$5))</f>
        <v>4.5526666666666706</v>
      </c>
      <c r="T140" s="81">
        <f>IF(G140="","",ABS(O140-Components!$C$6))</f>
        <v>1.1456666666666702</v>
      </c>
      <c r="U140" s="81">
        <f>IF(G140="","",ABS(O140-Components!$C$7))</f>
        <v>1.3643333333333303</v>
      </c>
      <c r="V140" s="81" t="str">
        <f>IF(G140="","",IF(M140="OK","NONE",INDEX({"S1","S2","W1","W2","N1","N2"},MATCH(MIN(P140:U140),P140:U140,0))))</f>
        <v>NONE</v>
      </c>
      <c r="W140" s="117">
        <f t="shared" si="23"/>
        <v>1</v>
      </c>
      <c r="X140" s="58"/>
    </row>
    <row r="141" spans="1:24">
      <c r="A141" s="115">
        <v>139</v>
      </c>
      <c r="B141" s="116">
        <v>5</v>
      </c>
      <c r="C141" s="81" t="s">
        <v>130</v>
      </c>
      <c r="D141" s="109" t="s">
        <v>238</v>
      </c>
      <c r="E141" s="81" t="s">
        <v>239</v>
      </c>
      <c r="F141" s="61">
        <v>8.92</v>
      </c>
      <c r="G141" s="52">
        <f t="shared" si="17"/>
        <v>9.89</v>
      </c>
      <c r="H141" s="110"/>
      <c r="I141" s="81">
        <v>9.91</v>
      </c>
      <c r="J141" s="81">
        <f>VLOOKUP(C141,Recipes!$A$2:$N$4,12,FALSE())</f>
        <v>5.0137397426368718E-2</v>
      </c>
      <c r="K141" s="81">
        <f t="shared" si="18"/>
        <v>9.7345191090077101</v>
      </c>
      <c r="L141" s="81">
        <f t="shared" si="19"/>
        <v>10.08548089099229</v>
      </c>
      <c r="M141" s="81" t="str">
        <f t="shared" si="20"/>
        <v>OK</v>
      </c>
      <c r="N141" s="117">
        <f t="shared" si="21"/>
        <v>1</v>
      </c>
      <c r="O141" s="81">
        <f t="shared" si="22"/>
        <v>1.9999999999999574E-2</v>
      </c>
      <c r="P141" s="81">
        <f>IF(G141="","",ABS(O141-Components!$C$2))</f>
        <v>2.7333333333333303</v>
      </c>
      <c r="Q141" s="81">
        <f>IF(G141="","",ABS(O141-Components!$C$3))</f>
        <v>4.016</v>
      </c>
      <c r="R141" s="81">
        <f>IF(G141="","",ABS(O141-Components!$C$4))</f>
        <v>0.97333333333333338</v>
      </c>
      <c r="S141" s="81">
        <f>IF(G141="","",ABS(O141-Components!$C$5))</f>
        <v>4.5426666666666708</v>
      </c>
      <c r="T141" s="81">
        <f>IF(G141="","",ABS(O141-Components!$C$6))</f>
        <v>1.1356666666666704</v>
      </c>
      <c r="U141" s="81">
        <f>IF(G141="","",ABS(O141-Components!$C$7))</f>
        <v>1.3543333333333305</v>
      </c>
      <c r="V141" s="81" t="str">
        <f>IF(G141="","",IF(M141="OK","NONE",INDEX({"S1","S2","W1","W2","N1","N2"},MATCH(MIN(P141:U141),P141:U141,0))))</f>
        <v>NONE</v>
      </c>
      <c r="W141" s="117">
        <f t="shared" si="23"/>
        <v>1</v>
      </c>
      <c r="X141" s="58"/>
    </row>
    <row r="142" spans="1:24">
      <c r="A142" s="115">
        <v>140</v>
      </c>
      <c r="B142" s="116">
        <v>5</v>
      </c>
      <c r="C142" s="81" t="s">
        <v>130</v>
      </c>
      <c r="D142" s="109" t="s">
        <v>238</v>
      </c>
      <c r="E142" s="81" t="s">
        <v>239</v>
      </c>
      <c r="F142" s="61">
        <v>8.8800000000000008</v>
      </c>
      <c r="G142" s="52">
        <f t="shared" si="17"/>
        <v>9.8500000000000014</v>
      </c>
      <c r="H142" s="110"/>
      <c r="I142" s="81">
        <v>9.91</v>
      </c>
      <c r="J142" s="81">
        <f>VLOOKUP(C142,Recipes!$A$2:$N$4,12,FALSE())</f>
        <v>5.0137397426368718E-2</v>
      </c>
      <c r="K142" s="81">
        <f t="shared" si="18"/>
        <v>9.7345191090077101</v>
      </c>
      <c r="L142" s="81">
        <f t="shared" si="19"/>
        <v>10.08548089099229</v>
      </c>
      <c r="M142" s="81" t="str">
        <f t="shared" si="20"/>
        <v>OK</v>
      </c>
      <c r="N142" s="117">
        <f t="shared" si="21"/>
        <v>1</v>
      </c>
      <c r="O142" s="81">
        <f t="shared" si="22"/>
        <v>5.9999999999998721E-2</v>
      </c>
      <c r="P142" s="81">
        <f>IF(G142="","",ABS(O142-Components!$C$2))</f>
        <v>2.6933333333333311</v>
      </c>
      <c r="Q142" s="81">
        <f>IF(G142="","",ABS(O142-Components!$C$3))</f>
        <v>3.9760000000000009</v>
      </c>
      <c r="R142" s="81">
        <f>IF(G142="","",ABS(O142-Components!$C$4))</f>
        <v>0.93333333333333424</v>
      </c>
      <c r="S142" s="81">
        <f>IF(G142="","",ABS(O142-Components!$C$5))</f>
        <v>4.5026666666666717</v>
      </c>
      <c r="T142" s="81">
        <f>IF(G142="","",ABS(O142-Components!$C$6))</f>
        <v>1.0956666666666712</v>
      </c>
      <c r="U142" s="81">
        <f>IF(G142="","",ABS(O142-Components!$C$7))</f>
        <v>1.3143333333333314</v>
      </c>
      <c r="V142" s="81" t="str">
        <f>IF(G142="","",IF(M142="OK","NONE",INDEX({"S1","S2","W1","W2","N1","N2"},MATCH(MIN(P142:U142),P142:U142,0))))</f>
        <v>NONE</v>
      </c>
      <c r="W142" s="117">
        <f t="shared" si="23"/>
        <v>1</v>
      </c>
      <c r="X142" s="58"/>
    </row>
    <row r="143" spans="1:24">
      <c r="A143" s="115">
        <v>141</v>
      </c>
      <c r="B143" s="116">
        <v>5</v>
      </c>
      <c r="C143" s="81" t="s">
        <v>130</v>
      </c>
      <c r="D143" s="109" t="s">
        <v>238</v>
      </c>
      <c r="E143" s="81" t="s">
        <v>239</v>
      </c>
      <c r="F143" s="61">
        <v>8.9</v>
      </c>
      <c r="G143" s="52">
        <f t="shared" si="17"/>
        <v>9.870000000000001</v>
      </c>
      <c r="H143" s="110"/>
      <c r="I143" s="81">
        <v>9.91</v>
      </c>
      <c r="J143" s="81">
        <f>VLOOKUP(C143,Recipes!$A$2:$N$4,12,FALSE())</f>
        <v>5.0137397426368718E-2</v>
      </c>
      <c r="K143" s="81">
        <f t="shared" si="18"/>
        <v>9.7345191090077101</v>
      </c>
      <c r="L143" s="81">
        <f t="shared" si="19"/>
        <v>10.08548089099229</v>
      </c>
      <c r="M143" s="81" t="str">
        <f t="shared" si="20"/>
        <v>OK</v>
      </c>
      <c r="N143" s="117">
        <f t="shared" si="21"/>
        <v>1</v>
      </c>
      <c r="O143" s="81">
        <f t="shared" si="22"/>
        <v>3.9999999999999147E-2</v>
      </c>
      <c r="P143" s="81">
        <f>IF(G143="","",ABS(O143-Components!$C$2))</f>
        <v>2.7133333333333307</v>
      </c>
      <c r="Q143" s="81">
        <f>IF(G143="","",ABS(O143-Components!$C$3))</f>
        <v>3.9960000000000004</v>
      </c>
      <c r="R143" s="81">
        <f>IF(G143="","",ABS(O143-Components!$C$4))</f>
        <v>0.95333333333333381</v>
      </c>
      <c r="S143" s="81">
        <f>IF(G143="","",ABS(O143-Components!$C$5))</f>
        <v>4.5226666666666713</v>
      </c>
      <c r="T143" s="81">
        <f>IF(G143="","",ABS(O143-Components!$C$6))</f>
        <v>1.1156666666666708</v>
      </c>
      <c r="U143" s="81">
        <f>IF(G143="","",ABS(O143-Components!$C$7))</f>
        <v>1.3343333333333309</v>
      </c>
      <c r="V143" s="81" t="str">
        <f>IF(G143="","",IF(M143="OK","NONE",INDEX({"S1","S2","W1","W2","N1","N2"},MATCH(MIN(P143:U143),P143:U143,0))))</f>
        <v>NONE</v>
      </c>
      <c r="W143" s="117">
        <f t="shared" si="23"/>
        <v>1</v>
      </c>
      <c r="X143" s="58"/>
    </row>
    <row r="144" spans="1:24">
      <c r="A144" s="115">
        <v>142</v>
      </c>
      <c r="B144" s="116">
        <v>5</v>
      </c>
      <c r="C144" s="81" t="s">
        <v>130</v>
      </c>
      <c r="D144" s="109" t="s">
        <v>238</v>
      </c>
      <c r="E144" s="81" t="s">
        <v>239</v>
      </c>
      <c r="F144" s="61">
        <v>8.8699999999999992</v>
      </c>
      <c r="G144" s="52">
        <f t="shared" si="17"/>
        <v>9.84</v>
      </c>
      <c r="H144" s="110"/>
      <c r="I144" s="81">
        <v>9.91</v>
      </c>
      <c r="J144" s="81">
        <f>VLOOKUP(C144,Recipes!$A$2:$N$4,12,FALSE())</f>
        <v>5.0137397426368718E-2</v>
      </c>
      <c r="K144" s="81">
        <f t="shared" si="18"/>
        <v>9.7345191090077101</v>
      </c>
      <c r="L144" s="81">
        <f t="shared" si="19"/>
        <v>10.08548089099229</v>
      </c>
      <c r="M144" s="81" t="str">
        <f t="shared" si="20"/>
        <v>OK</v>
      </c>
      <c r="N144" s="117">
        <f t="shared" si="21"/>
        <v>1</v>
      </c>
      <c r="O144" s="81">
        <f t="shared" si="22"/>
        <v>7.0000000000000284E-2</v>
      </c>
      <c r="P144" s="81">
        <f>IF(G144="","",ABS(O144-Components!$C$2))</f>
        <v>2.6833333333333296</v>
      </c>
      <c r="Q144" s="81">
        <f>IF(G144="","",ABS(O144-Components!$C$3))</f>
        <v>3.9659999999999993</v>
      </c>
      <c r="R144" s="81">
        <f>IF(G144="","",ABS(O144-Components!$C$4))</f>
        <v>0.92333333333333267</v>
      </c>
      <c r="S144" s="81">
        <f>IF(G144="","",ABS(O144-Components!$C$5))</f>
        <v>4.4926666666666701</v>
      </c>
      <c r="T144" s="81">
        <f>IF(G144="","",ABS(O144-Components!$C$6))</f>
        <v>1.0856666666666697</v>
      </c>
      <c r="U144" s="81">
        <f>IF(G144="","",ABS(O144-Components!$C$7))</f>
        <v>1.3043333333333298</v>
      </c>
      <c r="V144" s="81" t="str">
        <f>IF(G144="","",IF(M144="OK","NONE",INDEX({"S1","S2","W1","W2","N1","N2"},MATCH(MIN(P144:U144),P144:U144,0))))</f>
        <v>NONE</v>
      </c>
      <c r="W144" s="117">
        <f t="shared" si="23"/>
        <v>1</v>
      </c>
      <c r="X144" s="58"/>
    </row>
    <row r="145" spans="1:24">
      <c r="A145" s="115">
        <v>143</v>
      </c>
      <c r="B145" s="116">
        <v>5</v>
      </c>
      <c r="C145" s="81" t="s">
        <v>130</v>
      </c>
      <c r="D145" s="109" t="s">
        <v>238</v>
      </c>
      <c r="E145" s="81" t="s">
        <v>239</v>
      </c>
      <c r="F145" s="61">
        <v>8.93</v>
      </c>
      <c r="G145" s="52">
        <f t="shared" si="17"/>
        <v>9.9</v>
      </c>
      <c r="H145" s="110"/>
      <c r="I145" s="81">
        <v>9.91</v>
      </c>
      <c r="J145" s="81">
        <f>VLOOKUP(C145,Recipes!$A$2:$N$4,12,FALSE())</f>
        <v>5.0137397426368718E-2</v>
      </c>
      <c r="K145" s="81">
        <f t="shared" si="18"/>
        <v>9.7345191090077101</v>
      </c>
      <c r="L145" s="81">
        <f t="shared" si="19"/>
        <v>10.08548089099229</v>
      </c>
      <c r="M145" s="81" t="str">
        <f t="shared" si="20"/>
        <v>OK</v>
      </c>
      <c r="N145" s="117">
        <f t="shared" si="21"/>
        <v>1</v>
      </c>
      <c r="O145" s="81">
        <f t="shared" si="22"/>
        <v>9.9999999999997868E-3</v>
      </c>
      <c r="P145" s="81">
        <f>IF(G145="","",ABS(O145-Components!$C$2))</f>
        <v>2.7433333333333301</v>
      </c>
      <c r="Q145" s="81">
        <f>IF(G145="","",ABS(O145-Components!$C$3))</f>
        <v>4.0259999999999998</v>
      </c>
      <c r="R145" s="81">
        <f>IF(G145="","",ABS(O145-Components!$C$4))</f>
        <v>0.98333333333333317</v>
      </c>
      <c r="S145" s="81">
        <f>IF(G145="","",ABS(O145-Components!$C$5))</f>
        <v>4.5526666666666706</v>
      </c>
      <c r="T145" s="81">
        <f>IF(G145="","",ABS(O145-Components!$C$6))</f>
        <v>1.1456666666666702</v>
      </c>
      <c r="U145" s="81">
        <f>IF(G145="","",ABS(O145-Components!$C$7))</f>
        <v>1.3643333333333303</v>
      </c>
      <c r="V145" s="81" t="str">
        <f>IF(G145="","",IF(M145="OK","NONE",INDEX({"S1","S2","W1","W2","N1","N2"},MATCH(MIN(P145:U145),P145:U145,0))))</f>
        <v>NONE</v>
      </c>
      <c r="W145" s="117">
        <f t="shared" si="23"/>
        <v>1</v>
      </c>
      <c r="X145" s="58"/>
    </row>
    <row r="146" spans="1:24">
      <c r="A146" s="115">
        <v>144</v>
      </c>
      <c r="B146" s="116">
        <v>5</v>
      </c>
      <c r="C146" s="81" t="s">
        <v>130</v>
      </c>
      <c r="D146" s="109" t="s">
        <v>238</v>
      </c>
      <c r="E146" s="81" t="s">
        <v>239</v>
      </c>
      <c r="F146" s="61">
        <v>8.94</v>
      </c>
      <c r="G146" s="52">
        <f t="shared" si="17"/>
        <v>9.91</v>
      </c>
      <c r="H146" s="110"/>
      <c r="I146" s="81">
        <v>9.91</v>
      </c>
      <c r="J146" s="81">
        <f>VLOOKUP(C146,Recipes!$A$2:$N$4,12,FALSE())</f>
        <v>5.0137397426368718E-2</v>
      </c>
      <c r="K146" s="81">
        <f t="shared" si="18"/>
        <v>9.7345191090077101</v>
      </c>
      <c r="L146" s="81">
        <f t="shared" si="19"/>
        <v>10.08548089099229</v>
      </c>
      <c r="M146" s="81" t="str">
        <f t="shared" si="20"/>
        <v>OK</v>
      </c>
      <c r="N146" s="117">
        <f t="shared" si="21"/>
        <v>1</v>
      </c>
      <c r="O146" s="81">
        <f t="shared" si="22"/>
        <v>0</v>
      </c>
      <c r="P146" s="81">
        <f>IF(G146="","",ABS(O146-Components!$C$2))</f>
        <v>2.7533333333333299</v>
      </c>
      <c r="Q146" s="81">
        <f>IF(G146="","",ABS(O146-Components!$C$3))</f>
        <v>4.0359999999999996</v>
      </c>
      <c r="R146" s="81">
        <f>IF(G146="","",ABS(O146-Components!$C$4))</f>
        <v>0.99333333333333296</v>
      </c>
      <c r="S146" s="81">
        <f>IF(G146="","",ABS(O146-Components!$C$5))</f>
        <v>4.5626666666666704</v>
      </c>
      <c r="T146" s="81">
        <f>IF(G146="","",ABS(O146-Components!$C$6))</f>
        <v>1.15566666666667</v>
      </c>
      <c r="U146" s="81">
        <f>IF(G146="","",ABS(O146-Components!$C$7))</f>
        <v>1.3743333333333301</v>
      </c>
      <c r="V146" s="81" t="str">
        <f>IF(G146="","",IF(M146="OK","NONE",INDEX({"S1","S2","W1","W2","N1","N2"},MATCH(MIN(P146:U146),P146:U146,0))))</f>
        <v>NONE</v>
      </c>
      <c r="W146" s="117">
        <f t="shared" si="23"/>
        <v>1</v>
      </c>
      <c r="X146" s="58"/>
    </row>
    <row r="147" spans="1:24">
      <c r="A147" s="115">
        <v>145</v>
      </c>
      <c r="B147" s="116">
        <v>5</v>
      </c>
      <c r="C147" s="81" t="s">
        <v>130</v>
      </c>
      <c r="D147" s="109" t="s">
        <v>238</v>
      </c>
      <c r="E147" s="81" t="s">
        <v>239</v>
      </c>
      <c r="F147" s="61">
        <v>8.8800000000000008</v>
      </c>
      <c r="G147" s="52">
        <f t="shared" si="17"/>
        <v>9.8500000000000014</v>
      </c>
      <c r="H147" s="110"/>
      <c r="I147" s="81">
        <v>9.91</v>
      </c>
      <c r="J147" s="81">
        <f>VLOOKUP(C147,Recipes!$A$2:$N$4,12,FALSE())</f>
        <v>5.0137397426368718E-2</v>
      </c>
      <c r="K147" s="81">
        <f t="shared" si="18"/>
        <v>9.7345191090077101</v>
      </c>
      <c r="L147" s="81">
        <f t="shared" si="19"/>
        <v>10.08548089099229</v>
      </c>
      <c r="M147" s="81" t="str">
        <f t="shared" si="20"/>
        <v>OK</v>
      </c>
      <c r="N147" s="117">
        <f t="shared" si="21"/>
        <v>1</v>
      </c>
      <c r="O147" s="81">
        <f t="shared" si="22"/>
        <v>5.9999999999998721E-2</v>
      </c>
      <c r="P147" s="81">
        <f>IF(G147="","",ABS(O147-Components!$C$2))</f>
        <v>2.6933333333333311</v>
      </c>
      <c r="Q147" s="81">
        <f>IF(G147="","",ABS(O147-Components!$C$3))</f>
        <v>3.9760000000000009</v>
      </c>
      <c r="R147" s="81">
        <f>IF(G147="","",ABS(O147-Components!$C$4))</f>
        <v>0.93333333333333424</v>
      </c>
      <c r="S147" s="81">
        <f>IF(G147="","",ABS(O147-Components!$C$5))</f>
        <v>4.5026666666666717</v>
      </c>
      <c r="T147" s="81">
        <f>IF(G147="","",ABS(O147-Components!$C$6))</f>
        <v>1.0956666666666712</v>
      </c>
      <c r="U147" s="81">
        <f>IF(G147="","",ABS(O147-Components!$C$7))</f>
        <v>1.3143333333333314</v>
      </c>
      <c r="V147" s="81" t="str">
        <f>IF(G147="","",IF(M147="OK","NONE",INDEX({"S1","S2","W1","W2","N1","N2"},MATCH(MIN(P147:U147),P147:U147,0))))</f>
        <v>NONE</v>
      </c>
      <c r="W147" s="117">
        <f t="shared" si="23"/>
        <v>1</v>
      </c>
      <c r="X147" s="58"/>
    </row>
    <row r="148" spans="1:24">
      <c r="A148" s="115">
        <v>146</v>
      </c>
      <c r="B148" s="116">
        <v>5</v>
      </c>
      <c r="C148" s="81" t="s">
        <v>130</v>
      </c>
      <c r="D148" s="109" t="s">
        <v>238</v>
      </c>
      <c r="E148" s="81" t="s">
        <v>239</v>
      </c>
      <c r="F148" s="61">
        <v>8.89</v>
      </c>
      <c r="G148" s="52">
        <f t="shared" si="17"/>
        <v>9.8600000000000012</v>
      </c>
      <c r="H148" s="110"/>
      <c r="I148" s="81">
        <v>9.91</v>
      </c>
      <c r="J148" s="81">
        <f>VLOOKUP(C148,Recipes!$A$2:$N$4,12,FALSE())</f>
        <v>5.0137397426368718E-2</v>
      </c>
      <c r="K148" s="81">
        <f t="shared" si="18"/>
        <v>9.7345191090077101</v>
      </c>
      <c r="L148" s="81">
        <f t="shared" si="19"/>
        <v>10.08548089099229</v>
      </c>
      <c r="M148" s="81" t="str">
        <f t="shared" si="20"/>
        <v>OK</v>
      </c>
      <c r="N148" s="117">
        <f t="shared" si="21"/>
        <v>1</v>
      </c>
      <c r="O148" s="81">
        <f t="shared" si="22"/>
        <v>4.9999999999998934E-2</v>
      </c>
      <c r="P148" s="81">
        <f>IF(G148="","",ABS(O148-Components!$C$2))</f>
        <v>2.7033333333333309</v>
      </c>
      <c r="Q148" s="81">
        <f>IF(G148="","",ABS(O148-Components!$C$3))</f>
        <v>3.9860000000000007</v>
      </c>
      <c r="R148" s="81">
        <f>IF(G148="","",ABS(O148-Components!$C$4))</f>
        <v>0.94333333333333402</v>
      </c>
      <c r="S148" s="81">
        <f>IF(G148="","",ABS(O148-Components!$C$5))</f>
        <v>4.5126666666666715</v>
      </c>
      <c r="T148" s="81">
        <f>IF(G148="","",ABS(O148-Components!$C$6))</f>
        <v>1.105666666666671</v>
      </c>
      <c r="U148" s="81">
        <f>IF(G148="","",ABS(O148-Components!$C$7))</f>
        <v>1.3243333333333311</v>
      </c>
      <c r="V148" s="81" t="str">
        <f>IF(G148="","",IF(M148="OK","NONE",INDEX({"S1","S2","W1","W2","N1","N2"},MATCH(MIN(P148:U148),P148:U148,0))))</f>
        <v>NONE</v>
      </c>
      <c r="W148" s="117">
        <f t="shared" si="23"/>
        <v>1</v>
      </c>
      <c r="X148" s="58"/>
    </row>
    <row r="149" spans="1:24">
      <c r="A149" s="115">
        <v>147</v>
      </c>
      <c r="B149" s="116">
        <v>5</v>
      </c>
      <c r="C149" s="81" t="s">
        <v>130</v>
      </c>
      <c r="D149" s="109" t="s">
        <v>238</v>
      </c>
      <c r="E149" s="81" t="s">
        <v>239</v>
      </c>
      <c r="F149" s="61">
        <v>8.8800000000000008</v>
      </c>
      <c r="G149" s="52">
        <f t="shared" si="17"/>
        <v>9.8500000000000014</v>
      </c>
      <c r="H149" s="110"/>
      <c r="I149" s="81">
        <v>9.91</v>
      </c>
      <c r="J149" s="81">
        <f>VLOOKUP(C149,Recipes!$A$2:$N$4,12,FALSE())</f>
        <v>5.0137397426368718E-2</v>
      </c>
      <c r="K149" s="81">
        <f t="shared" si="18"/>
        <v>9.7345191090077101</v>
      </c>
      <c r="L149" s="81">
        <f t="shared" si="19"/>
        <v>10.08548089099229</v>
      </c>
      <c r="M149" s="81" t="str">
        <f t="shared" si="20"/>
        <v>OK</v>
      </c>
      <c r="N149" s="117">
        <f t="shared" si="21"/>
        <v>1</v>
      </c>
      <c r="O149" s="81">
        <f t="shared" si="22"/>
        <v>5.9999999999998721E-2</v>
      </c>
      <c r="P149" s="81">
        <f>IF(G149="","",ABS(O149-Components!$C$2))</f>
        <v>2.6933333333333311</v>
      </c>
      <c r="Q149" s="81">
        <f>IF(G149="","",ABS(O149-Components!$C$3))</f>
        <v>3.9760000000000009</v>
      </c>
      <c r="R149" s="81">
        <f>IF(G149="","",ABS(O149-Components!$C$4))</f>
        <v>0.93333333333333424</v>
      </c>
      <c r="S149" s="81">
        <f>IF(G149="","",ABS(O149-Components!$C$5))</f>
        <v>4.5026666666666717</v>
      </c>
      <c r="T149" s="81">
        <f>IF(G149="","",ABS(O149-Components!$C$6))</f>
        <v>1.0956666666666712</v>
      </c>
      <c r="U149" s="81">
        <f>IF(G149="","",ABS(O149-Components!$C$7))</f>
        <v>1.3143333333333314</v>
      </c>
      <c r="V149" s="81" t="str">
        <f>IF(G149="","",IF(M149="OK","NONE",INDEX({"S1","S2","W1","W2","N1","N2"},MATCH(MIN(P149:U149),P149:U149,0))))</f>
        <v>NONE</v>
      </c>
      <c r="W149" s="117">
        <f t="shared" si="23"/>
        <v>1</v>
      </c>
      <c r="X149" s="58"/>
    </row>
    <row r="150" spans="1:24">
      <c r="A150" s="115">
        <v>148</v>
      </c>
      <c r="B150" s="116">
        <v>5</v>
      </c>
      <c r="C150" s="81" t="s">
        <v>130</v>
      </c>
      <c r="D150" s="109" t="s">
        <v>238</v>
      </c>
      <c r="E150" s="81" t="s">
        <v>239</v>
      </c>
      <c r="F150" s="61">
        <v>8.7100000000000009</v>
      </c>
      <c r="G150" s="52">
        <f t="shared" si="17"/>
        <v>9.6800000000000015</v>
      </c>
      <c r="H150" s="110"/>
      <c r="I150" s="81">
        <v>9.91</v>
      </c>
      <c r="J150" s="81">
        <f>VLOOKUP(C150,Recipes!$A$2:$N$4,12,FALSE())</f>
        <v>5.0137397426368718E-2</v>
      </c>
      <c r="K150" s="81">
        <f t="shared" si="18"/>
        <v>9.7345191090077101</v>
      </c>
      <c r="L150" s="81">
        <f t="shared" si="19"/>
        <v>10.08548089099229</v>
      </c>
      <c r="M150" s="81" t="str">
        <f t="shared" si="20"/>
        <v>NG</v>
      </c>
      <c r="N150" s="122">
        <f t="shared" si="21"/>
        <v>0</v>
      </c>
      <c r="O150" s="81">
        <f t="shared" si="22"/>
        <v>0.22999999999999865</v>
      </c>
      <c r="P150" s="81">
        <f>IF(G150="","",ABS(O150-Components!$C$2))</f>
        <v>2.5233333333333312</v>
      </c>
      <c r="Q150" s="81">
        <f>IF(G150="","",ABS(O150-Components!$C$3))</f>
        <v>3.8060000000000009</v>
      </c>
      <c r="R150" s="81">
        <f>IF(G150="","",ABS(O150-Components!$C$4))</f>
        <v>0.76333333333333431</v>
      </c>
      <c r="S150" s="81">
        <f>IF(G150="","",ABS(O150-Components!$C$5))</f>
        <v>4.3326666666666718</v>
      </c>
      <c r="T150" s="81">
        <f>IF(G150="","",ABS(O150-Components!$C$6))</f>
        <v>0.9256666666666713</v>
      </c>
      <c r="U150" s="81">
        <f>IF(G150="","",ABS(O150-Components!$C$7))</f>
        <v>1.1443333333333314</v>
      </c>
      <c r="V150" s="81" t="str">
        <f>IF(G150="","",IF(M150="OK","NONE",INDEX({"S1","S2","W1","W2","N1","N2"},MATCH(MIN(P150:U150),P150:U150,0))))</f>
        <v>W1</v>
      </c>
      <c r="W150" s="122">
        <f t="shared" si="23"/>
        <v>0</v>
      </c>
      <c r="X150" s="58"/>
    </row>
    <row r="151" spans="1:24">
      <c r="A151" s="115">
        <v>149</v>
      </c>
      <c r="B151" s="116">
        <v>5</v>
      </c>
      <c r="C151" s="81" t="s">
        <v>130</v>
      </c>
      <c r="D151" s="109" t="s">
        <v>238</v>
      </c>
      <c r="E151" s="81" t="s">
        <v>239</v>
      </c>
      <c r="F151" s="61">
        <v>8.94</v>
      </c>
      <c r="G151" s="52">
        <f t="shared" si="17"/>
        <v>9.91</v>
      </c>
      <c r="H151" s="110"/>
      <c r="I151" s="81">
        <v>9.91</v>
      </c>
      <c r="J151" s="81">
        <f>VLOOKUP(C151,Recipes!$A$2:$N$4,12,FALSE())</f>
        <v>5.0137397426368718E-2</v>
      </c>
      <c r="K151" s="81">
        <f t="shared" si="18"/>
        <v>9.7345191090077101</v>
      </c>
      <c r="L151" s="81">
        <f t="shared" si="19"/>
        <v>10.08548089099229</v>
      </c>
      <c r="M151" s="81" t="str">
        <f t="shared" si="20"/>
        <v>OK</v>
      </c>
      <c r="N151" s="117">
        <f t="shared" si="21"/>
        <v>1</v>
      </c>
      <c r="O151" s="81">
        <f t="shared" si="22"/>
        <v>0</v>
      </c>
      <c r="P151" s="81">
        <f>IF(G151="","",ABS(O151-Components!$C$2))</f>
        <v>2.7533333333333299</v>
      </c>
      <c r="Q151" s="81">
        <f>IF(G151="","",ABS(O151-Components!$C$3))</f>
        <v>4.0359999999999996</v>
      </c>
      <c r="R151" s="81">
        <f>IF(G151="","",ABS(O151-Components!$C$4))</f>
        <v>0.99333333333333296</v>
      </c>
      <c r="S151" s="81">
        <f>IF(G151="","",ABS(O151-Components!$C$5))</f>
        <v>4.5626666666666704</v>
      </c>
      <c r="T151" s="81">
        <f>IF(G151="","",ABS(O151-Components!$C$6))</f>
        <v>1.15566666666667</v>
      </c>
      <c r="U151" s="81">
        <f>IF(G151="","",ABS(O151-Components!$C$7))</f>
        <v>1.3743333333333301</v>
      </c>
      <c r="V151" s="81" t="str">
        <f>IF(G151="","",IF(M151="OK","NONE",INDEX({"S1","S2","W1","W2","N1","N2"},MATCH(MIN(P151:U151),P151:U151,0))))</f>
        <v>NONE</v>
      </c>
      <c r="W151" s="117">
        <f t="shared" si="23"/>
        <v>1</v>
      </c>
      <c r="X151" s="58"/>
    </row>
    <row r="152" spans="1:24">
      <c r="A152" s="115">
        <v>150</v>
      </c>
      <c r="B152" s="116">
        <v>5</v>
      </c>
      <c r="C152" s="81" t="s">
        <v>130</v>
      </c>
      <c r="D152" s="109" t="s">
        <v>238</v>
      </c>
      <c r="E152" s="81" t="s">
        <v>239</v>
      </c>
      <c r="F152" s="61">
        <v>8.9700000000000006</v>
      </c>
      <c r="G152" s="52">
        <f t="shared" si="17"/>
        <v>9.9400000000000013</v>
      </c>
      <c r="H152" s="110"/>
      <c r="I152" s="81">
        <v>9.91</v>
      </c>
      <c r="J152" s="81">
        <f>VLOOKUP(C152,Recipes!$A$2:$N$4,12,FALSE())</f>
        <v>5.0137397426368718E-2</v>
      </c>
      <c r="K152" s="81">
        <f t="shared" si="18"/>
        <v>9.7345191090077101</v>
      </c>
      <c r="L152" s="81">
        <f t="shared" si="19"/>
        <v>10.08548089099229</v>
      </c>
      <c r="M152" s="81" t="str">
        <f t="shared" si="20"/>
        <v>OK</v>
      </c>
      <c r="N152" s="117">
        <f t="shared" si="21"/>
        <v>1</v>
      </c>
      <c r="O152" s="81">
        <f t="shared" si="22"/>
        <v>-3.0000000000001137E-2</v>
      </c>
      <c r="P152" s="81">
        <f>IF(G152="","",ABS(O152-Components!$C$2))</f>
        <v>2.783333333333331</v>
      </c>
      <c r="Q152" s="81">
        <f>IF(G152="","",ABS(O152-Components!$C$3))</f>
        <v>4.0660000000000007</v>
      </c>
      <c r="R152" s="81">
        <f>IF(G152="","",ABS(O152-Components!$C$4))</f>
        <v>1.0233333333333341</v>
      </c>
      <c r="S152" s="81">
        <f>IF(G152="","",ABS(O152-Components!$C$5))</f>
        <v>4.5926666666666716</v>
      </c>
      <c r="T152" s="81">
        <f>IF(G152="","",ABS(O152-Components!$C$6))</f>
        <v>1.1856666666666711</v>
      </c>
      <c r="U152" s="81">
        <f>IF(G152="","",ABS(O152-Components!$C$7))</f>
        <v>1.4043333333333312</v>
      </c>
      <c r="V152" s="81" t="str">
        <f>IF(G152="","",IF(M152="OK","NONE",INDEX({"S1","S2","W1","W2","N1","N2"},MATCH(MIN(P152:U152),P152:U152,0))))</f>
        <v>NONE</v>
      </c>
      <c r="W152" s="117">
        <f t="shared" si="23"/>
        <v>1</v>
      </c>
      <c r="X152" s="58"/>
    </row>
    <row r="153" spans="1:24">
      <c r="A153" s="115">
        <v>151</v>
      </c>
      <c r="B153" s="116">
        <v>6</v>
      </c>
      <c r="C153" s="81" t="s">
        <v>130</v>
      </c>
      <c r="D153" s="111" t="s">
        <v>240</v>
      </c>
      <c r="E153" s="81" t="s">
        <v>99</v>
      </c>
      <c r="F153" s="52">
        <v>6.18</v>
      </c>
      <c r="G153" s="52">
        <f t="shared" si="17"/>
        <v>7.1499999999999995</v>
      </c>
      <c r="H153" s="110"/>
      <c r="I153" s="81">
        <v>9.91</v>
      </c>
      <c r="J153" s="81">
        <f>VLOOKUP(C153,Recipes!$A$2:$N$4,12,FALSE())</f>
        <v>5.0137397426368718E-2</v>
      </c>
      <c r="K153" s="81">
        <f t="shared" si="18"/>
        <v>9.7345191090077101</v>
      </c>
      <c r="L153" s="81">
        <f t="shared" si="19"/>
        <v>10.08548089099229</v>
      </c>
      <c r="M153" s="81" t="str">
        <f t="shared" si="20"/>
        <v>NG</v>
      </c>
      <c r="N153" s="117">
        <f t="shared" si="21"/>
        <v>1</v>
      </c>
      <c r="O153" s="81">
        <f t="shared" si="22"/>
        <v>2.7600000000000007</v>
      </c>
      <c r="P153" s="81">
        <f>IF(G153="","",ABS(O153-Components!$C$2))</f>
        <v>6.6666666666708174E-3</v>
      </c>
      <c r="Q153" s="81">
        <f>IF(G153="","",ABS(O153-Components!$C$3))</f>
        <v>1.2759999999999989</v>
      </c>
      <c r="R153" s="81">
        <f>IF(G153="","",ABS(O153-Components!$C$4))</f>
        <v>1.7666666666666677</v>
      </c>
      <c r="S153" s="81">
        <f>IF(G153="","",ABS(O153-Components!$C$5))</f>
        <v>1.8026666666666697</v>
      </c>
      <c r="T153" s="81">
        <f>IF(G153="","",ABS(O153-Components!$C$6))</f>
        <v>1.6043333333333307</v>
      </c>
      <c r="U153" s="81">
        <f>IF(G153="","",ABS(O153-Components!$C$7))</f>
        <v>1.3856666666666706</v>
      </c>
      <c r="V153" s="81" t="str">
        <f>IF(G153="","",IF(M153="OK","NONE",INDEX({"S1","S2","W1","W2","N1","N2"},MATCH(MIN(P153:U153),P153:U153,0))))</f>
        <v>S1</v>
      </c>
      <c r="W153" s="117">
        <f t="shared" si="23"/>
        <v>1</v>
      </c>
      <c r="X153" s="58"/>
    </row>
    <row r="154" spans="1:24">
      <c r="A154" s="115">
        <v>152</v>
      </c>
      <c r="B154" s="116">
        <v>6</v>
      </c>
      <c r="C154" s="81" t="s">
        <v>130</v>
      </c>
      <c r="D154" s="111" t="s">
        <v>240</v>
      </c>
      <c r="E154" s="81" t="s">
        <v>99</v>
      </c>
      <c r="F154" s="52">
        <v>6.18</v>
      </c>
      <c r="G154" s="52">
        <f t="shared" si="17"/>
        <v>7.1499999999999995</v>
      </c>
      <c r="H154" s="110"/>
      <c r="I154" s="81">
        <v>9.91</v>
      </c>
      <c r="J154" s="81">
        <f>VLOOKUP(C154,Recipes!$A$2:$N$4,12,FALSE())</f>
        <v>5.0137397426368718E-2</v>
      </c>
      <c r="K154" s="81">
        <f t="shared" si="18"/>
        <v>9.7345191090077101</v>
      </c>
      <c r="L154" s="81">
        <f t="shared" si="19"/>
        <v>10.08548089099229</v>
      </c>
      <c r="M154" s="81" t="str">
        <f t="shared" si="20"/>
        <v>NG</v>
      </c>
      <c r="N154" s="117">
        <f t="shared" si="21"/>
        <v>1</v>
      </c>
      <c r="O154" s="81">
        <f t="shared" si="22"/>
        <v>2.7600000000000007</v>
      </c>
      <c r="P154" s="81">
        <f>IF(G154="","",ABS(O154-Components!$C$2))</f>
        <v>6.6666666666708174E-3</v>
      </c>
      <c r="Q154" s="81">
        <f>IF(G154="","",ABS(O154-Components!$C$3))</f>
        <v>1.2759999999999989</v>
      </c>
      <c r="R154" s="81">
        <f>IF(G154="","",ABS(O154-Components!$C$4))</f>
        <v>1.7666666666666677</v>
      </c>
      <c r="S154" s="81">
        <f>IF(G154="","",ABS(O154-Components!$C$5))</f>
        <v>1.8026666666666697</v>
      </c>
      <c r="T154" s="81">
        <f>IF(G154="","",ABS(O154-Components!$C$6))</f>
        <v>1.6043333333333307</v>
      </c>
      <c r="U154" s="81">
        <f>IF(G154="","",ABS(O154-Components!$C$7))</f>
        <v>1.3856666666666706</v>
      </c>
      <c r="V154" s="81" t="str">
        <f>IF(G154="","",IF(M154="OK","NONE",INDEX({"S1","S2","W1","W2","N1","N2"},MATCH(MIN(P154:U154),P154:U154,0))))</f>
        <v>S1</v>
      </c>
      <c r="W154" s="117">
        <f t="shared" si="23"/>
        <v>1</v>
      </c>
      <c r="X154" s="58"/>
    </row>
    <row r="155" spans="1:24">
      <c r="A155" s="115">
        <v>153</v>
      </c>
      <c r="B155" s="116">
        <v>6</v>
      </c>
      <c r="C155" s="81" t="s">
        <v>130</v>
      </c>
      <c r="D155" s="111" t="s">
        <v>240</v>
      </c>
      <c r="E155" s="81" t="s">
        <v>99</v>
      </c>
      <c r="F155" s="52">
        <v>6.15</v>
      </c>
      <c r="G155" s="52">
        <f t="shared" si="17"/>
        <v>7.12</v>
      </c>
      <c r="H155" s="110"/>
      <c r="I155" s="81">
        <v>9.91</v>
      </c>
      <c r="J155" s="81">
        <f>VLOOKUP(C155,Recipes!$A$2:$N$4,12,FALSE())</f>
        <v>5.0137397426368718E-2</v>
      </c>
      <c r="K155" s="81">
        <f t="shared" si="18"/>
        <v>9.7345191090077101</v>
      </c>
      <c r="L155" s="81">
        <f t="shared" si="19"/>
        <v>10.08548089099229</v>
      </c>
      <c r="M155" s="81" t="str">
        <f t="shared" si="20"/>
        <v>NG</v>
      </c>
      <c r="N155" s="117">
        <f t="shared" si="21"/>
        <v>1</v>
      </c>
      <c r="O155" s="81">
        <f t="shared" si="22"/>
        <v>2.79</v>
      </c>
      <c r="P155" s="81">
        <f>IF(G155="","",ABS(O155-Components!$C$2))</f>
        <v>3.6666666666670178E-2</v>
      </c>
      <c r="Q155" s="81">
        <f>IF(G155="","",ABS(O155-Components!$C$3))</f>
        <v>1.2459999999999996</v>
      </c>
      <c r="R155" s="81">
        <f>IF(G155="","",ABS(O155-Components!$C$4))</f>
        <v>1.7966666666666671</v>
      </c>
      <c r="S155" s="81">
        <f>IF(G155="","",ABS(O155-Components!$C$5))</f>
        <v>1.7726666666666704</v>
      </c>
      <c r="T155" s="81">
        <f>IF(G155="","",ABS(O155-Components!$C$6))</f>
        <v>1.6343333333333301</v>
      </c>
      <c r="U155" s="81">
        <f>IF(G155="","",ABS(O155-Components!$C$7))</f>
        <v>1.41566666666667</v>
      </c>
      <c r="V155" s="81" t="str">
        <f>IF(G155="","",IF(M155="OK","NONE",INDEX({"S1","S2","W1","W2","N1","N2"},MATCH(MIN(P155:U155),P155:U155,0))))</f>
        <v>S1</v>
      </c>
      <c r="W155" s="117">
        <f t="shared" si="23"/>
        <v>1</v>
      </c>
      <c r="X155" s="58"/>
    </row>
    <row r="156" spans="1:24">
      <c r="A156" s="115">
        <v>154</v>
      </c>
      <c r="B156" s="116">
        <v>6</v>
      </c>
      <c r="C156" s="81" t="s">
        <v>130</v>
      </c>
      <c r="D156" s="111" t="s">
        <v>240</v>
      </c>
      <c r="E156" s="81" t="s">
        <v>99</v>
      </c>
      <c r="F156" s="52">
        <v>6.12</v>
      </c>
      <c r="G156" s="52">
        <f t="shared" si="17"/>
        <v>7.09</v>
      </c>
      <c r="H156" s="110"/>
      <c r="I156" s="81">
        <v>9.91</v>
      </c>
      <c r="J156" s="81">
        <f>VLOOKUP(C156,Recipes!$A$2:$N$4,12,FALSE())</f>
        <v>5.0137397426368718E-2</v>
      </c>
      <c r="K156" s="81">
        <f t="shared" si="18"/>
        <v>9.7345191090077101</v>
      </c>
      <c r="L156" s="81">
        <f t="shared" si="19"/>
        <v>10.08548089099229</v>
      </c>
      <c r="M156" s="81" t="str">
        <f t="shared" si="20"/>
        <v>NG</v>
      </c>
      <c r="N156" s="117">
        <f t="shared" si="21"/>
        <v>1</v>
      </c>
      <c r="O156" s="81">
        <f t="shared" si="22"/>
        <v>2.8200000000000003</v>
      </c>
      <c r="P156" s="81">
        <f>IF(G156="","",ABS(O156-Components!$C$2))</f>
        <v>6.6666666666670427E-2</v>
      </c>
      <c r="Q156" s="81">
        <f>IF(G156="","",ABS(O156-Components!$C$3))</f>
        <v>1.2159999999999993</v>
      </c>
      <c r="R156" s="81">
        <f>IF(G156="","",ABS(O156-Components!$C$4))</f>
        <v>1.8266666666666673</v>
      </c>
      <c r="S156" s="81">
        <f>IF(G156="","",ABS(O156-Components!$C$5))</f>
        <v>1.7426666666666701</v>
      </c>
      <c r="T156" s="81">
        <f>IF(G156="","",ABS(O156-Components!$C$6))</f>
        <v>1.6643333333333303</v>
      </c>
      <c r="U156" s="81">
        <f>IF(G156="","",ABS(O156-Components!$C$7))</f>
        <v>1.4456666666666702</v>
      </c>
      <c r="V156" s="81" t="str">
        <f>IF(G156="","",IF(M156="OK","NONE",INDEX({"S1","S2","W1","W2","N1","N2"},MATCH(MIN(P156:U156),P156:U156,0))))</f>
        <v>S1</v>
      </c>
      <c r="W156" s="117">
        <f t="shared" si="23"/>
        <v>1</v>
      </c>
      <c r="X156" s="58"/>
    </row>
    <row r="157" spans="1:24">
      <c r="A157" s="115">
        <v>155</v>
      </c>
      <c r="B157" s="116">
        <v>6</v>
      </c>
      <c r="C157" s="61" t="s">
        <v>130</v>
      </c>
      <c r="D157" s="61" t="s">
        <v>240</v>
      </c>
      <c r="E157" s="61" t="s">
        <v>99</v>
      </c>
      <c r="F157" s="61">
        <v>6.16</v>
      </c>
      <c r="G157" s="52">
        <f t="shared" si="17"/>
        <v>7.13</v>
      </c>
      <c r="H157" s="110"/>
      <c r="I157" s="81">
        <v>9.91</v>
      </c>
      <c r="J157" s="81">
        <f>VLOOKUP(C157,Recipes!$A$2:$N$4,12,FALSE())</f>
        <v>5.0137397426368718E-2</v>
      </c>
      <c r="K157" s="81">
        <f t="shared" si="18"/>
        <v>9.7345191090077101</v>
      </c>
      <c r="L157" s="81">
        <f t="shared" si="19"/>
        <v>10.08548089099229</v>
      </c>
      <c r="M157" s="81" t="str">
        <f t="shared" si="20"/>
        <v>NG</v>
      </c>
      <c r="N157" s="117">
        <f t="shared" si="21"/>
        <v>1</v>
      </c>
      <c r="O157" s="81">
        <f t="shared" si="22"/>
        <v>2.7800000000000002</v>
      </c>
      <c r="P157" s="81">
        <f>IF(G157="","",ABS(O157-Components!$C$2))</f>
        <v>2.6666666666670391E-2</v>
      </c>
      <c r="Q157" s="81">
        <f>IF(G157="","",ABS(O157-Components!$C$3))</f>
        <v>1.2559999999999993</v>
      </c>
      <c r="R157" s="81">
        <f>IF(G157="","",ABS(O157-Components!$C$4))</f>
        <v>1.7866666666666673</v>
      </c>
      <c r="S157" s="81">
        <f>IF(G157="","",ABS(O157-Components!$C$5))</f>
        <v>1.7826666666666702</v>
      </c>
      <c r="T157" s="81">
        <f>IF(G157="","",ABS(O157-Components!$C$6))</f>
        <v>1.6243333333333303</v>
      </c>
      <c r="U157" s="81">
        <f>IF(G157="","",ABS(O157-Components!$C$7))</f>
        <v>1.4056666666666702</v>
      </c>
      <c r="V157" s="81" t="str">
        <f>IF(G157="","",IF(M157="OK","NONE",INDEX({"S1","S2","W1","W2","N1","N2"},MATCH(MIN(P157:U157),P157:U157,0))))</f>
        <v>S1</v>
      </c>
      <c r="W157" s="117">
        <f t="shared" si="23"/>
        <v>1</v>
      </c>
      <c r="X157" s="58"/>
    </row>
    <row r="158" spans="1:24">
      <c r="A158" s="115">
        <v>156</v>
      </c>
      <c r="B158" s="116">
        <v>6</v>
      </c>
      <c r="C158" s="81" t="s">
        <v>130</v>
      </c>
      <c r="D158" s="111" t="s">
        <v>240</v>
      </c>
      <c r="E158" s="81" t="s">
        <v>99</v>
      </c>
      <c r="F158" s="61">
        <v>6.19</v>
      </c>
      <c r="G158" s="52">
        <f t="shared" si="17"/>
        <v>7.16</v>
      </c>
      <c r="H158" s="110"/>
      <c r="I158" s="81">
        <v>9.91</v>
      </c>
      <c r="J158" s="81">
        <f>VLOOKUP(C158,Recipes!$A$2:$N$4,12,FALSE())</f>
        <v>5.0137397426368718E-2</v>
      </c>
      <c r="K158" s="81">
        <f t="shared" si="18"/>
        <v>9.7345191090077101</v>
      </c>
      <c r="L158" s="81">
        <f t="shared" si="19"/>
        <v>10.08548089099229</v>
      </c>
      <c r="M158" s="81" t="str">
        <f t="shared" si="20"/>
        <v>NG</v>
      </c>
      <c r="N158" s="117">
        <f t="shared" si="21"/>
        <v>1</v>
      </c>
      <c r="O158" s="81">
        <f t="shared" si="22"/>
        <v>2.75</v>
      </c>
      <c r="P158" s="81">
        <f>IF(G158="","",ABS(O158-Components!$C$2))</f>
        <v>3.3333333333298576E-3</v>
      </c>
      <c r="Q158" s="81">
        <f>IF(G158="","",ABS(O158-Components!$C$3))</f>
        <v>1.2859999999999996</v>
      </c>
      <c r="R158" s="81">
        <f>IF(G158="","",ABS(O158-Components!$C$4))</f>
        <v>1.756666666666667</v>
      </c>
      <c r="S158" s="81">
        <f>IF(G158="","",ABS(O158-Components!$C$5))</f>
        <v>1.8126666666666704</v>
      </c>
      <c r="T158" s="81">
        <f>IF(G158="","",ABS(O158-Components!$C$6))</f>
        <v>1.59433333333333</v>
      </c>
      <c r="U158" s="81">
        <f>IF(G158="","",ABS(O158-Components!$C$7))</f>
        <v>1.3756666666666699</v>
      </c>
      <c r="V158" s="81" t="str">
        <f>IF(G158="","",IF(M158="OK","NONE",INDEX({"S1","S2","W1","W2","N1","N2"},MATCH(MIN(P158:U158),P158:U158,0))))</f>
        <v>S1</v>
      </c>
      <c r="W158" s="117">
        <f t="shared" si="23"/>
        <v>1</v>
      </c>
      <c r="X158" s="58"/>
    </row>
    <row r="159" spans="1:24">
      <c r="A159" s="115">
        <v>157</v>
      </c>
      <c r="B159" s="116">
        <v>6</v>
      </c>
      <c r="C159" s="81" t="s">
        <v>130</v>
      </c>
      <c r="D159" s="111" t="s">
        <v>240</v>
      </c>
      <c r="E159" s="81" t="s">
        <v>99</v>
      </c>
      <c r="F159" s="61">
        <v>6.18</v>
      </c>
      <c r="G159" s="52">
        <f t="shared" si="17"/>
        <v>7.1499999999999995</v>
      </c>
      <c r="H159" s="110"/>
      <c r="I159" s="81">
        <v>9.91</v>
      </c>
      <c r="J159" s="81">
        <f>VLOOKUP(C159,Recipes!$A$2:$N$4,12,FALSE())</f>
        <v>5.0137397426368718E-2</v>
      </c>
      <c r="K159" s="81">
        <f t="shared" si="18"/>
        <v>9.7345191090077101</v>
      </c>
      <c r="L159" s="81">
        <f t="shared" si="19"/>
        <v>10.08548089099229</v>
      </c>
      <c r="M159" s="81" t="str">
        <f t="shared" si="20"/>
        <v>NG</v>
      </c>
      <c r="N159" s="117">
        <f t="shared" si="21"/>
        <v>1</v>
      </c>
      <c r="O159" s="81">
        <f t="shared" si="22"/>
        <v>2.7600000000000007</v>
      </c>
      <c r="P159" s="81">
        <f>IF(G159="","",ABS(O159-Components!$C$2))</f>
        <v>6.6666666666708174E-3</v>
      </c>
      <c r="Q159" s="81">
        <f>IF(G159="","",ABS(O159-Components!$C$3))</f>
        <v>1.2759999999999989</v>
      </c>
      <c r="R159" s="81">
        <f>IF(G159="","",ABS(O159-Components!$C$4))</f>
        <v>1.7666666666666677</v>
      </c>
      <c r="S159" s="81">
        <f>IF(G159="","",ABS(O159-Components!$C$5))</f>
        <v>1.8026666666666697</v>
      </c>
      <c r="T159" s="81">
        <f>IF(G159="","",ABS(O159-Components!$C$6))</f>
        <v>1.6043333333333307</v>
      </c>
      <c r="U159" s="81">
        <f>IF(G159="","",ABS(O159-Components!$C$7))</f>
        <v>1.3856666666666706</v>
      </c>
      <c r="V159" s="81" t="str">
        <f>IF(G159="","",IF(M159="OK","NONE",INDEX({"S1","S2","W1","W2","N1","N2"},MATCH(MIN(P159:U159),P159:U159,0))))</f>
        <v>S1</v>
      </c>
      <c r="W159" s="117">
        <f t="shared" si="23"/>
        <v>1</v>
      </c>
      <c r="X159" s="58"/>
    </row>
    <row r="160" spans="1:24">
      <c r="A160" s="115">
        <v>158</v>
      </c>
      <c r="B160" s="116">
        <v>6</v>
      </c>
      <c r="C160" s="81" t="s">
        <v>130</v>
      </c>
      <c r="D160" s="111" t="s">
        <v>240</v>
      </c>
      <c r="E160" s="81" t="s">
        <v>99</v>
      </c>
      <c r="F160" s="61">
        <v>6.13</v>
      </c>
      <c r="G160" s="52">
        <f t="shared" si="17"/>
        <v>7.1</v>
      </c>
      <c r="H160" s="110"/>
      <c r="I160" s="81">
        <v>9.91</v>
      </c>
      <c r="J160" s="81">
        <f>VLOOKUP(C160,Recipes!$A$2:$N$4,12,FALSE())</f>
        <v>5.0137397426368718E-2</v>
      </c>
      <c r="K160" s="81">
        <f t="shared" si="18"/>
        <v>9.7345191090077101</v>
      </c>
      <c r="L160" s="81">
        <f t="shared" si="19"/>
        <v>10.08548089099229</v>
      </c>
      <c r="M160" s="81" t="str">
        <f t="shared" si="20"/>
        <v>NG</v>
      </c>
      <c r="N160" s="117">
        <f t="shared" si="21"/>
        <v>1</v>
      </c>
      <c r="O160" s="81">
        <f t="shared" si="22"/>
        <v>2.8100000000000005</v>
      </c>
      <c r="P160" s="81">
        <f>IF(G160="","",ABS(O160-Components!$C$2))</f>
        <v>5.666666666667064E-2</v>
      </c>
      <c r="Q160" s="81">
        <f>IF(G160="","",ABS(O160-Components!$C$3))</f>
        <v>1.2259999999999991</v>
      </c>
      <c r="R160" s="81">
        <f>IF(G160="","",ABS(O160-Components!$C$4))</f>
        <v>1.8166666666666675</v>
      </c>
      <c r="S160" s="81">
        <f>IF(G160="","",ABS(O160-Components!$C$5))</f>
        <v>1.7526666666666699</v>
      </c>
      <c r="T160" s="81">
        <f>IF(G160="","",ABS(O160-Components!$C$6))</f>
        <v>1.6543333333333305</v>
      </c>
      <c r="U160" s="81">
        <f>IF(G160="","",ABS(O160-Components!$C$7))</f>
        <v>1.4356666666666704</v>
      </c>
      <c r="V160" s="81" t="str">
        <f>IF(G160="","",IF(M160="OK","NONE",INDEX({"S1","S2","W1","W2","N1","N2"},MATCH(MIN(P160:U160),P160:U160,0))))</f>
        <v>S1</v>
      </c>
      <c r="W160" s="117">
        <f t="shared" si="23"/>
        <v>1</v>
      </c>
      <c r="X160" s="58"/>
    </row>
    <row r="161" spans="1:24">
      <c r="A161" s="115">
        <v>159</v>
      </c>
      <c r="B161" s="116">
        <v>6</v>
      </c>
      <c r="C161" s="81" t="s">
        <v>130</v>
      </c>
      <c r="D161" s="111" t="s">
        <v>240</v>
      </c>
      <c r="E161" s="81" t="s">
        <v>99</v>
      </c>
      <c r="F161" s="61">
        <v>6.22</v>
      </c>
      <c r="G161" s="52">
        <f t="shared" si="17"/>
        <v>7.1899999999999995</v>
      </c>
      <c r="H161" s="110"/>
      <c r="I161" s="81">
        <v>9.91</v>
      </c>
      <c r="J161" s="81">
        <f>VLOOKUP(C161,Recipes!$A$2:$N$4,12,FALSE())</f>
        <v>5.0137397426368718E-2</v>
      </c>
      <c r="K161" s="81">
        <f t="shared" si="18"/>
        <v>9.7345191090077101</v>
      </c>
      <c r="L161" s="81">
        <f t="shared" si="19"/>
        <v>10.08548089099229</v>
      </c>
      <c r="M161" s="81" t="str">
        <f t="shared" si="20"/>
        <v>NG</v>
      </c>
      <c r="N161" s="117">
        <f t="shared" si="21"/>
        <v>1</v>
      </c>
      <c r="O161" s="81">
        <f t="shared" si="22"/>
        <v>2.7200000000000006</v>
      </c>
      <c r="P161" s="81">
        <f>IF(G161="","",ABS(O161-Components!$C$2))</f>
        <v>3.3333333333329218E-2</v>
      </c>
      <c r="Q161" s="81">
        <f>IF(G161="","",ABS(O161-Components!$C$3))</f>
        <v>1.3159999999999989</v>
      </c>
      <c r="R161" s="81">
        <f>IF(G161="","",ABS(O161-Components!$C$4))</f>
        <v>1.7266666666666677</v>
      </c>
      <c r="S161" s="81">
        <f>IF(G161="","",ABS(O161-Components!$C$5))</f>
        <v>1.8426666666666698</v>
      </c>
      <c r="T161" s="81">
        <f>IF(G161="","",ABS(O161-Components!$C$6))</f>
        <v>1.5643333333333307</v>
      </c>
      <c r="U161" s="81">
        <f>IF(G161="","",ABS(O161-Components!$C$7))</f>
        <v>1.3456666666666706</v>
      </c>
      <c r="V161" s="81" t="str">
        <f>IF(G161="","",IF(M161="OK","NONE",INDEX({"S1","S2","W1","W2","N1","N2"},MATCH(MIN(P161:U161),P161:U161,0))))</f>
        <v>S1</v>
      </c>
      <c r="W161" s="117">
        <f t="shared" si="23"/>
        <v>1</v>
      </c>
      <c r="X161" s="58"/>
    </row>
    <row r="162" spans="1:24">
      <c r="A162" s="115">
        <v>160</v>
      </c>
      <c r="B162" s="116">
        <v>6</v>
      </c>
      <c r="C162" s="61" t="s">
        <v>130</v>
      </c>
      <c r="D162" s="61" t="s">
        <v>240</v>
      </c>
      <c r="E162" s="61" t="s">
        <v>99</v>
      </c>
      <c r="F162" s="61">
        <v>6.17</v>
      </c>
      <c r="G162" s="52">
        <f t="shared" si="17"/>
        <v>7.14</v>
      </c>
      <c r="H162" s="110"/>
      <c r="I162" s="81">
        <v>9.91</v>
      </c>
      <c r="J162" s="81">
        <f>VLOOKUP(C162,Recipes!$A$2:$N$4,12,FALSE())</f>
        <v>5.0137397426368718E-2</v>
      </c>
      <c r="K162" s="81">
        <f t="shared" si="18"/>
        <v>9.7345191090077101</v>
      </c>
      <c r="L162" s="81">
        <f t="shared" si="19"/>
        <v>10.08548089099229</v>
      </c>
      <c r="M162" s="81" t="str">
        <f t="shared" si="20"/>
        <v>NG</v>
      </c>
      <c r="N162" s="117">
        <f t="shared" si="21"/>
        <v>1</v>
      </c>
      <c r="O162" s="81">
        <f t="shared" si="22"/>
        <v>2.7700000000000005</v>
      </c>
      <c r="P162" s="81">
        <f>IF(G162="","",ABS(O162-Components!$C$2))</f>
        <v>1.6666666666670604E-2</v>
      </c>
      <c r="Q162" s="81">
        <f>IF(G162="","",ABS(O162-Components!$C$3))</f>
        <v>1.2659999999999991</v>
      </c>
      <c r="R162" s="81">
        <f>IF(G162="","",ABS(O162-Components!$C$4))</f>
        <v>1.7766666666666675</v>
      </c>
      <c r="S162" s="81">
        <f>IF(G162="","",ABS(O162-Components!$C$5))</f>
        <v>1.79266666666667</v>
      </c>
      <c r="T162" s="81">
        <f>IF(G162="","",ABS(O162-Components!$C$6))</f>
        <v>1.6143333333333305</v>
      </c>
      <c r="U162" s="81">
        <f>IF(G162="","",ABS(O162-Components!$C$7))</f>
        <v>1.3956666666666704</v>
      </c>
      <c r="V162" s="81" t="str">
        <f>IF(G162="","",IF(M162="OK","NONE",INDEX({"S1","S2","W1","W2","N1","N2"},MATCH(MIN(P162:U162),P162:U162,0))))</f>
        <v>S1</v>
      </c>
      <c r="W162" s="117">
        <f t="shared" si="23"/>
        <v>1</v>
      </c>
      <c r="X162" s="58"/>
    </row>
    <row r="163" spans="1:24">
      <c r="A163" s="115">
        <v>161</v>
      </c>
      <c r="B163" s="116">
        <v>6</v>
      </c>
      <c r="C163" s="81" t="s">
        <v>130</v>
      </c>
      <c r="D163" s="111" t="s">
        <v>240</v>
      </c>
      <c r="E163" s="81" t="s">
        <v>99</v>
      </c>
      <c r="F163" s="61">
        <v>6.16</v>
      </c>
      <c r="G163" s="52">
        <f t="shared" si="17"/>
        <v>7.13</v>
      </c>
      <c r="H163" s="110"/>
      <c r="I163" s="81">
        <v>9.91</v>
      </c>
      <c r="J163" s="81">
        <f>VLOOKUP(C163,Recipes!$A$2:$N$4,12,FALSE())</f>
        <v>5.0137397426368718E-2</v>
      </c>
      <c r="K163" s="81">
        <f t="shared" si="18"/>
        <v>9.7345191090077101</v>
      </c>
      <c r="L163" s="81">
        <f t="shared" si="19"/>
        <v>10.08548089099229</v>
      </c>
      <c r="M163" s="81" t="str">
        <f t="shared" si="20"/>
        <v>NG</v>
      </c>
      <c r="N163" s="117">
        <f t="shared" si="21"/>
        <v>1</v>
      </c>
      <c r="O163" s="81">
        <f t="shared" si="22"/>
        <v>2.7800000000000002</v>
      </c>
      <c r="P163" s="81">
        <f>IF(G163="","",ABS(O163-Components!$C$2))</f>
        <v>2.6666666666670391E-2</v>
      </c>
      <c r="Q163" s="81">
        <f>IF(G163="","",ABS(O163-Components!$C$3))</f>
        <v>1.2559999999999993</v>
      </c>
      <c r="R163" s="81">
        <f>IF(G163="","",ABS(O163-Components!$C$4))</f>
        <v>1.7866666666666673</v>
      </c>
      <c r="S163" s="81">
        <f>IF(G163="","",ABS(O163-Components!$C$5))</f>
        <v>1.7826666666666702</v>
      </c>
      <c r="T163" s="81">
        <f>IF(G163="","",ABS(O163-Components!$C$6))</f>
        <v>1.6243333333333303</v>
      </c>
      <c r="U163" s="81">
        <f>IF(G163="","",ABS(O163-Components!$C$7))</f>
        <v>1.4056666666666702</v>
      </c>
      <c r="V163" s="81" t="str">
        <f>IF(G163="","",IF(M163="OK","NONE",INDEX({"S1","S2","W1","W2","N1","N2"},MATCH(MIN(P163:U163),P163:U163,0))))</f>
        <v>S1</v>
      </c>
      <c r="W163" s="117">
        <f t="shared" si="23"/>
        <v>1</v>
      </c>
      <c r="X163" s="58"/>
    </row>
    <row r="164" spans="1:24">
      <c r="A164" s="115">
        <v>162</v>
      </c>
      <c r="B164" s="116">
        <v>6</v>
      </c>
      <c r="C164" s="81" t="s">
        <v>130</v>
      </c>
      <c r="D164" s="111" t="s">
        <v>240</v>
      </c>
      <c r="E164" s="81" t="s">
        <v>99</v>
      </c>
      <c r="F164" s="61">
        <v>6.17</v>
      </c>
      <c r="G164" s="52">
        <f t="shared" si="17"/>
        <v>7.14</v>
      </c>
      <c r="H164" s="110"/>
      <c r="I164" s="81">
        <v>9.91</v>
      </c>
      <c r="J164" s="81">
        <f>VLOOKUP(C164,Recipes!$A$2:$N$4,12,FALSE())</f>
        <v>5.0137397426368718E-2</v>
      </c>
      <c r="K164" s="81">
        <f t="shared" si="18"/>
        <v>9.7345191090077101</v>
      </c>
      <c r="L164" s="81">
        <f t="shared" si="19"/>
        <v>10.08548089099229</v>
      </c>
      <c r="M164" s="81" t="str">
        <f t="shared" si="20"/>
        <v>NG</v>
      </c>
      <c r="N164" s="117">
        <f t="shared" si="21"/>
        <v>1</v>
      </c>
      <c r="O164" s="81">
        <f t="shared" si="22"/>
        <v>2.7700000000000005</v>
      </c>
      <c r="P164" s="81">
        <f>IF(G164="","",ABS(O164-Components!$C$2))</f>
        <v>1.6666666666670604E-2</v>
      </c>
      <c r="Q164" s="81">
        <f>IF(G164="","",ABS(O164-Components!$C$3))</f>
        <v>1.2659999999999991</v>
      </c>
      <c r="R164" s="81">
        <f>IF(G164="","",ABS(O164-Components!$C$4))</f>
        <v>1.7766666666666675</v>
      </c>
      <c r="S164" s="81">
        <f>IF(G164="","",ABS(O164-Components!$C$5))</f>
        <v>1.79266666666667</v>
      </c>
      <c r="T164" s="81">
        <f>IF(G164="","",ABS(O164-Components!$C$6))</f>
        <v>1.6143333333333305</v>
      </c>
      <c r="U164" s="81">
        <f>IF(G164="","",ABS(O164-Components!$C$7))</f>
        <v>1.3956666666666704</v>
      </c>
      <c r="V164" s="81" t="str">
        <f>IF(G164="","",IF(M164="OK","NONE",INDEX({"S1","S2","W1","W2","N1","N2"},MATCH(MIN(P164:U164),P164:U164,0))))</f>
        <v>S1</v>
      </c>
      <c r="W164" s="117">
        <f t="shared" si="23"/>
        <v>1</v>
      </c>
      <c r="X164" s="58"/>
    </row>
    <row r="165" spans="1:24">
      <c r="A165" s="115">
        <v>163</v>
      </c>
      <c r="B165" s="116">
        <v>6</v>
      </c>
      <c r="C165" s="81" t="s">
        <v>130</v>
      </c>
      <c r="D165" s="111" t="s">
        <v>240</v>
      </c>
      <c r="E165" s="81" t="s">
        <v>99</v>
      </c>
      <c r="F165" s="61">
        <v>6.14</v>
      </c>
      <c r="G165" s="52">
        <f t="shared" si="17"/>
        <v>7.1099999999999994</v>
      </c>
      <c r="H165" s="110"/>
      <c r="I165" s="81">
        <v>9.91</v>
      </c>
      <c r="J165" s="81">
        <f>VLOOKUP(C165,Recipes!$A$2:$N$4,12,FALSE())</f>
        <v>5.0137397426368718E-2</v>
      </c>
      <c r="K165" s="81">
        <f t="shared" si="18"/>
        <v>9.7345191090077101</v>
      </c>
      <c r="L165" s="81">
        <f t="shared" si="19"/>
        <v>10.08548089099229</v>
      </c>
      <c r="M165" s="81" t="str">
        <f t="shared" si="20"/>
        <v>NG</v>
      </c>
      <c r="N165" s="117">
        <f t="shared" si="21"/>
        <v>1</v>
      </c>
      <c r="O165" s="81">
        <f t="shared" si="22"/>
        <v>2.8000000000000007</v>
      </c>
      <c r="P165" s="81">
        <f>IF(G165="","",ABS(O165-Components!$C$2))</f>
        <v>4.6666666666670853E-2</v>
      </c>
      <c r="Q165" s="81">
        <f>IF(G165="","",ABS(O165-Components!$C$3))</f>
        <v>1.2359999999999989</v>
      </c>
      <c r="R165" s="81">
        <f>IF(G165="","",ABS(O165-Components!$C$4))</f>
        <v>1.8066666666666678</v>
      </c>
      <c r="S165" s="81">
        <f>IF(G165="","",ABS(O165-Components!$C$5))</f>
        <v>1.7626666666666697</v>
      </c>
      <c r="T165" s="81">
        <f>IF(G165="","",ABS(O165-Components!$C$6))</f>
        <v>1.6443333333333308</v>
      </c>
      <c r="U165" s="81">
        <f>IF(G165="","",ABS(O165-Components!$C$7))</f>
        <v>1.4256666666666706</v>
      </c>
      <c r="V165" s="81" t="str">
        <f>IF(G165="","",IF(M165="OK","NONE",INDEX({"S1","S2","W1","W2","N1","N2"},MATCH(MIN(P165:U165),P165:U165,0))))</f>
        <v>S1</v>
      </c>
      <c r="W165" s="117">
        <f t="shared" si="23"/>
        <v>1</v>
      </c>
      <c r="X165" s="58"/>
    </row>
    <row r="166" spans="1:24">
      <c r="A166" s="115">
        <v>164</v>
      </c>
      <c r="B166" s="116">
        <v>6</v>
      </c>
      <c r="C166" s="81" t="s">
        <v>130</v>
      </c>
      <c r="D166" s="111" t="s">
        <v>240</v>
      </c>
      <c r="E166" s="81" t="s">
        <v>99</v>
      </c>
      <c r="F166" s="61">
        <v>6.2</v>
      </c>
      <c r="G166" s="52">
        <f t="shared" si="17"/>
        <v>7.17</v>
      </c>
      <c r="H166" s="110"/>
      <c r="I166" s="81">
        <v>9.91</v>
      </c>
      <c r="J166" s="81">
        <f>VLOOKUP(C166,Recipes!$A$2:$N$4,12,FALSE())</f>
        <v>5.0137397426368718E-2</v>
      </c>
      <c r="K166" s="81">
        <f t="shared" si="18"/>
        <v>9.7345191090077101</v>
      </c>
      <c r="L166" s="81">
        <f t="shared" si="19"/>
        <v>10.08548089099229</v>
      </c>
      <c r="M166" s="81" t="str">
        <f t="shared" si="20"/>
        <v>NG</v>
      </c>
      <c r="N166" s="117">
        <f t="shared" si="21"/>
        <v>1</v>
      </c>
      <c r="O166" s="81">
        <f t="shared" si="22"/>
        <v>2.74</v>
      </c>
      <c r="P166" s="81">
        <f>IF(G166="","",ABS(O166-Components!$C$2))</f>
        <v>1.3333333333329644E-2</v>
      </c>
      <c r="Q166" s="81">
        <f>IF(G166="","",ABS(O166-Components!$C$3))</f>
        <v>1.2959999999999994</v>
      </c>
      <c r="R166" s="81">
        <f>IF(G166="","",ABS(O166-Components!$C$4))</f>
        <v>1.7466666666666673</v>
      </c>
      <c r="S166" s="81">
        <f>IF(G166="","",ABS(O166-Components!$C$5))</f>
        <v>1.8226666666666702</v>
      </c>
      <c r="T166" s="81">
        <f>IF(G166="","",ABS(O166-Components!$C$6))</f>
        <v>1.5843333333333303</v>
      </c>
      <c r="U166" s="81">
        <f>IF(G166="","",ABS(O166-Components!$C$7))</f>
        <v>1.3656666666666701</v>
      </c>
      <c r="V166" s="81" t="str">
        <f>IF(G166="","",IF(M166="OK","NONE",INDEX({"S1","S2","W1","W2","N1","N2"},MATCH(MIN(P166:U166),P166:U166,0))))</f>
        <v>S1</v>
      </c>
      <c r="W166" s="117">
        <f t="shared" si="23"/>
        <v>1</v>
      </c>
      <c r="X166" s="58"/>
    </row>
    <row r="167" spans="1:24">
      <c r="A167" s="115">
        <v>165</v>
      </c>
      <c r="B167" s="116">
        <v>6</v>
      </c>
      <c r="C167" s="61" t="s">
        <v>130</v>
      </c>
      <c r="D167" s="61" t="s">
        <v>240</v>
      </c>
      <c r="E167" s="61" t="s">
        <v>99</v>
      </c>
      <c r="F167" s="61">
        <v>6.19</v>
      </c>
      <c r="G167" s="52">
        <f t="shared" si="17"/>
        <v>7.16</v>
      </c>
      <c r="H167" s="110"/>
      <c r="I167" s="81">
        <v>9.91</v>
      </c>
      <c r="J167" s="81">
        <f>VLOOKUP(C167,Recipes!$A$2:$N$4,12,FALSE())</f>
        <v>5.0137397426368718E-2</v>
      </c>
      <c r="K167" s="81">
        <f t="shared" si="18"/>
        <v>9.7345191090077101</v>
      </c>
      <c r="L167" s="81">
        <f t="shared" si="19"/>
        <v>10.08548089099229</v>
      </c>
      <c r="M167" s="81" t="str">
        <f t="shared" si="20"/>
        <v>NG</v>
      </c>
      <c r="N167" s="117">
        <f t="shared" si="21"/>
        <v>1</v>
      </c>
      <c r="O167" s="81">
        <f t="shared" si="22"/>
        <v>2.75</v>
      </c>
      <c r="P167" s="81">
        <f>IF(G167="","",ABS(O167-Components!$C$2))</f>
        <v>3.3333333333298576E-3</v>
      </c>
      <c r="Q167" s="81">
        <f>IF(G167="","",ABS(O167-Components!$C$3))</f>
        <v>1.2859999999999996</v>
      </c>
      <c r="R167" s="81">
        <f>IF(G167="","",ABS(O167-Components!$C$4))</f>
        <v>1.756666666666667</v>
      </c>
      <c r="S167" s="81">
        <f>IF(G167="","",ABS(O167-Components!$C$5))</f>
        <v>1.8126666666666704</v>
      </c>
      <c r="T167" s="81">
        <f>IF(G167="","",ABS(O167-Components!$C$6))</f>
        <v>1.59433333333333</v>
      </c>
      <c r="U167" s="81">
        <f>IF(G167="","",ABS(O167-Components!$C$7))</f>
        <v>1.3756666666666699</v>
      </c>
      <c r="V167" s="81" t="str">
        <f>IF(G167="","",IF(M167="OK","NONE",INDEX({"S1","S2","W1","W2","N1","N2"},MATCH(MIN(P167:U167),P167:U167,0))))</f>
        <v>S1</v>
      </c>
      <c r="W167" s="117">
        <f t="shared" si="23"/>
        <v>1</v>
      </c>
      <c r="X167" s="58"/>
    </row>
    <row r="168" spans="1:24">
      <c r="A168" s="115">
        <v>166</v>
      </c>
      <c r="B168" s="116">
        <v>6</v>
      </c>
      <c r="C168" s="81" t="s">
        <v>130</v>
      </c>
      <c r="D168" s="111" t="s">
        <v>240</v>
      </c>
      <c r="E168" s="81" t="s">
        <v>99</v>
      </c>
      <c r="F168" s="61">
        <v>6.19</v>
      </c>
      <c r="G168" s="52">
        <f t="shared" si="17"/>
        <v>7.16</v>
      </c>
      <c r="H168" s="110"/>
      <c r="I168" s="81">
        <v>9.91</v>
      </c>
      <c r="J168" s="81">
        <f>VLOOKUP(C168,Recipes!$A$2:$N$4,12,FALSE())</f>
        <v>5.0137397426368718E-2</v>
      </c>
      <c r="K168" s="81">
        <f t="shared" si="18"/>
        <v>9.7345191090077101</v>
      </c>
      <c r="L168" s="81">
        <f t="shared" si="19"/>
        <v>10.08548089099229</v>
      </c>
      <c r="M168" s="81" t="str">
        <f t="shared" si="20"/>
        <v>NG</v>
      </c>
      <c r="N168" s="117">
        <f t="shared" si="21"/>
        <v>1</v>
      </c>
      <c r="O168" s="81">
        <f t="shared" si="22"/>
        <v>2.75</v>
      </c>
      <c r="P168" s="81">
        <f>IF(G168="","",ABS(O168-Components!$C$2))</f>
        <v>3.3333333333298576E-3</v>
      </c>
      <c r="Q168" s="81">
        <f>IF(G168="","",ABS(O168-Components!$C$3))</f>
        <v>1.2859999999999996</v>
      </c>
      <c r="R168" s="81">
        <f>IF(G168="","",ABS(O168-Components!$C$4))</f>
        <v>1.756666666666667</v>
      </c>
      <c r="S168" s="81">
        <f>IF(G168="","",ABS(O168-Components!$C$5))</f>
        <v>1.8126666666666704</v>
      </c>
      <c r="T168" s="81">
        <f>IF(G168="","",ABS(O168-Components!$C$6))</f>
        <v>1.59433333333333</v>
      </c>
      <c r="U168" s="81">
        <f>IF(G168="","",ABS(O168-Components!$C$7))</f>
        <v>1.3756666666666699</v>
      </c>
      <c r="V168" s="81" t="str">
        <f>IF(G168="","",IF(M168="OK","NONE",INDEX({"S1","S2","W1","W2","N1","N2"},MATCH(MIN(P168:U168),P168:U168,0))))</f>
        <v>S1</v>
      </c>
      <c r="W168" s="117">
        <f t="shared" si="23"/>
        <v>1</v>
      </c>
      <c r="X168" s="58"/>
    </row>
    <row r="169" spans="1:24">
      <c r="A169" s="115">
        <v>167</v>
      </c>
      <c r="B169" s="116">
        <v>6</v>
      </c>
      <c r="C169" s="81" t="s">
        <v>130</v>
      </c>
      <c r="D169" s="111" t="s">
        <v>240</v>
      </c>
      <c r="E169" s="81" t="s">
        <v>99</v>
      </c>
      <c r="F169" s="61">
        <v>6.13</v>
      </c>
      <c r="G169" s="52">
        <f t="shared" si="17"/>
        <v>7.1</v>
      </c>
      <c r="H169" s="110"/>
      <c r="I169" s="81">
        <v>9.91</v>
      </c>
      <c r="J169" s="81">
        <f>VLOOKUP(C169,Recipes!$A$2:$N$4,12,FALSE())</f>
        <v>5.0137397426368718E-2</v>
      </c>
      <c r="K169" s="81">
        <f t="shared" si="18"/>
        <v>9.7345191090077101</v>
      </c>
      <c r="L169" s="81">
        <f t="shared" si="19"/>
        <v>10.08548089099229</v>
      </c>
      <c r="M169" s="81" t="str">
        <f t="shared" si="20"/>
        <v>NG</v>
      </c>
      <c r="N169" s="117">
        <f t="shared" si="21"/>
        <v>1</v>
      </c>
      <c r="O169" s="81">
        <f t="shared" si="22"/>
        <v>2.8100000000000005</v>
      </c>
      <c r="P169" s="81">
        <f>IF(G169="","",ABS(O169-Components!$C$2))</f>
        <v>5.666666666667064E-2</v>
      </c>
      <c r="Q169" s="81">
        <f>IF(G169="","",ABS(O169-Components!$C$3))</f>
        <v>1.2259999999999991</v>
      </c>
      <c r="R169" s="81">
        <f>IF(G169="","",ABS(O169-Components!$C$4))</f>
        <v>1.8166666666666675</v>
      </c>
      <c r="S169" s="81">
        <f>IF(G169="","",ABS(O169-Components!$C$5))</f>
        <v>1.7526666666666699</v>
      </c>
      <c r="T169" s="81">
        <f>IF(G169="","",ABS(O169-Components!$C$6))</f>
        <v>1.6543333333333305</v>
      </c>
      <c r="U169" s="81">
        <f>IF(G169="","",ABS(O169-Components!$C$7))</f>
        <v>1.4356666666666704</v>
      </c>
      <c r="V169" s="81" t="str">
        <f>IF(G169="","",IF(M169="OK","NONE",INDEX({"S1","S2","W1","W2","N1","N2"},MATCH(MIN(P169:U169),P169:U169,0))))</f>
        <v>S1</v>
      </c>
      <c r="W169" s="117">
        <f t="shared" si="23"/>
        <v>1</v>
      </c>
      <c r="X169" s="58"/>
    </row>
    <row r="170" spans="1:24">
      <c r="A170" s="115">
        <v>168</v>
      </c>
      <c r="B170" s="116">
        <v>6</v>
      </c>
      <c r="C170" s="81" t="s">
        <v>130</v>
      </c>
      <c r="D170" s="111" t="s">
        <v>240</v>
      </c>
      <c r="E170" s="81" t="s">
        <v>99</v>
      </c>
      <c r="F170" s="61">
        <v>6.17</v>
      </c>
      <c r="G170" s="52">
        <f t="shared" si="17"/>
        <v>7.14</v>
      </c>
      <c r="H170" s="110"/>
      <c r="I170" s="81">
        <v>9.91</v>
      </c>
      <c r="J170" s="81">
        <f>VLOOKUP(C170,Recipes!$A$2:$N$4,12,FALSE())</f>
        <v>5.0137397426368718E-2</v>
      </c>
      <c r="K170" s="81">
        <f t="shared" si="18"/>
        <v>9.7345191090077101</v>
      </c>
      <c r="L170" s="81">
        <f t="shared" si="19"/>
        <v>10.08548089099229</v>
      </c>
      <c r="M170" s="81" t="str">
        <f t="shared" si="20"/>
        <v>NG</v>
      </c>
      <c r="N170" s="117">
        <f t="shared" si="21"/>
        <v>1</v>
      </c>
      <c r="O170" s="81">
        <f t="shared" si="22"/>
        <v>2.7700000000000005</v>
      </c>
      <c r="P170" s="81">
        <f>IF(G170="","",ABS(O170-Components!$C$2))</f>
        <v>1.6666666666670604E-2</v>
      </c>
      <c r="Q170" s="81">
        <f>IF(G170="","",ABS(O170-Components!$C$3))</f>
        <v>1.2659999999999991</v>
      </c>
      <c r="R170" s="81">
        <f>IF(G170="","",ABS(O170-Components!$C$4))</f>
        <v>1.7766666666666675</v>
      </c>
      <c r="S170" s="81">
        <f>IF(G170="","",ABS(O170-Components!$C$5))</f>
        <v>1.79266666666667</v>
      </c>
      <c r="T170" s="81">
        <f>IF(G170="","",ABS(O170-Components!$C$6))</f>
        <v>1.6143333333333305</v>
      </c>
      <c r="U170" s="81">
        <f>IF(G170="","",ABS(O170-Components!$C$7))</f>
        <v>1.3956666666666704</v>
      </c>
      <c r="V170" s="81" t="str">
        <f>IF(G170="","",IF(M170="OK","NONE",INDEX({"S1","S2","W1","W2","N1","N2"},MATCH(MIN(P170:U170),P170:U170,0))))</f>
        <v>S1</v>
      </c>
      <c r="W170" s="117">
        <f t="shared" si="23"/>
        <v>1</v>
      </c>
      <c r="X170" s="58"/>
    </row>
    <row r="171" spans="1:24">
      <c r="A171" s="115">
        <v>169</v>
      </c>
      <c r="B171" s="116">
        <v>6</v>
      </c>
      <c r="C171" s="81" t="s">
        <v>130</v>
      </c>
      <c r="D171" s="111" t="s">
        <v>240</v>
      </c>
      <c r="E171" s="81" t="s">
        <v>99</v>
      </c>
      <c r="F171" s="61">
        <v>6.19</v>
      </c>
      <c r="G171" s="52">
        <f t="shared" si="17"/>
        <v>7.16</v>
      </c>
      <c r="H171" s="110"/>
      <c r="I171" s="81">
        <v>9.91</v>
      </c>
      <c r="J171" s="81">
        <f>VLOOKUP(C171,Recipes!$A$2:$N$4,12,FALSE())</f>
        <v>5.0137397426368718E-2</v>
      </c>
      <c r="K171" s="81">
        <f t="shared" si="18"/>
        <v>9.7345191090077101</v>
      </c>
      <c r="L171" s="81">
        <f t="shared" si="19"/>
        <v>10.08548089099229</v>
      </c>
      <c r="M171" s="81" t="str">
        <f t="shared" si="20"/>
        <v>NG</v>
      </c>
      <c r="N171" s="117">
        <f t="shared" si="21"/>
        <v>1</v>
      </c>
      <c r="O171" s="81">
        <f t="shared" si="22"/>
        <v>2.75</v>
      </c>
      <c r="P171" s="81">
        <f>IF(G171="","",ABS(O171-Components!$C$2))</f>
        <v>3.3333333333298576E-3</v>
      </c>
      <c r="Q171" s="81">
        <f>IF(G171="","",ABS(O171-Components!$C$3))</f>
        <v>1.2859999999999996</v>
      </c>
      <c r="R171" s="81">
        <f>IF(G171="","",ABS(O171-Components!$C$4))</f>
        <v>1.756666666666667</v>
      </c>
      <c r="S171" s="81">
        <f>IF(G171="","",ABS(O171-Components!$C$5))</f>
        <v>1.8126666666666704</v>
      </c>
      <c r="T171" s="81">
        <f>IF(G171="","",ABS(O171-Components!$C$6))</f>
        <v>1.59433333333333</v>
      </c>
      <c r="U171" s="81">
        <f>IF(G171="","",ABS(O171-Components!$C$7))</f>
        <v>1.3756666666666699</v>
      </c>
      <c r="V171" s="81" t="str">
        <f>IF(G171="","",IF(M171="OK","NONE",INDEX({"S1","S2","W1","W2","N1","N2"},MATCH(MIN(P171:U171),P171:U171,0))))</f>
        <v>S1</v>
      </c>
      <c r="W171" s="117">
        <f t="shared" si="23"/>
        <v>1</v>
      </c>
      <c r="X171" s="58"/>
    </row>
    <row r="172" spans="1:24">
      <c r="A172" s="115">
        <v>170</v>
      </c>
      <c r="B172" s="116">
        <v>6</v>
      </c>
      <c r="C172" s="61" t="s">
        <v>130</v>
      </c>
      <c r="D172" s="61" t="s">
        <v>240</v>
      </c>
      <c r="E172" s="61" t="s">
        <v>99</v>
      </c>
      <c r="F172" s="61">
        <v>6.09</v>
      </c>
      <c r="G172" s="52">
        <f t="shared" si="17"/>
        <v>7.06</v>
      </c>
      <c r="H172" s="110"/>
      <c r="I172" s="81">
        <v>9.91</v>
      </c>
      <c r="J172" s="81">
        <f>VLOOKUP(C172,Recipes!$A$2:$N$4,12,FALSE())</f>
        <v>5.0137397426368718E-2</v>
      </c>
      <c r="K172" s="81">
        <f t="shared" si="18"/>
        <v>9.7345191090077101</v>
      </c>
      <c r="L172" s="81">
        <f t="shared" si="19"/>
        <v>10.08548089099229</v>
      </c>
      <c r="M172" s="81" t="str">
        <f t="shared" si="20"/>
        <v>NG</v>
      </c>
      <c r="N172" s="117">
        <f t="shared" si="21"/>
        <v>1</v>
      </c>
      <c r="O172" s="81">
        <f t="shared" si="22"/>
        <v>2.8500000000000005</v>
      </c>
      <c r="P172" s="81">
        <f>IF(G172="","",ABS(O172-Components!$C$2))</f>
        <v>9.6666666666670675E-2</v>
      </c>
      <c r="Q172" s="81">
        <f>IF(G172="","",ABS(O172-Components!$C$3))</f>
        <v>1.1859999999999991</v>
      </c>
      <c r="R172" s="81">
        <f>IF(G172="","",ABS(O172-Components!$C$4))</f>
        <v>1.8566666666666676</v>
      </c>
      <c r="S172" s="81">
        <f>IF(G172="","",ABS(O172-Components!$C$5))</f>
        <v>1.7126666666666699</v>
      </c>
      <c r="T172" s="81">
        <f>IF(G172="","",ABS(O172-Components!$C$6))</f>
        <v>1.6943333333333306</v>
      </c>
      <c r="U172" s="81">
        <f>IF(G172="","",ABS(O172-Components!$C$7))</f>
        <v>1.4756666666666705</v>
      </c>
      <c r="V172" s="81" t="str">
        <f>IF(G172="","",IF(M172="OK","NONE",INDEX({"S1","S2","W1","W2","N1","N2"},MATCH(MIN(P172:U172),P172:U172,0))))</f>
        <v>S1</v>
      </c>
      <c r="W172" s="117">
        <f t="shared" si="23"/>
        <v>1</v>
      </c>
      <c r="X172" s="58"/>
    </row>
    <row r="173" spans="1:24">
      <c r="A173" s="115">
        <v>171</v>
      </c>
      <c r="B173" s="116">
        <v>6</v>
      </c>
      <c r="C173" s="81" t="s">
        <v>130</v>
      </c>
      <c r="D173" s="111" t="s">
        <v>240</v>
      </c>
      <c r="E173" s="81" t="s">
        <v>99</v>
      </c>
      <c r="F173" s="61">
        <v>6.19</v>
      </c>
      <c r="G173" s="52">
        <f t="shared" si="17"/>
        <v>7.16</v>
      </c>
      <c r="H173" s="110"/>
      <c r="I173" s="81">
        <v>9.91</v>
      </c>
      <c r="J173" s="81">
        <f>VLOOKUP(C173,Recipes!$A$2:$N$4,12,FALSE())</f>
        <v>5.0137397426368718E-2</v>
      </c>
      <c r="K173" s="81">
        <f t="shared" si="18"/>
        <v>9.7345191090077101</v>
      </c>
      <c r="L173" s="81">
        <f t="shared" si="19"/>
        <v>10.08548089099229</v>
      </c>
      <c r="M173" s="81" t="str">
        <f t="shared" si="20"/>
        <v>NG</v>
      </c>
      <c r="N173" s="117">
        <f t="shared" si="21"/>
        <v>1</v>
      </c>
      <c r="O173" s="81">
        <f t="shared" si="22"/>
        <v>2.75</v>
      </c>
      <c r="P173" s="81">
        <f>IF(G173="","",ABS(O173-Components!$C$2))</f>
        <v>3.3333333333298576E-3</v>
      </c>
      <c r="Q173" s="81">
        <f>IF(G173="","",ABS(O173-Components!$C$3))</f>
        <v>1.2859999999999996</v>
      </c>
      <c r="R173" s="81">
        <f>IF(G173="","",ABS(O173-Components!$C$4))</f>
        <v>1.756666666666667</v>
      </c>
      <c r="S173" s="81">
        <f>IF(G173="","",ABS(O173-Components!$C$5))</f>
        <v>1.8126666666666704</v>
      </c>
      <c r="T173" s="81">
        <f>IF(G173="","",ABS(O173-Components!$C$6))</f>
        <v>1.59433333333333</v>
      </c>
      <c r="U173" s="81">
        <f>IF(G173="","",ABS(O173-Components!$C$7))</f>
        <v>1.3756666666666699</v>
      </c>
      <c r="V173" s="81" t="str">
        <f>IF(G173="","",IF(M173="OK","NONE",INDEX({"S1","S2","W1","W2","N1","N2"},MATCH(MIN(P173:U173),P173:U173,0))))</f>
        <v>S1</v>
      </c>
      <c r="W173" s="117">
        <f t="shared" si="23"/>
        <v>1</v>
      </c>
      <c r="X173" s="58"/>
    </row>
    <row r="174" spans="1:24">
      <c r="A174" s="115">
        <v>172</v>
      </c>
      <c r="B174" s="116">
        <v>6</v>
      </c>
      <c r="C174" s="81" t="s">
        <v>130</v>
      </c>
      <c r="D174" s="111" t="s">
        <v>240</v>
      </c>
      <c r="E174" s="81" t="s">
        <v>99</v>
      </c>
      <c r="F174" s="61">
        <v>6.18</v>
      </c>
      <c r="G174" s="52">
        <f t="shared" si="17"/>
        <v>7.1499999999999995</v>
      </c>
      <c r="H174" s="110"/>
      <c r="I174" s="81">
        <v>9.91</v>
      </c>
      <c r="J174" s="81">
        <f>VLOOKUP(C174,Recipes!$A$2:$N$4,12,FALSE())</f>
        <v>5.0137397426368718E-2</v>
      </c>
      <c r="K174" s="81">
        <f t="shared" si="18"/>
        <v>9.7345191090077101</v>
      </c>
      <c r="L174" s="81">
        <f t="shared" si="19"/>
        <v>10.08548089099229</v>
      </c>
      <c r="M174" s="81" t="str">
        <f t="shared" si="20"/>
        <v>NG</v>
      </c>
      <c r="N174" s="117">
        <f t="shared" si="21"/>
        <v>1</v>
      </c>
      <c r="O174" s="81">
        <f t="shared" si="22"/>
        <v>2.7600000000000007</v>
      </c>
      <c r="P174" s="81">
        <f>IF(G174="","",ABS(O174-Components!$C$2))</f>
        <v>6.6666666666708174E-3</v>
      </c>
      <c r="Q174" s="81">
        <f>IF(G174="","",ABS(O174-Components!$C$3))</f>
        <v>1.2759999999999989</v>
      </c>
      <c r="R174" s="81">
        <f>IF(G174="","",ABS(O174-Components!$C$4))</f>
        <v>1.7666666666666677</v>
      </c>
      <c r="S174" s="81">
        <f>IF(G174="","",ABS(O174-Components!$C$5))</f>
        <v>1.8026666666666697</v>
      </c>
      <c r="T174" s="81">
        <f>IF(G174="","",ABS(O174-Components!$C$6))</f>
        <v>1.6043333333333307</v>
      </c>
      <c r="U174" s="81">
        <f>IF(G174="","",ABS(O174-Components!$C$7))</f>
        <v>1.3856666666666706</v>
      </c>
      <c r="V174" s="81" t="str">
        <f>IF(G174="","",IF(M174="OK","NONE",INDEX({"S1","S2","W1","W2","N1","N2"},MATCH(MIN(P174:U174),P174:U174,0))))</f>
        <v>S1</v>
      </c>
      <c r="W174" s="117">
        <f t="shared" si="23"/>
        <v>1</v>
      </c>
      <c r="X174" s="58"/>
    </row>
    <row r="175" spans="1:24">
      <c r="A175" s="115">
        <v>173</v>
      </c>
      <c r="B175" s="116">
        <v>6</v>
      </c>
      <c r="C175" s="81" t="s">
        <v>130</v>
      </c>
      <c r="D175" s="111" t="s">
        <v>240</v>
      </c>
      <c r="E175" s="81" t="s">
        <v>99</v>
      </c>
      <c r="F175" s="61">
        <v>6.19</v>
      </c>
      <c r="G175" s="52">
        <f t="shared" si="17"/>
        <v>7.16</v>
      </c>
      <c r="H175" s="110"/>
      <c r="I175" s="81">
        <v>9.91</v>
      </c>
      <c r="J175" s="81">
        <f>VLOOKUP(C175,Recipes!$A$2:$N$4,12,FALSE())</f>
        <v>5.0137397426368718E-2</v>
      </c>
      <c r="K175" s="81">
        <f t="shared" si="18"/>
        <v>9.7345191090077101</v>
      </c>
      <c r="L175" s="81">
        <f t="shared" si="19"/>
        <v>10.08548089099229</v>
      </c>
      <c r="M175" s="81" t="str">
        <f t="shared" si="20"/>
        <v>NG</v>
      </c>
      <c r="N175" s="117">
        <f t="shared" si="21"/>
        <v>1</v>
      </c>
      <c r="O175" s="81">
        <f t="shared" si="22"/>
        <v>2.75</v>
      </c>
      <c r="P175" s="81">
        <f>IF(G175="","",ABS(O175-Components!$C$2))</f>
        <v>3.3333333333298576E-3</v>
      </c>
      <c r="Q175" s="81">
        <f>IF(G175="","",ABS(O175-Components!$C$3))</f>
        <v>1.2859999999999996</v>
      </c>
      <c r="R175" s="81">
        <f>IF(G175="","",ABS(O175-Components!$C$4))</f>
        <v>1.756666666666667</v>
      </c>
      <c r="S175" s="81">
        <f>IF(G175="","",ABS(O175-Components!$C$5))</f>
        <v>1.8126666666666704</v>
      </c>
      <c r="T175" s="81">
        <f>IF(G175="","",ABS(O175-Components!$C$6))</f>
        <v>1.59433333333333</v>
      </c>
      <c r="U175" s="81">
        <f>IF(G175="","",ABS(O175-Components!$C$7))</f>
        <v>1.3756666666666699</v>
      </c>
      <c r="V175" s="81" t="str">
        <f>IF(G175="","",IF(M175="OK","NONE",INDEX({"S1","S2","W1","W2","N1","N2"},MATCH(MIN(P175:U175),P175:U175,0))))</f>
        <v>S1</v>
      </c>
      <c r="W175" s="117">
        <f t="shared" si="23"/>
        <v>1</v>
      </c>
      <c r="X175" s="58"/>
    </row>
    <row r="176" spans="1:24">
      <c r="A176" s="115">
        <v>174</v>
      </c>
      <c r="B176" s="116">
        <v>6</v>
      </c>
      <c r="C176" s="81" t="s">
        <v>130</v>
      </c>
      <c r="D176" s="111" t="s">
        <v>240</v>
      </c>
      <c r="E176" s="81" t="s">
        <v>99</v>
      </c>
      <c r="F176" s="61">
        <v>6.15</v>
      </c>
      <c r="G176" s="52">
        <f t="shared" si="17"/>
        <v>7.12</v>
      </c>
      <c r="H176" s="110"/>
      <c r="I176" s="81">
        <v>9.91</v>
      </c>
      <c r="J176" s="81">
        <f>VLOOKUP(C176,Recipes!$A$2:$N$4,12,FALSE())</f>
        <v>5.0137397426368718E-2</v>
      </c>
      <c r="K176" s="81">
        <f t="shared" si="18"/>
        <v>9.7345191090077101</v>
      </c>
      <c r="L176" s="81">
        <f t="shared" si="19"/>
        <v>10.08548089099229</v>
      </c>
      <c r="M176" s="81" t="str">
        <f t="shared" si="20"/>
        <v>NG</v>
      </c>
      <c r="N176" s="117">
        <f t="shared" si="21"/>
        <v>1</v>
      </c>
      <c r="O176" s="81">
        <f t="shared" si="22"/>
        <v>2.79</v>
      </c>
      <c r="P176" s="81">
        <f>IF(G176="","",ABS(O176-Components!$C$2))</f>
        <v>3.6666666666670178E-2</v>
      </c>
      <c r="Q176" s="81">
        <f>IF(G176="","",ABS(O176-Components!$C$3))</f>
        <v>1.2459999999999996</v>
      </c>
      <c r="R176" s="81">
        <f>IF(G176="","",ABS(O176-Components!$C$4))</f>
        <v>1.7966666666666671</v>
      </c>
      <c r="S176" s="81">
        <f>IF(G176="","",ABS(O176-Components!$C$5))</f>
        <v>1.7726666666666704</v>
      </c>
      <c r="T176" s="81">
        <f>IF(G176="","",ABS(O176-Components!$C$6))</f>
        <v>1.6343333333333301</v>
      </c>
      <c r="U176" s="81">
        <f>IF(G176="","",ABS(O176-Components!$C$7))</f>
        <v>1.41566666666667</v>
      </c>
      <c r="V176" s="81" t="str">
        <f>IF(G176="","",IF(M176="OK","NONE",INDEX({"S1","S2","W1","W2","N1","N2"},MATCH(MIN(P176:U176),P176:U176,0))))</f>
        <v>S1</v>
      </c>
      <c r="W176" s="117">
        <f t="shared" si="23"/>
        <v>1</v>
      </c>
      <c r="X176" s="58"/>
    </row>
    <row r="177" spans="1:24">
      <c r="A177" s="115">
        <v>175</v>
      </c>
      <c r="B177" s="116">
        <v>6</v>
      </c>
      <c r="C177" s="61" t="s">
        <v>130</v>
      </c>
      <c r="D177" s="61" t="s">
        <v>240</v>
      </c>
      <c r="E177" s="61" t="s">
        <v>99</v>
      </c>
      <c r="F177" s="61">
        <v>6.16</v>
      </c>
      <c r="G177" s="52">
        <f t="shared" si="17"/>
        <v>7.13</v>
      </c>
      <c r="H177" s="110"/>
      <c r="I177" s="81">
        <v>9.91</v>
      </c>
      <c r="J177" s="81">
        <f>VLOOKUP(C177,Recipes!$A$2:$N$4,12,FALSE())</f>
        <v>5.0137397426368718E-2</v>
      </c>
      <c r="K177" s="81">
        <f t="shared" si="18"/>
        <v>9.7345191090077101</v>
      </c>
      <c r="L177" s="81">
        <f t="shared" si="19"/>
        <v>10.08548089099229</v>
      </c>
      <c r="M177" s="81" t="str">
        <f t="shared" si="20"/>
        <v>NG</v>
      </c>
      <c r="N177" s="117">
        <f t="shared" si="21"/>
        <v>1</v>
      </c>
      <c r="O177" s="81">
        <f t="shared" si="22"/>
        <v>2.7800000000000002</v>
      </c>
      <c r="P177" s="81">
        <f>IF(G177="","",ABS(O177-Components!$C$2))</f>
        <v>2.6666666666670391E-2</v>
      </c>
      <c r="Q177" s="81">
        <f>IF(G177="","",ABS(O177-Components!$C$3))</f>
        <v>1.2559999999999993</v>
      </c>
      <c r="R177" s="81">
        <f>IF(G177="","",ABS(O177-Components!$C$4))</f>
        <v>1.7866666666666673</v>
      </c>
      <c r="S177" s="81">
        <f>IF(G177="","",ABS(O177-Components!$C$5))</f>
        <v>1.7826666666666702</v>
      </c>
      <c r="T177" s="81">
        <f>IF(G177="","",ABS(O177-Components!$C$6))</f>
        <v>1.6243333333333303</v>
      </c>
      <c r="U177" s="81">
        <f>IF(G177="","",ABS(O177-Components!$C$7))</f>
        <v>1.4056666666666702</v>
      </c>
      <c r="V177" s="81" t="str">
        <f>IF(G177="","",IF(M177="OK","NONE",INDEX({"S1","S2","W1","W2","N1","N2"},MATCH(MIN(P177:U177),P177:U177,0))))</f>
        <v>S1</v>
      </c>
      <c r="W177" s="117">
        <f t="shared" si="23"/>
        <v>1</v>
      </c>
      <c r="X177" s="58"/>
    </row>
    <row r="178" spans="1:24">
      <c r="A178" s="115">
        <v>176</v>
      </c>
      <c r="B178" s="116">
        <v>6</v>
      </c>
      <c r="C178" s="81" t="s">
        <v>130</v>
      </c>
      <c r="D178" s="111" t="s">
        <v>240</v>
      </c>
      <c r="E178" s="81" t="s">
        <v>99</v>
      </c>
      <c r="F178" s="61">
        <v>6.16</v>
      </c>
      <c r="G178" s="52">
        <f t="shared" si="17"/>
        <v>7.13</v>
      </c>
      <c r="H178" s="110"/>
      <c r="I178" s="81">
        <v>9.91</v>
      </c>
      <c r="J178" s="81">
        <f>VLOOKUP(C178,Recipes!$A$2:$N$4,12,FALSE())</f>
        <v>5.0137397426368718E-2</v>
      </c>
      <c r="K178" s="81">
        <f t="shared" si="18"/>
        <v>9.7345191090077101</v>
      </c>
      <c r="L178" s="81">
        <f t="shared" si="19"/>
        <v>10.08548089099229</v>
      </c>
      <c r="M178" s="81" t="str">
        <f t="shared" si="20"/>
        <v>NG</v>
      </c>
      <c r="N178" s="117">
        <f t="shared" si="21"/>
        <v>1</v>
      </c>
      <c r="O178" s="81">
        <f t="shared" si="22"/>
        <v>2.7800000000000002</v>
      </c>
      <c r="P178" s="81">
        <f>IF(G178="","",ABS(O178-Components!$C$2))</f>
        <v>2.6666666666670391E-2</v>
      </c>
      <c r="Q178" s="81">
        <f>IF(G178="","",ABS(O178-Components!$C$3))</f>
        <v>1.2559999999999993</v>
      </c>
      <c r="R178" s="81">
        <f>IF(G178="","",ABS(O178-Components!$C$4))</f>
        <v>1.7866666666666673</v>
      </c>
      <c r="S178" s="81">
        <f>IF(G178="","",ABS(O178-Components!$C$5))</f>
        <v>1.7826666666666702</v>
      </c>
      <c r="T178" s="81">
        <f>IF(G178="","",ABS(O178-Components!$C$6))</f>
        <v>1.6243333333333303</v>
      </c>
      <c r="U178" s="81">
        <f>IF(G178="","",ABS(O178-Components!$C$7))</f>
        <v>1.4056666666666702</v>
      </c>
      <c r="V178" s="81" t="str">
        <f>IF(G178="","",IF(M178="OK","NONE",INDEX({"S1","S2","W1","W2","N1","N2"},MATCH(MIN(P178:U178),P178:U178,0))))</f>
        <v>S1</v>
      </c>
      <c r="W178" s="117">
        <f t="shared" si="23"/>
        <v>1</v>
      </c>
      <c r="X178" s="58"/>
    </row>
    <row r="179" spans="1:24">
      <c r="A179" s="115">
        <v>177</v>
      </c>
      <c r="B179" s="116">
        <v>6</v>
      </c>
      <c r="C179" s="81" t="s">
        <v>130</v>
      </c>
      <c r="D179" s="111" t="s">
        <v>240</v>
      </c>
      <c r="E179" s="81" t="s">
        <v>99</v>
      </c>
      <c r="F179" s="61">
        <v>6.15</v>
      </c>
      <c r="G179" s="52">
        <f t="shared" si="17"/>
        <v>7.12</v>
      </c>
      <c r="H179" s="110"/>
      <c r="I179" s="81">
        <v>9.91</v>
      </c>
      <c r="J179" s="81">
        <f>VLOOKUP(C179,Recipes!$A$2:$N$4,12,FALSE())</f>
        <v>5.0137397426368718E-2</v>
      </c>
      <c r="K179" s="81">
        <f t="shared" si="18"/>
        <v>9.7345191090077101</v>
      </c>
      <c r="L179" s="81">
        <f t="shared" si="19"/>
        <v>10.08548089099229</v>
      </c>
      <c r="M179" s="81" t="str">
        <f t="shared" si="20"/>
        <v>NG</v>
      </c>
      <c r="N179" s="117">
        <f t="shared" si="21"/>
        <v>1</v>
      </c>
      <c r="O179" s="81">
        <f t="shared" si="22"/>
        <v>2.79</v>
      </c>
      <c r="P179" s="81">
        <f>IF(G179="","",ABS(O179-Components!$C$2))</f>
        <v>3.6666666666670178E-2</v>
      </c>
      <c r="Q179" s="81">
        <f>IF(G179="","",ABS(O179-Components!$C$3))</f>
        <v>1.2459999999999996</v>
      </c>
      <c r="R179" s="81">
        <f>IF(G179="","",ABS(O179-Components!$C$4))</f>
        <v>1.7966666666666671</v>
      </c>
      <c r="S179" s="81">
        <f>IF(G179="","",ABS(O179-Components!$C$5))</f>
        <v>1.7726666666666704</v>
      </c>
      <c r="T179" s="81">
        <f>IF(G179="","",ABS(O179-Components!$C$6))</f>
        <v>1.6343333333333301</v>
      </c>
      <c r="U179" s="81">
        <f>IF(G179="","",ABS(O179-Components!$C$7))</f>
        <v>1.41566666666667</v>
      </c>
      <c r="V179" s="81" t="str">
        <f>IF(G179="","",IF(M179="OK","NONE",INDEX({"S1","S2","W1","W2","N1","N2"},MATCH(MIN(P179:U179),P179:U179,0))))</f>
        <v>S1</v>
      </c>
      <c r="W179" s="117">
        <f t="shared" si="23"/>
        <v>1</v>
      </c>
      <c r="X179" s="58"/>
    </row>
    <row r="180" spans="1:24">
      <c r="A180" s="115">
        <v>178</v>
      </c>
      <c r="B180" s="116">
        <v>6</v>
      </c>
      <c r="C180" s="81" t="s">
        <v>130</v>
      </c>
      <c r="D180" s="111" t="s">
        <v>240</v>
      </c>
      <c r="E180" s="81" t="s">
        <v>99</v>
      </c>
      <c r="F180" s="61">
        <v>6.17</v>
      </c>
      <c r="G180" s="52">
        <f t="shared" si="17"/>
        <v>7.14</v>
      </c>
      <c r="H180" s="110"/>
      <c r="I180" s="81">
        <v>9.91</v>
      </c>
      <c r="J180" s="81">
        <f>VLOOKUP(C180,Recipes!$A$2:$N$4,12,FALSE())</f>
        <v>5.0137397426368718E-2</v>
      </c>
      <c r="K180" s="81">
        <f t="shared" si="18"/>
        <v>9.7345191090077101</v>
      </c>
      <c r="L180" s="81">
        <f t="shared" si="19"/>
        <v>10.08548089099229</v>
      </c>
      <c r="M180" s="81" t="str">
        <f t="shared" si="20"/>
        <v>NG</v>
      </c>
      <c r="N180" s="117">
        <f t="shared" si="21"/>
        <v>1</v>
      </c>
      <c r="O180" s="81">
        <f t="shared" si="22"/>
        <v>2.7700000000000005</v>
      </c>
      <c r="P180" s="81">
        <f>IF(G180="","",ABS(O180-Components!$C$2))</f>
        <v>1.6666666666670604E-2</v>
      </c>
      <c r="Q180" s="81">
        <f>IF(G180="","",ABS(O180-Components!$C$3))</f>
        <v>1.2659999999999991</v>
      </c>
      <c r="R180" s="81">
        <f>IF(G180="","",ABS(O180-Components!$C$4))</f>
        <v>1.7766666666666675</v>
      </c>
      <c r="S180" s="81">
        <f>IF(G180="","",ABS(O180-Components!$C$5))</f>
        <v>1.79266666666667</v>
      </c>
      <c r="T180" s="81">
        <f>IF(G180="","",ABS(O180-Components!$C$6))</f>
        <v>1.6143333333333305</v>
      </c>
      <c r="U180" s="81">
        <f>IF(G180="","",ABS(O180-Components!$C$7))</f>
        <v>1.3956666666666704</v>
      </c>
      <c r="V180" s="81" t="str">
        <f>IF(G180="","",IF(M180="OK","NONE",INDEX({"S1","S2","W1","W2","N1","N2"},MATCH(MIN(P180:U180),P180:U180,0))))</f>
        <v>S1</v>
      </c>
      <c r="W180" s="117">
        <f t="shared" si="23"/>
        <v>1</v>
      </c>
      <c r="X180" s="58"/>
    </row>
    <row r="181" spans="1:24">
      <c r="A181" s="115">
        <v>179</v>
      </c>
      <c r="B181" s="116">
        <v>6</v>
      </c>
      <c r="C181" s="81" t="s">
        <v>130</v>
      </c>
      <c r="D181" s="111" t="s">
        <v>240</v>
      </c>
      <c r="E181" s="81" t="s">
        <v>99</v>
      </c>
      <c r="F181" s="61">
        <v>6.2</v>
      </c>
      <c r="G181" s="52">
        <f t="shared" si="17"/>
        <v>7.17</v>
      </c>
      <c r="H181" s="110"/>
      <c r="I181" s="81">
        <v>9.91</v>
      </c>
      <c r="J181" s="81">
        <f>VLOOKUP(C181,Recipes!$A$2:$N$4,12,FALSE())</f>
        <v>5.0137397426368718E-2</v>
      </c>
      <c r="K181" s="81">
        <f t="shared" si="18"/>
        <v>9.7345191090077101</v>
      </c>
      <c r="L181" s="81">
        <f t="shared" si="19"/>
        <v>10.08548089099229</v>
      </c>
      <c r="M181" s="81" t="str">
        <f t="shared" si="20"/>
        <v>NG</v>
      </c>
      <c r="N181" s="117">
        <f t="shared" si="21"/>
        <v>1</v>
      </c>
      <c r="O181" s="81">
        <f t="shared" si="22"/>
        <v>2.74</v>
      </c>
      <c r="P181" s="81">
        <f>IF(G181="","",ABS(O181-Components!$C$2))</f>
        <v>1.3333333333329644E-2</v>
      </c>
      <c r="Q181" s="81">
        <f>IF(G181="","",ABS(O181-Components!$C$3))</f>
        <v>1.2959999999999994</v>
      </c>
      <c r="R181" s="81">
        <f>IF(G181="","",ABS(O181-Components!$C$4))</f>
        <v>1.7466666666666673</v>
      </c>
      <c r="S181" s="81">
        <f>IF(G181="","",ABS(O181-Components!$C$5))</f>
        <v>1.8226666666666702</v>
      </c>
      <c r="T181" s="81">
        <f>IF(G181="","",ABS(O181-Components!$C$6))</f>
        <v>1.5843333333333303</v>
      </c>
      <c r="U181" s="81">
        <f>IF(G181="","",ABS(O181-Components!$C$7))</f>
        <v>1.3656666666666701</v>
      </c>
      <c r="V181" s="81" t="str">
        <f>IF(G181="","",IF(M181="OK","NONE",INDEX({"S1","S2","W1","W2","N1","N2"},MATCH(MIN(P181:U181),P181:U181,0))))</f>
        <v>S1</v>
      </c>
      <c r="W181" s="117">
        <f t="shared" si="23"/>
        <v>1</v>
      </c>
      <c r="X181" s="58"/>
    </row>
    <row r="182" spans="1:24">
      <c r="A182" s="115">
        <v>180</v>
      </c>
      <c r="B182" s="116">
        <v>6</v>
      </c>
      <c r="C182" s="61" t="s">
        <v>130</v>
      </c>
      <c r="D182" s="61" t="s">
        <v>240</v>
      </c>
      <c r="E182" s="61" t="s">
        <v>99</v>
      </c>
      <c r="F182" s="61">
        <v>6.14</v>
      </c>
      <c r="G182" s="52">
        <f t="shared" si="17"/>
        <v>7.1099999999999994</v>
      </c>
      <c r="H182" s="110"/>
      <c r="I182" s="81">
        <v>9.91</v>
      </c>
      <c r="J182" s="81">
        <f>VLOOKUP(C182,Recipes!$A$2:$N$4,12,FALSE())</f>
        <v>5.0137397426368718E-2</v>
      </c>
      <c r="K182" s="81">
        <f t="shared" si="18"/>
        <v>9.7345191090077101</v>
      </c>
      <c r="L182" s="81">
        <f t="shared" si="19"/>
        <v>10.08548089099229</v>
      </c>
      <c r="M182" s="81" t="str">
        <f t="shared" si="20"/>
        <v>NG</v>
      </c>
      <c r="N182" s="117">
        <f t="shared" si="21"/>
        <v>1</v>
      </c>
      <c r="O182" s="81">
        <f t="shared" si="22"/>
        <v>2.8000000000000007</v>
      </c>
      <c r="P182" s="81">
        <f>IF(G182="","",ABS(O182-Components!$C$2))</f>
        <v>4.6666666666670853E-2</v>
      </c>
      <c r="Q182" s="81">
        <f>IF(G182="","",ABS(O182-Components!$C$3))</f>
        <v>1.2359999999999989</v>
      </c>
      <c r="R182" s="81">
        <f>IF(G182="","",ABS(O182-Components!$C$4))</f>
        <v>1.8066666666666678</v>
      </c>
      <c r="S182" s="81">
        <f>IF(G182="","",ABS(O182-Components!$C$5))</f>
        <v>1.7626666666666697</v>
      </c>
      <c r="T182" s="81">
        <f>IF(G182="","",ABS(O182-Components!$C$6))</f>
        <v>1.6443333333333308</v>
      </c>
      <c r="U182" s="81">
        <f>IF(G182="","",ABS(O182-Components!$C$7))</f>
        <v>1.4256666666666706</v>
      </c>
      <c r="V182" s="81" t="str">
        <f>IF(G182="","",IF(M182="OK","NONE",INDEX({"S1","S2","W1","W2","N1","N2"},MATCH(MIN(P182:U182),P182:U182,0))))</f>
        <v>S1</v>
      </c>
      <c r="W182" s="117">
        <f t="shared" si="23"/>
        <v>1</v>
      </c>
      <c r="X182" s="58"/>
    </row>
    <row r="183" spans="1:24">
      <c r="A183" s="115">
        <v>181</v>
      </c>
      <c r="B183" s="116">
        <v>7</v>
      </c>
      <c r="C183" s="81" t="s">
        <v>130</v>
      </c>
      <c r="D183" s="111" t="s">
        <v>240</v>
      </c>
      <c r="E183" s="81" t="s">
        <v>104</v>
      </c>
      <c r="F183" s="52">
        <v>7.99</v>
      </c>
      <c r="G183" s="52">
        <f t="shared" si="17"/>
        <v>8.9600000000000009</v>
      </c>
      <c r="H183" s="110"/>
      <c r="I183" s="81">
        <v>9.91</v>
      </c>
      <c r="J183" s="81">
        <f>VLOOKUP(C183,Recipes!$A$2:$N$4,12,FALSE())</f>
        <v>5.0137397426368718E-2</v>
      </c>
      <c r="K183" s="81">
        <f t="shared" si="18"/>
        <v>9.7345191090077101</v>
      </c>
      <c r="L183" s="81">
        <f t="shared" si="19"/>
        <v>10.08548089099229</v>
      </c>
      <c r="M183" s="81" t="str">
        <f t="shared" si="20"/>
        <v>NG</v>
      </c>
      <c r="N183" s="117">
        <f t="shared" si="21"/>
        <v>1</v>
      </c>
      <c r="O183" s="81">
        <f t="shared" si="22"/>
        <v>0.94999999999999929</v>
      </c>
      <c r="P183" s="81">
        <f>IF(G183="","",ABS(O183-Components!$C$2))</f>
        <v>1.8033333333333306</v>
      </c>
      <c r="Q183" s="81">
        <f>IF(G183="","",ABS(O183-Components!$C$3))</f>
        <v>3.0860000000000003</v>
      </c>
      <c r="R183" s="81">
        <f>IF(G183="","",ABS(O183-Components!$C$4))</f>
        <v>4.3333333333333668E-2</v>
      </c>
      <c r="S183" s="81">
        <f>IF(G183="","",ABS(O183-Components!$C$5))</f>
        <v>3.6126666666666711</v>
      </c>
      <c r="T183" s="81">
        <f>IF(G183="","",ABS(O183-Components!$C$6))</f>
        <v>0.20566666666667066</v>
      </c>
      <c r="U183" s="81">
        <f>IF(G183="","",ABS(O183-Components!$C$7))</f>
        <v>0.42433333333333079</v>
      </c>
      <c r="V183" s="81" t="str">
        <f>IF(G183="","",IF(M183="OK","NONE",INDEX({"S1","S2","W1","W2","N1","N2"},MATCH(MIN(P183:U183),P183:U183,0))))</f>
        <v>W1</v>
      </c>
      <c r="W183" s="117">
        <f t="shared" si="23"/>
        <v>1</v>
      </c>
      <c r="X183" s="58"/>
    </row>
    <row r="184" spans="1:24">
      <c r="A184" s="115">
        <v>182</v>
      </c>
      <c r="B184" s="116">
        <v>7</v>
      </c>
      <c r="C184" s="81" t="s">
        <v>130</v>
      </c>
      <c r="D184" s="111" t="s">
        <v>240</v>
      </c>
      <c r="E184" s="81" t="s">
        <v>104</v>
      </c>
      <c r="F184" s="52">
        <v>7.97</v>
      </c>
      <c r="G184" s="52">
        <f t="shared" si="17"/>
        <v>8.94</v>
      </c>
      <c r="H184" s="110"/>
      <c r="I184" s="81">
        <v>9.91</v>
      </c>
      <c r="J184" s="81">
        <f>VLOOKUP(C184,Recipes!$A$2:$N$4,12,FALSE())</f>
        <v>5.0137397426368718E-2</v>
      </c>
      <c r="K184" s="81">
        <f t="shared" si="18"/>
        <v>9.7345191090077101</v>
      </c>
      <c r="L184" s="81">
        <f t="shared" si="19"/>
        <v>10.08548089099229</v>
      </c>
      <c r="M184" s="81" t="str">
        <f t="shared" si="20"/>
        <v>NG</v>
      </c>
      <c r="N184" s="117">
        <f t="shared" si="21"/>
        <v>1</v>
      </c>
      <c r="O184" s="81">
        <f t="shared" si="22"/>
        <v>0.97000000000000064</v>
      </c>
      <c r="P184" s="81">
        <f>IF(G184="","",ABS(O184-Components!$C$2))</f>
        <v>1.7833333333333292</v>
      </c>
      <c r="Q184" s="81">
        <f>IF(G184="","",ABS(O184-Components!$C$3))</f>
        <v>3.0659999999999989</v>
      </c>
      <c r="R184" s="81">
        <f>IF(G184="","",ABS(O184-Components!$C$4))</f>
        <v>2.3333333333332318E-2</v>
      </c>
      <c r="S184" s="81">
        <f>IF(G184="","",ABS(O184-Components!$C$5))</f>
        <v>3.5926666666666698</v>
      </c>
      <c r="T184" s="81">
        <f>IF(G184="","",ABS(O184-Components!$C$6))</f>
        <v>0.18566666666666931</v>
      </c>
      <c r="U184" s="81">
        <f>IF(G184="","",ABS(O184-Components!$C$7))</f>
        <v>0.40433333333332944</v>
      </c>
      <c r="V184" s="81" t="str">
        <f>IF(G184="","",IF(M184="OK","NONE",INDEX({"S1","S2","W1","W2","N1","N2"},MATCH(MIN(P184:U184),P184:U184,0))))</f>
        <v>W1</v>
      </c>
      <c r="W184" s="117">
        <f t="shared" si="23"/>
        <v>1</v>
      </c>
      <c r="X184" s="58"/>
    </row>
    <row r="185" spans="1:24">
      <c r="A185" s="115">
        <v>183</v>
      </c>
      <c r="B185" s="116">
        <v>7</v>
      </c>
      <c r="C185" s="81" t="s">
        <v>130</v>
      </c>
      <c r="D185" s="111" t="s">
        <v>240</v>
      </c>
      <c r="E185" s="81" t="s">
        <v>104</v>
      </c>
      <c r="F185" s="52">
        <v>7.97</v>
      </c>
      <c r="G185" s="52">
        <f t="shared" si="17"/>
        <v>8.94</v>
      </c>
      <c r="H185" s="110"/>
      <c r="I185" s="81">
        <v>9.91</v>
      </c>
      <c r="J185" s="81">
        <f>VLOOKUP(C185,Recipes!$A$2:$N$4,12,FALSE())</f>
        <v>5.0137397426368718E-2</v>
      </c>
      <c r="K185" s="81">
        <f t="shared" si="18"/>
        <v>9.7345191090077101</v>
      </c>
      <c r="L185" s="81">
        <f t="shared" si="19"/>
        <v>10.08548089099229</v>
      </c>
      <c r="M185" s="81" t="str">
        <f t="shared" si="20"/>
        <v>NG</v>
      </c>
      <c r="N185" s="117">
        <f t="shared" si="21"/>
        <v>1</v>
      </c>
      <c r="O185" s="81">
        <f t="shared" si="22"/>
        <v>0.97000000000000064</v>
      </c>
      <c r="P185" s="81">
        <f>IF(G185="","",ABS(O185-Components!$C$2))</f>
        <v>1.7833333333333292</v>
      </c>
      <c r="Q185" s="81">
        <f>IF(G185="","",ABS(O185-Components!$C$3))</f>
        <v>3.0659999999999989</v>
      </c>
      <c r="R185" s="81">
        <f>IF(G185="","",ABS(O185-Components!$C$4))</f>
        <v>2.3333333333332318E-2</v>
      </c>
      <c r="S185" s="81">
        <f>IF(G185="","",ABS(O185-Components!$C$5))</f>
        <v>3.5926666666666698</v>
      </c>
      <c r="T185" s="81">
        <f>IF(G185="","",ABS(O185-Components!$C$6))</f>
        <v>0.18566666666666931</v>
      </c>
      <c r="U185" s="81">
        <f>IF(G185="","",ABS(O185-Components!$C$7))</f>
        <v>0.40433333333332944</v>
      </c>
      <c r="V185" s="81" t="str">
        <f>IF(G185="","",IF(M185="OK","NONE",INDEX({"S1","S2","W1","W2","N1","N2"},MATCH(MIN(P185:U185),P185:U185,0))))</f>
        <v>W1</v>
      </c>
      <c r="W185" s="117">
        <f t="shared" si="23"/>
        <v>1</v>
      </c>
      <c r="X185" s="58"/>
    </row>
    <row r="186" spans="1:24">
      <c r="A186" s="115">
        <v>184</v>
      </c>
      <c r="B186" s="116">
        <v>7</v>
      </c>
      <c r="C186" s="81" t="s">
        <v>130</v>
      </c>
      <c r="D186" s="111" t="s">
        <v>240</v>
      </c>
      <c r="E186" s="81" t="s">
        <v>104</v>
      </c>
      <c r="F186" s="52">
        <v>7.94</v>
      </c>
      <c r="G186" s="52">
        <f t="shared" si="17"/>
        <v>8.91</v>
      </c>
      <c r="H186" s="110"/>
      <c r="I186" s="81">
        <v>9.91</v>
      </c>
      <c r="J186" s="81">
        <f>VLOOKUP(C186,Recipes!$A$2:$N$4,12,FALSE())</f>
        <v>5.0137397426368718E-2</v>
      </c>
      <c r="K186" s="81">
        <f t="shared" si="18"/>
        <v>9.7345191090077101</v>
      </c>
      <c r="L186" s="81">
        <f t="shared" si="19"/>
        <v>10.08548089099229</v>
      </c>
      <c r="M186" s="81" t="str">
        <f t="shared" si="20"/>
        <v>NG</v>
      </c>
      <c r="N186" s="117">
        <f t="shared" si="21"/>
        <v>1</v>
      </c>
      <c r="O186" s="81">
        <f t="shared" si="22"/>
        <v>1</v>
      </c>
      <c r="P186" s="81">
        <f>IF(G186="","",ABS(O186-Components!$C$2))</f>
        <v>1.7533333333333299</v>
      </c>
      <c r="Q186" s="81">
        <f>IF(G186="","",ABS(O186-Components!$C$3))</f>
        <v>3.0359999999999996</v>
      </c>
      <c r="R186" s="81">
        <f>IF(G186="","",ABS(O186-Components!$C$4))</f>
        <v>6.6666666666670427E-3</v>
      </c>
      <c r="S186" s="81">
        <f>IF(G186="","",ABS(O186-Components!$C$5))</f>
        <v>3.5626666666666704</v>
      </c>
      <c r="T186" s="81">
        <f>IF(G186="","",ABS(O186-Components!$C$6))</f>
        <v>0.15566666666666995</v>
      </c>
      <c r="U186" s="81">
        <f>IF(G186="","",ABS(O186-Components!$C$7))</f>
        <v>0.37433333333333008</v>
      </c>
      <c r="V186" s="81" t="str">
        <f>IF(G186="","",IF(M186="OK","NONE",INDEX({"S1","S2","W1","W2","N1","N2"},MATCH(MIN(P186:U186),P186:U186,0))))</f>
        <v>W1</v>
      </c>
      <c r="W186" s="117">
        <f t="shared" si="23"/>
        <v>1</v>
      </c>
      <c r="X186" s="58"/>
    </row>
    <row r="187" spans="1:24">
      <c r="A187" s="115">
        <v>185</v>
      </c>
      <c r="B187" s="116">
        <v>7</v>
      </c>
      <c r="C187" s="61" t="s">
        <v>130</v>
      </c>
      <c r="D187" s="61" t="s">
        <v>240</v>
      </c>
      <c r="E187" s="61" t="s">
        <v>104</v>
      </c>
      <c r="F187" s="61">
        <v>7.96</v>
      </c>
      <c r="G187" s="52">
        <f t="shared" si="17"/>
        <v>8.93</v>
      </c>
      <c r="H187" s="110"/>
      <c r="I187" s="81">
        <v>9.91</v>
      </c>
      <c r="J187" s="81">
        <f>VLOOKUP(C187,Recipes!$A$2:$N$4,12,FALSE())</f>
        <v>5.0137397426368718E-2</v>
      </c>
      <c r="K187" s="81">
        <f t="shared" si="18"/>
        <v>9.7345191090077101</v>
      </c>
      <c r="L187" s="81">
        <f t="shared" si="19"/>
        <v>10.08548089099229</v>
      </c>
      <c r="M187" s="81" t="str">
        <f t="shared" si="20"/>
        <v>NG</v>
      </c>
      <c r="N187" s="117">
        <f t="shared" si="21"/>
        <v>1</v>
      </c>
      <c r="O187" s="81">
        <f t="shared" si="22"/>
        <v>0.98000000000000043</v>
      </c>
      <c r="P187" s="81">
        <f>IF(G187="","",ABS(O187-Components!$C$2))</f>
        <v>1.7733333333333294</v>
      </c>
      <c r="Q187" s="81">
        <f>IF(G187="","",ABS(O187-Components!$C$3))</f>
        <v>3.0559999999999992</v>
      </c>
      <c r="R187" s="81">
        <f>IF(G187="","",ABS(O187-Components!$C$4))</f>
        <v>1.3333333333332531E-2</v>
      </c>
      <c r="S187" s="81">
        <f>IF(G187="","",ABS(O187-Components!$C$5))</f>
        <v>3.58266666666667</v>
      </c>
      <c r="T187" s="81">
        <f>IF(G187="","",ABS(O187-Components!$C$6))</f>
        <v>0.17566666666666952</v>
      </c>
      <c r="U187" s="81">
        <f>IF(G187="","",ABS(O187-Components!$C$7))</f>
        <v>0.39433333333332965</v>
      </c>
      <c r="V187" s="81" t="str">
        <f>IF(G187="","",IF(M187="OK","NONE",INDEX({"S1","S2","W1","W2","N1","N2"},MATCH(MIN(P187:U187),P187:U187,0))))</f>
        <v>W1</v>
      </c>
      <c r="W187" s="117">
        <f t="shared" si="23"/>
        <v>1</v>
      </c>
      <c r="X187" s="58"/>
    </row>
    <row r="188" spans="1:24">
      <c r="A188" s="115">
        <v>186</v>
      </c>
      <c r="B188" s="116">
        <v>7</v>
      </c>
      <c r="C188" s="81" t="s">
        <v>130</v>
      </c>
      <c r="D188" s="111" t="s">
        <v>240</v>
      </c>
      <c r="E188" s="81" t="s">
        <v>104</v>
      </c>
      <c r="F188" s="61">
        <v>8.02</v>
      </c>
      <c r="G188" s="52">
        <f t="shared" si="17"/>
        <v>8.99</v>
      </c>
      <c r="H188" s="110"/>
      <c r="I188" s="81">
        <v>9.91</v>
      </c>
      <c r="J188" s="81">
        <f>VLOOKUP(C188,Recipes!$A$2:$N$4,12,FALSE())</f>
        <v>5.0137397426368718E-2</v>
      </c>
      <c r="K188" s="81">
        <f t="shared" si="18"/>
        <v>9.7345191090077101</v>
      </c>
      <c r="L188" s="81">
        <f t="shared" si="19"/>
        <v>10.08548089099229</v>
      </c>
      <c r="M188" s="81" t="str">
        <f t="shared" si="20"/>
        <v>NG</v>
      </c>
      <c r="N188" s="117">
        <f t="shared" si="21"/>
        <v>1</v>
      </c>
      <c r="O188" s="81">
        <f t="shared" si="22"/>
        <v>0.91999999999999993</v>
      </c>
      <c r="P188" s="81">
        <f>IF(G188="","",ABS(O188-Components!$C$2))</f>
        <v>1.8333333333333299</v>
      </c>
      <c r="Q188" s="81">
        <f>IF(G188="","",ABS(O188-Components!$C$3))</f>
        <v>3.1159999999999997</v>
      </c>
      <c r="R188" s="81">
        <f>IF(G188="","",ABS(O188-Components!$C$4))</f>
        <v>7.3333333333333028E-2</v>
      </c>
      <c r="S188" s="81">
        <f>IF(G188="","",ABS(O188-Components!$C$5))</f>
        <v>3.6426666666666705</v>
      </c>
      <c r="T188" s="81">
        <f>IF(G188="","",ABS(O188-Components!$C$6))</f>
        <v>0.23566666666667002</v>
      </c>
      <c r="U188" s="81">
        <f>IF(G188="","",ABS(O188-Components!$C$7))</f>
        <v>0.45433333333333015</v>
      </c>
      <c r="V188" s="81" t="str">
        <f>IF(G188="","",IF(M188="OK","NONE",INDEX({"S1","S2","W1","W2","N1","N2"},MATCH(MIN(P188:U188),P188:U188,0))))</f>
        <v>W1</v>
      </c>
      <c r="W188" s="117">
        <f t="shared" si="23"/>
        <v>1</v>
      </c>
      <c r="X188" s="58"/>
    </row>
    <row r="189" spans="1:24">
      <c r="A189" s="115">
        <v>187</v>
      </c>
      <c r="B189" s="116">
        <v>7</v>
      </c>
      <c r="C189" s="81" t="s">
        <v>130</v>
      </c>
      <c r="D189" s="111" t="s">
        <v>240</v>
      </c>
      <c r="E189" s="81" t="s">
        <v>104</v>
      </c>
      <c r="F189" s="61">
        <v>8.07</v>
      </c>
      <c r="G189" s="52">
        <f t="shared" si="17"/>
        <v>9.0400000000000009</v>
      </c>
      <c r="H189" s="110"/>
      <c r="I189" s="81">
        <v>9.91</v>
      </c>
      <c r="J189" s="81">
        <f>VLOOKUP(C189,Recipes!$A$2:$N$4,12,FALSE())</f>
        <v>5.0137397426368718E-2</v>
      </c>
      <c r="K189" s="81">
        <f t="shared" si="18"/>
        <v>9.7345191090077101</v>
      </c>
      <c r="L189" s="81">
        <f t="shared" si="19"/>
        <v>10.08548089099229</v>
      </c>
      <c r="M189" s="81" t="str">
        <f t="shared" si="20"/>
        <v>NG</v>
      </c>
      <c r="N189" s="117">
        <f t="shared" si="21"/>
        <v>1</v>
      </c>
      <c r="O189" s="81">
        <f t="shared" si="22"/>
        <v>0.86999999999999922</v>
      </c>
      <c r="P189" s="81">
        <f>IF(G189="","",ABS(O189-Components!$C$2))</f>
        <v>1.8833333333333306</v>
      </c>
      <c r="Q189" s="81">
        <f>IF(G189="","",ABS(O189-Components!$C$3))</f>
        <v>3.1660000000000004</v>
      </c>
      <c r="R189" s="81">
        <f>IF(G189="","",ABS(O189-Components!$C$4))</f>
        <v>0.12333333333333374</v>
      </c>
      <c r="S189" s="81">
        <f>IF(G189="","",ABS(O189-Components!$C$5))</f>
        <v>3.6926666666666712</v>
      </c>
      <c r="T189" s="81">
        <f>IF(G189="","",ABS(O189-Components!$C$6))</f>
        <v>0.28566666666667073</v>
      </c>
      <c r="U189" s="81">
        <f>IF(G189="","",ABS(O189-Components!$C$7))</f>
        <v>0.50433333333333086</v>
      </c>
      <c r="V189" s="81" t="str">
        <f>IF(G189="","",IF(M189="OK","NONE",INDEX({"S1","S2","W1","W2","N1","N2"},MATCH(MIN(P189:U189),P189:U189,0))))</f>
        <v>W1</v>
      </c>
      <c r="W189" s="117">
        <f t="shared" si="23"/>
        <v>1</v>
      </c>
      <c r="X189" s="58"/>
    </row>
    <row r="190" spans="1:24">
      <c r="A190" s="115">
        <v>188</v>
      </c>
      <c r="B190" s="116">
        <v>7</v>
      </c>
      <c r="C190" s="81" t="s">
        <v>130</v>
      </c>
      <c r="D190" s="111" t="s">
        <v>240</v>
      </c>
      <c r="E190" s="81" t="s">
        <v>104</v>
      </c>
      <c r="F190" s="61">
        <v>7.89</v>
      </c>
      <c r="G190" s="52">
        <f t="shared" si="17"/>
        <v>8.86</v>
      </c>
      <c r="H190" s="110"/>
      <c r="I190" s="81">
        <v>9.91</v>
      </c>
      <c r="J190" s="81">
        <f>VLOOKUP(C190,Recipes!$A$2:$N$4,12,FALSE())</f>
        <v>5.0137397426368718E-2</v>
      </c>
      <c r="K190" s="81">
        <f t="shared" si="18"/>
        <v>9.7345191090077101</v>
      </c>
      <c r="L190" s="81">
        <f t="shared" si="19"/>
        <v>10.08548089099229</v>
      </c>
      <c r="M190" s="81" t="str">
        <f t="shared" si="20"/>
        <v>NG</v>
      </c>
      <c r="N190" s="117">
        <f t="shared" si="21"/>
        <v>1</v>
      </c>
      <c r="O190" s="81">
        <f t="shared" si="22"/>
        <v>1.0500000000000007</v>
      </c>
      <c r="P190" s="81">
        <f>IF(G190="","",ABS(O190-Components!$C$2))</f>
        <v>1.7033333333333291</v>
      </c>
      <c r="Q190" s="81">
        <f>IF(G190="","",ABS(O190-Components!$C$3))</f>
        <v>2.9859999999999989</v>
      </c>
      <c r="R190" s="81">
        <f>IF(G190="","",ABS(O190-Components!$C$4))</f>
        <v>5.6666666666667753E-2</v>
      </c>
      <c r="S190" s="81">
        <f>IF(G190="","",ABS(O190-Components!$C$5))</f>
        <v>3.5126666666666697</v>
      </c>
      <c r="T190" s="81">
        <f>IF(G190="","",ABS(O190-Components!$C$6))</f>
        <v>0.10566666666666924</v>
      </c>
      <c r="U190" s="81">
        <f>IF(G190="","",ABS(O190-Components!$C$7))</f>
        <v>0.32433333333332937</v>
      </c>
      <c r="V190" s="81" t="str">
        <f>IF(G190="","",IF(M190="OK","NONE",INDEX({"S1","S2","W1","W2","N1","N2"},MATCH(MIN(P190:U190),P190:U190,0))))</f>
        <v>W1</v>
      </c>
      <c r="W190" s="117">
        <f t="shared" si="23"/>
        <v>1</v>
      </c>
      <c r="X190" s="58"/>
    </row>
    <row r="191" spans="1:24">
      <c r="A191" s="115">
        <v>189</v>
      </c>
      <c r="B191" s="116">
        <v>7</v>
      </c>
      <c r="C191" s="81" t="s">
        <v>130</v>
      </c>
      <c r="D191" s="111" t="s">
        <v>240</v>
      </c>
      <c r="E191" s="81" t="s">
        <v>104</v>
      </c>
      <c r="F191" s="61">
        <v>7.91</v>
      </c>
      <c r="G191" s="52">
        <f t="shared" si="17"/>
        <v>8.8800000000000008</v>
      </c>
      <c r="H191" s="110"/>
      <c r="I191" s="81">
        <v>9.91</v>
      </c>
      <c r="J191" s="81">
        <f>VLOOKUP(C191,Recipes!$A$2:$N$4,12,FALSE())</f>
        <v>5.0137397426368718E-2</v>
      </c>
      <c r="K191" s="81">
        <f t="shared" si="18"/>
        <v>9.7345191090077101</v>
      </c>
      <c r="L191" s="81">
        <f t="shared" si="19"/>
        <v>10.08548089099229</v>
      </c>
      <c r="M191" s="81" t="str">
        <f t="shared" si="20"/>
        <v>NG</v>
      </c>
      <c r="N191" s="117">
        <f t="shared" si="21"/>
        <v>1</v>
      </c>
      <c r="O191" s="81">
        <f t="shared" si="22"/>
        <v>1.0299999999999994</v>
      </c>
      <c r="P191" s="81">
        <f>IF(G191="","",ABS(O191-Components!$C$2))</f>
        <v>1.7233333333333305</v>
      </c>
      <c r="Q191" s="81">
        <f>IF(G191="","",ABS(O191-Components!$C$3))</f>
        <v>3.0060000000000002</v>
      </c>
      <c r="R191" s="81">
        <f>IF(G191="","",ABS(O191-Components!$C$4))</f>
        <v>3.6666666666666403E-2</v>
      </c>
      <c r="S191" s="81">
        <f>IF(G191="","",ABS(O191-Components!$C$5))</f>
        <v>3.5326666666666711</v>
      </c>
      <c r="T191" s="81">
        <f>IF(G191="","",ABS(O191-Components!$C$6))</f>
        <v>0.12566666666667059</v>
      </c>
      <c r="U191" s="81">
        <f>IF(G191="","",ABS(O191-Components!$C$7))</f>
        <v>0.34433333333333072</v>
      </c>
      <c r="V191" s="81" t="str">
        <f>IF(G191="","",IF(M191="OK","NONE",INDEX({"S1","S2","W1","W2","N1","N2"},MATCH(MIN(P191:U191),P191:U191,0))))</f>
        <v>W1</v>
      </c>
      <c r="W191" s="117">
        <f t="shared" si="23"/>
        <v>1</v>
      </c>
      <c r="X191" s="58"/>
    </row>
    <row r="192" spans="1:24">
      <c r="A192" s="115">
        <v>190</v>
      </c>
      <c r="B192" s="116">
        <v>7</v>
      </c>
      <c r="C192" s="61" t="s">
        <v>130</v>
      </c>
      <c r="D192" s="61" t="s">
        <v>240</v>
      </c>
      <c r="E192" s="61" t="s">
        <v>104</v>
      </c>
      <c r="F192" s="61">
        <v>7.95</v>
      </c>
      <c r="G192" s="52">
        <f t="shared" si="17"/>
        <v>8.92</v>
      </c>
      <c r="H192" s="110"/>
      <c r="I192" s="81">
        <v>9.91</v>
      </c>
      <c r="J192" s="81">
        <f>VLOOKUP(C192,Recipes!$A$2:$N$4,12,FALSE())</f>
        <v>5.0137397426368718E-2</v>
      </c>
      <c r="K192" s="81">
        <f t="shared" si="18"/>
        <v>9.7345191090077101</v>
      </c>
      <c r="L192" s="81">
        <f t="shared" si="19"/>
        <v>10.08548089099229</v>
      </c>
      <c r="M192" s="81" t="str">
        <f t="shared" si="20"/>
        <v>NG</v>
      </c>
      <c r="N192" s="117">
        <f t="shared" si="21"/>
        <v>1</v>
      </c>
      <c r="O192" s="81">
        <f t="shared" si="22"/>
        <v>0.99000000000000021</v>
      </c>
      <c r="P192" s="81">
        <f>IF(G192="","",ABS(O192-Components!$C$2))</f>
        <v>1.7633333333333296</v>
      </c>
      <c r="Q192" s="81">
        <f>IF(G192="","",ABS(O192-Components!$C$3))</f>
        <v>3.0459999999999994</v>
      </c>
      <c r="R192" s="81">
        <f>IF(G192="","",ABS(O192-Components!$C$4))</f>
        <v>3.3333333333327442E-3</v>
      </c>
      <c r="S192" s="81">
        <f>IF(G192="","",ABS(O192-Components!$C$5))</f>
        <v>3.5726666666666702</v>
      </c>
      <c r="T192" s="81">
        <f>IF(G192="","",ABS(O192-Components!$C$6))</f>
        <v>0.16566666666666974</v>
      </c>
      <c r="U192" s="81">
        <f>IF(G192="","",ABS(O192-Components!$C$7))</f>
        <v>0.38433333333332986</v>
      </c>
      <c r="V192" s="81" t="str">
        <f>IF(G192="","",IF(M192="OK","NONE",INDEX({"S1","S2","W1","W2","N1","N2"},MATCH(MIN(P192:U192),P192:U192,0))))</f>
        <v>W1</v>
      </c>
      <c r="W192" s="117">
        <f t="shared" si="23"/>
        <v>1</v>
      </c>
      <c r="X192" s="58"/>
    </row>
    <row r="193" spans="1:24">
      <c r="A193" s="115">
        <v>191</v>
      </c>
      <c r="B193" s="116">
        <v>7</v>
      </c>
      <c r="C193" s="81" t="s">
        <v>130</v>
      </c>
      <c r="D193" s="111" t="s">
        <v>240</v>
      </c>
      <c r="E193" s="81" t="s">
        <v>104</v>
      </c>
      <c r="F193" s="61">
        <v>7.95</v>
      </c>
      <c r="G193" s="52">
        <f t="shared" si="17"/>
        <v>8.92</v>
      </c>
      <c r="H193" s="110"/>
      <c r="I193" s="81">
        <v>9.91</v>
      </c>
      <c r="J193" s="81">
        <f>VLOOKUP(C193,Recipes!$A$2:$N$4,12,FALSE())</f>
        <v>5.0137397426368718E-2</v>
      </c>
      <c r="K193" s="81">
        <f t="shared" si="18"/>
        <v>9.7345191090077101</v>
      </c>
      <c r="L193" s="81">
        <f t="shared" si="19"/>
        <v>10.08548089099229</v>
      </c>
      <c r="M193" s="81" t="str">
        <f t="shared" si="20"/>
        <v>NG</v>
      </c>
      <c r="N193" s="117">
        <f t="shared" si="21"/>
        <v>1</v>
      </c>
      <c r="O193" s="81">
        <f t="shared" si="22"/>
        <v>0.99000000000000021</v>
      </c>
      <c r="P193" s="81">
        <f>IF(G193="","",ABS(O193-Components!$C$2))</f>
        <v>1.7633333333333296</v>
      </c>
      <c r="Q193" s="81">
        <f>IF(G193="","",ABS(O193-Components!$C$3))</f>
        <v>3.0459999999999994</v>
      </c>
      <c r="R193" s="81">
        <f>IF(G193="","",ABS(O193-Components!$C$4))</f>
        <v>3.3333333333327442E-3</v>
      </c>
      <c r="S193" s="81">
        <f>IF(G193="","",ABS(O193-Components!$C$5))</f>
        <v>3.5726666666666702</v>
      </c>
      <c r="T193" s="81">
        <f>IF(G193="","",ABS(O193-Components!$C$6))</f>
        <v>0.16566666666666974</v>
      </c>
      <c r="U193" s="81">
        <f>IF(G193="","",ABS(O193-Components!$C$7))</f>
        <v>0.38433333333332986</v>
      </c>
      <c r="V193" s="81" t="str">
        <f>IF(G193="","",IF(M193="OK","NONE",INDEX({"S1","S2","W1","W2","N1","N2"},MATCH(MIN(P193:U193),P193:U193,0))))</f>
        <v>W1</v>
      </c>
      <c r="W193" s="117">
        <f t="shared" si="23"/>
        <v>1</v>
      </c>
      <c r="X193" s="58"/>
    </row>
    <row r="194" spans="1:24">
      <c r="A194" s="115">
        <v>192</v>
      </c>
      <c r="B194" s="116">
        <v>7</v>
      </c>
      <c r="C194" s="81" t="s">
        <v>130</v>
      </c>
      <c r="D194" s="111" t="s">
        <v>240</v>
      </c>
      <c r="E194" s="81" t="s">
        <v>104</v>
      </c>
      <c r="F194" s="61">
        <v>7.9</v>
      </c>
      <c r="G194" s="52">
        <f t="shared" si="17"/>
        <v>8.870000000000001</v>
      </c>
      <c r="H194" s="110"/>
      <c r="I194" s="81">
        <v>9.91</v>
      </c>
      <c r="J194" s="81">
        <f>VLOOKUP(C194,Recipes!$A$2:$N$4,12,FALSE())</f>
        <v>5.0137397426368718E-2</v>
      </c>
      <c r="K194" s="81">
        <f t="shared" si="18"/>
        <v>9.7345191090077101</v>
      </c>
      <c r="L194" s="81">
        <f t="shared" si="19"/>
        <v>10.08548089099229</v>
      </c>
      <c r="M194" s="81" t="str">
        <f t="shared" si="20"/>
        <v>NG</v>
      </c>
      <c r="N194" s="117">
        <f t="shared" si="21"/>
        <v>1</v>
      </c>
      <c r="O194" s="81">
        <f t="shared" si="22"/>
        <v>1.0399999999999991</v>
      </c>
      <c r="P194" s="81">
        <f>IF(G194="","",ABS(O194-Components!$C$2))</f>
        <v>1.7133333333333307</v>
      </c>
      <c r="Q194" s="81">
        <f>IF(G194="","",ABS(O194-Components!$C$3))</f>
        <v>2.9960000000000004</v>
      </c>
      <c r="R194" s="81">
        <f>IF(G194="","",ABS(O194-Components!$C$4))</f>
        <v>4.666666666666619E-2</v>
      </c>
      <c r="S194" s="81">
        <f>IF(G194="","",ABS(O194-Components!$C$5))</f>
        <v>3.5226666666666713</v>
      </c>
      <c r="T194" s="81">
        <f>IF(G194="","",ABS(O194-Components!$C$6))</f>
        <v>0.1156666666666708</v>
      </c>
      <c r="U194" s="81">
        <f>IF(G194="","",ABS(O194-Components!$C$7))</f>
        <v>0.33433333333333093</v>
      </c>
      <c r="V194" s="81" t="str">
        <f>IF(G194="","",IF(M194="OK","NONE",INDEX({"S1","S2","W1","W2","N1","N2"},MATCH(MIN(P194:U194),P194:U194,0))))</f>
        <v>W1</v>
      </c>
      <c r="W194" s="117">
        <f t="shared" si="23"/>
        <v>1</v>
      </c>
      <c r="X194" s="58"/>
    </row>
    <row r="195" spans="1:24">
      <c r="A195" s="115">
        <v>193</v>
      </c>
      <c r="B195" s="116">
        <v>7</v>
      </c>
      <c r="C195" s="81" t="s">
        <v>130</v>
      </c>
      <c r="D195" s="111" t="s">
        <v>240</v>
      </c>
      <c r="E195" s="81" t="s">
        <v>104</v>
      </c>
      <c r="F195" s="61">
        <v>7.91</v>
      </c>
      <c r="G195" s="52">
        <f t="shared" ref="G195:G258" si="24">0.97+F195</f>
        <v>8.8800000000000008</v>
      </c>
      <c r="H195" s="110"/>
      <c r="I195" s="81">
        <v>9.91</v>
      </c>
      <c r="J195" s="81">
        <f>VLOOKUP(C195,Recipes!$A$2:$N$4,12,FALSE())</f>
        <v>5.0137397426368718E-2</v>
      </c>
      <c r="K195" s="81">
        <f t="shared" si="18"/>
        <v>9.7345191090077101</v>
      </c>
      <c r="L195" s="81">
        <f t="shared" si="19"/>
        <v>10.08548089099229</v>
      </c>
      <c r="M195" s="81" t="str">
        <f t="shared" si="20"/>
        <v>NG</v>
      </c>
      <c r="N195" s="117">
        <f t="shared" si="21"/>
        <v>1</v>
      </c>
      <c r="O195" s="81">
        <f t="shared" si="22"/>
        <v>1.0299999999999994</v>
      </c>
      <c r="P195" s="81">
        <f>IF(G195="","",ABS(O195-Components!$C$2))</f>
        <v>1.7233333333333305</v>
      </c>
      <c r="Q195" s="81">
        <f>IF(G195="","",ABS(O195-Components!$C$3))</f>
        <v>3.0060000000000002</v>
      </c>
      <c r="R195" s="81">
        <f>IF(G195="","",ABS(O195-Components!$C$4))</f>
        <v>3.6666666666666403E-2</v>
      </c>
      <c r="S195" s="81">
        <f>IF(G195="","",ABS(O195-Components!$C$5))</f>
        <v>3.5326666666666711</v>
      </c>
      <c r="T195" s="81">
        <f>IF(G195="","",ABS(O195-Components!$C$6))</f>
        <v>0.12566666666667059</v>
      </c>
      <c r="U195" s="81">
        <f>IF(G195="","",ABS(O195-Components!$C$7))</f>
        <v>0.34433333333333072</v>
      </c>
      <c r="V195" s="81" t="str">
        <f>IF(G195="","",IF(M195="OK","NONE",INDEX({"S1","S2","W1","W2","N1","N2"},MATCH(MIN(P195:U195),P195:U195,0))))</f>
        <v>W1</v>
      </c>
      <c r="W195" s="117">
        <f t="shared" si="23"/>
        <v>1</v>
      </c>
      <c r="X195" s="58"/>
    </row>
    <row r="196" spans="1:24">
      <c r="A196" s="115">
        <v>194</v>
      </c>
      <c r="B196" s="116">
        <v>7</v>
      </c>
      <c r="C196" s="81" t="s">
        <v>130</v>
      </c>
      <c r="D196" s="111" t="s">
        <v>240</v>
      </c>
      <c r="E196" s="81" t="s">
        <v>104</v>
      </c>
      <c r="F196" s="61">
        <v>7.98</v>
      </c>
      <c r="G196" s="52">
        <f t="shared" si="24"/>
        <v>8.9500000000000011</v>
      </c>
      <c r="H196" s="110"/>
      <c r="I196" s="81">
        <v>9.91</v>
      </c>
      <c r="J196" s="81">
        <f>VLOOKUP(C196,Recipes!$A$2:$N$4,12,FALSE())</f>
        <v>5.0137397426368718E-2</v>
      </c>
      <c r="K196" s="81">
        <f t="shared" ref="K196:K259" si="25">I196-3.5*J196</f>
        <v>9.7345191090077101</v>
      </c>
      <c r="L196" s="81">
        <f t="shared" ref="L196:L259" si="26">I196+3.5*J196</f>
        <v>10.08548089099229</v>
      </c>
      <c r="M196" s="81" t="str">
        <f t="shared" ref="M196:M259" si="27">IF(G196="","",IF(AND(G196&gt;=K196,G196&lt;=L196),"OK","NG"))</f>
        <v>NG</v>
      </c>
      <c r="N196" s="117">
        <f t="shared" ref="N196:N259" si="28">IF(M196="","",IF(M196=D196,1,0))</f>
        <v>1</v>
      </c>
      <c r="O196" s="81">
        <f t="shared" ref="O196:O259" si="29">IF(G196="","",I196-G196)</f>
        <v>0.95999999999999908</v>
      </c>
      <c r="P196" s="81">
        <f>IF(G196="","",ABS(O196-Components!$C$2))</f>
        <v>1.7933333333333308</v>
      </c>
      <c r="Q196" s="81">
        <f>IF(G196="","",ABS(O196-Components!$C$3))</f>
        <v>3.0760000000000005</v>
      </c>
      <c r="R196" s="81">
        <f>IF(G196="","",ABS(O196-Components!$C$4))</f>
        <v>3.3333333333333881E-2</v>
      </c>
      <c r="S196" s="81">
        <f>IF(G196="","",ABS(O196-Components!$C$5))</f>
        <v>3.6026666666666713</v>
      </c>
      <c r="T196" s="81">
        <f>IF(G196="","",ABS(O196-Components!$C$6))</f>
        <v>0.19566666666667087</v>
      </c>
      <c r="U196" s="81">
        <f>IF(G196="","",ABS(O196-Components!$C$7))</f>
        <v>0.414333333333331</v>
      </c>
      <c r="V196" s="81" t="str">
        <f>IF(G196="","",IF(M196="OK","NONE",INDEX({"S1","S2","W1","W2","N1","N2"},MATCH(MIN(P196:U196),P196:U196,0))))</f>
        <v>W1</v>
      </c>
      <c r="W196" s="117">
        <f t="shared" ref="W196:W259" si="30">IF(G196="","",IF(V196=E196,1,0))</f>
        <v>1</v>
      </c>
      <c r="X196" s="58"/>
    </row>
    <row r="197" spans="1:24">
      <c r="A197" s="115">
        <v>195</v>
      </c>
      <c r="B197" s="116">
        <v>7</v>
      </c>
      <c r="C197" s="61" t="s">
        <v>130</v>
      </c>
      <c r="D197" s="61" t="s">
        <v>240</v>
      </c>
      <c r="E197" s="61" t="s">
        <v>104</v>
      </c>
      <c r="F197" s="61">
        <v>7.95</v>
      </c>
      <c r="G197" s="52">
        <f t="shared" si="24"/>
        <v>8.92</v>
      </c>
      <c r="H197" s="110"/>
      <c r="I197" s="81">
        <v>9.91</v>
      </c>
      <c r="J197" s="81">
        <f>VLOOKUP(C197,Recipes!$A$2:$N$4,12,FALSE())</f>
        <v>5.0137397426368718E-2</v>
      </c>
      <c r="K197" s="81">
        <f t="shared" si="25"/>
        <v>9.7345191090077101</v>
      </c>
      <c r="L197" s="81">
        <f t="shared" si="26"/>
        <v>10.08548089099229</v>
      </c>
      <c r="M197" s="81" t="str">
        <f t="shared" si="27"/>
        <v>NG</v>
      </c>
      <c r="N197" s="117">
        <f t="shared" si="28"/>
        <v>1</v>
      </c>
      <c r="O197" s="81">
        <f t="shared" si="29"/>
        <v>0.99000000000000021</v>
      </c>
      <c r="P197" s="81">
        <f>IF(G197="","",ABS(O197-Components!$C$2))</f>
        <v>1.7633333333333296</v>
      </c>
      <c r="Q197" s="81">
        <f>IF(G197="","",ABS(O197-Components!$C$3))</f>
        <v>3.0459999999999994</v>
      </c>
      <c r="R197" s="81">
        <f>IF(G197="","",ABS(O197-Components!$C$4))</f>
        <v>3.3333333333327442E-3</v>
      </c>
      <c r="S197" s="81">
        <f>IF(G197="","",ABS(O197-Components!$C$5))</f>
        <v>3.5726666666666702</v>
      </c>
      <c r="T197" s="81">
        <f>IF(G197="","",ABS(O197-Components!$C$6))</f>
        <v>0.16566666666666974</v>
      </c>
      <c r="U197" s="81">
        <f>IF(G197="","",ABS(O197-Components!$C$7))</f>
        <v>0.38433333333332986</v>
      </c>
      <c r="V197" s="81" t="str">
        <f>IF(G197="","",IF(M197="OK","NONE",INDEX({"S1","S2","W1","W2","N1","N2"},MATCH(MIN(P197:U197),P197:U197,0))))</f>
        <v>W1</v>
      </c>
      <c r="W197" s="117">
        <f t="shared" si="30"/>
        <v>1</v>
      </c>
      <c r="X197" s="58"/>
    </row>
    <row r="198" spans="1:24">
      <c r="A198" s="115">
        <v>196</v>
      </c>
      <c r="B198" s="116">
        <v>7</v>
      </c>
      <c r="C198" s="81" t="s">
        <v>130</v>
      </c>
      <c r="D198" s="111" t="s">
        <v>240</v>
      </c>
      <c r="E198" s="81" t="s">
        <v>104</v>
      </c>
      <c r="F198" s="61">
        <v>7.9640000000000004</v>
      </c>
      <c r="G198" s="52">
        <f t="shared" si="24"/>
        <v>8.9340000000000011</v>
      </c>
      <c r="H198" s="110"/>
      <c r="I198" s="81">
        <v>9.91</v>
      </c>
      <c r="J198" s="81">
        <f>VLOOKUP(C198,Recipes!$A$2:$N$4,12,FALSE())</f>
        <v>5.0137397426368718E-2</v>
      </c>
      <c r="K198" s="81">
        <f t="shared" si="25"/>
        <v>9.7345191090077101</v>
      </c>
      <c r="L198" s="81">
        <f t="shared" si="26"/>
        <v>10.08548089099229</v>
      </c>
      <c r="M198" s="81" t="str">
        <f t="shared" si="27"/>
        <v>NG</v>
      </c>
      <c r="N198" s="117">
        <f t="shared" si="28"/>
        <v>1</v>
      </c>
      <c r="O198" s="81">
        <f t="shared" si="29"/>
        <v>0.97599999999999909</v>
      </c>
      <c r="P198" s="81">
        <f>IF(G198="","",ABS(O198-Components!$C$2))</f>
        <v>1.7773333333333308</v>
      </c>
      <c r="Q198" s="81">
        <f>IF(G198="","",ABS(O198-Components!$C$3))</f>
        <v>3.0600000000000005</v>
      </c>
      <c r="R198" s="81">
        <f>IF(G198="","",ABS(O198-Components!$C$4))</f>
        <v>1.7333333333333867E-2</v>
      </c>
      <c r="S198" s="81">
        <f>IF(G198="","",ABS(O198-Components!$C$5))</f>
        <v>3.5866666666666713</v>
      </c>
      <c r="T198" s="81">
        <f>IF(G198="","",ABS(O198-Components!$C$6))</f>
        <v>0.17966666666667086</v>
      </c>
      <c r="U198" s="81">
        <f>IF(G198="","",ABS(O198-Components!$C$7))</f>
        <v>0.39833333333333099</v>
      </c>
      <c r="V198" s="81" t="str">
        <f>IF(G198="","",IF(M198="OK","NONE",INDEX({"S1","S2","W1","W2","N1","N2"},MATCH(MIN(P198:U198),P198:U198,0))))</f>
        <v>W1</v>
      </c>
      <c r="W198" s="117">
        <f t="shared" si="30"/>
        <v>1</v>
      </c>
      <c r="X198" s="58"/>
    </row>
    <row r="199" spans="1:24">
      <c r="A199" s="115">
        <v>197</v>
      </c>
      <c r="B199" s="116">
        <v>7</v>
      </c>
      <c r="C199" s="81" t="s">
        <v>130</v>
      </c>
      <c r="D199" s="111" t="s">
        <v>240</v>
      </c>
      <c r="E199" s="81" t="s">
        <v>104</v>
      </c>
      <c r="F199" s="61">
        <v>7.97</v>
      </c>
      <c r="G199" s="52">
        <f t="shared" si="24"/>
        <v>8.94</v>
      </c>
      <c r="H199" s="110"/>
      <c r="I199" s="81">
        <v>9.91</v>
      </c>
      <c r="J199" s="81">
        <f>VLOOKUP(C199,Recipes!$A$2:$N$4,12,FALSE())</f>
        <v>5.0137397426368718E-2</v>
      </c>
      <c r="K199" s="81">
        <f t="shared" si="25"/>
        <v>9.7345191090077101</v>
      </c>
      <c r="L199" s="81">
        <f t="shared" si="26"/>
        <v>10.08548089099229</v>
      </c>
      <c r="M199" s="81" t="str">
        <f t="shared" si="27"/>
        <v>NG</v>
      </c>
      <c r="N199" s="117">
        <f t="shared" si="28"/>
        <v>1</v>
      </c>
      <c r="O199" s="81">
        <f t="shared" si="29"/>
        <v>0.97000000000000064</v>
      </c>
      <c r="P199" s="81">
        <f>IF(G199="","",ABS(O199-Components!$C$2))</f>
        <v>1.7833333333333292</v>
      </c>
      <c r="Q199" s="81">
        <f>IF(G199="","",ABS(O199-Components!$C$3))</f>
        <v>3.0659999999999989</v>
      </c>
      <c r="R199" s="81">
        <f>IF(G199="","",ABS(O199-Components!$C$4))</f>
        <v>2.3333333333332318E-2</v>
      </c>
      <c r="S199" s="81">
        <f>IF(G199="","",ABS(O199-Components!$C$5))</f>
        <v>3.5926666666666698</v>
      </c>
      <c r="T199" s="81">
        <f>IF(G199="","",ABS(O199-Components!$C$6))</f>
        <v>0.18566666666666931</v>
      </c>
      <c r="U199" s="81">
        <f>IF(G199="","",ABS(O199-Components!$C$7))</f>
        <v>0.40433333333332944</v>
      </c>
      <c r="V199" s="81" t="str">
        <f>IF(G199="","",IF(M199="OK","NONE",INDEX({"S1","S2","W1","W2","N1","N2"},MATCH(MIN(P199:U199),P199:U199,0))))</f>
        <v>W1</v>
      </c>
      <c r="W199" s="117">
        <f t="shared" si="30"/>
        <v>1</v>
      </c>
      <c r="X199" s="58"/>
    </row>
    <row r="200" spans="1:24">
      <c r="A200" s="115">
        <v>198</v>
      </c>
      <c r="B200" s="116">
        <v>7</v>
      </c>
      <c r="C200" s="81" t="s">
        <v>130</v>
      </c>
      <c r="D200" s="111" t="s">
        <v>240</v>
      </c>
      <c r="E200" s="81" t="s">
        <v>104</v>
      </c>
      <c r="F200" s="61">
        <v>7.91</v>
      </c>
      <c r="G200" s="52">
        <f t="shared" si="24"/>
        <v>8.8800000000000008</v>
      </c>
      <c r="H200" s="110"/>
      <c r="I200" s="81">
        <v>9.91</v>
      </c>
      <c r="J200" s="81">
        <f>VLOOKUP(C200,Recipes!$A$2:$N$4,12,FALSE())</f>
        <v>5.0137397426368718E-2</v>
      </c>
      <c r="K200" s="81">
        <f t="shared" si="25"/>
        <v>9.7345191090077101</v>
      </c>
      <c r="L200" s="81">
        <f t="shared" si="26"/>
        <v>10.08548089099229</v>
      </c>
      <c r="M200" s="81" t="str">
        <f t="shared" si="27"/>
        <v>NG</v>
      </c>
      <c r="N200" s="117">
        <f t="shared" si="28"/>
        <v>1</v>
      </c>
      <c r="O200" s="81">
        <f t="shared" si="29"/>
        <v>1.0299999999999994</v>
      </c>
      <c r="P200" s="81">
        <f>IF(G200="","",ABS(O200-Components!$C$2))</f>
        <v>1.7233333333333305</v>
      </c>
      <c r="Q200" s="81">
        <f>IF(G200="","",ABS(O200-Components!$C$3))</f>
        <v>3.0060000000000002</v>
      </c>
      <c r="R200" s="81">
        <f>IF(G200="","",ABS(O200-Components!$C$4))</f>
        <v>3.6666666666666403E-2</v>
      </c>
      <c r="S200" s="81">
        <f>IF(G200="","",ABS(O200-Components!$C$5))</f>
        <v>3.5326666666666711</v>
      </c>
      <c r="T200" s="81">
        <f>IF(G200="","",ABS(O200-Components!$C$6))</f>
        <v>0.12566666666667059</v>
      </c>
      <c r="U200" s="81">
        <f>IF(G200="","",ABS(O200-Components!$C$7))</f>
        <v>0.34433333333333072</v>
      </c>
      <c r="V200" s="81" t="str">
        <f>IF(G200="","",IF(M200="OK","NONE",INDEX({"S1","S2","W1","W2","N1","N2"},MATCH(MIN(P200:U200),P200:U200,0))))</f>
        <v>W1</v>
      </c>
      <c r="W200" s="117">
        <f t="shared" si="30"/>
        <v>1</v>
      </c>
      <c r="X200" s="58"/>
    </row>
    <row r="201" spans="1:24">
      <c r="A201" s="115">
        <v>199</v>
      </c>
      <c r="B201" s="116">
        <v>7</v>
      </c>
      <c r="C201" s="81" t="s">
        <v>130</v>
      </c>
      <c r="D201" s="111" t="s">
        <v>240</v>
      </c>
      <c r="E201" s="81" t="s">
        <v>104</v>
      </c>
      <c r="F201" s="61">
        <v>7.93</v>
      </c>
      <c r="G201" s="52">
        <f t="shared" si="24"/>
        <v>8.9</v>
      </c>
      <c r="H201" s="110"/>
      <c r="I201" s="81">
        <v>9.91</v>
      </c>
      <c r="J201" s="81">
        <f>VLOOKUP(C201,Recipes!$A$2:$N$4,12,FALSE())</f>
        <v>5.0137397426368718E-2</v>
      </c>
      <c r="K201" s="81">
        <f t="shared" si="25"/>
        <v>9.7345191090077101</v>
      </c>
      <c r="L201" s="81">
        <f t="shared" si="26"/>
        <v>10.08548089099229</v>
      </c>
      <c r="M201" s="81" t="str">
        <f t="shared" si="27"/>
        <v>NG</v>
      </c>
      <c r="N201" s="117">
        <f t="shared" si="28"/>
        <v>1</v>
      </c>
      <c r="O201" s="81">
        <f t="shared" si="29"/>
        <v>1.0099999999999998</v>
      </c>
      <c r="P201" s="81">
        <f>IF(G201="","",ABS(O201-Components!$C$2))</f>
        <v>1.7433333333333301</v>
      </c>
      <c r="Q201" s="81">
        <f>IF(G201="","",ABS(O201-Components!$C$3))</f>
        <v>3.0259999999999998</v>
      </c>
      <c r="R201" s="81">
        <f>IF(G201="","",ABS(O201-Components!$C$4))</f>
        <v>1.6666666666666829E-2</v>
      </c>
      <c r="S201" s="81">
        <f>IF(G201="","",ABS(O201-Components!$C$5))</f>
        <v>3.5526666666666706</v>
      </c>
      <c r="T201" s="81">
        <f>IF(G201="","",ABS(O201-Components!$C$6))</f>
        <v>0.14566666666667016</v>
      </c>
      <c r="U201" s="81">
        <f>IF(G201="","",ABS(O201-Components!$C$7))</f>
        <v>0.36433333333333029</v>
      </c>
      <c r="V201" s="81" t="str">
        <f>IF(G201="","",IF(M201="OK","NONE",INDEX({"S1","S2","W1","W2","N1","N2"},MATCH(MIN(P201:U201),P201:U201,0))))</f>
        <v>W1</v>
      </c>
      <c r="W201" s="117">
        <f t="shared" si="30"/>
        <v>1</v>
      </c>
      <c r="X201" s="58"/>
    </row>
    <row r="202" spans="1:24">
      <c r="A202" s="115">
        <v>200</v>
      </c>
      <c r="B202" s="116">
        <v>7</v>
      </c>
      <c r="C202" s="61" t="s">
        <v>130</v>
      </c>
      <c r="D202" s="61" t="s">
        <v>240</v>
      </c>
      <c r="E202" s="61" t="s">
        <v>104</v>
      </c>
      <c r="F202" s="61">
        <v>7.94</v>
      </c>
      <c r="G202" s="52">
        <f t="shared" si="24"/>
        <v>8.91</v>
      </c>
      <c r="H202" s="110"/>
      <c r="I202" s="81">
        <v>9.91</v>
      </c>
      <c r="J202" s="81">
        <f>VLOOKUP(C202,Recipes!$A$2:$N$4,12,FALSE())</f>
        <v>5.0137397426368718E-2</v>
      </c>
      <c r="K202" s="81">
        <f t="shared" si="25"/>
        <v>9.7345191090077101</v>
      </c>
      <c r="L202" s="81">
        <f t="shared" si="26"/>
        <v>10.08548089099229</v>
      </c>
      <c r="M202" s="81" t="str">
        <f t="shared" si="27"/>
        <v>NG</v>
      </c>
      <c r="N202" s="117">
        <f t="shared" si="28"/>
        <v>1</v>
      </c>
      <c r="O202" s="81">
        <f t="shared" si="29"/>
        <v>1</v>
      </c>
      <c r="P202" s="81">
        <f>IF(G202="","",ABS(O202-Components!$C$2))</f>
        <v>1.7533333333333299</v>
      </c>
      <c r="Q202" s="81">
        <f>IF(G202="","",ABS(O202-Components!$C$3))</f>
        <v>3.0359999999999996</v>
      </c>
      <c r="R202" s="81">
        <f>IF(G202="","",ABS(O202-Components!$C$4))</f>
        <v>6.6666666666670427E-3</v>
      </c>
      <c r="S202" s="81">
        <f>IF(G202="","",ABS(O202-Components!$C$5))</f>
        <v>3.5626666666666704</v>
      </c>
      <c r="T202" s="81">
        <f>IF(G202="","",ABS(O202-Components!$C$6))</f>
        <v>0.15566666666666995</v>
      </c>
      <c r="U202" s="81">
        <f>IF(G202="","",ABS(O202-Components!$C$7))</f>
        <v>0.37433333333333008</v>
      </c>
      <c r="V202" s="81" t="str">
        <f>IF(G202="","",IF(M202="OK","NONE",INDEX({"S1","S2","W1","W2","N1","N2"},MATCH(MIN(P202:U202),P202:U202,0))))</f>
        <v>W1</v>
      </c>
      <c r="W202" s="117">
        <f t="shared" si="30"/>
        <v>1</v>
      </c>
      <c r="X202" s="58"/>
    </row>
    <row r="203" spans="1:24">
      <c r="A203" s="115">
        <v>201</v>
      </c>
      <c r="B203" s="116">
        <v>7</v>
      </c>
      <c r="C203" s="81" t="s">
        <v>130</v>
      </c>
      <c r="D203" s="111" t="s">
        <v>240</v>
      </c>
      <c r="E203" s="81" t="s">
        <v>104</v>
      </c>
      <c r="F203" s="61">
        <v>7.89</v>
      </c>
      <c r="G203" s="52">
        <f t="shared" si="24"/>
        <v>8.86</v>
      </c>
      <c r="H203" s="110"/>
      <c r="I203" s="81">
        <v>9.91</v>
      </c>
      <c r="J203" s="81">
        <f>VLOOKUP(C203,Recipes!$A$2:$N$4,12,FALSE())</f>
        <v>5.0137397426368718E-2</v>
      </c>
      <c r="K203" s="81">
        <f t="shared" si="25"/>
        <v>9.7345191090077101</v>
      </c>
      <c r="L203" s="81">
        <f t="shared" si="26"/>
        <v>10.08548089099229</v>
      </c>
      <c r="M203" s="81" t="str">
        <f t="shared" si="27"/>
        <v>NG</v>
      </c>
      <c r="N203" s="117">
        <f t="shared" si="28"/>
        <v>1</v>
      </c>
      <c r="O203" s="81">
        <f t="shared" si="29"/>
        <v>1.0500000000000007</v>
      </c>
      <c r="P203" s="81">
        <f>IF(G203="","",ABS(O203-Components!$C$2))</f>
        <v>1.7033333333333291</v>
      </c>
      <c r="Q203" s="81">
        <f>IF(G203="","",ABS(O203-Components!$C$3))</f>
        <v>2.9859999999999989</v>
      </c>
      <c r="R203" s="81">
        <f>IF(G203="","",ABS(O203-Components!$C$4))</f>
        <v>5.6666666666667753E-2</v>
      </c>
      <c r="S203" s="81">
        <f>IF(G203="","",ABS(O203-Components!$C$5))</f>
        <v>3.5126666666666697</v>
      </c>
      <c r="T203" s="81">
        <f>IF(G203="","",ABS(O203-Components!$C$6))</f>
        <v>0.10566666666666924</v>
      </c>
      <c r="U203" s="81">
        <f>IF(G203="","",ABS(O203-Components!$C$7))</f>
        <v>0.32433333333332937</v>
      </c>
      <c r="V203" s="81" t="str">
        <f>IF(G203="","",IF(M203="OK","NONE",INDEX({"S1","S2","W1","W2","N1","N2"},MATCH(MIN(P203:U203),P203:U203,0))))</f>
        <v>W1</v>
      </c>
      <c r="W203" s="117">
        <f t="shared" si="30"/>
        <v>1</v>
      </c>
      <c r="X203" s="58"/>
    </row>
    <row r="204" spans="1:24">
      <c r="A204" s="115">
        <v>202</v>
      </c>
      <c r="B204" s="116">
        <v>7</v>
      </c>
      <c r="C204" s="81" t="s">
        <v>130</v>
      </c>
      <c r="D204" s="111" t="s">
        <v>240</v>
      </c>
      <c r="E204" s="81" t="s">
        <v>104</v>
      </c>
      <c r="F204" s="61">
        <v>7.95</v>
      </c>
      <c r="G204" s="52">
        <f t="shared" si="24"/>
        <v>8.92</v>
      </c>
      <c r="H204" s="110"/>
      <c r="I204" s="81">
        <v>9.91</v>
      </c>
      <c r="J204" s="81">
        <f>VLOOKUP(C204,Recipes!$A$2:$N$4,12,FALSE())</f>
        <v>5.0137397426368718E-2</v>
      </c>
      <c r="K204" s="81">
        <f t="shared" si="25"/>
        <v>9.7345191090077101</v>
      </c>
      <c r="L204" s="81">
        <f t="shared" si="26"/>
        <v>10.08548089099229</v>
      </c>
      <c r="M204" s="81" t="str">
        <f t="shared" si="27"/>
        <v>NG</v>
      </c>
      <c r="N204" s="117">
        <f t="shared" si="28"/>
        <v>1</v>
      </c>
      <c r="O204" s="81">
        <f t="shared" si="29"/>
        <v>0.99000000000000021</v>
      </c>
      <c r="P204" s="81">
        <f>IF(G204="","",ABS(O204-Components!$C$2))</f>
        <v>1.7633333333333296</v>
      </c>
      <c r="Q204" s="81">
        <f>IF(G204="","",ABS(O204-Components!$C$3))</f>
        <v>3.0459999999999994</v>
      </c>
      <c r="R204" s="81">
        <f>IF(G204="","",ABS(O204-Components!$C$4))</f>
        <v>3.3333333333327442E-3</v>
      </c>
      <c r="S204" s="81">
        <f>IF(G204="","",ABS(O204-Components!$C$5))</f>
        <v>3.5726666666666702</v>
      </c>
      <c r="T204" s="81">
        <f>IF(G204="","",ABS(O204-Components!$C$6))</f>
        <v>0.16566666666666974</v>
      </c>
      <c r="U204" s="81">
        <f>IF(G204="","",ABS(O204-Components!$C$7))</f>
        <v>0.38433333333332986</v>
      </c>
      <c r="V204" s="81" t="str">
        <f>IF(G204="","",IF(M204="OK","NONE",INDEX({"S1","S2","W1","W2","N1","N2"},MATCH(MIN(P204:U204),P204:U204,0))))</f>
        <v>W1</v>
      </c>
      <c r="W204" s="117">
        <f t="shared" si="30"/>
        <v>1</v>
      </c>
      <c r="X204" s="58"/>
    </row>
    <row r="205" spans="1:24">
      <c r="A205" s="115">
        <v>203</v>
      </c>
      <c r="B205" s="116">
        <v>7</v>
      </c>
      <c r="C205" s="81" t="s">
        <v>130</v>
      </c>
      <c r="D205" s="111" t="s">
        <v>240</v>
      </c>
      <c r="E205" s="81" t="s">
        <v>104</v>
      </c>
      <c r="F205" s="61">
        <v>7.9</v>
      </c>
      <c r="G205" s="52">
        <f t="shared" si="24"/>
        <v>8.870000000000001</v>
      </c>
      <c r="H205" s="110"/>
      <c r="I205" s="81">
        <v>9.91</v>
      </c>
      <c r="J205" s="81">
        <f>VLOOKUP(C205,Recipes!$A$2:$N$4,12,FALSE())</f>
        <v>5.0137397426368718E-2</v>
      </c>
      <c r="K205" s="81">
        <f t="shared" si="25"/>
        <v>9.7345191090077101</v>
      </c>
      <c r="L205" s="81">
        <f t="shared" si="26"/>
        <v>10.08548089099229</v>
      </c>
      <c r="M205" s="81" t="str">
        <f t="shared" si="27"/>
        <v>NG</v>
      </c>
      <c r="N205" s="117">
        <f t="shared" si="28"/>
        <v>1</v>
      </c>
      <c r="O205" s="81">
        <f t="shared" si="29"/>
        <v>1.0399999999999991</v>
      </c>
      <c r="P205" s="81">
        <f>IF(G205="","",ABS(O205-Components!$C$2))</f>
        <v>1.7133333333333307</v>
      </c>
      <c r="Q205" s="81">
        <f>IF(G205="","",ABS(O205-Components!$C$3))</f>
        <v>2.9960000000000004</v>
      </c>
      <c r="R205" s="81">
        <f>IF(G205="","",ABS(O205-Components!$C$4))</f>
        <v>4.666666666666619E-2</v>
      </c>
      <c r="S205" s="81">
        <f>IF(G205="","",ABS(O205-Components!$C$5))</f>
        <v>3.5226666666666713</v>
      </c>
      <c r="T205" s="81">
        <f>IF(G205="","",ABS(O205-Components!$C$6))</f>
        <v>0.1156666666666708</v>
      </c>
      <c r="U205" s="81">
        <f>IF(G205="","",ABS(O205-Components!$C$7))</f>
        <v>0.33433333333333093</v>
      </c>
      <c r="V205" s="81" t="str">
        <f>IF(G205="","",IF(M205="OK","NONE",INDEX({"S1","S2","W1","W2","N1","N2"},MATCH(MIN(P205:U205),P205:U205,0))))</f>
        <v>W1</v>
      </c>
      <c r="W205" s="117">
        <f t="shared" si="30"/>
        <v>1</v>
      </c>
      <c r="X205" s="58"/>
    </row>
    <row r="206" spans="1:24">
      <c r="A206" s="115">
        <v>204</v>
      </c>
      <c r="B206" s="116">
        <v>7</v>
      </c>
      <c r="C206" s="81" t="s">
        <v>130</v>
      </c>
      <c r="D206" s="111" t="s">
        <v>240</v>
      </c>
      <c r="E206" s="81" t="s">
        <v>104</v>
      </c>
      <c r="F206" s="61">
        <v>7.99</v>
      </c>
      <c r="G206" s="52">
        <f t="shared" si="24"/>
        <v>8.9600000000000009</v>
      </c>
      <c r="H206" s="110"/>
      <c r="I206" s="81">
        <v>9.91</v>
      </c>
      <c r="J206" s="81">
        <f>VLOOKUP(C206,Recipes!$A$2:$N$4,12,FALSE())</f>
        <v>5.0137397426368718E-2</v>
      </c>
      <c r="K206" s="81">
        <f t="shared" si="25"/>
        <v>9.7345191090077101</v>
      </c>
      <c r="L206" s="81">
        <f t="shared" si="26"/>
        <v>10.08548089099229</v>
      </c>
      <c r="M206" s="81" t="str">
        <f t="shared" si="27"/>
        <v>NG</v>
      </c>
      <c r="N206" s="117">
        <f t="shared" si="28"/>
        <v>1</v>
      </c>
      <c r="O206" s="81">
        <f t="shared" si="29"/>
        <v>0.94999999999999929</v>
      </c>
      <c r="P206" s="81">
        <f>IF(G206="","",ABS(O206-Components!$C$2))</f>
        <v>1.8033333333333306</v>
      </c>
      <c r="Q206" s="81">
        <f>IF(G206="","",ABS(O206-Components!$C$3))</f>
        <v>3.0860000000000003</v>
      </c>
      <c r="R206" s="81">
        <f>IF(G206="","",ABS(O206-Components!$C$4))</f>
        <v>4.3333333333333668E-2</v>
      </c>
      <c r="S206" s="81">
        <f>IF(G206="","",ABS(O206-Components!$C$5))</f>
        <v>3.6126666666666711</v>
      </c>
      <c r="T206" s="81">
        <f>IF(G206="","",ABS(O206-Components!$C$6))</f>
        <v>0.20566666666667066</v>
      </c>
      <c r="U206" s="81">
        <f>IF(G206="","",ABS(O206-Components!$C$7))</f>
        <v>0.42433333333333079</v>
      </c>
      <c r="V206" s="81" t="str">
        <f>IF(G206="","",IF(M206="OK","NONE",INDEX({"S1","S2","W1","W2","N1","N2"},MATCH(MIN(P206:U206),P206:U206,0))))</f>
        <v>W1</v>
      </c>
      <c r="W206" s="117">
        <f t="shared" si="30"/>
        <v>1</v>
      </c>
      <c r="X206" s="58"/>
    </row>
    <row r="207" spans="1:24">
      <c r="A207" s="115">
        <v>205</v>
      </c>
      <c r="B207" s="116">
        <v>7</v>
      </c>
      <c r="C207" s="61" t="s">
        <v>130</v>
      </c>
      <c r="D207" s="61" t="s">
        <v>240</v>
      </c>
      <c r="E207" s="61" t="s">
        <v>104</v>
      </c>
      <c r="F207" s="61">
        <v>7.97</v>
      </c>
      <c r="G207" s="52">
        <f t="shared" si="24"/>
        <v>8.94</v>
      </c>
      <c r="H207" s="110"/>
      <c r="I207" s="81">
        <v>9.91</v>
      </c>
      <c r="J207" s="81">
        <f>VLOOKUP(C207,Recipes!$A$2:$N$4,12,FALSE())</f>
        <v>5.0137397426368718E-2</v>
      </c>
      <c r="K207" s="81">
        <f t="shared" si="25"/>
        <v>9.7345191090077101</v>
      </c>
      <c r="L207" s="81">
        <f t="shared" si="26"/>
        <v>10.08548089099229</v>
      </c>
      <c r="M207" s="81" t="str">
        <f t="shared" si="27"/>
        <v>NG</v>
      </c>
      <c r="N207" s="117">
        <f t="shared" si="28"/>
        <v>1</v>
      </c>
      <c r="O207" s="81">
        <f t="shared" si="29"/>
        <v>0.97000000000000064</v>
      </c>
      <c r="P207" s="81">
        <f>IF(G207="","",ABS(O207-Components!$C$2))</f>
        <v>1.7833333333333292</v>
      </c>
      <c r="Q207" s="81">
        <f>IF(G207="","",ABS(O207-Components!$C$3))</f>
        <v>3.0659999999999989</v>
      </c>
      <c r="R207" s="81">
        <f>IF(G207="","",ABS(O207-Components!$C$4))</f>
        <v>2.3333333333332318E-2</v>
      </c>
      <c r="S207" s="81">
        <f>IF(G207="","",ABS(O207-Components!$C$5))</f>
        <v>3.5926666666666698</v>
      </c>
      <c r="T207" s="81">
        <f>IF(G207="","",ABS(O207-Components!$C$6))</f>
        <v>0.18566666666666931</v>
      </c>
      <c r="U207" s="81">
        <f>IF(G207="","",ABS(O207-Components!$C$7))</f>
        <v>0.40433333333332944</v>
      </c>
      <c r="V207" s="81" t="str">
        <f>IF(G207="","",IF(M207="OK","NONE",INDEX({"S1","S2","W1","W2","N1","N2"},MATCH(MIN(P207:U207),P207:U207,0))))</f>
        <v>W1</v>
      </c>
      <c r="W207" s="117">
        <f t="shared" si="30"/>
        <v>1</v>
      </c>
      <c r="X207" s="58"/>
    </row>
    <row r="208" spans="1:24">
      <c r="A208" s="115">
        <v>206</v>
      </c>
      <c r="B208" s="116">
        <v>7</v>
      </c>
      <c r="C208" s="81" t="s">
        <v>130</v>
      </c>
      <c r="D208" s="111" t="s">
        <v>240</v>
      </c>
      <c r="E208" s="81" t="s">
        <v>104</v>
      </c>
      <c r="F208" s="61">
        <v>7.96</v>
      </c>
      <c r="G208" s="52">
        <f t="shared" si="24"/>
        <v>8.93</v>
      </c>
      <c r="H208" s="110"/>
      <c r="I208" s="81">
        <v>9.91</v>
      </c>
      <c r="J208" s="81">
        <f>VLOOKUP(C208,Recipes!$A$2:$N$4,12,FALSE())</f>
        <v>5.0137397426368718E-2</v>
      </c>
      <c r="K208" s="81">
        <f t="shared" si="25"/>
        <v>9.7345191090077101</v>
      </c>
      <c r="L208" s="81">
        <f t="shared" si="26"/>
        <v>10.08548089099229</v>
      </c>
      <c r="M208" s="81" t="str">
        <f t="shared" si="27"/>
        <v>NG</v>
      </c>
      <c r="N208" s="117">
        <f t="shared" si="28"/>
        <v>1</v>
      </c>
      <c r="O208" s="81">
        <f t="shared" si="29"/>
        <v>0.98000000000000043</v>
      </c>
      <c r="P208" s="81">
        <f>IF(G208="","",ABS(O208-Components!$C$2))</f>
        <v>1.7733333333333294</v>
      </c>
      <c r="Q208" s="81">
        <f>IF(G208="","",ABS(O208-Components!$C$3))</f>
        <v>3.0559999999999992</v>
      </c>
      <c r="R208" s="81">
        <f>IF(G208="","",ABS(O208-Components!$C$4))</f>
        <v>1.3333333333332531E-2</v>
      </c>
      <c r="S208" s="81">
        <f>IF(G208="","",ABS(O208-Components!$C$5))</f>
        <v>3.58266666666667</v>
      </c>
      <c r="T208" s="81">
        <f>IF(G208="","",ABS(O208-Components!$C$6))</f>
        <v>0.17566666666666952</v>
      </c>
      <c r="U208" s="81">
        <f>IF(G208="","",ABS(O208-Components!$C$7))</f>
        <v>0.39433333333332965</v>
      </c>
      <c r="V208" s="81" t="str">
        <f>IF(G208="","",IF(M208="OK","NONE",INDEX({"S1","S2","W1","W2","N1","N2"},MATCH(MIN(P208:U208),P208:U208,0))))</f>
        <v>W1</v>
      </c>
      <c r="W208" s="117">
        <f t="shared" si="30"/>
        <v>1</v>
      </c>
      <c r="X208" s="58"/>
    </row>
    <row r="209" spans="1:24">
      <c r="A209" s="115">
        <v>207</v>
      </c>
      <c r="B209" s="116">
        <v>7</v>
      </c>
      <c r="C209" s="81" t="s">
        <v>130</v>
      </c>
      <c r="D209" s="111" t="s">
        <v>240</v>
      </c>
      <c r="E209" s="81" t="s">
        <v>104</v>
      </c>
      <c r="F209" s="61">
        <v>7.99</v>
      </c>
      <c r="G209" s="52">
        <f t="shared" si="24"/>
        <v>8.9600000000000009</v>
      </c>
      <c r="H209" s="110"/>
      <c r="I209" s="81">
        <v>9.91</v>
      </c>
      <c r="J209" s="81">
        <f>VLOOKUP(C209,Recipes!$A$2:$N$4,12,FALSE())</f>
        <v>5.0137397426368718E-2</v>
      </c>
      <c r="K209" s="81">
        <f t="shared" si="25"/>
        <v>9.7345191090077101</v>
      </c>
      <c r="L209" s="81">
        <f t="shared" si="26"/>
        <v>10.08548089099229</v>
      </c>
      <c r="M209" s="81" t="str">
        <f t="shared" si="27"/>
        <v>NG</v>
      </c>
      <c r="N209" s="117">
        <f t="shared" si="28"/>
        <v>1</v>
      </c>
      <c r="O209" s="81">
        <f t="shared" si="29"/>
        <v>0.94999999999999929</v>
      </c>
      <c r="P209" s="81">
        <f>IF(G209="","",ABS(O209-Components!$C$2))</f>
        <v>1.8033333333333306</v>
      </c>
      <c r="Q209" s="81">
        <f>IF(G209="","",ABS(O209-Components!$C$3))</f>
        <v>3.0860000000000003</v>
      </c>
      <c r="R209" s="81">
        <f>IF(G209="","",ABS(O209-Components!$C$4))</f>
        <v>4.3333333333333668E-2</v>
      </c>
      <c r="S209" s="81">
        <f>IF(G209="","",ABS(O209-Components!$C$5))</f>
        <v>3.6126666666666711</v>
      </c>
      <c r="T209" s="81">
        <f>IF(G209="","",ABS(O209-Components!$C$6))</f>
        <v>0.20566666666667066</v>
      </c>
      <c r="U209" s="81">
        <f>IF(G209="","",ABS(O209-Components!$C$7))</f>
        <v>0.42433333333333079</v>
      </c>
      <c r="V209" s="81" t="str">
        <f>IF(G209="","",IF(M209="OK","NONE",INDEX({"S1","S2","W1","W2","N1","N2"},MATCH(MIN(P209:U209),P209:U209,0))))</f>
        <v>W1</v>
      </c>
      <c r="W209" s="117">
        <f t="shared" si="30"/>
        <v>1</v>
      </c>
      <c r="X209" s="58"/>
    </row>
    <row r="210" spans="1:24">
      <c r="A210" s="115">
        <v>208</v>
      </c>
      <c r="B210" s="116">
        <v>7</v>
      </c>
      <c r="C210" s="81" t="s">
        <v>130</v>
      </c>
      <c r="D210" s="111" t="s">
        <v>240</v>
      </c>
      <c r="E210" s="81" t="s">
        <v>104</v>
      </c>
      <c r="F210" s="61">
        <v>7.87</v>
      </c>
      <c r="G210" s="52">
        <f t="shared" si="24"/>
        <v>8.84</v>
      </c>
      <c r="H210" s="110"/>
      <c r="I210" s="81">
        <v>9.91</v>
      </c>
      <c r="J210" s="81">
        <f>VLOOKUP(C210,Recipes!$A$2:$N$4,12,FALSE())</f>
        <v>5.0137397426368718E-2</v>
      </c>
      <c r="K210" s="81">
        <f t="shared" si="25"/>
        <v>9.7345191090077101</v>
      </c>
      <c r="L210" s="81">
        <f t="shared" si="26"/>
        <v>10.08548089099229</v>
      </c>
      <c r="M210" s="81" t="str">
        <f t="shared" si="27"/>
        <v>NG</v>
      </c>
      <c r="N210" s="117">
        <f t="shared" si="28"/>
        <v>1</v>
      </c>
      <c r="O210" s="81">
        <f t="shared" si="29"/>
        <v>1.0700000000000003</v>
      </c>
      <c r="P210" s="81">
        <f>IF(G210="","",ABS(O210-Components!$C$2))</f>
        <v>1.6833333333333296</v>
      </c>
      <c r="Q210" s="81">
        <f>IF(G210="","",ABS(O210-Components!$C$3))</f>
        <v>2.9659999999999993</v>
      </c>
      <c r="R210" s="81">
        <f>IF(G210="","",ABS(O210-Components!$C$4))</f>
        <v>7.6666666666667327E-2</v>
      </c>
      <c r="S210" s="81">
        <f>IF(G210="","",ABS(O210-Components!$C$5))</f>
        <v>3.4926666666666701</v>
      </c>
      <c r="T210" s="81">
        <f>IF(G210="","",ABS(O210-Components!$C$6))</f>
        <v>8.5666666666669666E-2</v>
      </c>
      <c r="U210" s="81">
        <f>IF(G210="","",ABS(O210-Components!$C$7))</f>
        <v>0.30433333333332979</v>
      </c>
      <c r="V210" s="81" t="str">
        <f>IF(G210="","",IF(M210="OK","NONE",INDEX({"S1","S2","W1","W2","N1","N2"},MATCH(MIN(P210:U210),P210:U210,0))))</f>
        <v>W1</v>
      </c>
      <c r="W210" s="117">
        <f t="shared" si="30"/>
        <v>1</v>
      </c>
      <c r="X210" s="58"/>
    </row>
    <row r="211" spans="1:24">
      <c r="A211" s="115">
        <v>209</v>
      </c>
      <c r="B211" s="116">
        <v>7</v>
      </c>
      <c r="C211" s="81" t="s">
        <v>130</v>
      </c>
      <c r="D211" s="111" t="s">
        <v>240</v>
      </c>
      <c r="E211" s="81" t="s">
        <v>104</v>
      </c>
      <c r="F211" s="61">
        <v>7.72</v>
      </c>
      <c r="G211" s="52">
        <f t="shared" si="24"/>
        <v>8.69</v>
      </c>
      <c r="H211" s="110"/>
      <c r="I211" s="81">
        <v>9.91</v>
      </c>
      <c r="J211" s="81">
        <f>VLOOKUP(C211,Recipes!$A$2:$N$4,12,FALSE())</f>
        <v>5.0137397426368718E-2</v>
      </c>
      <c r="K211" s="81">
        <f t="shared" si="25"/>
        <v>9.7345191090077101</v>
      </c>
      <c r="L211" s="81">
        <f t="shared" si="26"/>
        <v>10.08548089099229</v>
      </c>
      <c r="M211" s="81" t="str">
        <f t="shared" si="27"/>
        <v>NG</v>
      </c>
      <c r="N211" s="117">
        <f t="shared" si="28"/>
        <v>1</v>
      </c>
      <c r="O211" s="81">
        <f t="shared" si="29"/>
        <v>1.2200000000000006</v>
      </c>
      <c r="P211" s="81">
        <f>IF(G211="","",ABS(O211-Components!$C$2))</f>
        <v>1.5333333333333292</v>
      </c>
      <c r="Q211" s="81">
        <f>IF(G211="","",ABS(O211-Components!$C$3))</f>
        <v>2.8159999999999989</v>
      </c>
      <c r="R211" s="81">
        <f>IF(G211="","",ABS(O211-Components!$C$4))</f>
        <v>0.22666666666666768</v>
      </c>
      <c r="S211" s="81">
        <f>IF(G211="","",ABS(O211-Components!$C$5))</f>
        <v>3.3426666666666698</v>
      </c>
      <c r="T211" s="81">
        <f>IF(G211="","",ABS(O211-Components!$C$6))</f>
        <v>6.4333333333330689E-2</v>
      </c>
      <c r="U211" s="81">
        <f>IF(G211="","",ABS(O211-Components!$C$7))</f>
        <v>0.15433333333332944</v>
      </c>
      <c r="V211" s="81" t="str">
        <f>IF(G211="","",IF(M211="OK","NONE",INDEX({"S1","S2","W1","W2","N1","N2"},MATCH(MIN(P211:U211),P211:U211,0))))</f>
        <v>N1</v>
      </c>
      <c r="W211" s="122">
        <f t="shared" si="30"/>
        <v>0</v>
      </c>
      <c r="X211" s="58"/>
    </row>
    <row r="212" spans="1:24">
      <c r="A212" s="115">
        <v>210</v>
      </c>
      <c r="B212" s="116">
        <v>7</v>
      </c>
      <c r="C212" s="61" t="s">
        <v>130</v>
      </c>
      <c r="D212" s="61" t="s">
        <v>240</v>
      </c>
      <c r="E212" s="61" t="s">
        <v>104</v>
      </c>
      <c r="F212" s="61">
        <v>7.95</v>
      </c>
      <c r="G212" s="52">
        <f t="shared" si="24"/>
        <v>8.92</v>
      </c>
      <c r="H212" s="110"/>
      <c r="I212" s="81">
        <v>9.91</v>
      </c>
      <c r="J212" s="81">
        <f>VLOOKUP(C212,Recipes!$A$2:$N$4,12,FALSE())</f>
        <v>5.0137397426368718E-2</v>
      </c>
      <c r="K212" s="81">
        <f t="shared" si="25"/>
        <v>9.7345191090077101</v>
      </c>
      <c r="L212" s="81">
        <f t="shared" si="26"/>
        <v>10.08548089099229</v>
      </c>
      <c r="M212" s="81" t="str">
        <f t="shared" si="27"/>
        <v>NG</v>
      </c>
      <c r="N212" s="117">
        <f t="shared" si="28"/>
        <v>1</v>
      </c>
      <c r="O212" s="81">
        <f t="shared" si="29"/>
        <v>0.99000000000000021</v>
      </c>
      <c r="P212" s="81">
        <f>IF(G212="","",ABS(O212-Components!$C$2))</f>
        <v>1.7633333333333296</v>
      </c>
      <c r="Q212" s="81">
        <f>IF(G212="","",ABS(O212-Components!$C$3))</f>
        <v>3.0459999999999994</v>
      </c>
      <c r="R212" s="81">
        <f>IF(G212="","",ABS(O212-Components!$C$4))</f>
        <v>3.3333333333327442E-3</v>
      </c>
      <c r="S212" s="81">
        <f>IF(G212="","",ABS(O212-Components!$C$5))</f>
        <v>3.5726666666666702</v>
      </c>
      <c r="T212" s="81">
        <f>IF(G212="","",ABS(O212-Components!$C$6))</f>
        <v>0.16566666666666974</v>
      </c>
      <c r="U212" s="81">
        <f>IF(G212="","",ABS(O212-Components!$C$7))</f>
        <v>0.38433333333332986</v>
      </c>
      <c r="V212" s="81" t="str">
        <f>IF(G212="","",IF(M212="OK","NONE",INDEX({"S1","S2","W1","W2","N1","N2"},MATCH(MIN(P212:U212),P212:U212,0))))</f>
        <v>W1</v>
      </c>
      <c r="W212" s="117">
        <f t="shared" si="30"/>
        <v>1</v>
      </c>
      <c r="X212" s="58"/>
    </row>
    <row r="213" spans="1:24">
      <c r="A213" s="115">
        <v>211</v>
      </c>
      <c r="B213" s="116">
        <v>8</v>
      </c>
      <c r="C213" s="81" t="s">
        <v>130</v>
      </c>
      <c r="D213" s="111" t="s">
        <v>240</v>
      </c>
      <c r="E213" s="81" t="s">
        <v>108</v>
      </c>
      <c r="F213" s="61">
        <v>7.72</v>
      </c>
      <c r="G213" s="52">
        <f t="shared" si="24"/>
        <v>8.69</v>
      </c>
      <c r="H213" s="110"/>
      <c r="I213" s="81">
        <v>9.91</v>
      </c>
      <c r="J213" s="81">
        <f>VLOOKUP(C213,Recipes!$A$2:$N$4,12,FALSE())</f>
        <v>5.0137397426368718E-2</v>
      </c>
      <c r="K213" s="81">
        <f t="shared" si="25"/>
        <v>9.7345191090077101</v>
      </c>
      <c r="L213" s="81">
        <f t="shared" si="26"/>
        <v>10.08548089099229</v>
      </c>
      <c r="M213" s="81" t="str">
        <f t="shared" si="27"/>
        <v>NG</v>
      </c>
      <c r="N213" s="117">
        <f t="shared" si="28"/>
        <v>1</v>
      </c>
      <c r="O213" s="81">
        <f t="shared" si="29"/>
        <v>1.2200000000000006</v>
      </c>
      <c r="P213" s="81">
        <f>IF(G213="","",ABS(O213-Components!$C$2))</f>
        <v>1.5333333333333292</v>
      </c>
      <c r="Q213" s="81">
        <f>IF(G213="","",ABS(O213-Components!$C$3))</f>
        <v>2.8159999999999989</v>
      </c>
      <c r="R213" s="81">
        <f>IF(G213="","",ABS(O213-Components!$C$4))</f>
        <v>0.22666666666666768</v>
      </c>
      <c r="S213" s="81">
        <f>IF(G213="","",ABS(O213-Components!$C$5))</f>
        <v>3.3426666666666698</v>
      </c>
      <c r="T213" s="81">
        <f>IF(G213="","",ABS(O213-Components!$C$6))</f>
        <v>6.4333333333330689E-2</v>
      </c>
      <c r="U213" s="81">
        <f>IF(G213="","",ABS(O213-Components!$C$7))</f>
        <v>0.15433333333332944</v>
      </c>
      <c r="V213" s="81" t="str">
        <f>IF(G213="","",IF(M213="OK","NONE",INDEX({"S1","S2","W1","W2","N1","N2"},MATCH(MIN(P213:U213),P213:U213,0))))</f>
        <v>N1</v>
      </c>
      <c r="W213" s="117">
        <f t="shared" si="30"/>
        <v>1</v>
      </c>
      <c r="X213" s="58"/>
    </row>
    <row r="214" spans="1:24">
      <c r="A214" s="115">
        <v>212</v>
      </c>
      <c r="B214" s="116">
        <v>8</v>
      </c>
      <c r="C214" s="81" t="s">
        <v>130</v>
      </c>
      <c r="D214" s="111" t="s">
        <v>240</v>
      </c>
      <c r="E214" s="81" t="s">
        <v>108</v>
      </c>
      <c r="F214" s="61">
        <v>7.75</v>
      </c>
      <c r="G214" s="52">
        <f t="shared" si="24"/>
        <v>8.7200000000000006</v>
      </c>
      <c r="H214" s="110"/>
      <c r="I214" s="81">
        <v>9.91</v>
      </c>
      <c r="J214" s="81">
        <f>VLOOKUP(C214,Recipes!$A$2:$N$4,12,FALSE())</f>
        <v>5.0137397426368718E-2</v>
      </c>
      <c r="K214" s="81">
        <f t="shared" si="25"/>
        <v>9.7345191090077101</v>
      </c>
      <c r="L214" s="81">
        <f t="shared" si="26"/>
        <v>10.08548089099229</v>
      </c>
      <c r="M214" s="81" t="str">
        <f t="shared" si="27"/>
        <v>NG</v>
      </c>
      <c r="N214" s="117">
        <f t="shared" si="28"/>
        <v>1</v>
      </c>
      <c r="O214" s="81">
        <f t="shared" si="29"/>
        <v>1.1899999999999995</v>
      </c>
      <c r="P214" s="81">
        <f>IF(G214="","",ABS(O214-Components!$C$2))</f>
        <v>1.5633333333333304</v>
      </c>
      <c r="Q214" s="81">
        <f>IF(G214="","",ABS(O214-Components!$C$3))</f>
        <v>2.8460000000000001</v>
      </c>
      <c r="R214" s="81">
        <f>IF(G214="","",ABS(O214-Components!$C$4))</f>
        <v>0.19666666666666655</v>
      </c>
      <c r="S214" s="81">
        <f>IF(G214="","",ABS(O214-Components!$C$5))</f>
        <v>3.3726666666666709</v>
      </c>
      <c r="T214" s="81">
        <f>IF(G214="","",ABS(O214-Components!$C$6))</f>
        <v>3.4333333333329552E-2</v>
      </c>
      <c r="U214" s="81">
        <f>IF(G214="","",ABS(O214-Components!$C$7))</f>
        <v>0.18433333333333057</v>
      </c>
      <c r="V214" s="81" t="str">
        <f>IF(G214="","",IF(M214="OK","NONE",INDEX({"S1","S2","W1","W2","N1","N2"},MATCH(MIN(P214:U214),P214:U214,0))))</f>
        <v>N1</v>
      </c>
      <c r="W214" s="117">
        <f t="shared" si="30"/>
        <v>1</v>
      </c>
      <c r="X214" s="58"/>
    </row>
    <row r="215" spans="1:24">
      <c r="A215" s="115">
        <v>213</v>
      </c>
      <c r="B215" s="116">
        <v>8</v>
      </c>
      <c r="C215" s="81" t="s">
        <v>130</v>
      </c>
      <c r="D215" s="111" t="s">
        <v>240</v>
      </c>
      <c r="E215" s="81" t="s">
        <v>108</v>
      </c>
      <c r="F215" s="61">
        <v>7.8</v>
      </c>
      <c r="G215" s="52">
        <f t="shared" si="24"/>
        <v>8.77</v>
      </c>
      <c r="H215" s="110"/>
      <c r="I215" s="81">
        <v>9.91</v>
      </c>
      <c r="J215" s="81">
        <f>VLOOKUP(C215,Recipes!$A$2:$N$4,12,FALSE())</f>
        <v>5.0137397426368718E-2</v>
      </c>
      <c r="K215" s="81">
        <f t="shared" si="25"/>
        <v>9.7345191090077101</v>
      </c>
      <c r="L215" s="81">
        <f t="shared" si="26"/>
        <v>10.08548089099229</v>
      </c>
      <c r="M215" s="81" t="str">
        <f t="shared" si="27"/>
        <v>NG</v>
      </c>
      <c r="N215" s="117">
        <f t="shared" si="28"/>
        <v>1</v>
      </c>
      <c r="O215" s="81">
        <f t="shared" si="29"/>
        <v>1.1400000000000006</v>
      </c>
      <c r="P215" s="81">
        <f>IF(G215="","",ABS(O215-Components!$C$2))</f>
        <v>1.6133333333333293</v>
      </c>
      <c r="Q215" s="81">
        <f>IF(G215="","",ABS(O215-Components!$C$3))</f>
        <v>2.895999999999999</v>
      </c>
      <c r="R215" s="81">
        <f>IF(G215="","",ABS(O215-Components!$C$4))</f>
        <v>0.14666666666666761</v>
      </c>
      <c r="S215" s="81">
        <f>IF(G215="","",ABS(O215-Components!$C$5))</f>
        <v>3.4226666666666699</v>
      </c>
      <c r="T215" s="81">
        <f>IF(G215="","",ABS(O215-Components!$C$6))</f>
        <v>1.5666666666669382E-2</v>
      </c>
      <c r="U215" s="81">
        <f>IF(G215="","",ABS(O215-Components!$C$7))</f>
        <v>0.23433333333332951</v>
      </c>
      <c r="V215" s="81" t="str">
        <f>IF(G215="","",IF(M215="OK","NONE",INDEX({"S1","S2","W1","W2","N1","N2"},MATCH(MIN(P215:U215),P215:U215,0))))</f>
        <v>N1</v>
      </c>
      <c r="W215" s="117">
        <f t="shared" si="30"/>
        <v>1</v>
      </c>
      <c r="X215" s="58"/>
    </row>
    <row r="216" spans="1:24">
      <c r="A216" s="115">
        <v>214</v>
      </c>
      <c r="B216" s="116">
        <v>8</v>
      </c>
      <c r="C216" s="81" t="s">
        <v>130</v>
      </c>
      <c r="D216" s="111" t="s">
        <v>240</v>
      </c>
      <c r="E216" s="81" t="s">
        <v>108</v>
      </c>
      <c r="F216" s="61">
        <v>7.77</v>
      </c>
      <c r="G216" s="52">
        <f t="shared" si="24"/>
        <v>8.74</v>
      </c>
      <c r="H216" s="110"/>
      <c r="I216" s="81">
        <v>9.91</v>
      </c>
      <c r="J216" s="81">
        <f>VLOOKUP(C216,Recipes!$A$2:$N$4,12,FALSE())</f>
        <v>5.0137397426368718E-2</v>
      </c>
      <c r="K216" s="81">
        <f t="shared" si="25"/>
        <v>9.7345191090077101</v>
      </c>
      <c r="L216" s="81">
        <f t="shared" si="26"/>
        <v>10.08548089099229</v>
      </c>
      <c r="M216" s="81" t="str">
        <f t="shared" si="27"/>
        <v>NG</v>
      </c>
      <c r="N216" s="117">
        <f t="shared" si="28"/>
        <v>1</v>
      </c>
      <c r="O216" s="81">
        <f t="shared" si="29"/>
        <v>1.17</v>
      </c>
      <c r="P216" s="81">
        <f>IF(G216="","",ABS(O216-Components!$C$2))</f>
        <v>1.5833333333333299</v>
      </c>
      <c r="Q216" s="81">
        <f>IF(G216="","",ABS(O216-Components!$C$3))</f>
        <v>2.8659999999999997</v>
      </c>
      <c r="R216" s="81">
        <f>IF(G216="","",ABS(O216-Components!$C$4))</f>
        <v>0.17666666666666697</v>
      </c>
      <c r="S216" s="81">
        <f>IF(G216="","",ABS(O216-Components!$C$5))</f>
        <v>3.3926666666666705</v>
      </c>
      <c r="T216" s="81">
        <f>IF(G216="","",ABS(O216-Components!$C$6))</f>
        <v>1.4333333333329978E-2</v>
      </c>
      <c r="U216" s="81">
        <f>IF(G216="","",ABS(O216-Components!$C$7))</f>
        <v>0.20433333333333015</v>
      </c>
      <c r="V216" s="81" t="str">
        <f>IF(G216="","",IF(M216="OK","NONE",INDEX({"S1","S2","W1","W2","N1","N2"},MATCH(MIN(P216:U216),P216:U216,0))))</f>
        <v>N1</v>
      </c>
      <c r="W216" s="117">
        <f t="shared" si="30"/>
        <v>1</v>
      </c>
      <c r="X216" s="58"/>
    </row>
    <row r="217" spans="1:24">
      <c r="A217" s="115">
        <v>215</v>
      </c>
      <c r="B217" s="116">
        <v>8</v>
      </c>
      <c r="C217" s="61" t="s">
        <v>130</v>
      </c>
      <c r="D217" s="61" t="s">
        <v>240</v>
      </c>
      <c r="E217" s="61" t="s">
        <v>108</v>
      </c>
      <c r="F217" s="61">
        <v>7.78</v>
      </c>
      <c r="G217" s="52">
        <f t="shared" si="24"/>
        <v>8.75</v>
      </c>
      <c r="H217" s="110"/>
      <c r="I217" s="81">
        <v>9.91</v>
      </c>
      <c r="J217" s="81">
        <f>VLOOKUP(C217,Recipes!$A$2:$N$4,12,FALSE())</f>
        <v>5.0137397426368718E-2</v>
      </c>
      <c r="K217" s="81">
        <f t="shared" si="25"/>
        <v>9.7345191090077101</v>
      </c>
      <c r="L217" s="81">
        <f t="shared" si="26"/>
        <v>10.08548089099229</v>
      </c>
      <c r="M217" s="81" t="str">
        <f t="shared" si="27"/>
        <v>NG</v>
      </c>
      <c r="N217" s="117">
        <f t="shared" si="28"/>
        <v>1</v>
      </c>
      <c r="O217" s="81">
        <f t="shared" si="29"/>
        <v>1.1600000000000001</v>
      </c>
      <c r="P217" s="81">
        <f>IF(G217="","",ABS(O217-Components!$C$2))</f>
        <v>1.5933333333333297</v>
      </c>
      <c r="Q217" s="81">
        <f>IF(G217="","",ABS(O217-Components!$C$3))</f>
        <v>2.8759999999999994</v>
      </c>
      <c r="R217" s="81">
        <f>IF(G217="","",ABS(O217-Components!$C$4))</f>
        <v>0.16666666666666718</v>
      </c>
      <c r="S217" s="81">
        <f>IF(G217="","",ABS(O217-Components!$C$5))</f>
        <v>3.4026666666666703</v>
      </c>
      <c r="T217" s="81">
        <f>IF(G217="","",ABS(O217-Components!$C$6))</f>
        <v>4.3333333333301916E-3</v>
      </c>
      <c r="U217" s="81">
        <f>IF(G217="","",ABS(O217-Components!$C$7))</f>
        <v>0.21433333333332993</v>
      </c>
      <c r="V217" s="81" t="str">
        <f>IF(G217="","",IF(M217="OK","NONE",INDEX({"S1","S2","W1","W2","N1","N2"},MATCH(MIN(P217:U217),P217:U217,0))))</f>
        <v>N1</v>
      </c>
      <c r="W217" s="117">
        <f t="shared" si="30"/>
        <v>1</v>
      </c>
      <c r="X217" s="58"/>
    </row>
    <row r="218" spans="1:24">
      <c r="A218" s="115">
        <v>216</v>
      </c>
      <c r="B218" s="116">
        <v>8</v>
      </c>
      <c r="C218" s="81" t="s">
        <v>130</v>
      </c>
      <c r="D218" s="111" t="s">
        <v>240</v>
      </c>
      <c r="E218" s="81" t="s">
        <v>108</v>
      </c>
      <c r="F218" s="61">
        <v>7.82</v>
      </c>
      <c r="G218" s="52">
        <f t="shared" si="24"/>
        <v>8.7900000000000009</v>
      </c>
      <c r="H218" s="110"/>
      <c r="I218" s="81">
        <v>9.91</v>
      </c>
      <c r="J218" s="81">
        <f>VLOOKUP(C218,Recipes!$A$2:$N$4,12,FALSE())</f>
        <v>5.0137397426368718E-2</v>
      </c>
      <c r="K218" s="81">
        <f t="shared" si="25"/>
        <v>9.7345191090077101</v>
      </c>
      <c r="L218" s="81">
        <f t="shared" si="26"/>
        <v>10.08548089099229</v>
      </c>
      <c r="M218" s="81" t="str">
        <f t="shared" si="27"/>
        <v>NG</v>
      </c>
      <c r="N218" s="117">
        <f t="shared" si="28"/>
        <v>1</v>
      </c>
      <c r="O218" s="81">
        <f t="shared" si="29"/>
        <v>1.1199999999999992</v>
      </c>
      <c r="P218" s="81">
        <f>IF(G218="","",ABS(O218-Components!$C$2))</f>
        <v>1.6333333333333306</v>
      </c>
      <c r="Q218" s="81">
        <f>IF(G218="","",ABS(O218-Components!$C$3))</f>
        <v>2.9160000000000004</v>
      </c>
      <c r="R218" s="81">
        <f>IF(G218="","",ABS(O218-Components!$C$4))</f>
        <v>0.12666666666666626</v>
      </c>
      <c r="S218" s="81">
        <f>IF(G218="","",ABS(O218-Components!$C$5))</f>
        <v>3.4426666666666712</v>
      </c>
      <c r="T218" s="81">
        <f>IF(G218="","",ABS(O218-Components!$C$6))</f>
        <v>3.5666666666670732E-2</v>
      </c>
      <c r="U218" s="81">
        <f>IF(G218="","",ABS(O218-Components!$C$7))</f>
        <v>0.25433333333333086</v>
      </c>
      <c r="V218" s="81" t="str">
        <f>IF(G218="","",IF(M218="OK","NONE",INDEX({"S1","S2","W1","W2","N1","N2"},MATCH(MIN(P218:U218),P218:U218,0))))</f>
        <v>N1</v>
      </c>
      <c r="W218" s="117">
        <f t="shared" si="30"/>
        <v>1</v>
      </c>
      <c r="X218" s="58"/>
    </row>
    <row r="219" spans="1:24">
      <c r="A219" s="115">
        <v>217</v>
      </c>
      <c r="B219" s="116">
        <v>8</v>
      </c>
      <c r="C219" s="81" t="s">
        <v>130</v>
      </c>
      <c r="D219" s="111" t="s">
        <v>240</v>
      </c>
      <c r="E219" s="81" t="s">
        <v>108</v>
      </c>
      <c r="F219" s="61">
        <v>7.78</v>
      </c>
      <c r="G219" s="52">
        <f t="shared" si="24"/>
        <v>8.75</v>
      </c>
      <c r="H219" s="110"/>
      <c r="I219" s="81">
        <v>9.91</v>
      </c>
      <c r="J219" s="81">
        <f>VLOOKUP(C219,Recipes!$A$2:$N$4,12,FALSE())</f>
        <v>5.0137397426368718E-2</v>
      </c>
      <c r="K219" s="81">
        <f t="shared" si="25"/>
        <v>9.7345191090077101</v>
      </c>
      <c r="L219" s="81">
        <f t="shared" si="26"/>
        <v>10.08548089099229</v>
      </c>
      <c r="M219" s="81" t="str">
        <f t="shared" si="27"/>
        <v>NG</v>
      </c>
      <c r="N219" s="117">
        <f t="shared" si="28"/>
        <v>1</v>
      </c>
      <c r="O219" s="81">
        <f t="shared" si="29"/>
        <v>1.1600000000000001</v>
      </c>
      <c r="P219" s="81">
        <f>IF(G219="","",ABS(O219-Components!$C$2))</f>
        <v>1.5933333333333297</v>
      </c>
      <c r="Q219" s="81">
        <f>IF(G219="","",ABS(O219-Components!$C$3))</f>
        <v>2.8759999999999994</v>
      </c>
      <c r="R219" s="81">
        <f>IF(G219="","",ABS(O219-Components!$C$4))</f>
        <v>0.16666666666666718</v>
      </c>
      <c r="S219" s="81">
        <f>IF(G219="","",ABS(O219-Components!$C$5))</f>
        <v>3.4026666666666703</v>
      </c>
      <c r="T219" s="81">
        <f>IF(G219="","",ABS(O219-Components!$C$6))</f>
        <v>4.3333333333301916E-3</v>
      </c>
      <c r="U219" s="81">
        <f>IF(G219="","",ABS(O219-Components!$C$7))</f>
        <v>0.21433333333332993</v>
      </c>
      <c r="V219" s="81" t="str">
        <f>IF(G219="","",IF(M219="OK","NONE",INDEX({"S1","S2","W1","W2","N1","N2"},MATCH(MIN(P219:U219),P219:U219,0))))</f>
        <v>N1</v>
      </c>
      <c r="W219" s="117">
        <f t="shared" si="30"/>
        <v>1</v>
      </c>
      <c r="X219" s="58"/>
    </row>
    <row r="220" spans="1:24">
      <c r="A220" s="115">
        <v>218</v>
      </c>
      <c r="B220" s="116">
        <v>8</v>
      </c>
      <c r="C220" s="81" t="s">
        <v>130</v>
      </c>
      <c r="D220" s="111" t="s">
        <v>240</v>
      </c>
      <c r="E220" s="81" t="s">
        <v>108</v>
      </c>
      <c r="F220" s="61">
        <v>7.52</v>
      </c>
      <c r="G220" s="52">
        <f t="shared" si="24"/>
        <v>8.49</v>
      </c>
      <c r="H220" s="110"/>
      <c r="I220" s="81">
        <v>9.91</v>
      </c>
      <c r="J220" s="81">
        <f>VLOOKUP(C220,Recipes!$A$2:$N$4,12,FALSE())</f>
        <v>5.0137397426368718E-2</v>
      </c>
      <c r="K220" s="81">
        <f t="shared" si="25"/>
        <v>9.7345191090077101</v>
      </c>
      <c r="L220" s="81">
        <f t="shared" si="26"/>
        <v>10.08548089099229</v>
      </c>
      <c r="M220" s="81" t="str">
        <f t="shared" si="27"/>
        <v>NG</v>
      </c>
      <c r="N220" s="117">
        <f t="shared" si="28"/>
        <v>1</v>
      </c>
      <c r="O220" s="81">
        <f t="shared" si="29"/>
        <v>1.42</v>
      </c>
      <c r="P220" s="81">
        <f>IF(G220="","",ABS(O220-Components!$C$2))</f>
        <v>1.3333333333333299</v>
      </c>
      <c r="Q220" s="81">
        <f>IF(G220="","",ABS(O220-Components!$C$3))</f>
        <v>2.6159999999999997</v>
      </c>
      <c r="R220" s="81">
        <f>IF(G220="","",ABS(O220-Components!$C$4))</f>
        <v>0.42666666666666697</v>
      </c>
      <c r="S220" s="81">
        <f>IF(G220="","",ABS(O220-Components!$C$5))</f>
        <v>3.1426666666666705</v>
      </c>
      <c r="T220" s="81">
        <f>IF(G220="","",ABS(O220-Components!$C$6))</f>
        <v>0.26433333333332998</v>
      </c>
      <c r="U220" s="81">
        <f>IF(G220="","",ABS(O220-Components!$C$7))</f>
        <v>4.5666666666669853E-2</v>
      </c>
      <c r="V220" s="81" t="str">
        <f>IF(G220="","",IF(M220="OK","NONE",INDEX({"S1","S2","W1","W2","N1","N2"},MATCH(MIN(P220:U220),P220:U220,0))))</f>
        <v>N2</v>
      </c>
      <c r="W220" s="122">
        <f t="shared" si="30"/>
        <v>0</v>
      </c>
      <c r="X220" s="58"/>
    </row>
    <row r="221" spans="1:24">
      <c r="A221" s="115">
        <v>219</v>
      </c>
      <c r="B221" s="116">
        <v>8</v>
      </c>
      <c r="C221" s="81" t="s">
        <v>130</v>
      </c>
      <c r="D221" s="111" t="s">
        <v>240</v>
      </c>
      <c r="E221" s="81" t="s">
        <v>108</v>
      </c>
      <c r="F221" s="61">
        <v>7.75</v>
      </c>
      <c r="G221" s="52">
        <f t="shared" si="24"/>
        <v>8.7200000000000006</v>
      </c>
      <c r="H221" s="110"/>
      <c r="I221" s="81">
        <v>9.91</v>
      </c>
      <c r="J221" s="81">
        <f>VLOOKUP(C221,Recipes!$A$2:$N$4,12,FALSE())</f>
        <v>5.0137397426368718E-2</v>
      </c>
      <c r="K221" s="81">
        <f t="shared" si="25"/>
        <v>9.7345191090077101</v>
      </c>
      <c r="L221" s="81">
        <f t="shared" si="26"/>
        <v>10.08548089099229</v>
      </c>
      <c r="M221" s="81" t="str">
        <f t="shared" si="27"/>
        <v>NG</v>
      </c>
      <c r="N221" s="117">
        <f t="shared" si="28"/>
        <v>1</v>
      </c>
      <c r="O221" s="81">
        <f t="shared" si="29"/>
        <v>1.1899999999999995</v>
      </c>
      <c r="P221" s="81">
        <f>IF(G221="","",ABS(O221-Components!$C$2))</f>
        <v>1.5633333333333304</v>
      </c>
      <c r="Q221" s="81">
        <f>IF(G221="","",ABS(O221-Components!$C$3))</f>
        <v>2.8460000000000001</v>
      </c>
      <c r="R221" s="81">
        <f>IF(G221="","",ABS(O221-Components!$C$4))</f>
        <v>0.19666666666666655</v>
      </c>
      <c r="S221" s="81">
        <f>IF(G221="","",ABS(O221-Components!$C$5))</f>
        <v>3.3726666666666709</v>
      </c>
      <c r="T221" s="81">
        <f>IF(G221="","",ABS(O221-Components!$C$6))</f>
        <v>3.4333333333329552E-2</v>
      </c>
      <c r="U221" s="81">
        <f>IF(G221="","",ABS(O221-Components!$C$7))</f>
        <v>0.18433333333333057</v>
      </c>
      <c r="V221" s="81" t="str">
        <f>IF(G221="","",IF(M221="OK","NONE",INDEX({"S1","S2","W1","W2","N1","N2"},MATCH(MIN(P221:U221),P221:U221,0))))</f>
        <v>N1</v>
      </c>
      <c r="W221" s="117">
        <f t="shared" si="30"/>
        <v>1</v>
      </c>
      <c r="X221" s="58"/>
    </row>
    <row r="222" spans="1:24">
      <c r="A222" s="115">
        <v>220</v>
      </c>
      <c r="B222" s="116">
        <v>8</v>
      </c>
      <c r="C222" s="61" t="s">
        <v>130</v>
      </c>
      <c r="D222" s="61" t="s">
        <v>240</v>
      </c>
      <c r="E222" s="61" t="s">
        <v>108</v>
      </c>
      <c r="F222" s="61">
        <v>7.76</v>
      </c>
      <c r="G222" s="52">
        <f t="shared" si="24"/>
        <v>8.73</v>
      </c>
      <c r="H222" s="110"/>
      <c r="I222" s="81">
        <v>9.91</v>
      </c>
      <c r="J222" s="81">
        <f>VLOOKUP(C222,Recipes!$A$2:$N$4,12,FALSE())</f>
        <v>5.0137397426368718E-2</v>
      </c>
      <c r="K222" s="81">
        <f t="shared" si="25"/>
        <v>9.7345191090077101</v>
      </c>
      <c r="L222" s="81">
        <f t="shared" si="26"/>
        <v>10.08548089099229</v>
      </c>
      <c r="M222" s="81" t="str">
        <f t="shared" si="27"/>
        <v>NG</v>
      </c>
      <c r="N222" s="117">
        <f t="shared" si="28"/>
        <v>1</v>
      </c>
      <c r="O222" s="81">
        <f t="shared" si="29"/>
        <v>1.1799999999999997</v>
      </c>
      <c r="P222" s="81">
        <f>IF(G222="","",ABS(O222-Components!$C$2))</f>
        <v>1.5733333333333301</v>
      </c>
      <c r="Q222" s="81">
        <f>IF(G222="","",ABS(O222-Components!$C$3))</f>
        <v>2.8559999999999999</v>
      </c>
      <c r="R222" s="81">
        <f>IF(G222="","",ABS(O222-Components!$C$4))</f>
        <v>0.18666666666666676</v>
      </c>
      <c r="S222" s="81">
        <f>IF(G222="","",ABS(O222-Components!$C$5))</f>
        <v>3.3826666666666707</v>
      </c>
      <c r="T222" s="81">
        <f>IF(G222="","",ABS(O222-Components!$C$6))</f>
        <v>2.4333333333329765E-2</v>
      </c>
      <c r="U222" s="81">
        <f>IF(G222="","",ABS(O222-Components!$C$7))</f>
        <v>0.19433333333333036</v>
      </c>
      <c r="V222" s="81" t="str">
        <f>IF(G222="","",IF(M222="OK","NONE",INDEX({"S1","S2","W1","W2","N1","N2"},MATCH(MIN(P222:U222),P222:U222,0))))</f>
        <v>N1</v>
      </c>
      <c r="W222" s="117">
        <f t="shared" si="30"/>
        <v>1</v>
      </c>
      <c r="X222" s="58"/>
    </row>
    <row r="223" spans="1:24">
      <c r="A223" s="115">
        <v>221</v>
      </c>
      <c r="B223" s="116">
        <v>8</v>
      </c>
      <c r="C223" s="81" t="s">
        <v>130</v>
      </c>
      <c r="D223" s="111" t="s">
        <v>240</v>
      </c>
      <c r="E223" s="81" t="s">
        <v>108</v>
      </c>
      <c r="F223" s="61">
        <v>7.78</v>
      </c>
      <c r="G223" s="52">
        <f t="shared" si="24"/>
        <v>8.75</v>
      </c>
      <c r="H223" s="110"/>
      <c r="I223" s="81">
        <v>9.91</v>
      </c>
      <c r="J223" s="81">
        <f>VLOOKUP(C223,Recipes!$A$2:$N$4,12,FALSE())</f>
        <v>5.0137397426368718E-2</v>
      </c>
      <c r="K223" s="81">
        <f t="shared" si="25"/>
        <v>9.7345191090077101</v>
      </c>
      <c r="L223" s="81">
        <f t="shared" si="26"/>
        <v>10.08548089099229</v>
      </c>
      <c r="M223" s="81" t="str">
        <f t="shared" si="27"/>
        <v>NG</v>
      </c>
      <c r="N223" s="117">
        <f t="shared" si="28"/>
        <v>1</v>
      </c>
      <c r="O223" s="81">
        <f t="shared" si="29"/>
        <v>1.1600000000000001</v>
      </c>
      <c r="P223" s="81">
        <f>IF(G223="","",ABS(O223-Components!$C$2))</f>
        <v>1.5933333333333297</v>
      </c>
      <c r="Q223" s="81">
        <f>IF(G223="","",ABS(O223-Components!$C$3))</f>
        <v>2.8759999999999994</v>
      </c>
      <c r="R223" s="81">
        <f>IF(G223="","",ABS(O223-Components!$C$4))</f>
        <v>0.16666666666666718</v>
      </c>
      <c r="S223" s="81">
        <f>IF(G223="","",ABS(O223-Components!$C$5))</f>
        <v>3.4026666666666703</v>
      </c>
      <c r="T223" s="81">
        <f>IF(G223="","",ABS(O223-Components!$C$6))</f>
        <v>4.3333333333301916E-3</v>
      </c>
      <c r="U223" s="81">
        <f>IF(G223="","",ABS(O223-Components!$C$7))</f>
        <v>0.21433333333332993</v>
      </c>
      <c r="V223" s="81" t="str">
        <f>IF(G223="","",IF(M223="OK","NONE",INDEX({"S1","S2","W1","W2","N1","N2"},MATCH(MIN(P223:U223),P223:U223,0))))</f>
        <v>N1</v>
      </c>
      <c r="W223" s="117">
        <f t="shared" si="30"/>
        <v>1</v>
      </c>
      <c r="X223" s="58"/>
    </row>
    <row r="224" spans="1:24">
      <c r="A224" s="115">
        <v>222</v>
      </c>
      <c r="B224" s="116">
        <v>8</v>
      </c>
      <c r="C224" s="81" t="s">
        <v>130</v>
      </c>
      <c r="D224" s="111" t="s">
        <v>240</v>
      </c>
      <c r="E224" s="81" t="s">
        <v>108</v>
      </c>
      <c r="F224" s="61">
        <v>7.82</v>
      </c>
      <c r="G224" s="52">
        <f t="shared" si="24"/>
        <v>8.7900000000000009</v>
      </c>
      <c r="H224" s="110"/>
      <c r="I224" s="81">
        <v>9.91</v>
      </c>
      <c r="J224" s="81">
        <f>VLOOKUP(C224,Recipes!$A$2:$N$4,12,FALSE())</f>
        <v>5.0137397426368718E-2</v>
      </c>
      <c r="K224" s="81">
        <f t="shared" si="25"/>
        <v>9.7345191090077101</v>
      </c>
      <c r="L224" s="81">
        <f t="shared" si="26"/>
        <v>10.08548089099229</v>
      </c>
      <c r="M224" s="81" t="str">
        <f t="shared" si="27"/>
        <v>NG</v>
      </c>
      <c r="N224" s="117">
        <f t="shared" si="28"/>
        <v>1</v>
      </c>
      <c r="O224" s="81">
        <f t="shared" si="29"/>
        <v>1.1199999999999992</v>
      </c>
      <c r="P224" s="81">
        <f>IF(G224="","",ABS(O224-Components!$C$2))</f>
        <v>1.6333333333333306</v>
      </c>
      <c r="Q224" s="81">
        <f>IF(G224="","",ABS(O224-Components!$C$3))</f>
        <v>2.9160000000000004</v>
      </c>
      <c r="R224" s="81">
        <f>IF(G224="","",ABS(O224-Components!$C$4))</f>
        <v>0.12666666666666626</v>
      </c>
      <c r="S224" s="81">
        <f>IF(G224="","",ABS(O224-Components!$C$5))</f>
        <v>3.4426666666666712</v>
      </c>
      <c r="T224" s="81">
        <f>IF(G224="","",ABS(O224-Components!$C$6))</f>
        <v>3.5666666666670732E-2</v>
      </c>
      <c r="U224" s="81">
        <f>IF(G224="","",ABS(O224-Components!$C$7))</f>
        <v>0.25433333333333086</v>
      </c>
      <c r="V224" s="81" t="str">
        <f>IF(G224="","",IF(M224="OK","NONE",INDEX({"S1","S2","W1","W2","N1","N2"},MATCH(MIN(P224:U224),P224:U224,0))))</f>
        <v>N1</v>
      </c>
      <c r="W224" s="117">
        <f t="shared" si="30"/>
        <v>1</v>
      </c>
      <c r="X224" s="58"/>
    </row>
    <row r="225" spans="1:24">
      <c r="A225" s="115">
        <v>223</v>
      </c>
      <c r="B225" s="116">
        <v>8</v>
      </c>
      <c r="C225" s="81" t="s">
        <v>130</v>
      </c>
      <c r="D225" s="111" t="s">
        <v>240</v>
      </c>
      <c r="E225" s="81" t="s">
        <v>108</v>
      </c>
      <c r="F225" s="61">
        <v>7.8</v>
      </c>
      <c r="G225" s="52">
        <f t="shared" si="24"/>
        <v>8.77</v>
      </c>
      <c r="H225" s="110"/>
      <c r="I225" s="81">
        <v>9.91</v>
      </c>
      <c r="J225" s="81">
        <f>VLOOKUP(C225,Recipes!$A$2:$N$4,12,FALSE())</f>
        <v>5.0137397426368718E-2</v>
      </c>
      <c r="K225" s="81">
        <f t="shared" si="25"/>
        <v>9.7345191090077101</v>
      </c>
      <c r="L225" s="81">
        <f t="shared" si="26"/>
        <v>10.08548089099229</v>
      </c>
      <c r="M225" s="81" t="str">
        <f t="shared" si="27"/>
        <v>NG</v>
      </c>
      <c r="N225" s="117">
        <f t="shared" si="28"/>
        <v>1</v>
      </c>
      <c r="O225" s="81">
        <f t="shared" si="29"/>
        <v>1.1400000000000006</v>
      </c>
      <c r="P225" s="81">
        <f>IF(G225="","",ABS(O225-Components!$C$2))</f>
        <v>1.6133333333333293</v>
      </c>
      <c r="Q225" s="81">
        <f>IF(G225="","",ABS(O225-Components!$C$3))</f>
        <v>2.895999999999999</v>
      </c>
      <c r="R225" s="81">
        <f>IF(G225="","",ABS(O225-Components!$C$4))</f>
        <v>0.14666666666666761</v>
      </c>
      <c r="S225" s="81">
        <f>IF(G225="","",ABS(O225-Components!$C$5))</f>
        <v>3.4226666666666699</v>
      </c>
      <c r="T225" s="81">
        <f>IF(G225="","",ABS(O225-Components!$C$6))</f>
        <v>1.5666666666669382E-2</v>
      </c>
      <c r="U225" s="81">
        <f>IF(G225="","",ABS(O225-Components!$C$7))</f>
        <v>0.23433333333332951</v>
      </c>
      <c r="V225" s="81" t="str">
        <f>IF(G225="","",IF(M225="OK","NONE",INDEX({"S1","S2","W1","W2","N1","N2"},MATCH(MIN(P225:U225),P225:U225,0))))</f>
        <v>N1</v>
      </c>
      <c r="W225" s="117">
        <f t="shared" si="30"/>
        <v>1</v>
      </c>
      <c r="X225" s="58"/>
    </row>
    <row r="226" spans="1:24">
      <c r="A226" s="115">
        <v>224</v>
      </c>
      <c r="B226" s="116">
        <v>8</v>
      </c>
      <c r="C226" s="81" t="s">
        <v>130</v>
      </c>
      <c r="D226" s="111" t="s">
        <v>240</v>
      </c>
      <c r="E226" s="81" t="s">
        <v>108</v>
      </c>
      <c r="F226" s="61">
        <v>7.75</v>
      </c>
      <c r="G226" s="52">
        <f t="shared" si="24"/>
        <v>8.7200000000000006</v>
      </c>
      <c r="H226" s="110"/>
      <c r="I226" s="81">
        <v>9.91</v>
      </c>
      <c r="J226" s="81">
        <f>VLOOKUP(C226,Recipes!$A$2:$N$4,12,FALSE())</f>
        <v>5.0137397426368718E-2</v>
      </c>
      <c r="K226" s="81">
        <f t="shared" si="25"/>
        <v>9.7345191090077101</v>
      </c>
      <c r="L226" s="81">
        <f t="shared" si="26"/>
        <v>10.08548089099229</v>
      </c>
      <c r="M226" s="81" t="str">
        <f t="shared" si="27"/>
        <v>NG</v>
      </c>
      <c r="N226" s="117">
        <f t="shared" si="28"/>
        <v>1</v>
      </c>
      <c r="O226" s="81">
        <f t="shared" si="29"/>
        <v>1.1899999999999995</v>
      </c>
      <c r="P226" s="81">
        <f>IF(G226="","",ABS(O226-Components!$C$2))</f>
        <v>1.5633333333333304</v>
      </c>
      <c r="Q226" s="81">
        <f>IF(G226="","",ABS(O226-Components!$C$3))</f>
        <v>2.8460000000000001</v>
      </c>
      <c r="R226" s="81">
        <f>IF(G226="","",ABS(O226-Components!$C$4))</f>
        <v>0.19666666666666655</v>
      </c>
      <c r="S226" s="81">
        <f>IF(G226="","",ABS(O226-Components!$C$5))</f>
        <v>3.3726666666666709</v>
      </c>
      <c r="T226" s="81">
        <f>IF(G226="","",ABS(O226-Components!$C$6))</f>
        <v>3.4333333333329552E-2</v>
      </c>
      <c r="U226" s="81">
        <f>IF(G226="","",ABS(O226-Components!$C$7))</f>
        <v>0.18433333333333057</v>
      </c>
      <c r="V226" s="81" t="str">
        <f>IF(G226="","",IF(M226="OK","NONE",INDEX({"S1","S2","W1","W2","N1","N2"},MATCH(MIN(P226:U226),P226:U226,0))))</f>
        <v>N1</v>
      </c>
      <c r="W226" s="117">
        <f t="shared" si="30"/>
        <v>1</v>
      </c>
      <c r="X226" s="58"/>
    </row>
    <row r="227" spans="1:24">
      <c r="A227" s="115">
        <v>225</v>
      </c>
      <c r="B227" s="116">
        <v>8</v>
      </c>
      <c r="C227" s="61" t="s">
        <v>130</v>
      </c>
      <c r="D227" s="61" t="s">
        <v>240</v>
      </c>
      <c r="E227" s="61" t="s">
        <v>108</v>
      </c>
      <c r="F227" s="61">
        <v>7.72</v>
      </c>
      <c r="G227" s="52">
        <f t="shared" si="24"/>
        <v>8.69</v>
      </c>
      <c r="H227" s="110"/>
      <c r="I227" s="81">
        <v>9.91</v>
      </c>
      <c r="J227" s="81">
        <f>VLOOKUP(C227,Recipes!$A$2:$N$4,12,FALSE())</f>
        <v>5.0137397426368718E-2</v>
      </c>
      <c r="K227" s="81">
        <f t="shared" si="25"/>
        <v>9.7345191090077101</v>
      </c>
      <c r="L227" s="81">
        <f t="shared" si="26"/>
        <v>10.08548089099229</v>
      </c>
      <c r="M227" s="81" t="str">
        <f t="shared" si="27"/>
        <v>NG</v>
      </c>
      <c r="N227" s="117">
        <f t="shared" si="28"/>
        <v>1</v>
      </c>
      <c r="O227" s="81">
        <f t="shared" si="29"/>
        <v>1.2200000000000006</v>
      </c>
      <c r="P227" s="81">
        <f>IF(G227="","",ABS(O227-Components!$C$2))</f>
        <v>1.5333333333333292</v>
      </c>
      <c r="Q227" s="81">
        <f>IF(G227="","",ABS(O227-Components!$C$3))</f>
        <v>2.8159999999999989</v>
      </c>
      <c r="R227" s="81">
        <f>IF(G227="","",ABS(O227-Components!$C$4))</f>
        <v>0.22666666666666768</v>
      </c>
      <c r="S227" s="81">
        <f>IF(G227="","",ABS(O227-Components!$C$5))</f>
        <v>3.3426666666666698</v>
      </c>
      <c r="T227" s="81">
        <f>IF(G227="","",ABS(O227-Components!$C$6))</f>
        <v>6.4333333333330689E-2</v>
      </c>
      <c r="U227" s="81">
        <f>IF(G227="","",ABS(O227-Components!$C$7))</f>
        <v>0.15433333333332944</v>
      </c>
      <c r="V227" s="81" t="str">
        <f>IF(G227="","",IF(M227="OK","NONE",INDEX({"S1","S2","W1","W2","N1","N2"},MATCH(MIN(P227:U227),P227:U227,0))))</f>
        <v>N1</v>
      </c>
      <c r="W227" s="117">
        <f t="shared" si="30"/>
        <v>1</v>
      </c>
      <c r="X227" s="58"/>
    </row>
    <row r="228" spans="1:24">
      <c r="A228" s="115">
        <v>226</v>
      </c>
      <c r="B228" s="116">
        <v>8</v>
      </c>
      <c r="C228" s="81" t="s">
        <v>130</v>
      </c>
      <c r="D228" s="111" t="s">
        <v>240</v>
      </c>
      <c r="E228" s="81" t="s">
        <v>108</v>
      </c>
      <c r="F228" s="61">
        <v>7.78</v>
      </c>
      <c r="G228" s="52">
        <f t="shared" si="24"/>
        <v>8.75</v>
      </c>
      <c r="H228" s="110"/>
      <c r="I228" s="81">
        <v>9.91</v>
      </c>
      <c r="J228" s="81">
        <f>VLOOKUP(C228,Recipes!$A$2:$N$4,12,FALSE())</f>
        <v>5.0137397426368718E-2</v>
      </c>
      <c r="K228" s="81">
        <f t="shared" si="25"/>
        <v>9.7345191090077101</v>
      </c>
      <c r="L228" s="81">
        <f t="shared" si="26"/>
        <v>10.08548089099229</v>
      </c>
      <c r="M228" s="81" t="str">
        <f t="shared" si="27"/>
        <v>NG</v>
      </c>
      <c r="N228" s="117">
        <f t="shared" si="28"/>
        <v>1</v>
      </c>
      <c r="O228" s="81">
        <f t="shared" si="29"/>
        <v>1.1600000000000001</v>
      </c>
      <c r="P228" s="81">
        <f>IF(G228="","",ABS(O228-Components!$C$2))</f>
        <v>1.5933333333333297</v>
      </c>
      <c r="Q228" s="81">
        <f>IF(G228="","",ABS(O228-Components!$C$3))</f>
        <v>2.8759999999999994</v>
      </c>
      <c r="R228" s="81">
        <f>IF(G228="","",ABS(O228-Components!$C$4))</f>
        <v>0.16666666666666718</v>
      </c>
      <c r="S228" s="81">
        <f>IF(G228="","",ABS(O228-Components!$C$5))</f>
        <v>3.4026666666666703</v>
      </c>
      <c r="T228" s="81">
        <f>IF(G228="","",ABS(O228-Components!$C$6))</f>
        <v>4.3333333333301916E-3</v>
      </c>
      <c r="U228" s="81">
        <f>IF(G228="","",ABS(O228-Components!$C$7))</f>
        <v>0.21433333333332993</v>
      </c>
      <c r="V228" s="81" t="str">
        <f>IF(G228="","",IF(M228="OK","NONE",INDEX({"S1","S2","W1","W2","N1","N2"},MATCH(MIN(P228:U228),P228:U228,0))))</f>
        <v>N1</v>
      </c>
      <c r="W228" s="117">
        <f t="shared" si="30"/>
        <v>1</v>
      </c>
      <c r="X228" s="58"/>
    </row>
    <row r="229" spans="1:24">
      <c r="A229" s="115">
        <v>227</v>
      </c>
      <c r="B229" s="116">
        <v>8</v>
      </c>
      <c r="C229" s="81" t="s">
        <v>130</v>
      </c>
      <c r="D229" s="111" t="s">
        <v>240</v>
      </c>
      <c r="E229" s="81" t="s">
        <v>108</v>
      </c>
      <c r="F229" s="61">
        <v>7.75</v>
      </c>
      <c r="G229" s="52">
        <f t="shared" si="24"/>
        <v>8.7200000000000006</v>
      </c>
      <c r="H229" s="110"/>
      <c r="I229" s="81">
        <v>9.91</v>
      </c>
      <c r="J229" s="81">
        <f>VLOOKUP(C229,Recipes!$A$2:$N$4,12,FALSE())</f>
        <v>5.0137397426368718E-2</v>
      </c>
      <c r="K229" s="81">
        <f t="shared" si="25"/>
        <v>9.7345191090077101</v>
      </c>
      <c r="L229" s="81">
        <f t="shared" si="26"/>
        <v>10.08548089099229</v>
      </c>
      <c r="M229" s="81" t="str">
        <f t="shared" si="27"/>
        <v>NG</v>
      </c>
      <c r="N229" s="117">
        <f t="shared" si="28"/>
        <v>1</v>
      </c>
      <c r="O229" s="81">
        <f t="shared" si="29"/>
        <v>1.1899999999999995</v>
      </c>
      <c r="P229" s="81">
        <f>IF(G229="","",ABS(O229-Components!$C$2))</f>
        <v>1.5633333333333304</v>
      </c>
      <c r="Q229" s="81">
        <f>IF(G229="","",ABS(O229-Components!$C$3))</f>
        <v>2.8460000000000001</v>
      </c>
      <c r="R229" s="81">
        <f>IF(G229="","",ABS(O229-Components!$C$4))</f>
        <v>0.19666666666666655</v>
      </c>
      <c r="S229" s="81">
        <f>IF(G229="","",ABS(O229-Components!$C$5))</f>
        <v>3.3726666666666709</v>
      </c>
      <c r="T229" s="81">
        <f>IF(G229="","",ABS(O229-Components!$C$6))</f>
        <v>3.4333333333329552E-2</v>
      </c>
      <c r="U229" s="81">
        <f>IF(G229="","",ABS(O229-Components!$C$7))</f>
        <v>0.18433333333333057</v>
      </c>
      <c r="V229" s="81" t="str">
        <f>IF(G229="","",IF(M229="OK","NONE",INDEX({"S1","S2","W1","W2","N1","N2"},MATCH(MIN(P229:U229),P229:U229,0))))</f>
        <v>N1</v>
      </c>
      <c r="W229" s="117">
        <f t="shared" si="30"/>
        <v>1</v>
      </c>
      <c r="X229" s="58"/>
    </row>
    <row r="230" spans="1:24">
      <c r="A230" s="115">
        <v>228</v>
      </c>
      <c r="B230" s="116">
        <v>8</v>
      </c>
      <c r="C230" s="81" t="s">
        <v>130</v>
      </c>
      <c r="D230" s="111" t="s">
        <v>240</v>
      </c>
      <c r="E230" s="81" t="s">
        <v>108</v>
      </c>
      <c r="F230" s="61">
        <v>7.77</v>
      </c>
      <c r="G230" s="52">
        <f t="shared" si="24"/>
        <v>8.74</v>
      </c>
      <c r="H230" s="110"/>
      <c r="I230" s="81">
        <v>9.91</v>
      </c>
      <c r="J230" s="81">
        <f>VLOOKUP(C230,Recipes!$A$2:$N$4,12,FALSE())</f>
        <v>5.0137397426368718E-2</v>
      </c>
      <c r="K230" s="81">
        <f t="shared" si="25"/>
        <v>9.7345191090077101</v>
      </c>
      <c r="L230" s="81">
        <f t="shared" si="26"/>
        <v>10.08548089099229</v>
      </c>
      <c r="M230" s="81" t="str">
        <f t="shared" si="27"/>
        <v>NG</v>
      </c>
      <c r="N230" s="117">
        <f t="shared" si="28"/>
        <v>1</v>
      </c>
      <c r="O230" s="81">
        <f t="shared" si="29"/>
        <v>1.17</v>
      </c>
      <c r="P230" s="81">
        <f>IF(G230="","",ABS(O230-Components!$C$2))</f>
        <v>1.5833333333333299</v>
      </c>
      <c r="Q230" s="81">
        <f>IF(G230="","",ABS(O230-Components!$C$3))</f>
        <v>2.8659999999999997</v>
      </c>
      <c r="R230" s="81">
        <f>IF(G230="","",ABS(O230-Components!$C$4))</f>
        <v>0.17666666666666697</v>
      </c>
      <c r="S230" s="81">
        <f>IF(G230="","",ABS(O230-Components!$C$5))</f>
        <v>3.3926666666666705</v>
      </c>
      <c r="T230" s="81">
        <f>IF(G230="","",ABS(O230-Components!$C$6))</f>
        <v>1.4333333333329978E-2</v>
      </c>
      <c r="U230" s="81">
        <f>IF(G230="","",ABS(O230-Components!$C$7))</f>
        <v>0.20433333333333015</v>
      </c>
      <c r="V230" s="81" t="str">
        <f>IF(G230="","",IF(M230="OK","NONE",INDEX({"S1","S2","W1","W2","N1","N2"},MATCH(MIN(P230:U230),P230:U230,0))))</f>
        <v>N1</v>
      </c>
      <c r="W230" s="117">
        <f t="shared" si="30"/>
        <v>1</v>
      </c>
      <c r="X230" s="58"/>
    </row>
    <row r="231" spans="1:24">
      <c r="A231" s="115">
        <v>229</v>
      </c>
      <c r="B231" s="116">
        <v>8</v>
      </c>
      <c r="C231" s="81" t="s">
        <v>130</v>
      </c>
      <c r="D231" s="111" t="s">
        <v>240</v>
      </c>
      <c r="E231" s="81" t="s">
        <v>108</v>
      </c>
      <c r="F231" s="61">
        <v>7.69</v>
      </c>
      <c r="G231" s="52">
        <f t="shared" si="24"/>
        <v>8.66</v>
      </c>
      <c r="H231" s="110"/>
      <c r="I231" s="81">
        <v>9.91</v>
      </c>
      <c r="J231" s="81">
        <f>VLOOKUP(C231,Recipes!$A$2:$N$4,12,FALSE())</f>
        <v>5.0137397426368718E-2</v>
      </c>
      <c r="K231" s="81">
        <f t="shared" si="25"/>
        <v>9.7345191090077101</v>
      </c>
      <c r="L231" s="81">
        <f t="shared" si="26"/>
        <v>10.08548089099229</v>
      </c>
      <c r="M231" s="81" t="str">
        <f t="shared" si="27"/>
        <v>NG</v>
      </c>
      <c r="N231" s="117">
        <f t="shared" si="28"/>
        <v>1</v>
      </c>
      <c r="O231" s="81">
        <f t="shared" si="29"/>
        <v>1.25</v>
      </c>
      <c r="P231" s="81">
        <f>IF(G231="","",ABS(O231-Components!$C$2))</f>
        <v>1.5033333333333299</v>
      </c>
      <c r="Q231" s="81">
        <f>IF(G231="","",ABS(O231-Components!$C$3))</f>
        <v>2.7859999999999996</v>
      </c>
      <c r="R231" s="81">
        <f>IF(G231="","",ABS(O231-Components!$C$4))</f>
        <v>0.25666666666666704</v>
      </c>
      <c r="S231" s="81">
        <f>IF(G231="","",ABS(O231-Components!$C$5))</f>
        <v>3.3126666666666704</v>
      </c>
      <c r="T231" s="81">
        <f>IF(G231="","",ABS(O231-Components!$C$6))</f>
        <v>9.4333333333330049E-2</v>
      </c>
      <c r="U231" s="81">
        <f>IF(G231="","",ABS(O231-Components!$C$7))</f>
        <v>0.12433333333333008</v>
      </c>
      <c r="V231" s="81" t="str">
        <f>IF(G231="","",IF(M231="OK","NONE",INDEX({"S1","S2","W1","W2","N1","N2"},MATCH(MIN(P231:U231),P231:U231,0))))</f>
        <v>N1</v>
      </c>
      <c r="W231" s="117">
        <f t="shared" si="30"/>
        <v>1</v>
      </c>
      <c r="X231" s="58"/>
    </row>
    <row r="232" spans="1:24">
      <c r="A232" s="115">
        <v>230</v>
      </c>
      <c r="B232" s="116">
        <v>8</v>
      </c>
      <c r="C232" s="61" t="s">
        <v>130</v>
      </c>
      <c r="D232" s="61" t="s">
        <v>240</v>
      </c>
      <c r="E232" s="61" t="s">
        <v>108</v>
      </c>
      <c r="F232" s="61">
        <v>7.77</v>
      </c>
      <c r="G232" s="52">
        <f t="shared" si="24"/>
        <v>8.74</v>
      </c>
      <c r="H232" s="110"/>
      <c r="I232" s="81">
        <v>9.91</v>
      </c>
      <c r="J232" s="81">
        <f>VLOOKUP(C232,Recipes!$A$2:$N$4,12,FALSE())</f>
        <v>5.0137397426368718E-2</v>
      </c>
      <c r="K232" s="81">
        <f t="shared" si="25"/>
        <v>9.7345191090077101</v>
      </c>
      <c r="L232" s="81">
        <f t="shared" si="26"/>
        <v>10.08548089099229</v>
      </c>
      <c r="M232" s="81" t="str">
        <f t="shared" si="27"/>
        <v>NG</v>
      </c>
      <c r="N232" s="117">
        <f t="shared" si="28"/>
        <v>1</v>
      </c>
      <c r="O232" s="81">
        <f t="shared" si="29"/>
        <v>1.17</v>
      </c>
      <c r="P232" s="81">
        <f>IF(G232="","",ABS(O232-Components!$C$2))</f>
        <v>1.5833333333333299</v>
      </c>
      <c r="Q232" s="81">
        <f>IF(G232="","",ABS(O232-Components!$C$3))</f>
        <v>2.8659999999999997</v>
      </c>
      <c r="R232" s="81">
        <f>IF(G232="","",ABS(O232-Components!$C$4))</f>
        <v>0.17666666666666697</v>
      </c>
      <c r="S232" s="81">
        <f>IF(G232="","",ABS(O232-Components!$C$5))</f>
        <v>3.3926666666666705</v>
      </c>
      <c r="T232" s="81">
        <f>IF(G232="","",ABS(O232-Components!$C$6))</f>
        <v>1.4333333333329978E-2</v>
      </c>
      <c r="U232" s="81">
        <f>IF(G232="","",ABS(O232-Components!$C$7))</f>
        <v>0.20433333333333015</v>
      </c>
      <c r="V232" s="81" t="str">
        <f>IF(G232="","",IF(M232="OK","NONE",INDEX({"S1","S2","W1","W2","N1","N2"},MATCH(MIN(P232:U232),P232:U232,0))))</f>
        <v>N1</v>
      </c>
      <c r="W232" s="117">
        <f t="shared" si="30"/>
        <v>1</v>
      </c>
      <c r="X232" s="58"/>
    </row>
    <row r="233" spans="1:24">
      <c r="A233" s="115">
        <v>231</v>
      </c>
      <c r="B233" s="116">
        <v>8</v>
      </c>
      <c r="C233" s="81" t="s">
        <v>130</v>
      </c>
      <c r="D233" s="111" t="s">
        <v>240</v>
      </c>
      <c r="E233" s="81" t="s">
        <v>108</v>
      </c>
      <c r="F233" s="61">
        <v>7.77</v>
      </c>
      <c r="G233" s="52">
        <f t="shared" si="24"/>
        <v>8.74</v>
      </c>
      <c r="H233" s="110"/>
      <c r="I233" s="81">
        <v>9.91</v>
      </c>
      <c r="J233" s="81">
        <f>VLOOKUP(C233,Recipes!$A$2:$N$4,12,FALSE())</f>
        <v>5.0137397426368718E-2</v>
      </c>
      <c r="K233" s="81">
        <f t="shared" si="25"/>
        <v>9.7345191090077101</v>
      </c>
      <c r="L233" s="81">
        <f t="shared" si="26"/>
        <v>10.08548089099229</v>
      </c>
      <c r="M233" s="81" t="str">
        <f t="shared" si="27"/>
        <v>NG</v>
      </c>
      <c r="N233" s="117">
        <f t="shared" si="28"/>
        <v>1</v>
      </c>
      <c r="O233" s="81">
        <f t="shared" si="29"/>
        <v>1.17</v>
      </c>
      <c r="P233" s="81">
        <f>IF(G233="","",ABS(O233-Components!$C$2))</f>
        <v>1.5833333333333299</v>
      </c>
      <c r="Q233" s="81">
        <f>IF(G233="","",ABS(O233-Components!$C$3))</f>
        <v>2.8659999999999997</v>
      </c>
      <c r="R233" s="81">
        <f>IF(G233="","",ABS(O233-Components!$C$4))</f>
        <v>0.17666666666666697</v>
      </c>
      <c r="S233" s="81">
        <f>IF(G233="","",ABS(O233-Components!$C$5))</f>
        <v>3.3926666666666705</v>
      </c>
      <c r="T233" s="81">
        <f>IF(G233="","",ABS(O233-Components!$C$6))</f>
        <v>1.4333333333329978E-2</v>
      </c>
      <c r="U233" s="81">
        <f>IF(G233="","",ABS(O233-Components!$C$7))</f>
        <v>0.20433333333333015</v>
      </c>
      <c r="V233" s="81" t="str">
        <f>IF(G233="","",IF(M233="OK","NONE",INDEX({"S1","S2","W1","W2","N1","N2"},MATCH(MIN(P233:U233),P233:U233,0))))</f>
        <v>N1</v>
      </c>
      <c r="W233" s="117">
        <f t="shared" si="30"/>
        <v>1</v>
      </c>
      <c r="X233" s="58"/>
    </row>
    <row r="234" spans="1:24">
      <c r="A234" s="115">
        <v>232</v>
      </c>
      <c r="B234" s="116">
        <v>8</v>
      </c>
      <c r="C234" s="81" t="s">
        <v>130</v>
      </c>
      <c r="D234" s="111" t="s">
        <v>240</v>
      </c>
      <c r="E234" s="81" t="s">
        <v>108</v>
      </c>
      <c r="F234" s="61">
        <v>7.78</v>
      </c>
      <c r="G234" s="52">
        <f t="shared" si="24"/>
        <v>8.75</v>
      </c>
      <c r="H234" s="110"/>
      <c r="I234" s="81">
        <v>9.91</v>
      </c>
      <c r="J234" s="81">
        <f>VLOOKUP(C234,Recipes!$A$2:$N$4,12,FALSE())</f>
        <v>5.0137397426368718E-2</v>
      </c>
      <c r="K234" s="81">
        <f t="shared" si="25"/>
        <v>9.7345191090077101</v>
      </c>
      <c r="L234" s="81">
        <f t="shared" si="26"/>
        <v>10.08548089099229</v>
      </c>
      <c r="M234" s="81" t="str">
        <f t="shared" si="27"/>
        <v>NG</v>
      </c>
      <c r="N234" s="117">
        <f t="shared" si="28"/>
        <v>1</v>
      </c>
      <c r="O234" s="81">
        <f t="shared" si="29"/>
        <v>1.1600000000000001</v>
      </c>
      <c r="P234" s="81">
        <f>IF(G234="","",ABS(O234-Components!$C$2))</f>
        <v>1.5933333333333297</v>
      </c>
      <c r="Q234" s="81">
        <f>IF(G234="","",ABS(O234-Components!$C$3))</f>
        <v>2.8759999999999994</v>
      </c>
      <c r="R234" s="81">
        <f>IF(G234="","",ABS(O234-Components!$C$4))</f>
        <v>0.16666666666666718</v>
      </c>
      <c r="S234" s="81">
        <f>IF(G234="","",ABS(O234-Components!$C$5))</f>
        <v>3.4026666666666703</v>
      </c>
      <c r="T234" s="81">
        <f>IF(G234="","",ABS(O234-Components!$C$6))</f>
        <v>4.3333333333301916E-3</v>
      </c>
      <c r="U234" s="81">
        <f>IF(G234="","",ABS(O234-Components!$C$7))</f>
        <v>0.21433333333332993</v>
      </c>
      <c r="V234" s="81" t="str">
        <f>IF(G234="","",IF(M234="OK","NONE",INDEX({"S1","S2","W1","W2","N1","N2"},MATCH(MIN(P234:U234),P234:U234,0))))</f>
        <v>N1</v>
      </c>
      <c r="W234" s="117">
        <f t="shared" si="30"/>
        <v>1</v>
      </c>
      <c r="X234" s="58"/>
    </row>
    <row r="235" spans="1:24">
      <c r="A235" s="115">
        <v>233</v>
      </c>
      <c r="B235" s="116">
        <v>8</v>
      </c>
      <c r="C235" s="81" t="s">
        <v>130</v>
      </c>
      <c r="D235" s="111" t="s">
        <v>240</v>
      </c>
      <c r="E235" s="81" t="s">
        <v>108</v>
      </c>
      <c r="F235" s="61">
        <v>7.76</v>
      </c>
      <c r="G235" s="52">
        <f t="shared" si="24"/>
        <v>8.73</v>
      </c>
      <c r="H235" s="110"/>
      <c r="I235" s="81">
        <v>9.91</v>
      </c>
      <c r="J235" s="81">
        <f>VLOOKUP(C235,Recipes!$A$2:$N$4,12,FALSE())</f>
        <v>5.0137397426368718E-2</v>
      </c>
      <c r="K235" s="81">
        <f t="shared" si="25"/>
        <v>9.7345191090077101</v>
      </c>
      <c r="L235" s="81">
        <f t="shared" si="26"/>
        <v>10.08548089099229</v>
      </c>
      <c r="M235" s="81" t="str">
        <f t="shared" si="27"/>
        <v>NG</v>
      </c>
      <c r="N235" s="117">
        <f t="shared" si="28"/>
        <v>1</v>
      </c>
      <c r="O235" s="81">
        <f t="shared" si="29"/>
        <v>1.1799999999999997</v>
      </c>
      <c r="P235" s="81">
        <f>IF(G235="","",ABS(O235-Components!$C$2))</f>
        <v>1.5733333333333301</v>
      </c>
      <c r="Q235" s="81">
        <f>IF(G235="","",ABS(O235-Components!$C$3))</f>
        <v>2.8559999999999999</v>
      </c>
      <c r="R235" s="81">
        <f>IF(G235="","",ABS(O235-Components!$C$4))</f>
        <v>0.18666666666666676</v>
      </c>
      <c r="S235" s="81">
        <f>IF(G235="","",ABS(O235-Components!$C$5))</f>
        <v>3.3826666666666707</v>
      </c>
      <c r="T235" s="81">
        <f>IF(G235="","",ABS(O235-Components!$C$6))</f>
        <v>2.4333333333329765E-2</v>
      </c>
      <c r="U235" s="81">
        <f>IF(G235="","",ABS(O235-Components!$C$7))</f>
        <v>0.19433333333333036</v>
      </c>
      <c r="V235" s="81" t="str">
        <f>IF(G235="","",IF(M235="OK","NONE",INDEX({"S1","S2","W1","W2","N1","N2"},MATCH(MIN(P235:U235),P235:U235,0))))</f>
        <v>N1</v>
      </c>
      <c r="W235" s="117">
        <f t="shared" si="30"/>
        <v>1</v>
      </c>
      <c r="X235" s="58"/>
    </row>
    <row r="236" spans="1:24">
      <c r="A236" s="115">
        <v>234</v>
      </c>
      <c r="B236" s="116">
        <v>8</v>
      </c>
      <c r="C236" s="81" t="s">
        <v>130</v>
      </c>
      <c r="D236" s="111" t="s">
        <v>240</v>
      </c>
      <c r="E236" s="81" t="s">
        <v>108</v>
      </c>
      <c r="F236" s="61">
        <v>7.77</v>
      </c>
      <c r="G236" s="52">
        <f t="shared" si="24"/>
        <v>8.74</v>
      </c>
      <c r="H236" s="110"/>
      <c r="I236" s="81">
        <v>9.91</v>
      </c>
      <c r="J236" s="81">
        <f>VLOOKUP(C236,Recipes!$A$2:$N$4,12,FALSE())</f>
        <v>5.0137397426368718E-2</v>
      </c>
      <c r="K236" s="81">
        <f t="shared" si="25"/>
        <v>9.7345191090077101</v>
      </c>
      <c r="L236" s="81">
        <f t="shared" si="26"/>
        <v>10.08548089099229</v>
      </c>
      <c r="M236" s="81" t="str">
        <f t="shared" si="27"/>
        <v>NG</v>
      </c>
      <c r="N236" s="117">
        <f t="shared" si="28"/>
        <v>1</v>
      </c>
      <c r="O236" s="81">
        <f t="shared" si="29"/>
        <v>1.17</v>
      </c>
      <c r="P236" s="81">
        <f>IF(G236="","",ABS(O236-Components!$C$2))</f>
        <v>1.5833333333333299</v>
      </c>
      <c r="Q236" s="81">
        <f>IF(G236="","",ABS(O236-Components!$C$3))</f>
        <v>2.8659999999999997</v>
      </c>
      <c r="R236" s="81">
        <f>IF(G236="","",ABS(O236-Components!$C$4))</f>
        <v>0.17666666666666697</v>
      </c>
      <c r="S236" s="81">
        <f>IF(G236="","",ABS(O236-Components!$C$5))</f>
        <v>3.3926666666666705</v>
      </c>
      <c r="T236" s="81">
        <f>IF(G236="","",ABS(O236-Components!$C$6))</f>
        <v>1.4333333333329978E-2</v>
      </c>
      <c r="U236" s="81">
        <f>IF(G236="","",ABS(O236-Components!$C$7))</f>
        <v>0.20433333333333015</v>
      </c>
      <c r="V236" s="81" t="str">
        <f>IF(G236="","",IF(M236="OK","NONE",INDEX({"S1","S2","W1","W2","N1","N2"},MATCH(MIN(P236:U236),P236:U236,0))))</f>
        <v>N1</v>
      </c>
      <c r="W236" s="117">
        <f t="shared" si="30"/>
        <v>1</v>
      </c>
      <c r="X236" s="58"/>
    </row>
    <row r="237" spans="1:24">
      <c r="A237" s="115">
        <v>235</v>
      </c>
      <c r="B237" s="116">
        <v>8</v>
      </c>
      <c r="C237" s="61" t="s">
        <v>130</v>
      </c>
      <c r="D237" s="61" t="s">
        <v>240</v>
      </c>
      <c r="E237" s="61" t="s">
        <v>108</v>
      </c>
      <c r="F237" s="61">
        <v>7.71</v>
      </c>
      <c r="G237" s="52">
        <f t="shared" si="24"/>
        <v>8.68</v>
      </c>
      <c r="H237" s="110"/>
      <c r="I237" s="81">
        <v>9.91</v>
      </c>
      <c r="J237" s="81">
        <f>VLOOKUP(C237,Recipes!$A$2:$N$4,12,FALSE())</f>
        <v>5.0137397426368718E-2</v>
      </c>
      <c r="K237" s="81">
        <f t="shared" si="25"/>
        <v>9.7345191090077101</v>
      </c>
      <c r="L237" s="81">
        <f t="shared" si="26"/>
        <v>10.08548089099229</v>
      </c>
      <c r="M237" s="81" t="str">
        <f t="shared" si="27"/>
        <v>NG</v>
      </c>
      <c r="N237" s="117">
        <f t="shared" si="28"/>
        <v>1</v>
      </c>
      <c r="O237" s="81">
        <f t="shared" si="29"/>
        <v>1.2300000000000004</v>
      </c>
      <c r="P237" s="81">
        <f>IF(G237="","",ABS(O237-Components!$C$2))</f>
        <v>1.5233333333333294</v>
      </c>
      <c r="Q237" s="81">
        <f>IF(G237="","",ABS(O237-Components!$C$3))</f>
        <v>2.8059999999999992</v>
      </c>
      <c r="R237" s="81">
        <f>IF(G237="","",ABS(O237-Components!$C$4))</f>
        <v>0.23666666666666747</v>
      </c>
      <c r="S237" s="81">
        <f>IF(G237="","",ABS(O237-Components!$C$5))</f>
        <v>3.33266666666667</v>
      </c>
      <c r="T237" s="81">
        <f>IF(G237="","",ABS(O237-Components!$C$6))</f>
        <v>7.4333333333330476E-2</v>
      </c>
      <c r="U237" s="81">
        <f>IF(G237="","",ABS(O237-Components!$C$7))</f>
        <v>0.14433333333332965</v>
      </c>
      <c r="V237" s="81" t="str">
        <f>IF(G237="","",IF(M237="OK","NONE",INDEX({"S1","S2","W1","W2","N1","N2"},MATCH(MIN(P237:U237),P237:U237,0))))</f>
        <v>N1</v>
      </c>
      <c r="W237" s="117">
        <f t="shared" si="30"/>
        <v>1</v>
      </c>
      <c r="X237" s="58"/>
    </row>
    <row r="238" spans="1:24">
      <c r="A238" s="115">
        <v>236</v>
      </c>
      <c r="B238" s="116">
        <v>8</v>
      </c>
      <c r="C238" s="81" t="s">
        <v>130</v>
      </c>
      <c r="D238" s="111" t="s">
        <v>240</v>
      </c>
      <c r="E238" s="81" t="s">
        <v>108</v>
      </c>
      <c r="F238" s="52">
        <v>7.78</v>
      </c>
      <c r="G238" s="52">
        <f t="shared" si="24"/>
        <v>8.75</v>
      </c>
      <c r="H238" s="110"/>
      <c r="I238" s="81">
        <v>9.91</v>
      </c>
      <c r="J238" s="81">
        <f>VLOOKUP(C238,Recipes!$A$2:$N$4,12,FALSE())</f>
        <v>5.0137397426368718E-2</v>
      </c>
      <c r="K238" s="81">
        <f t="shared" si="25"/>
        <v>9.7345191090077101</v>
      </c>
      <c r="L238" s="81">
        <f t="shared" si="26"/>
        <v>10.08548089099229</v>
      </c>
      <c r="M238" s="81" t="str">
        <f t="shared" si="27"/>
        <v>NG</v>
      </c>
      <c r="N238" s="117">
        <f t="shared" si="28"/>
        <v>1</v>
      </c>
      <c r="O238" s="81">
        <f t="shared" si="29"/>
        <v>1.1600000000000001</v>
      </c>
      <c r="P238" s="81">
        <f>IF(G238="","",ABS(O238-Components!$C$2))</f>
        <v>1.5933333333333297</v>
      </c>
      <c r="Q238" s="81">
        <f>IF(G238="","",ABS(O238-Components!$C$3))</f>
        <v>2.8759999999999994</v>
      </c>
      <c r="R238" s="81">
        <f>IF(G238="","",ABS(O238-Components!$C$4))</f>
        <v>0.16666666666666718</v>
      </c>
      <c r="S238" s="81">
        <f>IF(G238="","",ABS(O238-Components!$C$5))</f>
        <v>3.4026666666666703</v>
      </c>
      <c r="T238" s="81">
        <f>IF(G238="","",ABS(O238-Components!$C$6))</f>
        <v>4.3333333333301916E-3</v>
      </c>
      <c r="U238" s="81">
        <f>IF(G238="","",ABS(O238-Components!$C$7))</f>
        <v>0.21433333333332993</v>
      </c>
      <c r="V238" s="81" t="str">
        <f>IF(G238="","",IF(M238="OK","NONE",INDEX({"S1","S2","W1","W2","N1","N2"},MATCH(MIN(P238:U238),P238:U238,0))))</f>
        <v>N1</v>
      </c>
      <c r="W238" s="117">
        <f t="shared" si="30"/>
        <v>1</v>
      </c>
      <c r="X238" s="58"/>
    </row>
    <row r="239" spans="1:24">
      <c r="A239" s="115">
        <v>237</v>
      </c>
      <c r="B239" s="116">
        <v>8</v>
      </c>
      <c r="C239" s="81" t="s">
        <v>130</v>
      </c>
      <c r="D239" s="111" t="s">
        <v>240</v>
      </c>
      <c r="E239" s="81" t="s">
        <v>108</v>
      </c>
      <c r="F239" s="52">
        <v>7.79</v>
      </c>
      <c r="G239" s="52">
        <f t="shared" si="24"/>
        <v>8.76</v>
      </c>
      <c r="H239" s="110"/>
      <c r="I239" s="81">
        <v>9.91</v>
      </c>
      <c r="J239" s="81">
        <f>VLOOKUP(C239,Recipes!$A$2:$N$4,12,FALSE())</f>
        <v>5.0137397426368718E-2</v>
      </c>
      <c r="K239" s="81">
        <f t="shared" si="25"/>
        <v>9.7345191090077101</v>
      </c>
      <c r="L239" s="81">
        <f t="shared" si="26"/>
        <v>10.08548089099229</v>
      </c>
      <c r="M239" s="81" t="str">
        <f t="shared" si="27"/>
        <v>NG</v>
      </c>
      <c r="N239" s="117">
        <f t="shared" si="28"/>
        <v>1</v>
      </c>
      <c r="O239" s="81">
        <f t="shared" si="29"/>
        <v>1.1500000000000004</v>
      </c>
      <c r="P239" s="81">
        <f>IF(G239="","",ABS(O239-Components!$C$2))</f>
        <v>1.6033333333333295</v>
      </c>
      <c r="Q239" s="81">
        <f>IF(G239="","",ABS(O239-Components!$C$3))</f>
        <v>2.8859999999999992</v>
      </c>
      <c r="R239" s="81">
        <f>IF(G239="","",ABS(O239-Components!$C$4))</f>
        <v>0.1566666666666674</v>
      </c>
      <c r="S239" s="81">
        <f>IF(G239="","",ABS(O239-Components!$C$5))</f>
        <v>3.4126666666666701</v>
      </c>
      <c r="T239" s="81">
        <f>IF(G239="","",ABS(O239-Components!$C$6))</f>
        <v>5.6666666666695953E-3</v>
      </c>
      <c r="U239" s="81">
        <f>IF(G239="","",ABS(O239-Components!$C$7))</f>
        <v>0.22433333333332972</v>
      </c>
      <c r="V239" s="81" t="str">
        <f>IF(G239="","",IF(M239="OK","NONE",INDEX({"S1","S2","W1","W2","N1","N2"},MATCH(MIN(P239:U239),P239:U239,0))))</f>
        <v>N1</v>
      </c>
      <c r="W239" s="117">
        <f t="shared" si="30"/>
        <v>1</v>
      </c>
      <c r="X239" s="58"/>
    </row>
    <row r="240" spans="1:24">
      <c r="A240" s="115">
        <v>238</v>
      </c>
      <c r="B240" s="116">
        <v>8</v>
      </c>
      <c r="C240" s="81" t="s">
        <v>130</v>
      </c>
      <c r="D240" s="111" t="s">
        <v>240</v>
      </c>
      <c r="E240" s="81" t="s">
        <v>108</v>
      </c>
      <c r="F240" s="52">
        <v>7.78</v>
      </c>
      <c r="G240" s="52">
        <f t="shared" si="24"/>
        <v>8.75</v>
      </c>
      <c r="H240" s="110"/>
      <c r="I240" s="81">
        <v>9.91</v>
      </c>
      <c r="J240" s="81">
        <f>VLOOKUP(C240,Recipes!$A$2:$N$4,12,FALSE())</f>
        <v>5.0137397426368718E-2</v>
      </c>
      <c r="K240" s="81">
        <f t="shared" si="25"/>
        <v>9.7345191090077101</v>
      </c>
      <c r="L240" s="81">
        <f t="shared" si="26"/>
        <v>10.08548089099229</v>
      </c>
      <c r="M240" s="81" t="str">
        <f t="shared" si="27"/>
        <v>NG</v>
      </c>
      <c r="N240" s="117">
        <f t="shared" si="28"/>
        <v>1</v>
      </c>
      <c r="O240" s="81">
        <f t="shared" si="29"/>
        <v>1.1600000000000001</v>
      </c>
      <c r="P240" s="81">
        <f>IF(G240="","",ABS(O240-Components!$C$2))</f>
        <v>1.5933333333333297</v>
      </c>
      <c r="Q240" s="81">
        <f>IF(G240="","",ABS(O240-Components!$C$3))</f>
        <v>2.8759999999999994</v>
      </c>
      <c r="R240" s="81">
        <f>IF(G240="","",ABS(O240-Components!$C$4))</f>
        <v>0.16666666666666718</v>
      </c>
      <c r="S240" s="81">
        <f>IF(G240="","",ABS(O240-Components!$C$5))</f>
        <v>3.4026666666666703</v>
      </c>
      <c r="T240" s="81">
        <f>IF(G240="","",ABS(O240-Components!$C$6))</f>
        <v>4.3333333333301916E-3</v>
      </c>
      <c r="U240" s="81">
        <f>IF(G240="","",ABS(O240-Components!$C$7))</f>
        <v>0.21433333333332993</v>
      </c>
      <c r="V240" s="81" t="str">
        <f>IF(G240="","",IF(M240="OK","NONE",INDEX({"S1","S2","W1","W2","N1","N2"},MATCH(MIN(P240:U240),P240:U240,0))))</f>
        <v>N1</v>
      </c>
      <c r="W240" s="117">
        <f t="shared" si="30"/>
        <v>1</v>
      </c>
      <c r="X240" s="58"/>
    </row>
    <row r="241" spans="1:24">
      <c r="A241" s="115">
        <v>239</v>
      </c>
      <c r="B241" s="116">
        <v>8</v>
      </c>
      <c r="C241" s="81" t="s">
        <v>130</v>
      </c>
      <c r="D241" s="111" t="s">
        <v>240</v>
      </c>
      <c r="E241" s="81" t="s">
        <v>108</v>
      </c>
      <c r="F241" s="52">
        <v>7.78</v>
      </c>
      <c r="G241" s="52">
        <f t="shared" si="24"/>
        <v>8.75</v>
      </c>
      <c r="H241" s="110"/>
      <c r="I241" s="81">
        <v>9.91</v>
      </c>
      <c r="J241" s="81">
        <f>VLOOKUP(C241,Recipes!$A$2:$N$4,12,FALSE())</f>
        <v>5.0137397426368718E-2</v>
      </c>
      <c r="K241" s="81">
        <f t="shared" si="25"/>
        <v>9.7345191090077101</v>
      </c>
      <c r="L241" s="81">
        <f t="shared" si="26"/>
        <v>10.08548089099229</v>
      </c>
      <c r="M241" s="81" t="str">
        <f t="shared" si="27"/>
        <v>NG</v>
      </c>
      <c r="N241" s="117">
        <f t="shared" si="28"/>
        <v>1</v>
      </c>
      <c r="O241" s="81">
        <f t="shared" si="29"/>
        <v>1.1600000000000001</v>
      </c>
      <c r="P241" s="81">
        <f>IF(G241="","",ABS(O241-Components!$C$2))</f>
        <v>1.5933333333333297</v>
      </c>
      <c r="Q241" s="81">
        <f>IF(G241="","",ABS(O241-Components!$C$3))</f>
        <v>2.8759999999999994</v>
      </c>
      <c r="R241" s="81">
        <f>IF(G241="","",ABS(O241-Components!$C$4))</f>
        <v>0.16666666666666718</v>
      </c>
      <c r="S241" s="81">
        <f>IF(G241="","",ABS(O241-Components!$C$5))</f>
        <v>3.4026666666666703</v>
      </c>
      <c r="T241" s="81">
        <f>IF(G241="","",ABS(O241-Components!$C$6))</f>
        <v>4.3333333333301916E-3</v>
      </c>
      <c r="U241" s="81">
        <f>IF(G241="","",ABS(O241-Components!$C$7))</f>
        <v>0.21433333333332993</v>
      </c>
      <c r="V241" s="81" t="str">
        <f>IF(G241="","",IF(M241="OK","NONE",INDEX({"S1","S2","W1","W2","N1","N2"},MATCH(MIN(P241:U241),P241:U241,0))))</f>
        <v>N1</v>
      </c>
      <c r="W241" s="117">
        <f t="shared" si="30"/>
        <v>1</v>
      </c>
      <c r="X241" s="58"/>
    </row>
    <row r="242" spans="1:24">
      <c r="A242" s="115">
        <v>240</v>
      </c>
      <c r="B242" s="116">
        <v>8</v>
      </c>
      <c r="C242" s="61" t="s">
        <v>130</v>
      </c>
      <c r="D242" s="61" t="s">
        <v>240</v>
      </c>
      <c r="E242" s="61" t="s">
        <v>108</v>
      </c>
      <c r="F242" s="52">
        <v>7.79</v>
      </c>
      <c r="G242" s="52">
        <f t="shared" si="24"/>
        <v>8.76</v>
      </c>
      <c r="H242" s="110"/>
      <c r="I242" s="81">
        <v>9.91</v>
      </c>
      <c r="J242" s="81">
        <f>VLOOKUP(C242,Recipes!$A$2:$N$4,12,FALSE())</f>
        <v>5.0137397426368718E-2</v>
      </c>
      <c r="K242" s="81">
        <f t="shared" si="25"/>
        <v>9.7345191090077101</v>
      </c>
      <c r="L242" s="81">
        <f t="shared" si="26"/>
        <v>10.08548089099229</v>
      </c>
      <c r="M242" s="81" t="str">
        <f t="shared" si="27"/>
        <v>NG</v>
      </c>
      <c r="N242" s="117">
        <f t="shared" si="28"/>
        <v>1</v>
      </c>
      <c r="O242" s="81">
        <f t="shared" si="29"/>
        <v>1.1500000000000004</v>
      </c>
      <c r="P242" s="81">
        <f>IF(G242="","",ABS(O242-Components!$C$2))</f>
        <v>1.6033333333333295</v>
      </c>
      <c r="Q242" s="81">
        <f>IF(G242="","",ABS(O242-Components!$C$3))</f>
        <v>2.8859999999999992</v>
      </c>
      <c r="R242" s="81">
        <f>IF(G242="","",ABS(O242-Components!$C$4))</f>
        <v>0.1566666666666674</v>
      </c>
      <c r="S242" s="81">
        <f>IF(G242="","",ABS(O242-Components!$C$5))</f>
        <v>3.4126666666666701</v>
      </c>
      <c r="T242" s="81">
        <f>IF(G242="","",ABS(O242-Components!$C$6))</f>
        <v>5.6666666666695953E-3</v>
      </c>
      <c r="U242" s="81">
        <f>IF(G242="","",ABS(O242-Components!$C$7))</f>
        <v>0.22433333333332972</v>
      </c>
      <c r="V242" s="81" t="str">
        <f>IF(G242="","",IF(M242="OK","NONE",INDEX({"S1","S2","W1","W2","N1","N2"},MATCH(MIN(P242:U242),P242:U242,0))))</f>
        <v>N1</v>
      </c>
      <c r="W242" s="117">
        <f t="shared" si="30"/>
        <v>1</v>
      </c>
      <c r="X242" s="58"/>
    </row>
    <row r="243" spans="1:24">
      <c r="A243" s="115">
        <v>241</v>
      </c>
      <c r="B243" s="116">
        <v>9</v>
      </c>
      <c r="C243" s="81" t="s">
        <v>130</v>
      </c>
      <c r="D243" s="111" t="s">
        <v>240</v>
      </c>
      <c r="E243" s="81" t="s">
        <v>102</v>
      </c>
      <c r="F243" s="61">
        <v>4.9400000000000004</v>
      </c>
      <c r="G243" s="52">
        <f t="shared" si="24"/>
        <v>5.91</v>
      </c>
      <c r="H243" s="110"/>
      <c r="I243" s="81">
        <v>9.91</v>
      </c>
      <c r="J243" s="81">
        <f>VLOOKUP(C243,Recipes!$A$2:$N$4,12,FALSE())</f>
        <v>5.0137397426368718E-2</v>
      </c>
      <c r="K243" s="81">
        <f t="shared" si="25"/>
        <v>9.7345191090077101</v>
      </c>
      <c r="L243" s="81">
        <f t="shared" si="26"/>
        <v>10.08548089099229</v>
      </c>
      <c r="M243" s="81" t="str">
        <f t="shared" si="27"/>
        <v>NG</v>
      </c>
      <c r="N243" s="117">
        <f t="shared" si="28"/>
        <v>1</v>
      </c>
      <c r="O243" s="81">
        <f t="shared" si="29"/>
        <v>4</v>
      </c>
      <c r="P243" s="81">
        <f>IF(G243="","",ABS(O243-Components!$C$2))</f>
        <v>1.2466666666666701</v>
      </c>
      <c r="Q243" s="81">
        <f>IF(G243="","",ABS(O243-Components!$C$3))</f>
        <v>3.5999999999999588E-2</v>
      </c>
      <c r="R243" s="81">
        <f>IF(G243="","",ABS(O243-Components!$C$4))</f>
        <v>3.0066666666666668</v>
      </c>
      <c r="S243" s="81">
        <f>IF(G243="","",ABS(O243-Components!$C$5))</f>
        <v>0.56266666666667042</v>
      </c>
      <c r="T243" s="81">
        <f>IF(G243="","",ABS(O243-Components!$C$6))</f>
        <v>2.84433333333333</v>
      </c>
      <c r="U243" s="81">
        <f>IF(G243="","",ABS(O243-Components!$C$7))</f>
        <v>2.6256666666666701</v>
      </c>
      <c r="V243" s="81" t="str">
        <f>IF(G243="","",IF(M243="OK","NONE",INDEX({"S1","S2","W1","W2","N1","N2"},MATCH(MIN(P243:U243),P243:U243,0))))</f>
        <v>S2</v>
      </c>
      <c r="W243" s="117">
        <f t="shared" si="30"/>
        <v>1</v>
      </c>
      <c r="X243" s="58"/>
    </row>
    <row r="244" spans="1:24">
      <c r="A244" s="115">
        <v>242</v>
      </c>
      <c r="B244" s="116">
        <v>9</v>
      </c>
      <c r="C244" s="81" t="s">
        <v>130</v>
      </c>
      <c r="D244" s="111" t="s">
        <v>240</v>
      </c>
      <c r="E244" s="81" t="s">
        <v>102</v>
      </c>
      <c r="F244" s="61">
        <v>4.91</v>
      </c>
      <c r="G244" s="52">
        <f t="shared" si="24"/>
        <v>5.88</v>
      </c>
      <c r="H244" s="110"/>
      <c r="I244" s="81">
        <v>9.91</v>
      </c>
      <c r="J244" s="81">
        <f>VLOOKUP(C244,Recipes!$A$2:$N$4,12,FALSE())</f>
        <v>5.0137397426368718E-2</v>
      </c>
      <c r="K244" s="81">
        <f t="shared" si="25"/>
        <v>9.7345191090077101</v>
      </c>
      <c r="L244" s="81">
        <f t="shared" si="26"/>
        <v>10.08548089099229</v>
      </c>
      <c r="M244" s="81" t="str">
        <f t="shared" si="27"/>
        <v>NG</v>
      </c>
      <c r="N244" s="117">
        <f t="shared" si="28"/>
        <v>1</v>
      </c>
      <c r="O244" s="81">
        <f t="shared" si="29"/>
        <v>4.03</v>
      </c>
      <c r="P244" s="81">
        <f>IF(G244="","",ABS(O244-Components!$C$2))</f>
        <v>1.2766666666666704</v>
      </c>
      <c r="Q244" s="81">
        <f>IF(G244="","",ABS(O244-Components!$C$3))</f>
        <v>5.9999999999993392E-3</v>
      </c>
      <c r="R244" s="81">
        <f>IF(G244="","",ABS(O244-Components!$C$4))</f>
        <v>3.0366666666666671</v>
      </c>
      <c r="S244" s="81">
        <f>IF(G244="","",ABS(O244-Components!$C$5))</f>
        <v>0.53266666666667017</v>
      </c>
      <c r="T244" s="81">
        <f>IF(G244="","",ABS(O244-Components!$C$6))</f>
        <v>2.8743333333333303</v>
      </c>
      <c r="U244" s="81">
        <f>IF(G244="","",ABS(O244-Components!$C$7))</f>
        <v>2.6556666666666704</v>
      </c>
      <c r="V244" s="81" t="str">
        <f>IF(G244="","",IF(M244="OK","NONE",INDEX({"S1","S2","W1","W2","N1","N2"},MATCH(MIN(P244:U244),P244:U244,0))))</f>
        <v>S2</v>
      </c>
      <c r="W244" s="117">
        <f t="shared" si="30"/>
        <v>1</v>
      </c>
      <c r="X244" s="58"/>
    </row>
    <row r="245" spans="1:24">
      <c r="A245" s="115">
        <v>243</v>
      </c>
      <c r="B245" s="116">
        <v>9</v>
      </c>
      <c r="C245" s="81" t="s">
        <v>130</v>
      </c>
      <c r="D245" s="111" t="s">
        <v>240</v>
      </c>
      <c r="E245" s="81" t="s">
        <v>102</v>
      </c>
      <c r="F245" s="61">
        <v>4.8099999999999996</v>
      </c>
      <c r="G245" s="52">
        <f t="shared" si="24"/>
        <v>5.7799999999999994</v>
      </c>
      <c r="H245" s="110"/>
      <c r="I245" s="81">
        <v>9.91</v>
      </c>
      <c r="J245" s="81">
        <f>VLOOKUP(C245,Recipes!$A$2:$N$4,12,FALSE())</f>
        <v>5.0137397426368718E-2</v>
      </c>
      <c r="K245" s="81">
        <f t="shared" si="25"/>
        <v>9.7345191090077101</v>
      </c>
      <c r="L245" s="81">
        <f t="shared" si="26"/>
        <v>10.08548089099229</v>
      </c>
      <c r="M245" s="81" t="str">
        <f t="shared" si="27"/>
        <v>NG</v>
      </c>
      <c r="N245" s="117">
        <f t="shared" si="28"/>
        <v>1</v>
      </c>
      <c r="O245" s="81">
        <f t="shared" si="29"/>
        <v>4.1300000000000008</v>
      </c>
      <c r="P245" s="81">
        <f>IF(G245="","",ABS(O245-Components!$C$2))</f>
        <v>1.3766666666666709</v>
      </c>
      <c r="Q245" s="81">
        <f>IF(G245="","",ABS(O245-Components!$C$3))</f>
        <v>9.4000000000001194E-2</v>
      </c>
      <c r="R245" s="81">
        <f>IF(G245="","",ABS(O245-Components!$C$4))</f>
        <v>3.1366666666666676</v>
      </c>
      <c r="S245" s="81">
        <f>IF(G245="","",ABS(O245-Components!$C$5))</f>
        <v>0.43266666666666964</v>
      </c>
      <c r="T245" s="81">
        <f>IF(G245="","",ABS(O245-Components!$C$6))</f>
        <v>2.9743333333333308</v>
      </c>
      <c r="U245" s="81">
        <f>IF(G245="","",ABS(O245-Components!$C$7))</f>
        <v>2.7556666666666709</v>
      </c>
      <c r="V245" s="81" t="str">
        <f>IF(G245="","",IF(M245="OK","NONE",INDEX({"S1","S2","W1","W2","N1","N2"},MATCH(MIN(P245:U245),P245:U245,0))))</f>
        <v>S2</v>
      </c>
      <c r="W245" s="117">
        <f t="shared" si="30"/>
        <v>1</v>
      </c>
      <c r="X245" s="58"/>
    </row>
    <row r="246" spans="1:24">
      <c r="A246" s="115">
        <v>244</v>
      </c>
      <c r="B246" s="116">
        <v>9</v>
      </c>
      <c r="C246" s="61" t="s">
        <v>130</v>
      </c>
      <c r="D246" s="61" t="s">
        <v>240</v>
      </c>
      <c r="E246" s="61" t="s">
        <v>102</v>
      </c>
      <c r="F246" s="61">
        <v>4.92</v>
      </c>
      <c r="G246" s="52">
        <f t="shared" si="24"/>
        <v>5.89</v>
      </c>
      <c r="H246" s="110"/>
      <c r="I246" s="81">
        <v>9.91</v>
      </c>
      <c r="J246" s="81">
        <f>VLOOKUP(C246,Recipes!$A$2:$N$4,12,FALSE())</f>
        <v>5.0137397426368718E-2</v>
      </c>
      <c r="K246" s="81">
        <f t="shared" si="25"/>
        <v>9.7345191090077101</v>
      </c>
      <c r="L246" s="81">
        <f t="shared" si="26"/>
        <v>10.08548089099229</v>
      </c>
      <c r="M246" s="81" t="str">
        <f t="shared" si="27"/>
        <v>NG</v>
      </c>
      <c r="N246" s="117">
        <f t="shared" si="28"/>
        <v>1</v>
      </c>
      <c r="O246" s="81">
        <f t="shared" si="29"/>
        <v>4.0200000000000005</v>
      </c>
      <c r="P246" s="81">
        <f>IF(G246="","",ABS(O246-Components!$C$2))</f>
        <v>1.2666666666666706</v>
      </c>
      <c r="Q246" s="81">
        <f>IF(G246="","",ABS(O246-Components!$C$3))</f>
        <v>1.5999999999999126E-2</v>
      </c>
      <c r="R246" s="81">
        <f>IF(G246="","",ABS(O246-Components!$C$4))</f>
        <v>3.0266666666666673</v>
      </c>
      <c r="S246" s="81">
        <f>IF(G246="","",ABS(O246-Components!$C$5))</f>
        <v>0.54266666666666996</v>
      </c>
      <c r="T246" s="81">
        <f>IF(G246="","",ABS(O246-Components!$C$6))</f>
        <v>2.8643333333333305</v>
      </c>
      <c r="U246" s="81">
        <f>IF(G246="","",ABS(O246-Components!$C$7))</f>
        <v>2.6456666666666706</v>
      </c>
      <c r="V246" s="81" t="str">
        <f>IF(G246="","",IF(M246="OK","NONE",INDEX({"S1","S2","W1","W2","N1","N2"},MATCH(MIN(P246:U246),P246:U246,0))))</f>
        <v>S2</v>
      </c>
      <c r="W246" s="117">
        <f t="shared" si="30"/>
        <v>1</v>
      </c>
      <c r="X246" s="58"/>
    </row>
    <row r="247" spans="1:24">
      <c r="A247" s="115">
        <v>245</v>
      </c>
      <c r="B247" s="116">
        <v>9</v>
      </c>
      <c r="C247" s="61" t="s">
        <v>130</v>
      </c>
      <c r="D247" s="61" t="s">
        <v>240</v>
      </c>
      <c r="E247" s="61" t="s">
        <v>102</v>
      </c>
      <c r="F247" s="61">
        <v>4.87</v>
      </c>
      <c r="G247" s="52">
        <f t="shared" si="24"/>
        <v>5.84</v>
      </c>
      <c r="H247" s="110"/>
      <c r="I247" s="81">
        <v>9.91</v>
      </c>
      <c r="J247" s="81">
        <f>VLOOKUP(C247,Recipes!$A$2:$N$4,12,FALSE())</f>
        <v>5.0137397426368718E-2</v>
      </c>
      <c r="K247" s="81">
        <f t="shared" si="25"/>
        <v>9.7345191090077101</v>
      </c>
      <c r="L247" s="81">
        <f t="shared" si="26"/>
        <v>10.08548089099229</v>
      </c>
      <c r="M247" s="81" t="str">
        <f t="shared" si="27"/>
        <v>NG</v>
      </c>
      <c r="N247" s="117">
        <f t="shared" si="28"/>
        <v>1</v>
      </c>
      <c r="O247" s="81">
        <f t="shared" si="29"/>
        <v>4.07</v>
      </c>
      <c r="P247" s="81">
        <f>IF(G247="","",ABS(O247-Components!$C$2))</f>
        <v>1.3166666666666704</v>
      </c>
      <c r="Q247" s="81">
        <f>IF(G247="","",ABS(O247-Components!$C$3))</f>
        <v>3.4000000000000696E-2</v>
      </c>
      <c r="R247" s="81">
        <f>IF(G247="","",ABS(O247-Components!$C$4))</f>
        <v>3.0766666666666671</v>
      </c>
      <c r="S247" s="81">
        <f>IF(G247="","",ABS(O247-Components!$C$5))</f>
        <v>0.49266666666667014</v>
      </c>
      <c r="T247" s="81">
        <f>IF(G247="","",ABS(O247-Components!$C$6))</f>
        <v>2.9143333333333303</v>
      </c>
      <c r="U247" s="81">
        <f>IF(G247="","",ABS(O247-Components!$C$7))</f>
        <v>2.6956666666666704</v>
      </c>
      <c r="V247" s="81" t="str">
        <f>IF(G247="","",IF(M247="OK","NONE",INDEX({"S1","S2","W1","W2","N1","N2"},MATCH(MIN(P247:U247),P247:U247,0))))</f>
        <v>S2</v>
      </c>
      <c r="W247" s="117">
        <f t="shared" si="30"/>
        <v>1</v>
      </c>
      <c r="X247" s="58"/>
    </row>
    <row r="248" spans="1:24">
      <c r="A248" s="115">
        <v>246</v>
      </c>
      <c r="B248" s="116">
        <v>9</v>
      </c>
      <c r="C248" s="81" t="s">
        <v>130</v>
      </c>
      <c r="D248" s="111" t="s">
        <v>240</v>
      </c>
      <c r="E248" s="81" t="s">
        <v>102</v>
      </c>
      <c r="F248" s="61">
        <v>4.9400000000000004</v>
      </c>
      <c r="G248" s="52">
        <f t="shared" si="24"/>
        <v>5.91</v>
      </c>
      <c r="H248" s="110"/>
      <c r="I248" s="81">
        <v>9.91</v>
      </c>
      <c r="J248" s="81">
        <f>VLOOKUP(C248,Recipes!$A$2:$N$4,12,FALSE())</f>
        <v>5.0137397426368718E-2</v>
      </c>
      <c r="K248" s="81">
        <f t="shared" si="25"/>
        <v>9.7345191090077101</v>
      </c>
      <c r="L248" s="81">
        <f t="shared" si="26"/>
        <v>10.08548089099229</v>
      </c>
      <c r="M248" s="81" t="str">
        <f t="shared" si="27"/>
        <v>NG</v>
      </c>
      <c r="N248" s="117">
        <f t="shared" si="28"/>
        <v>1</v>
      </c>
      <c r="O248" s="81">
        <f t="shared" si="29"/>
        <v>4</v>
      </c>
      <c r="P248" s="81">
        <f>IF(G248="","",ABS(O248-Components!$C$2))</f>
        <v>1.2466666666666701</v>
      </c>
      <c r="Q248" s="81">
        <f>IF(G248="","",ABS(O248-Components!$C$3))</f>
        <v>3.5999999999999588E-2</v>
      </c>
      <c r="R248" s="81">
        <f>IF(G248="","",ABS(O248-Components!$C$4))</f>
        <v>3.0066666666666668</v>
      </c>
      <c r="S248" s="81">
        <f>IF(G248="","",ABS(O248-Components!$C$5))</f>
        <v>0.56266666666667042</v>
      </c>
      <c r="T248" s="81">
        <f>IF(G248="","",ABS(O248-Components!$C$6))</f>
        <v>2.84433333333333</v>
      </c>
      <c r="U248" s="81">
        <f>IF(G248="","",ABS(O248-Components!$C$7))</f>
        <v>2.6256666666666701</v>
      </c>
      <c r="V248" s="81" t="str">
        <f>IF(G248="","",IF(M248="OK","NONE",INDEX({"S1","S2","W1","W2","N1","N2"},MATCH(MIN(P248:U248),P248:U248,0))))</f>
        <v>S2</v>
      </c>
      <c r="W248" s="117">
        <f t="shared" si="30"/>
        <v>1</v>
      </c>
      <c r="X248" s="58"/>
    </row>
    <row r="249" spans="1:24">
      <c r="A249" s="115">
        <v>247</v>
      </c>
      <c r="B249" s="116">
        <v>9</v>
      </c>
      <c r="C249" s="81" t="s">
        <v>130</v>
      </c>
      <c r="D249" s="111" t="s">
        <v>240</v>
      </c>
      <c r="E249" s="81" t="s">
        <v>102</v>
      </c>
      <c r="F249" s="61">
        <v>4.8899999999999997</v>
      </c>
      <c r="G249" s="52">
        <f t="shared" si="24"/>
        <v>5.8599999999999994</v>
      </c>
      <c r="H249" s="110"/>
      <c r="I249" s="81">
        <v>9.91</v>
      </c>
      <c r="J249" s="81">
        <f>VLOOKUP(C249,Recipes!$A$2:$N$4,12,FALSE())</f>
        <v>5.0137397426368718E-2</v>
      </c>
      <c r="K249" s="81">
        <f t="shared" si="25"/>
        <v>9.7345191090077101</v>
      </c>
      <c r="L249" s="81">
        <f t="shared" si="26"/>
        <v>10.08548089099229</v>
      </c>
      <c r="M249" s="81" t="str">
        <f t="shared" si="27"/>
        <v>NG</v>
      </c>
      <c r="N249" s="117">
        <f t="shared" si="28"/>
        <v>1</v>
      </c>
      <c r="O249" s="81">
        <f t="shared" si="29"/>
        <v>4.0500000000000007</v>
      </c>
      <c r="P249" s="81">
        <f>IF(G249="","",ABS(O249-Components!$C$2))</f>
        <v>1.2966666666666709</v>
      </c>
      <c r="Q249" s="81">
        <f>IF(G249="","",ABS(O249-Components!$C$3))</f>
        <v>1.4000000000001123E-2</v>
      </c>
      <c r="R249" s="81">
        <f>IF(G249="","",ABS(O249-Components!$C$4))</f>
        <v>3.0566666666666675</v>
      </c>
      <c r="S249" s="81">
        <f>IF(G249="","",ABS(O249-Components!$C$5))</f>
        <v>0.51266666666666971</v>
      </c>
      <c r="T249" s="81">
        <f>IF(G249="","",ABS(O249-Components!$C$6))</f>
        <v>2.8943333333333308</v>
      </c>
      <c r="U249" s="81">
        <f>IF(G249="","",ABS(O249-Components!$C$7))</f>
        <v>2.6756666666666709</v>
      </c>
      <c r="V249" s="81" t="str">
        <f>IF(G249="","",IF(M249="OK","NONE",INDEX({"S1","S2","W1","W2","N1","N2"},MATCH(MIN(P249:U249),P249:U249,0))))</f>
        <v>S2</v>
      </c>
      <c r="W249" s="117">
        <f t="shared" si="30"/>
        <v>1</v>
      </c>
      <c r="X249" s="58"/>
    </row>
    <row r="250" spans="1:24">
      <c r="A250" s="115">
        <v>248</v>
      </c>
      <c r="B250" s="116">
        <v>9</v>
      </c>
      <c r="C250" s="81" t="s">
        <v>130</v>
      </c>
      <c r="D250" s="111" t="s">
        <v>240</v>
      </c>
      <c r="E250" s="81" t="s">
        <v>102</v>
      </c>
      <c r="F250" s="61">
        <v>4.8600000000000003</v>
      </c>
      <c r="G250" s="52">
        <f t="shared" si="24"/>
        <v>5.83</v>
      </c>
      <c r="H250" s="110"/>
      <c r="I250" s="81">
        <v>9.91</v>
      </c>
      <c r="J250" s="81">
        <f>VLOOKUP(C250,Recipes!$A$2:$N$4,12,FALSE())</f>
        <v>5.0137397426368718E-2</v>
      </c>
      <c r="K250" s="81">
        <f t="shared" si="25"/>
        <v>9.7345191090077101</v>
      </c>
      <c r="L250" s="81">
        <f t="shared" si="26"/>
        <v>10.08548089099229</v>
      </c>
      <c r="M250" s="81" t="str">
        <f t="shared" si="27"/>
        <v>NG</v>
      </c>
      <c r="N250" s="117">
        <f t="shared" si="28"/>
        <v>1</v>
      </c>
      <c r="O250" s="81">
        <f t="shared" si="29"/>
        <v>4.08</v>
      </c>
      <c r="P250" s="81">
        <f>IF(G250="","",ABS(O250-Components!$C$2))</f>
        <v>1.3266666666666702</v>
      </c>
      <c r="Q250" s="81">
        <f>IF(G250="","",ABS(O250-Components!$C$3))</f>
        <v>4.4000000000000483E-2</v>
      </c>
      <c r="R250" s="81">
        <f>IF(G250="","",ABS(O250-Components!$C$4))</f>
        <v>3.0866666666666669</v>
      </c>
      <c r="S250" s="81">
        <f>IF(G250="","",ABS(O250-Components!$C$5))</f>
        <v>0.48266666666667035</v>
      </c>
      <c r="T250" s="81">
        <f>IF(G250="","",ABS(O250-Components!$C$6))</f>
        <v>2.9243333333333301</v>
      </c>
      <c r="U250" s="81">
        <f>IF(G250="","",ABS(O250-Components!$C$7))</f>
        <v>2.7056666666666702</v>
      </c>
      <c r="V250" s="81" t="str">
        <f>IF(G250="","",IF(M250="OK","NONE",INDEX({"S1","S2","W1","W2","N1","N2"},MATCH(MIN(P250:U250),P250:U250,0))))</f>
        <v>S2</v>
      </c>
      <c r="W250" s="117">
        <f t="shared" si="30"/>
        <v>1</v>
      </c>
      <c r="X250" s="58"/>
    </row>
    <row r="251" spans="1:24">
      <c r="A251" s="115">
        <v>249</v>
      </c>
      <c r="B251" s="116">
        <v>9</v>
      </c>
      <c r="C251" s="61" t="s">
        <v>130</v>
      </c>
      <c r="D251" s="61" t="s">
        <v>240</v>
      </c>
      <c r="E251" s="61" t="s">
        <v>102</v>
      </c>
      <c r="F251" s="61">
        <v>4.97</v>
      </c>
      <c r="G251" s="52">
        <f t="shared" si="24"/>
        <v>5.9399999999999995</v>
      </c>
      <c r="H251" s="110"/>
      <c r="I251" s="81">
        <v>9.91</v>
      </c>
      <c r="J251" s="81">
        <f>VLOOKUP(C251,Recipes!$A$2:$N$4,12,FALSE())</f>
        <v>5.0137397426368718E-2</v>
      </c>
      <c r="K251" s="81">
        <f t="shared" si="25"/>
        <v>9.7345191090077101</v>
      </c>
      <c r="L251" s="81">
        <f t="shared" si="26"/>
        <v>10.08548089099229</v>
      </c>
      <c r="M251" s="81" t="str">
        <f t="shared" si="27"/>
        <v>NG</v>
      </c>
      <c r="N251" s="117">
        <f t="shared" si="28"/>
        <v>1</v>
      </c>
      <c r="O251" s="81">
        <f t="shared" si="29"/>
        <v>3.9700000000000006</v>
      </c>
      <c r="P251" s="81">
        <f>IF(G251="","",ABS(O251-Components!$C$2))</f>
        <v>1.2166666666666708</v>
      </c>
      <c r="Q251" s="81">
        <f>IF(G251="","",ABS(O251-Components!$C$3))</f>
        <v>6.5999999999998948E-2</v>
      </c>
      <c r="R251" s="81">
        <f>IF(G251="","",ABS(O251-Components!$C$4))</f>
        <v>2.9766666666666675</v>
      </c>
      <c r="S251" s="81">
        <f>IF(G251="","",ABS(O251-Components!$C$5))</f>
        <v>0.59266666666666978</v>
      </c>
      <c r="T251" s="81">
        <f>IF(G251="","",ABS(O251-Components!$C$6))</f>
        <v>2.8143333333333307</v>
      </c>
      <c r="U251" s="81">
        <f>IF(G251="","",ABS(O251-Components!$C$7))</f>
        <v>2.5956666666666708</v>
      </c>
      <c r="V251" s="81" t="str">
        <f>IF(G251="","",IF(M251="OK","NONE",INDEX({"S1","S2","W1","W2","N1","N2"},MATCH(MIN(P251:U251),P251:U251,0))))</f>
        <v>S2</v>
      </c>
      <c r="W251" s="117">
        <f t="shared" si="30"/>
        <v>1</v>
      </c>
      <c r="X251" s="58"/>
    </row>
    <row r="252" spans="1:24">
      <c r="A252" s="115">
        <v>250</v>
      </c>
      <c r="B252" s="116">
        <v>9</v>
      </c>
      <c r="C252" s="61" t="s">
        <v>130</v>
      </c>
      <c r="D252" s="61" t="s">
        <v>240</v>
      </c>
      <c r="E252" s="61" t="s">
        <v>102</v>
      </c>
      <c r="F252" s="61">
        <v>4.88</v>
      </c>
      <c r="G252" s="52">
        <f t="shared" si="24"/>
        <v>5.85</v>
      </c>
      <c r="H252" s="110"/>
      <c r="I252" s="81">
        <v>9.91</v>
      </c>
      <c r="J252" s="81">
        <f>VLOOKUP(C252,Recipes!$A$2:$N$4,12,FALSE())</f>
        <v>5.0137397426368718E-2</v>
      </c>
      <c r="K252" s="81">
        <f t="shared" si="25"/>
        <v>9.7345191090077101</v>
      </c>
      <c r="L252" s="81">
        <f t="shared" si="26"/>
        <v>10.08548089099229</v>
      </c>
      <c r="M252" s="81" t="str">
        <f t="shared" si="27"/>
        <v>NG</v>
      </c>
      <c r="N252" s="117">
        <f t="shared" si="28"/>
        <v>1</v>
      </c>
      <c r="O252" s="81">
        <f t="shared" si="29"/>
        <v>4.0600000000000005</v>
      </c>
      <c r="P252" s="81">
        <f>IF(G252="","",ABS(O252-Components!$C$2))</f>
        <v>1.3066666666666706</v>
      </c>
      <c r="Q252" s="81">
        <f>IF(G252="","",ABS(O252-Components!$C$3))</f>
        <v>2.4000000000000909E-2</v>
      </c>
      <c r="R252" s="81">
        <f>IF(G252="","",ABS(O252-Components!$C$4))</f>
        <v>3.0666666666666673</v>
      </c>
      <c r="S252" s="81">
        <f>IF(G252="","",ABS(O252-Components!$C$5))</f>
        <v>0.50266666666666993</v>
      </c>
      <c r="T252" s="81">
        <f>IF(G252="","",ABS(O252-Components!$C$6))</f>
        <v>2.9043333333333305</v>
      </c>
      <c r="U252" s="81">
        <f>IF(G252="","",ABS(O252-Components!$C$7))</f>
        <v>2.6856666666666706</v>
      </c>
      <c r="V252" s="81" t="str">
        <f>IF(G252="","",IF(M252="OK","NONE",INDEX({"S1","S2","W1","W2","N1","N2"},MATCH(MIN(P252:U252),P252:U252,0))))</f>
        <v>S2</v>
      </c>
      <c r="W252" s="117">
        <f t="shared" si="30"/>
        <v>1</v>
      </c>
      <c r="X252" s="58"/>
    </row>
    <row r="253" spans="1:24">
      <c r="A253" s="115">
        <v>251</v>
      </c>
      <c r="B253" s="116">
        <v>9</v>
      </c>
      <c r="C253" s="81" t="s">
        <v>130</v>
      </c>
      <c r="D253" s="111" t="s">
        <v>240</v>
      </c>
      <c r="E253" s="81" t="s">
        <v>102</v>
      </c>
      <c r="F253" s="61">
        <v>4.83</v>
      </c>
      <c r="G253" s="52">
        <f t="shared" si="24"/>
        <v>5.8</v>
      </c>
      <c r="H253" s="110"/>
      <c r="I253" s="81">
        <v>9.91</v>
      </c>
      <c r="J253" s="81">
        <f>VLOOKUP(C253,Recipes!$A$2:$N$4,12,FALSE())</f>
        <v>5.0137397426368718E-2</v>
      </c>
      <c r="K253" s="81">
        <f t="shared" si="25"/>
        <v>9.7345191090077101</v>
      </c>
      <c r="L253" s="81">
        <f t="shared" si="26"/>
        <v>10.08548089099229</v>
      </c>
      <c r="M253" s="81" t="str">
        <f t="shared" si="27"/>
        <v>NG</v>
      </c>
      <c r="N253" s="117">
        <f t="shared" si="28"/>
        <v>1</v>
      </c>
      <c r="O253" s="81">
        <f t="shared" si="29"/>
        <v>4.1100000000000003</v>
      </c>
      <c r="P253" s="81">
        <f>IF(G253="","",ABS(O253-Components!$C$2))</f>
        <v>1.3566666666666705</v>
      </c>
      <c r="Q253" s="81">
        <f>IF(G253="","",ABS(O253-Components!$C$3))</f>
        <v>7.4000000000000732E-2</v>
      </c>
      <c r="R253" s="81">
        <f>IF(G253="","",ABS(O253-Components!$C$4))</f>
        <v>3.1166666666666671</v>
      </c>
      <c r="S253" s="81">
        <f>IF(G253="","",ABS(O253-Components!$C$5))</f>
        <v>0.4526666666666701</v>
      </c>
      <c r="T253" s="81">
        <f>IF(G253="","",ABS(O253-Components!$C$6))</f>
        <v>2.9543333333333304</v>
      </c>
      <c r="U253" s="81">
        <f>IF(G253="","",ABS(O253-Components!$C$7))</f>
        <v>2.7356666666666705</v>
      </c>
      <c r="V253" s="81" t="str">
        <f>IF(G253="","",IF(M253="OK","NONE",INDEX({"S1","S2","W1","W2","N1","N2"},MATCH(MIN(P253:U253),P253:U253,0))))</f>
        <v>S2</v>
      </c>
      <c r="W253" s="117">
        <f t="shared" si="30"/>
        <v>1</v>
      </c>
      <c r="X253" s="58"/>
    </row>
    <row r="254" spans="1:24">
      <c r="A254" s="115">
        <v>252</v>
      </c>
      <c r="B254" s="116">
        <v>9</v>
      </c>
      <c r="C254" s="81" t="s">
        <v>130</v>
      </c>
      <c r="D254" s="111" t="s">
        <v>240</v>
      </c>
      <c r="E254" s="81" t="s">
        <v>102</v>
      </c>
      <c r="F254" s="61">
        <v>4.87</v>
      </c>
      <c r="G254" s="52">
        <f t="shared" si="24"/>
        <v>5.84</v>
      </c>
      <c r="H254" s="110"/>
      <c r="I254" s="81">
        <v>9.91</v>
      </c>
      <c r="J254" s="81">
        <f>VLOOKUP(C254,Recipes!$A$2:$N$4,12,FALSE())</f>
        <v>5.0137397426368718E-2</v>
      </c>
      <c r="K254" s="81">
        <f t="shared" si="25"/>
        <v>9.7345191090077101</v>
      </c>
      <c r="L254" s="81">
        <f t="shared" si="26"/>
        <v>10.08548089099229</v>
      </c>
      <c r="M254" s="81" t="str">
        <f t="shared" si="27"/>
        <v>NG</v>
      </c>
      <c r="N254" s="117">
        <f t="shared" si="28"/>
        <v>1</v>
      </c>
      <c r="O254" s="81">
        <f t="shared" si="29"/>
        <v>4.07</v>
      </c>
      <c r="P254" s="81">
        <f>IF(G254="","",ABS(O254-Components!$C$2))</f>
        <v>1.3166666666666704</v>
      </c>
      <c r="Q254" s="81">
        <f>IF(G254="","",ABS(O254-Components!$C$3))</f>
        <v>3.4000000000000696E-2</v>
      </c>
      <c r="R254" s="81">
        <f>IF(G254="","",ABS(O254-Components!$C$4))</f>
        <v>3.0766666666666671</v>
      </c>
      <c r="S254" s="81">
        <f>IF(G254="","",ABS(O254-Components!$C$5))</f>
        <v>0.49266666666667014</v>
      </c>
      <c r="T254" s="81">
        <f>IF(G254="","",ABS(O254-Components!$C$6))</f>
        <v>2.9143333333333303</v>
      </c>
      <c r="U254" s="81">
        <f>IF(G254="","",ABS(O254-Components!$C$7))</f>
        <v>2.6956666666666704</v>
      </c>
      <c r="V254" s="81" t="str">
        <f>IF(G254="","",IF(M254="OK","NONE",INDEX({"S1","S2","W1","W2","N1","N2"},MATCH(MIN(P254:U254),P254:U254,0))))</f>
        <v>S2</v>
      </c>
      <c r="W254" s="117">
        <f t="shared" si="30"/>
        <v>1</v>
      </c>
      <c r="X254" s="58"/>
    </row>
    <row r="255" spans="1:24">
      <c r="A255" s="115">
        <v>253</v>
      </c>
      <c r="B255" s="116">
        <v>9</v>
      </c>
      <c r="C255" s="81" t="s">
        <v>130</v>
      </c>
      <c r="D255" s="111" t="s">
        <v>240</v>
      </c>
      <c r="E255" s="81" t="s">
        <v>102</v>
      </c>
      <c r="F255" s="61">
        <v>4.93</v>
      </c>
      <c r="G255" s="52">
        <f t="shared" si="24"/>
        <v>5.8999999999999995</v>
      </c>
      <c r="H255" s="110"/>
      <c r="I255" s="81">
        <v>9.91</v>
      </c>
      <c r="J255" s="81">
        <f>VLOOKUP(C255,Recipes!$A$2:$N$4,12,FALSE())</f>
        <v>5.0137397426368718E-2</v>
      </c>
      <c r="K255" s="81">
        <f t="shared" si="25"/>
        <v>9.7345191090077101</v>
      </c>
      <c r="L255" s="81">
        <f t="shared" si="26"/>
        <v>10.08548089099229</v>
      </c>
      <c r="M255" s="81" t="str">
        <f t="shared" si="27"/>
        <v>NG</v>
      </c>
      <c r="N255" s="117">
        <f t="shared" si="28"/>
        <v>1</v>
      </c>
      <c r="O255" s="81">
        <f t="shared" si="29"/>
        <v>4.0100000000000007</v>
      </c>
      <c r="P255" s="81">
        <f>IF(G255="","",ABS(O255-Components!$C$2))</f>
        <v>1.2566666666666708</v>
      </c>
      <c r="Q255" s="81">
        <f>IF(G255="","",ABS(O255-Components!$C$3))</f>
        <v>2.5999999999998913E-2</v>
      </c>
      <c r="R255" s="81">
        <f>IF(G255="","",ABS(O255-Components!$C$4))</f>
        <v>3.0166666666666675</v>
      </c>
      <c r="S255" s="81">
        <f>IF(G255="","",ABS(O255-Components!$C$5))</f>
        <v>0.55266666666666975</v>
      </c>
      <c r="T255" s="81">
        <f>IF(G255="","",ABS(O255-Components!$C$6))</f>
        <v>2.8543333333333307</v>
      </c>
      <c r="U255" s="81">
        <f>IF(G255="","",ABS(O255-Components!$C$7))</f>
        <v>2.6356666666666708</v>
      </c>
      <c r="V255" s="81" t="str">
        <f>IF(G255="","",IF(M255="OK","NONE",INDEX({"S1","S2","W1","W2","N1","N2"},MATCH(MIN(P255:U255),P255:U255,0))))</f>
        <v>S2</v>
      </c>
      <c r="W255" s="117">
        <f t="shared" si="30"/>
        <v>1</v>
      </c>
      <c r="X255" s="58"/>
    </row>
    <row r="256" spans="1:24">
      <c r="A256" s="115">
        <v>254</v>
      </c>
      <c r="B256" s="116">
        <v>9</v>
      </c>
      <c r="C256" s="61" t="s">
        <v>130</v>
      </c>
      <c r="D256" s="61" t="s">
        <v>240</v>
      </c>
      <c r="E256" s="61" t="s">
        <v>102</v>
      </c>
      <c r="F256" s="61">
        <v>4.91</v>
      </c>
      <c r="G256" s="52">
        <f t="shared" si="24"/>
        <v>5.88</v>
      </c>
      <c r="H256" s="110"/>
      <c r="I256" s="81">
        <v>9.91</v>
      </c>
      <c r="J256" s="81">
        <f>VLOOKUP(C256,Recipes!$A$2:$N$4,12,FALSE())</f>
        <v>5.0137397426368718E-2</v>
      </c>
      <c r="K256" s="81">
        <f t="shared" si="25"/>
        <v>9.7345191090077101</v>
      </c>
      <c r="L256" s="81">
        <f t="shared" si="26"/>
        <v>10.08548089099229</v>
      </c>
      <c r="M256" s="81" t="str">
        <f t="shared" si="27"/>
        <v>NG</v>
      </c>
      <c r="N256" s="117">
        <f t="shared" si="28"/>
        <v>1</v>
      </c>
      <c r="O256" s="81">
        <f t="shared" si="29"/>
        <v>4.03</v>
      </c>
      <c r="P256" s="81">
        <f>IF(G256="","",ABS(O256-Components!$C$2))</f>
        <v>1.2766666666666704</v>
      </c>
      <c r="Q256" s="81">
        <f>IF(G256="","",ABS(O256-Components!$C$3))</f>
        <v>5.9999999999993392E-3</v>
      </c>
      <c r="R256" s="81">
        <f>IF(G256="","",ABS(O256-Components!$C$4))</f>
        <v>3.0366666666666671</v>
      </c>
      <c r="S256" s="81">
        <f>IF(G256="","",ABS(O256-Components!$C$5))</f>
        <v>0.53266666666667017</v>
      </c>
      <c r="T256" s="81">
        <f>IF(G256="","",ABS(O256-Components!$C$6))</f>
        <v>2.8743333333333303</v>
      </c>
      <c r="U256" s="81">
        <f>IF(G256="","",ABS(O256-Components!$C$7))</f>
        <v>2.6556666666666704</v>
      </c>
      <c r="V256" s="81" t="str">
        <f>IF(G256="","",IF(M256="OK","NONE",INDEX({"S1","S2","W1","W2","N1","N2"},MATCH(MIN(P256:U256),P256:U256,0))))</f>
        <v>S2</v>
      </c>
      <c r="W256" s="117">
        <f t="shared" si="30"/>
        <v>1</v>
      </c>
      <c r="X256" s="58"/>
    </row>
    <row r="257" spans="1:24">
      <c r="A257" s="115">
        <v>255</v>
      </c>
      <c r="B257" s="116">
        <v>9</v>
      </c>
      <c r="C257" s="61" t="s">
        <v>130</v>
      </c>
      <c r="D257" s="61" t="s">
        <v>240</v>
      </c>
      <c r="E257" s="61" t="s">
        <v>102</v>
      </c>
      <c r="F257" s="61">
        <v>4.88</v>
      </c>
      <c r="G257" s="52">
        <f t="shared" si="24"/>
        <v>5.85</v>
      </c>
      <c r="H257" s="110"/>
      <c r="I257" s="81">
        <v>9.91</v>
      </c>
      <c r="J257" s="81">
        <f>VLOOKUP(C257,Recipes!$A$2:$N$4,12,FALSE())</f>
        <v>5.0137397426368718E-2</v>
      </c>
      <c r="K257" s="81">
        <f t="shared" si="25"/>
        <v>9.7345191090077101</v>
      </c>
      <c r="L257" s="81">
        <f t="shared" si="26"/>
        <v>10.08548089099229</v>
      </c>
      <c r="M257" s="81" t="str">
        <f t="shared" si="27"/>
        <v>NG</v>
      </c>
      <c r="N257" s="117">
        <f t="shared" si="28"/>
        <v>1</v>
      </c>
      <c r="O257" s="81">
        <f t="shared" si="29"/>
        <v>4.0600000000000005</v>
      </c>
      <c r="P257" s="81">
        <f>IF(G257="","",ABS(O257-Components!$C$2))</f>
        <v>1.3066666666666706</v>
      </c>
      <c r="Q257" s="81">
        <f>IF(G257="","",ABS(O257-Components!$C$3))</f>
        <v>2.4000000000000909E-2</v>
      </c>
      <c r="R257" s="81">
        <f>IF(G257="","",ABS(O257-Components!$C$4))</f>
        <v>3.0666666666666673</v>
      </c>
      <c r="S257" s="81">
        <f>IF(G257="","",ABS(O257-Components!$C$5))</f>
        <v>0.50266666666666993</v>
      </c>
      <c r="T257" s="81">
        <f>IF(G257="","",ABS(O257-Components!$C$6))</f>
        <v>2.9043333333333305</v>
      </c>
      <c r="U257" s="81">
        <f>IF(G257="","",ABS(O257-Components!$C$7))</f>
        <v>2.6856666666666706</v>
      </c>
      <c r="V257" s="81" t="str">
        <f>IF(G257="","",IF(M257="OK","NONE",INDEX({"S1","S2","W1","W2","N1","N2"},MATCH(MIN(P257:U257),P257:U257,0))))</f>
        <v>S2</v>
      </c>
      <c r="W257" s="117">
        <f t="shared" si="30"/>
        <v>1</v>
      </c>
      <c r="X257" s="58"/>
    </row>
    <row r="258" spans="1:24">
      <c r="A258" s="115">
        <v>256</v>
      </c>
      <c r="B258" s="116">
        <v>9</v>
      </c>
      <c r="C258" s="81" t="s">
        <v>130</v>
      </c>
      <c r="D258" s="111" t="s">
        <v>240</v>
      </c>
      <c r="E258" s="81" t="s">
        <v>102</v>
      </c>
      <c r="F258" s="61">
        <v>4.87</v>
      </c>
      <c r="G258" s="52">
        <f t="shared" si="24"/>
        <v>5.84</v>
      </c>
      <c r="H258" s="110"/>
      <c r="I258" s="81">
        <v>9.91</v>
      </c>
      <c r="J258" s="81">
        <f>VLOOKUP(C258,Recipes!$A$2:$N$4,12,FALSE())</f>
        <v>5.0137397426368718E-2</v>
      </c>
      <c r="K258" s="81">
        <f t="shared" si="25"/>
        <v>9.7345191090077101</v>
      </c>
      <c r="L258" s="81">
        <f t="shared" si="26"/>
        <v>10.08548089099229</v>
      </c>
      <c r="M258" s="81" t="str">
        <f t="shared" si="27"/>
        <v>NG</v>
      </c>
      <c r="N258" s="117">
        <f t="shared" si="28"/>
        <v>1</v>
      </c>
      <c r="O258" s="81">
        <f t="shared" si="29"/>
        <v>4.07</v>
      </c>
      <c r="P258" s="81">
        <f>IF(G258="","",ABS(O258-Components!$C$2))</f>
        <v>1.3166666666666704</v>
      </c>
      <c r="Q258" s="81">
        <f>IF(G258="","",ABS(O258-Components!$C$3))</f>
        <v>3.4000000000000696E-2</v>
      </c>
      <c r="R258" s="81">
        <f>IF(G258="","",ABS(O258-Components!$C$4))</f>
        <v>3.0766666666666671</v>
      </c>
      <c r="S258" s="81">
        <f>IF(G258="","",ABS(O258-Components!$C$5))</f>
        <v>0.49266666666667014</v>
      </c>
      <c r="T258" s="81">
        <f>IF(G258="","",ABS(O258-Components!$C$6))</f>
        <v>2.9143333333333303</v>
      </c>
      <c r="U258" s="81">
        <f>IF(G258="","",ABS(O258-Components!$C$7))</f>
        <v>2.6956666666666704</v>
      </c>
      <c r="V258" s="81" t="str">
        <f>IF(G258="","",IF(M258="OK","NONE",INDEX({"S1","S2","W1","W2","N1","N2"},MATCH(MIN(P258:U258),P258:U258,0))))</f>
        <v>S2</v>
      </c>
      <c r="W258" s="117">
        <f t="shared" si="30"/>
        <v>1</v>
      </c>
      <c r="X258" s="58"/>
    </row>
    <row r="259" spans="1:24">
      <c r="A259" s="115">
        <v>257</v>
      </c>
      <c r="B259" s="116">
        <v>9</v>
      </c>
      <c r="C259" s="81" t="s">
        <v>130</v>
      </c>
      <c r="D259" s="111" t="s">
        <v>240</v>
      </c>
      <c r="E259" s="81" t="s">
        <v>102</v>
      </c>
      <c r="F259" s="61">
        <v>4.91</v>
      </c>
      <c r="G259" s="52">
        <f t="shared" ref="G259:G322" si="31">0.97+F259</f>
        <v>5.88</v>
      </c>
      <c r="H259" s="110"/>
      <c r="I259" s="81">
        <v>9.91</v>
      </c>
      <c r="J259" s="81">
        <f>VLOOKUP(C259,Recipes!$A$2:$N$4,12,FALSE())</f>
        <v>5.0137397426368718E-2</v>
      </c>
      <c r="K259" s="81">
        <f t="shared" si="25"/>
        <v>9.7345191090077101</v>
      </c>
      <c r="L259" s="81">
        <f t="shared" si="26"/>
        <v>10.08548089099229</v>
      </c>
      <c r="M259" s="81" t="str">
        <f t="shared" si="27"/>
        <v>NG</v>
      </c>
      <c r="N259" s="117">
        <f t="shared" si="28"/>
        <v>1</v>
      </c>
      <c r="O259" s="81">
        <f t="shared" si="29"/>
        <v>4.03</v>
      </c>
      <c r="P259" s="81">
        <f>IF(G259="","",ABS(O259-Components!$C$2))</f>
        <v>1.2766666666666704</v>
      </c>
      <c r="Q259" s="81">
        <f>IF(G259="","",ABS(O259-Components!$C$3))</f>
        <v>5.9999999999993392E-3</v>
      </c>
      <c r="R259" s="81">
        <f>IF(G259="","",ABS(O259-Components!$C$4))</f>
        <v>3.0366666666666671</v>
      </c>
      <c r="S259" s="81">
        <f>IF(G259="","",ABS(O259-Components!$C$5))</f>
        <v>0.53266666666667017</v>
      </c>
      <c r="T259" s="81">
        <f>IF(G259="","",ABS(O259-Components!$C$6))</f>
        <v>2.8743333333333303</v>
      </c>
      <c r="U259" s="81">
        <f>IF(G259="","",ABS(O259-Components!$C$7))</f>
        <v>2.6556666666666704</v>
      </c>
      <c r="V259" s="81" t="str">
        <f>IF(G259="","",IF(M259="OK","NONE",INDEX({"S1","S2","W1","W2","N1","N2"},MATCH(MIN(P259:U259),P259:U259,0))))</f>
        <v>S2</v>
      </c>
      <c r="W259" s="117">
        <f t="shared" si="30"/>
        <v>1</v>
      </c>
      <c r="X259" s="58"/>
    </row>
    <row r="260" spans="1:24">
      <c r="A260" s="115">
        <v>258</v>
      </c>
      <c r="B260" s="116">
        <v>9</v>
      </c>
      <c r="C260" s="81" t="s">
        <v>130</v>
      </c>
      <c r="D260" s="111" t="s">
        <v>240</v>
      </c>
      <c r="E260" s="81" t="s">
        <v>102</v>
      </c>
      <c r="F260" s="61">
        <v>4.67</v>
      </c>
      <c r="G260" s="52">
        <f t="shared" si="31"/>
        <v>5.64</v>
      </c>
      <c r="H260" s="110"/>
      <c r="I260" s="81">
        <v>9.91</v>
      </c>
      <c r="J260" s="81">
        <f>VLOOKUP(C260,Recipes!$A$2:$N$4,12,FALSE())</f>
        <v>5.0137397426368718E-2</v>
      </c>
      <c r="K260" s="81">
        <f t="shared" ref="K260:K323" si="32">I260-3.5*J260</f>
        <v>9.7345191090077101</v>
      </c>
      <c r="L260" s="81">
        <f t="shared" ref="L260:L323" si="33">I260+3.5*J260</f>
        <v>10.08548089099229</v>
      </c>
      <c r="M260" s="81" t="str">
        <f t="shared" ref="M260:M323" si="34">IF(G260="","",IF(AND(G260&gt;=K260,G260&lt;=L260),"OK","NG"))</f>
        <v>NG</v>
      </c>
      <c r="N260" s="117">
        <f t="shared" ref="N260:N323" si="35">IF(M260="","",IF(M260=D260,1,0))</f>
        <v>1</v>
      </c>
      <c r="O260" s="81">
        <f t="shared" ref="O260:O323" si="36">IF(G260="","",I260-G260)</f>
        <v>4.2700000000000005</v>
      </c>
      <c r="P260" s="81">
        <f>IF(G260="","",ABS(O260-Components!$C$2))</f>
        <v>1.5166666666666706</v>
      </c>
      <c r="Q260" s="81">
        <f>IF(G260="","",ABS(O260-Components!$C$3))</f>
        <v>0.23400000000000087</v>
      </c>
      <c r="R260" s="81">
        <f>IF(G260="","",ABS(O260-Components!$C$4))</f>
        <v>3.2766666666666673</v>
      </c>
      <c r="S260" s="81">
        <f>IF(G260="","",ABS(O260-Components!$C$5))</f>
        <v>0.29266666666666996</v>
      </c>
      <c r="T260" s="81">
        <f>IF(G260="","",ABS(O260-Components!$C$6))</f>
        <v>3.1143333333333305</v>
      </c>
      <c r="U260" s="81">
        <f>IF(G260="","",ABS(O260-Components!$C$7))</f>
        <v>2.8956666666666706</v>
      </c>
      <c r="V260" s="81" t="str">
        <f>IF(G260="","",IF(M260="OK","NONE",INDEX({"S1","S2","W1","W2","N1","N2"},MATCH(MIN(P260:U260),P260:U260,0))))</f>
        <v>S2</v>
      </c>
      <c r="W260" s="117">
        <f t="shared" ref="W260:W323" si="37">IF(G260="","",IF(V260=E260,1,0))</f>
        <v>1</v>
      </c>
      <c r="X260" s="58"/>
    </row>
    <row r="261" spans="1:24">
      <c r="A261" s="115">
        <v>259</v>
      </c>
      <c r="B261" s="116">
        <v>9</v>
      </c>
      <c r="C261" s="61" t="s">
        <v>130</v>
      </c>
      <c r="D261" s="61" t="s">
        <v>240</v>
      </c>
      <c r="E261" s="61" t="s">
        <v>102</v>
      </c>
      <c r="F261" s="61">
        <v>4.8600000000000003</v>
      </c>
      <c r="G261" s="52">
        <f t="shared" si="31"/>
        <v>5.83</v>
      </c>
      <c r="H261" s="110"/>
      <c r="I261" s="81">
        <v>9.91</v>
      </c>
      <c r="J261" s="81">
        <f>VLOOKUP(C261,Recipes!$A$2:$N$4,12,FALSE())</f>
        <v>5.0137397426368718E-2</v>
      </c>
      <c r="K261" s="81">
        <f t="shared" si="32"/>
        <v>9.7345191090077101</v>
      </c>
      <c r="L261" s="81">
        <f t="shared" si="33"/>
        <v>10.08548089099229</v>
      </c>
      <c r="M261" s="81" t="str">
        <f t="shared" si="34"/>
        <v>NG</v>
      </c>
      <c r="N261" s="117">
        <f t="shared" si="35"/>
        <v>1</v>
      </c>
      <c r="O261" s="81">
        <f t="shared" si="36"/>
        <v>4.08</v>
      </c>
      <c r="P261" s="81">
        <f>IF(G261="","",ABS(O261-Components!$C$2))</f>
        <v>1.3266666666666702</v>
      </c>
      <c r="Q261" s="81">
        <f>IF(G261="","",ABS(O261-Components!$C$3))</f>
        <v>4.4000000000000483E-2</v>
      </c>
      <c r="R261" s="81">
        <f>IF(G261="","",ABS(O261-Components!$C$4))</f>
        <v>3.0866666666666669</v>
      </c>
      <c r="S261" s="81">
        <f>IF(G261="","",ABS(O261-Components!$C$5))</f>
        <v>0.48266666666667035</v>
      </c>
      <c r="T261" s="81">
        <f>IF(G261="","",ABS(O261-Components!$C$6))</f>
        <v>2.9243333333333301</v>
      </c>
      <c r="U261" s="81">
        <f>IF(G261="","",ABS(O261-Components!$C$7))</f>
        <v>2.7056666666666702</v>
      </c>
      <c r="V261" s="81" t="str">
        <f>IF(G261="","",IF(M261="OK","NONE",INDEX({"S1","S2","W1","W2","N1","N2"},MATCH(MIN(P261:U261),P261:U261,0))))</f>
        <v>S2</v>
      </c>
      <c r="W261" s="117">
        <f t="shared" si="37"/>
        <v>1</v>
      </c>
      <c r="X261" s="58"/>
    </row>
    <row r="262" spans="1:24">
      <c r="A262" s="115">
        <v>260</v>
      </c>
      <c r="B262" s="116">
        <v>9</v>
      </c>
      <c r="C262" s="61" t="s">
        <v>130</v>
      </c>
      <c r="D262" s="61" t="s">
        <v>240</v>
      </c>
      <c r="E262" s="61" t="s">
        <v>102</v>
      </c>
      <c r="F262" s="61">
        <v>4.75</v>
      </c>
      <c r="G262" s="52">
        <f t="shared" si="31"/>
        <v>5.72</v>
      </c>
      <c r="H262" s="110"/>
      <c r="I262" s="81">
        <v>9.91</v>
      </c>
      <c r="J262" s="81">
        <f>VLOOKUP(C262,Recipes!$A$2:$N$4,12,FALSE())</f>
        <v>5.0137397426368718E-2</v>
      </c>
      <c r="K262" s="81">
        <f t="shared" si="32"/>
        <v>9.7345191090077101</v>
      </c>
      <c r="L262" s="81">
        <f t="shared" si="33"/>
        <v>10.08548089099229</v>
      </c>
      <c r="M262" s="81" t="str">
        <f t="shared" si="34"/>
        <v>NG</v>
      </c>
      <c r="N262" s="117">
        <f t="shared" si="35"/>
        <v>1</v>
      </c>
      <c r="O262" s="81">
        <f t="shared" si="36"/>
        <v>4.1900000000000004</v>
      </c>
      <c r="P262" s="81">
        <f>IF(G262="","",ABS(O262-Components!$C$2))</f>
        <v>1.4366666666666705</v>
      </c>
      <c r="Q262" s="81">
        <f>IF(G262="","",ABS(O262-Components!$C$3))</f>
        <v>0.1540000000000008</v>
      </c>
      <c r="R262" s="81">
        <f>IF(G262="","",ABS(O262-Components!$C$4))</f>
        <v>3.1966666666666672</v>
      </c>
      <c r="S262" s="81">
        <f>IF(G262="","",ABS(O262-Components!$C$5))</f>
        <v>0.37266666666667003</v>
      </c>
      <c r="T262" s="81">
        <f>IF(G262="","",ABS(O262-Components!$C$6))</f>
        <v>3.0343333333333304</v>
      </c>
      <c r="U262" s="81">
        <f>IF(G262="","",ABS(O262-Components!$C$7))</f>
        <v>2.8156666666666705</v>
      </c>
      <c r="V262" s="81" t="str">
        <f>IF(G262="","",IF(M262="OK","NONE",INDEX({"S1","S2","W1","W2","N1","N2"},MATCH(MIN(P262:U262),P262:U262,0))))</f>
        <v>S2</v>
      </c>
      <c r="W262" s="117">
        <f t="shared" si="37"/>
        <v>1</v>
      </c>
      <c r="X262" s="58"/>
    </row>
    <row r="263" spans="1:24">
      <c r="A263" s="115">
        <v>261</v>
      </c>
      <c r="B263" s="116">
        <v>9</v>
      </c>
      <c r="C263" s="81" t="s">
        <v>130</v>
      </c>
      <c r="D263" s="111" t="s">
        <v>240</v>
      </c>
      <c r="E263" s="81" t="s">
        <v>102</v>
      </c>
      <c r="F263" s="61">
        <v>4.91</v>
      </c>
      <c r="G263" s="52">
        <f t="shared" si="31"/>
        <v>5.88</v>
      </c>
      <c r="H263" s="110"/>
      <c r="I263" s="81">
        <v>9.91</v>
      </c>
      <c r="J263" s="81">
        <f>VLOOKUP(C263,Recipes!$A$2:$N$4,12,FALSE())</f>
        <v>5.0137397426368718E-2</v>
      </c>
      <c r="K263" s="81">
        <f t="shared" si="32"/>
        <v>9.7345191090077101</v>
      </c>
      <c r="L263" s="81">
        <f t="shared" si="33"/>
        <v>10.08548089099229</v>
      </c>
      <c r="M263" s="81" t="str">
        <f t="shared" si="34"/>
        <v>NG</v>
      </c>
      <c r="N263" s="117">
        <f t="shared" si="35"/>
        <v>1</v>
      </c>
      <c r="O263" s="81">
        <f t="shared" si="36"/>
        <v>4.03</v>
      </c>
      <c r="P263" s="81">
        <f>IF(G263="","",ABS(O263-Components!$C$2))</f>
        <v>1.2766666666666704</v>
      </c>
      <c r="Q263" s="81">
        <f>IF(G263="","",ABS(O263-Components!$C$3))</f>
        <v>5.9999999999993392E-3</v>
      </c>
      <c r="R263" s="81">
        <f>IF(G263="","",ABS(O263-Components!$C$4))</f>
        <v>3.0366666666666671</v>
      </c>
      <c r="S263" s="81">
        <f>IF(G263="","",ABS(O263-Components!$C$5))</f>
        <v>0.53266666666667017</v>
      </c>
      <c r="T263" s="81">
        <f>IF(G263="","",ABS(O263-Components!$C$6))</f>
        <v>2.8743333333333303</v>
      </c>
      <c r="U263" s="81">
        <f>IF(G263="","",ABS(O263-Components!$C$7))</f>
        <v>2.6556666666666704</v>
      </c>
      <c r="V263" s="81" t="str">
        <f>IF(G263="","",IF(M263="OK","NONE",INDEX({"S1","S2","W1","W2","N1","N2"},MATCH(MIN(P263:U263),P263:U263,0))))</f>
        <v>S2</v>
      </c>
      <c r="W263" s="117">
        <f t="shared" si="37"/>
        <v>1</v>
      </c>
      <c r="X263" s="58"/>
    </row>
    <row r="264" spans="1:24">
      <c r="A264" s="115">
        <v>262</v>
      </c>
      <c r="B264" s="116">
        <v>9</v>
      </c>
      <c r="C264" s="81" t="s">
        <v>130</v>
      </c>
      <c r="D264" s="111" t="s">
        <v>240</v>
      </c>
      <c r="E264" s="81" t="s">
        <v>102</v>
      </c>
      <c r="F264" s="61">
        <v>4.82</v>
      </c>
      <c r="G264" s="52">
        <f t="shared" si="31"/>
        <v>5.79</v>
      </c>
      <c r="H264" s="110"/>
      <c r="I264" s="81">
        <v>9.91</v>
      </c>
      <c r="J264" s="81">
        <f>VLOOKUP(C264,Recipes!$A$2:$N$4,12,FALSE())</f>
        <v>5.0137397426368718E-2</v>
      </c>
      <c r="K264" s="81">
        <f t="shared" si="32"/>
        <v>9.7345191090077101</v>
      </c>
      <c r="L264" s="81">
        <f t="shared" si="33"/>
        <v>10.08548089099229</v>
      </c>
      <c r="M264" s="81" t="str">
        <f t="shared" si="34"/>
        <v>NG</v>
      </c>
      <c r="N264" s="117">
        <f t="shared" si="35"/>
        <v>1</v>
      </c>
      <c r="O264" s="81">
        <f t="shared" si="36"/>
        <v>4.12</v>
      </c>
      <c r="P264" s="81">
        <f>IF(G264="","",ABS(O264-Components!$C$2))</f>
        <v>1.3666666666666702</v>
      </c>
      <c r="Q264" s="81">
        <f>IF(G264="","",ABS(O264-Components!$C$3))</f>
        <v>8.4000000000000519E-2</v>
      </c>
      <c r="R264" s="81">
        <f>IF(G264="","",ABS(O264-Components!$C$4))</f>
        <v>3.1266666666666669</v>
      </c>
      <c r="S264" s="81">
        <f>IF(G264="","",ABS(O264-Components!$C$5))</f>
        <v>0.44266666666667032</v>
      </c>
      <c r="T264" s="81">
        <f>IF(G264="","",ABS(O264-Components!$C$6))</f>
        <v>2.9643333333333302</v>
      </c>
      <c r="U264" s="81">
        <f>IF(G264="","",ABS(O264-Components!$C$7))</f>
        <v>2.7456666666666703</v>
      </c>
      <c r="V264" s="81" t="str">
        <f>IF(G264="","",IF(M264="OK","NONE",INDEX({"S1","S2","W1","W2","N1","N2"},MATCH(MIN(P264:U264),P264:U264,0))))</f>
        <v>S2</v>
      </c>
      <c r="W264" s="117">
        <f t="shared" si="37"/>
        <v>1</v>
      </c>
      <c r="X264" s="58"/>
    </row>
    <row r="265" spans="1:24">
      <c r="A265" s="115">
        <v>263</v>
      </c>
      <c r="B265" s="116">
        <v>9</v>
      </c>
      <c r="C265" s="81" t="s">
        <v>130</v>
      </c>
      <c r="D265" s="111" t="s">
        <v>240</v>
      </c>
      <c r="E265" s="81" t="s">
        <v>102</v>
      </c>
      <c r="F265" s="61">
        <v>4.83</v>
      </c>
      <c r="G265" s="52">
        <f t="shared" si="31"/>
        <v>5.8</v>
      </c>
      <c r="H265" s="110"/>
      <c r="I265" s="81">
        <v>9.91</v>
      </c>
      <c r="J265" s="81">
        <f>VLOOKUP(C265,Recipes!$A$2:$N$4,12,FALSE())</f>
        <v>5.0137397426368718E-2</v>
      </c>
      <c r="K265" s="81">
        <f t="shared" si="32"/>
        <v>9.7345191090077101</v>
      </c>
      <c r="L265" s="81">
        <f t="shared" si="33"/>
        <v>10.08548089099229</v>
      </c>
      <c r="M265" s="81" t="str">
        <f t="shared" si="34"/>
        <v>NG</v>
      </c>
      <c r="N265" s="117">
        <f t="shared" si="35"/>
        <v>1</v>
      </c>
      <c r="O265" s="81">
        <f t="shared" si="36"/>
        <v>4.1100000000000003</v>
      </c>
      <c r="P265" s="81">
        <f>IF(G265="","",ABS(O265-Components!$C$2))</f>
        <v>1.3566666666666705</v>
      </c>
      <c r="Q265" s="81">
        <f>IF(G265="","",ABS(O265-Components!$C$3))</f>
        <v>7.4000000000000732E-2</v>
      </c>
      <c r="R265" s="81">
        <f>IF(G265="","",ABS(O265-Components!$C$4))</f>
        <v>3.1166666666666671</v>
      </c>
      <c r="S265" s="81">
        <f>IF(G265="","",ABS(O265-Components!$C$5))</f>
        <v>0.4526666666666701</v>
      </c>
      <c r="T265" s="81">
        <f>IF(G265="","",ABS(O265-Components!$C$6))</f>
        <v>2.9543333333333304</v>
      </c>
      <c r="U265" s="81">
        <f>IF(G265="","",ABS(O265-Components!$C$7))</f>
        <v>2.7356666666666705</v>
      </c>
      <c r="V265" s="81" t="str">
        <f>IF(G265="","",IF(M265="OK","NONE",INDEX({"S1","S2","W1","W2","N1","N2"},MATCH(MIN(P265:U265),P265:U265,0))))</f>
        <v>S2</v>
      </c>
      <c r="W265" s="117">
        <f t="shared" si="37"/>
        <v>1</v>
      </c>
      <c r="X265" s="58"/>
    </row>
    <row r="266" spans="1:24">
      <c r="A266" s="115">
        <v>264</v>
      </c>
      <c r="B266" s="116">
        <v>9</v>
      </c>
      <c r="C266" s="61" t="s">
        <v>130</v>
      </c>
      <c r="D266" s="61" t="s">
        <v>240</v>
      </c>
      <c r="E266" s="61" t="s">
        <v>102</v>
      </c>
      <c r="F266" s="61">
        <v>4.78</v>
      </c>
      <c r="G266" s="52">
        <f t="shared" si="31"/>
        <v>5.75</v>
      </c>
      <c r="H266" s="110"/>
      <c r="I266" s="81">
        <v>9.91</v>
      </c>
      <c r="J266" s="81">
        <f>VLOOKUP(C266,Recipes!$A$2:$N$4,12,FALSE())</f>
        <v>5.0137397426368718E-2</v>
      </c>
      <c r="K266" s="81">
        <f t="shared" si="32"/>
        <v>9.7345191090077101</v>
      </c>
      <c r="L266" s="81">
        <f t="shared" si="33"/>
        <v>10.08548089099229</v>
      </c>
      <c r="M266" s="81" t="str">
        <f t="shared" si="34"/>
        <v>NG</v>
      </c>
      <c r="N266" s="117">
        <f t="shared" si="35"/>
        <v>1</v>
      </c>
      <c r="O266" s="81">
        <f t="shared" si="36"/>
        <v>4.16</v>
      </c>
      <c r="P266" s="81">
        <f>IF(G266="","",ABS(O266-Components!$C$2))</f>
        <v>1.4066666666666703</v>
      </c>
      <c r="Q266" s="81">
        <f>IF(G266="","",ABS(O266-Components!$C$3))</f>
        <v>0.12400000000000055</v>
      </c>
      <c r="R266" s="81">
        <f>IF(G266="","",ABS(O266-Components!$C$4))</f>
        <v>3.166666666666667</v>
      </c>
      <c r="S266" s="81">
        <f>IF(G266="","",ABS(O266-Components!$C$5))</f>
        <v>0.40266666666667028</v>
      </c>
      <c r="T266" s="81">
        <f>IF(G266="","",ABS(O266-Components!$C$6))</f>
        <v>3.0043333333333302</v>
      </c>
      <c r="U266" s="81">
        <f>IF(G266="","",ABS(O266-Components!$C$7))</f>
        <v>2.7856666666666703</v>
      </c>
      <c r="V266" s="81" t="str">
        <f>IF(G266="","",IF(M266="OK","NONE",INDEX({"S1","S2","W1","W2","N1","N2"},MATCH(MIN(P266:U266),P266:U266,0))))</f>
        <v>S2</v>
      </c>
      <c r="W266" s="117">
        <f t="shared" si="37"/>
        <v>1</v>
      </c>
      <c r="X266" s="58"/>
    </row>
    <row r="267" spans="1:24">
      <c r="A267" s="115">
        <v>265</v>
      </c>
      <c r="B267" s="116">
        <v>9</v>
      </c>
      <c r="C267" s="61" t="s">
        <v>130</v>
      </c>
      <c r="D267" s="61" t="s">
        <v>240</v>
      </c>
      <c r="E267" s="61" t="s">
        <v>102</v>
      </c>
      <c r="F267" s="61">
        <v>4.88</v>
      </c>
      <c r="G267" s="52">
        <f t="shared" si="31"/>
        <v>5.85</v>
      </c>
      <c r="H267" s="110"/>
      <c r="I267" s="81">
        <v>9.91</v>
      </c>
      <c r="J267" s="81">
        <f>VLOOKUP(C267,Recipes!$A$2:$N$4,12,FALSE())</f>
        <v>5.0137397426368718E-2</v>
      </c>
      <c r="K267" s="81">
        <f t="shared" si="32"/>
        <v>9.7345191090077101</v>
      </c>
      <c r="L267" s="81">
        <f t="shared" si="33"/>
        <v>10.08548089099229</v>
      </c>
      <c r="M267" s="81" t="str">
        <f t="shared" si="34"/>
        <v>NG</v>
      </c>
      <c r="N267" s="117">
        <f t="shared" si="35"/>
        <v>1</v>
      </c>
      <c r="O267" s="81">
        <f t="shared" si="36"/>
        <v>4.0600000000000005</v>
      </c>
      <c r="P267" s="81">
        <f>IF(G267="","",ABS(O267-Components!$C$2))</f>
        <v>1.3066666666666706</v>
      </c>
      <c r="Q267" s="81">
        <f>IF(G267="","",ABS(O267-Components!$C$3))</f>
        <v>2.4000000000000909E-2</v>
      </c>
      <c r="R267" s="81">
        <f>IF(G267="","",ABS(O267-Components!$C$4))</f>
        <v>3.0666666666666673</v>
      </c>
      <c r="S267" s="81">
        <f>IF(G267="","",ABS(O267-Components!$C$5))</f>
        <v>0.50266666666666993</v>
      </c>
      <c r="T267" s="81">
        <f>IF(G267="","",ABS(O267-Components!$C$6))</f>
        <v>2.9043333333333305</v>
      </c>
      <c r="U267" s="81">
        <f>IF(G267="","",ABS(O267-Components!$C$7))</f>
        <v>2.6856666666666706</v>
      </c>
      <c r="V267" s="81" t="str">
        <f>IF(G267="","",IF(M267="OK","NONE",INDEX({"S1","S2","W1","W2","N1","N2"},MATCH(MIN(P267:U267),P267:U267,0))))</f>
        <v>S2</v>
      </c>
      <c r="W267" s="117">
        <f t="shared" si="37"/>
        <v>1</v>
      </c>
      <c r="X267" s="58"/>
    </row>
    <row r="268" spans="1:24">
      <c r="A268" s="115">
        <v>266</v>
      </c>
      <c r="B268" s="116">
        <v>9</v>
      </c>
      <c r="C268" s="81" t="s">
        <v>130</v>
      </c>
      <c r="D268" s="111" t="s">
        <v>240</v>
      </c>
      <c r="E268" s="81" t="s">
        <v>102</v>
      </c>
      <c r="F268" s="52">
        <v>4.91</v>
      </c>
      <c r="G268" s="52">
        <f t="shared" si="31"/>
        <v>5.88</v>
      </c>
      <c r="H268" s="110"/>
      <c r="I268" s="81">
        <v>9.91</v>
      </c>
      <c r="J268" s="81">
        <f>VLOOKUP(C268,Recipes!$A$2:$N$4,12,FALSE())</f>
        <v>5.0137397426368718E-2</v>
      </c>
      <c r="K268" s="81">
        <f t="shared" si="32"/>
        <v>9.7345191090077101</v>
      </c>
      <c r="L268" s="81">
        <f t="shared" si="33"/>
        <v>10.08548089099229</v>
      </c>
      <c r="M268" s="81" t="str">
        <f t="shared" si="34"/>
        <v>NG</v>
      </c>
      <c r="N268" s="117">
        <f t="shared" si="35"/>
        <v>1</v>
      </c>
      <c r="O268" s="81">
        <f t="shared" si="36"/>
        <v>4.03</v>
      </c>
      <c r="P268" s="81">
        <f>IF(G268="","",ABS(O268-Components!$C$2))</f>
        <v>1.2766666666666704</v>
      </c>
      <c r="Q268" s="81">
        <f>IF(G268="","",ABS(O268-Components!$C$3))</f>
        <v>5.9999999999993392E-3</v>
      </c>
      <c r="R268" s="81">
        <f>IF(G268="","",ABS(O268-Components!$C$4))</f>
        <v>3.0366666666666671</v>
      </c>
      <c r="S268" s="81">
        <f>IF(G268="","",ABS(O268-Components!$C$5))</f>
        <v>0.53266666666667017</v>
      </c>
      <c r="T268" s="81">
        <f>IF(G268="","",ABS(O268-Components!$C$6))</f>
        <v>2.8743333333333303</v>
      </c>
      <c r="U268" s="81">
        <f>IF(G268="","",ABS(O268-Components!$C$7))</f>
        <v>2.6556666666666704</v>
      </c>
      <c r="V268" s="81" t="str">
        <f>IF(G268="","",IF(M268="OK","NONE",INDEX({"S1","S2","W1","W2","N1","N2"},MATCH(MIN(P268:U268),P268:U268,0))))</f>
        <v>S2</v>
      </c>
      <c r="W268" s="117">
        <f t="shared" si="37"/>
        <v>1</v>
      </c>
      <c r="X268" s="58"/>
    </row>
    <row r="269" spans="1:24">
      <c r="A269" s="115">
        <v>267</v>
      </c>
      <c r="B269" s="116">
        <v>9</v>
      </c>
      <c r="C269" s="81" t="s">
        <v>130</v>
      </c>
      <c r="D269" s="111" t="s">
        <v>240</v>
      </c>
      <c r="E269" s="81" t="s">
        <v>102</v>
      </c>
      <c r="F269" s="52">
        <v>4.8899999999999997</v>
      </c>
      <c r="G269" s="52">
        <f t="shared" si="31"/>
        <v>5.8599999999999994</v>
      </c>
      <c r="H269" s="110"/>
      <c r="I269" s="81">
        <v>9.91</v>
      </c>
      <c r="J269" s="81">
        <f>VLOOKUP(C269,Recipes!$A$2:$N$4,12,FALSE())</f>
        <v>5.0137397426368718E-2</v>
      </c>
      <c r="K269" s="81">
        <f t="shared" si="32"/>
        <v>9.7345191090077101</v>
      </c>
      <c r="L269" s="81">
        <f t="shared" si="33"/>
        <v>10.08548089099229</v>
      </c>
      <c r="M269" s="81" t="str">
        <f t="shared" si="34"/>
        <v>NG</v>
      </c>
      <c r="N269" s="117">
        <f t="shared" si="35"/>
        <v>1</v>
      </c>
      <c r="O269" s="81">
        <f t="shared" si="36"/>
        <v>4.0500000000000007</v>
      </c>
      <c r="P269" s="81">
        <f>IF(G269="","",ABS(O269-Components!$C$2))</f>
        <v>1.2966666666666709</v>
      </c>
      <c r="Q269" s="81">
        <f>IF(G269="","",ABS(O269-Components!$C$3))</f>
        <v>1.4000000000001123E-2</v>
      </c>
      <c r="R269" s="81">
        <f>IF(G269="","",ABS(O269-Components!$C$4))</f>
        <v>3.0566666666666675</v>
      </c>
      <c r="S269" s="81">
        <f>IF(G269="","",ABS(O269-Components!$C$5))</f>
        <v>0.51266666666666971</v>
      </c>
      <c r="T269" s="81">
        <f>IF(G269="","",ABS(O269-Components!$C$6))</f>
        <v>2.8943333333333308</v>
      </c>
      <c r="U269" s="81">
        <f>IF(G269="","",ABS(O269-Components!$C$7))</f>
        <v>2.6756666666666709</v>
      </c>
      <c r="V269" s="81" t="str">
        <f>IF(G269="","",IF(M269="OK","NONE",INDEX({"S1","S2","W1","W2","N1","N2"},MATCH(MIN(P269:U269),P269:U269,0))))</f>
        <v>S2</v>
      </c>
      <c r="W269" s="117">
        <f t="shared" si="37"/>
        <v>1</v>
      </c>
      <c r="X269" s="58"/>
    </row>
    <row r="270" spans="1:24">
      <c r="A270" s="115">
        <v>268</v>
      </c>
      <c r="B270" s="116">
        <v>9</v>
      </c>
      <c r="C270" s="81" t="s">
        <v>130</v>
      </c>
      <c r="D270" s="111" t="s">
        <v>240</v>
      </c>
      <c r="E270" s="81" t="s">
        <v>102</v>
      </c>
      <c r="F270" s="52">
        <v>4.8899999999999997</v>
      </c>
      <c r="G270" s="52">
        <f t="shared" si="31"/>
        <v>5.8599999999999994</v>
      </c>
      <c r="H270" s="110"/>
      <c r="I270" s="81">
        <v>9.91</v>
      </c>
      <c r="J270" s="81">
        <f>VLOOKUP(C270,Recipes!$A$2:$N$4,12,FALSE())</f>
        <v>5.0137397426368718E-2</v>
      </c>
      <c r="K270" s="81">
        <f t="shared" si="32"/>
        <v>9.7345191090077101</v>
      </c>
      <c r="L270" s="81">
        <f t="shared" si="33"/>
        <v>10.08548089099229</v>
      </c>
      <c r="M270" s="81" t="str">
        <f t="shared" si="34"/>
        <v>NG</v>
      </c>
      <c r="N270" s="117">
        <f t="shared" si="35"/>
        <v>1</v>
      </c>
      <c r="O270" s="81">
        <f t="shared" si="36"/>
        <v>4.0500000000000007</v>
      </c>
      <c r="P270" s="81">
        <f>IF(G270="","",ABS(O270-Components!$C$2))</f>
        <v>1.2966666666666709</v>
      </c>
      <c r="Q270" s="81">
        <f>IF(G270="","",ABS(O270-Components!$C$3))</f>
        <v>1.4000000000001123E-2</v>
      </c>
      <c r="R270" s="81">
        <f>IF(G270="","",ABS(O270-Components!$C$4))</f>
        <v>3.0566666666666675</v>
      </c>
      <c r="S270" s="81">
        <f>IF(G270="","",ABS(O270-Components!$C$5))</f>
        <v>0.51266666666666971</v>
      </c>
      <c r="T270" s="81">
        <f>IF(G270="","",ABS(O270-Components!$C$6))</f>
        <v>2.8943333333333308</v>
      </c>
      <c r="U270" s="81">
        <f>IF(G270="","",ABS(O270-Components!$C$7))</f>
        <v>2.6756666666666709</v>
      </c>
      <c r="V270" s="81" t="str">
        <f>IF(G270="","",IF(M270="OK","NONE",INDEX({"S1","S2","W1","W2","N1","N2"},MATCH(MIN(P270:U270),P270:U270,0))))</f>
        <v>S2</v>
      </c>
      <c r="W270" s="117">
        <f t="shared" si="37"/>
        <v>1</v>
      </c>
      <c r="X270" s="58"/>
    </row>
    <row r="271" spans="1:24">
      <c r="A271" s="115">
        <v>269</v>
      </c>
      <c r="B271" s="116">
        <v>9</v>
      </c>
      <c r="C271" s="61" t="s">
        <v>130</v>
      </c>
      <c r="D271" s="61" t="s">
        <v>240</v>
      </c>
      <c r="E271" s="61" t="s">
        <v>102</v>
      </c>
      <c r="F271" s="61">
        <v>4.9000000000000004</v>
      </c>
      <c r="G271" s="52">
        <f t="shared" si="31"/>
        <v>5.87</v>
      </c>
      <c r="H271" s="110"/>
      <c r="I271" s="81">
        <v>9.91</v>
      </c>
      <c r="J271" s="81">
        <f>VLOOKUP(C271,Recipes!$A$2:$N$4,12,FALSE())</f>
        <v>5.0137397426368718E-2</v>
      </c>
      <c r="K271" s="81">
        <f t="shared" si="32"/>
        <v>9.7345191090077101</v>
      </c>
      <c r="L271" s="81">
        <f t="shared" si="33"/>
        <v>10.08548089099229</v>
      </c>
      <c r="M271" s="81" t="str">
        <f t="shared" si="34"/>
        <v>NG</v>
      </c>
      <c r="N271" s="117">
        <f t="shared" si="35"/>
        <v>1</v>
      </c>
      <c r="O271" s="81">
        <f t="shared" si="36"/>
        <v>4.04</v>
      </c>
      <c r="P271" s="81">
        <f>IF(G271="","",ABS(O271-Components!$C$2))</f>
        <v>1.2866666666666702</v>
      </c>
      <c r="Q271" s="81">
        <f>IF(G271="","",ABS(O271-Components!$C$3))</f>
        <v>4.0000000000004476E-3</v>
      </c>
      <c r="R271" s="81">
        <f>IF(G271="","",ABS(O271-Components!$C$4))</f>
        <v>3.0466666666666669</v>
      </c>
      <c r="S271" s="81">
        <f>IF(G271="","",ABS(O271-Components!$C$5))</f>
        <v>0.52266666666667039</v>
      </c>
      <c r="T271" s="81">
        <f>IF(G271="","",ABS(O271-Components!$C$6))</f>
        <v>2.8843333333333301</v>
      </c>
      <c r="U271" s="81">
        <f>IF(G271="","",ABS(O271-Components!$C$7))</f>
        <v>2.6656666666666702</v>
      </c>
      <c r="V271" s="81" t="str">
        <f>IF(G271="","",IF(M271="OK","NONE",INDEX({"S1","S2","W1","W2","N1","N2"},MATCH(MIN(P271:U271),P271:U271,0))))</f>
        <v>S2</v>
      </c>
      <c r="W271" s="117">
        <f t="shared" si="37"/>
        <v>1</v>
      </c>
      <c r="X271" s="58"/>
    </row>
    <row r="272" spans="1:24">
      <c r="A272" s="115">
        <v>270</v>
      </c>
      <c r="B272" s="116">
        <v>9</v>
      </c>
      <c r="C272" s="61" t="s">
        <v>130</v>
      </c>
      <c r="D272" s="61" t="s">
        <v>240</v>
      </c>
      <c r="E272" s="61" t="s">
        <v>102</v>
      </c>
      <c r="F272" s="61">
        <v>4.91</v>
      </c>
      <c r="G272" s="52">
        <f t="shared" si="31"/>
        <v>5.88</v>
      </c>
      <c r="H272" s="110"/>
      <c r="I272" s="81">
        <v>9.91</v>
      </c>
      <c r="J272" s="81">
        <f>VLOOKUP(C272,Recipes!$A$2:$N$4,12,FALSE())</f>
        <v>5.0137397426368718E-2</v>
      </c>
      <c r="K272" s="81">
        <f t="shared" si="32"/>
        <v>9.7345191090077101</v>
      </c>
      <c r="L272" s="81">
        <f t="shared" si="33"/>
        <v>10.08548089099229</v>
      </c>
      <c r="M272" s="81" t="str">
        <f t="shared" si="34"/>
        <v>NG</v>
      </c>
      <c r="N272" s="117">
        <f t="shared" si="35"/>
        <v>1</v>
      </c>
      <c r="O272" s="81">
        <f t="shared" si="36"/>
        <v>4.03</v>
      </c>
      <c r="P272" s="81">
        <f>IF(G272="","",ABS(O272-Components!$C$2))</f>
        <v>1.2766666666666704</v>
      </c>
      <c r="Q272" s="81">
        <f>IF(G272="","",ABS(O272-Components!$C$3))</f>
        <v>5.9999999999993392E-3</v>
      </c>
      <c r="R272" s="81">
        <f>IF(G272="","",ABS(O272-Components!$C$4))</f>
        <v>3.0366666666666671</v>
      </c>
      <c r="S272" s="81">
        <f>IF(G272="","",ABS(O272-Components!$C$5))</f>
        <v>0.53266666666667017</v>
      </c>
      <c r="T272" s="81">
        <f>IF(G272="","",ABS(O272-Components!$C$6))</f>
        <v>2.8743333333333303</v>
      </c>
      <c r="U272" s="81">
        <f>IF(G272="","",ABS(O272-Components!$C$7))</f>
        <v>2.6556666666666704</v>
      </c>
      <c r="V272" s="81" t="str">
        <f>IF(G272="","",IF(M272="OK","NONE",INDEX({"S1","S2","W1","W2","N1","N2"},MATCH(MIN(P272:U272),P272:U272,0))))</f>
        <v>S2</v>
      </c>
      <c r="W272" s="117">
        <f t="shared" si="37"/>
        <v>1</v>
      </c>
      <c r="X272" s="58"/>
    </row>
    <row r="273" spans="1:24">
      <c r="A273" s="115">
        <v>271</v>
      </c>
      <c r="B273" s="116">
        <v>10</v>
      </c>
      <c r="C273" s="81" t="s">
        <v>132</v>
      </c>
      <c r="D273" s="109" t="s">
        <v>238</v>
      </c>
      <c r="E273" s="81" t="s">
        <v>239</v>
      </c>
      <c r="F273" s="52">
        <v>8.65</v>
      </c>
      <c r="G273" s="52">
        <f t="shared" si="31"/>
        <v>9.620000000000001</v>
      </c>
      <c r="H273" s="110"/>
      <c r="I273" s="81">
        <v>9.61</v>
      </c>
      <c r="J273" s="81">
        <f>VLOOKUP(C273,Recipes!$A$2:$N$4,12,FALSE())</f>
        <v>6.1509461004819709E-2</v>
      </c>
      <c r="K273" s="81">
        <f t="shared" si="32"/>
        <v>9.3947168864831312</v>
      </c>
      <c r="L273" s="81">
        <f t="shared" si="33"/>
        <v>9.8252831135168677</v>
      </c>
      <c r="M273" s="81" t="str">
        <f t="shared" si="34"/>
        <v>OK</v>
      </c>
      <c r="N273" s="117">
        <f t="shared" si="35"/>
        <v>1</v>
      </c>
      <c r="O273" s="81">
        <f t="shared" si="36"/>
        <v>-1.0000000000001563E-2</v>
      </c>
      <c r="P273" s="81">
        <f>IF(G273="","",ABS(O273-Components!$C$2))</f>
        <v>2.7633333333333314</v>
      </c>
      <c r="Q273" s="81">
        <f>IF(G273="","",ABS(O273-Components!$C$3))</f>
        <v>4.0460000000000012</v>
      </c>
      <c r="R273" s="81">
        <f>IF(G273="","",ABS(O273-Components!$C$4))</f>
        <v>1.0033333333333345</v>
      </c>
      <c r="S273" s="81">
        <f>IF(G273="","",ABS(O273-Components!$C$5))</f>
        <v>4.572666666666672</v>
      </c>
      <c r="T273" s="81">
        <f>IF(G273="","",ABS(O273-Components!$C$6))</f>
        <v>1.1656666666666715</v>
      </c>
      <c r="U273" s="81">
        <f>IF(G273="","",ABS(O273-Components!$C$7))</f>
        <v>1.3843333333333316</v>
      </c>
      <c r="V273" s="81" t="str">
        <f>IF(G273="","",IF(M273="OK","NONE",INDEX({"S1","S2","W1","W2","N1","N2"},MATCH(MIN(P273:U273),P273:U273,0))))</f>
        <v>NONE</v>
      </c>
      <c r="W273" s="117">
        <f t="shared" si="37"/>
        <v>1</v>
      </c>
      <c r="X273" s="58"/>
    </row>
    <row r="274" spans="1:24">
      <c r="A274" s="115">
        <v>272</v>
      </c>
      <c r="B274" s="116">
        <v>10</v>
      </c>
      <c r="C274" s="81" t="s">
        <v>132</v>
      </c>
      <c r="D274" s="109" t="s">
        <v>238</v>
      </c>
      <c r="E274" s="81" t="s">
        <v>239</v>
      </c>
      <c r="F274" s="52">
        <v>8.5299999999999994</v>
      </c>
      <c r="G274" s="52">
        <f t="shared" si="31"/>
        <v>9.5</v>
      </c>
      <c r="H274" s="110"/>
      <c r="I274" s="81">
        <v>9.61</v>
      </c>
      <c r="J274" s="81">
        <f>VLOOKUP(C274,Recipes!$A$2:$N$4,12,FALSE())</f>
        <v>6.1509461004819709E-2</v>
      </c>
      <c r="K274" s="81">
        <f t="shared" si="32"/>
        <v>9.3947168864831312</v>
      </c>
      <c r="L274" s="81">
        <f t="shared" si="33"/>
        <v>9.8252831135168677</v>
      </c>
      <c r="M274" s="81" t="str">
        <f t="shared" si="34"/>
        <v>OK</v>
      </c>
      <c r="N274" s="117">
        <f t="shared" si="35"/>
        <v>1</v>
      </c>
      <c r="O274" s="81">
        <f t="shared" si="36"/>
        <v>0.10999999999999943</v>
      </c>
      <c r="P274" s="81">
        <f>IF(G274="","",ABS(O274-Components!$C$2))</f>
        <v>2.6433333333333304</v>
      </c>
      <c r="Q274" s="81">
        <f>IF(G274="","",ABS(O274-Components!$C$3))</f>
        <v>3.9260000000000002</v>
      </c>
      <c r="R274" s="81">
        <f>IF(G274="","",ABS(O274-Components!$C$4))</f>
        <v>0.88333333333333353</v>
      </c>
      <c r="S274" s="81">
        <f>IF(G274="","",ABS(O274-Components!$C$5))</f>
        <v>4.452666666666671</v>
      </c>
      <c r="T274" s="81">
        <f>IF(G274="","",ABS(O274-Components!$C$6))</f>
        <v>1.0456666666666705</v>
      </c>
      <c r="U274" s="81">
        <f>IF(G274="","",ABS(O274-Components!$C$7))</f>
        <v>1.2643333333333306</v>
      </c>
      <c r="V274" s="81" t="str">
        <f>IF(G274="","",IF(M274="OK","NONE",INDEX({"S1","S2","W1","W2","N1","N2"},MATCH(MIN(P274:U274),P274:U274,0))))</f>
        <v>NONE</v>
      </c>
      <c r="W274" s="117">
        <f t="shared" si="37"/>
        <v>1</v>
      </c>
      <c r="X274" s="58"/>
    </row>
    <row r="275" spans="1:24">
      <c r="A275" s="115">
        <v>273</v>
      </c>
      <c r="B275" s="116">
        <v>10</v>
      </c>
      <c r="C275" s="81" t="s">
        <v>132</v>
      </c>
      <c r="D275" s="109" t="s">
        <v>238</v>
      </c>
      <c r="E275" s="81" t="s">
        <v>239</v>
      </c>
      <c r="F275" s="61">
        <v>8.58</v>
      </c>
      <c r="G275" s="52">
        <f t="shared" si="31"/>
        <v>9.5500000000000007</v>
      </c>
      <c r="H275" s="110"/>
      <c r="I275" s="81">
        <v>9.61</v>
      </c>
      <c r="J275" s="81">
        <f>VLOOKUP(C275,Recipes!$A$2:$N$4,12,FALSE())</f>
        <v>6.1509461004819709E-2</v>
      </c>
      <c r="K275" s="81">
        <f t="shared" si="32"/>
        <v>9.3947168864831312</v>
      </c>
      <c r="L275" s="81">
        <f t="shared" si="33"/>
        <v>9.8252831135168677</v>
      </c>
      <c r="M275" s="81" t="str">
        <f t="shared" si="34"/>
        <v>OK</v>
      </c>
      <c r="N275" s="117">
        <f t="shared" si="35"/>
        <v>1</v>
      </c>
      <c r="O275" s="81">
        <f t="shared" si="36"/>
        <v>5.9999999999998721E-2</v>
      </c>
      <c r="P275" s="81">
        <f>IF(G275="","",ABS(O275-Components!$C$2))</f>
        <v>2.6933333333333311</v>
      </c>
      <c r="Q275" s="81">
        <f>IF(G275="","",ABS(O275-Components!$C$3))</f>
        <v>3.9760000000000009</v>
      </c>
      <c r="R275" s="81">
        <f>IF(G275="","",ABS(O275-Components!$C$4))</f>
        <v>0.93333333333333424</v>
      </c>
      <c r="S275" s="81">
        <f>IF(G275="","",ABS(O275-Components!$C$5))</f>
        <v>4.5026666666666717</v>
      </c>
      <c r="T275" s="81">
        <f>IF(G275="","",ABS(O275-Components!$C$6))</f>
        <v>1.0956666666666712</v>
      </c>
      <c r="U275" s="81">
        <f>IF(G275="","",ABS(O275-Components!$C$7))</f>
        <v>1.3143333333333314</v>
      </c>
      <c r="V275" s="81" t="str">
        <f>IF(G275="","",IF(M275="OK","NONE",INDEX({"S1","S2","W1","W2","N1","N2"},MATCH(MIN(P275:U275),P275:U275,0))))</f>
        <v>NONE</v>
      </c>
      <c r="W275" s="117">
        <f t="shared" si="37"/>
        <v>1</v>
      </c>
      <c r="X275" s="58"/>
    </row>
    <row r="276" spans="1:24">
      <c r="A276" s="115">
        <v>274</v>
      </c>
      <c r="B276" s="116">
        <v>10</v>
      </c>
      <c r="C276" s="81" t="s">
        <v>132</v>
      </c>
      <c r="D276" s="109" t="s">
        <v>238</v>
      </c>
      <c r="E276" s="81" t="s">
        <v>239</v>
      </c>
      <c r="F276" s="61">
        <v>8.66</v>
      </c>
      <c r="G276" s="52">
        <f t="shared" si="31"/>
        <v>9.6300000000000008</v>
      </c>
      <c r="H276" s="110"/>
      <c r="I276" s="81">
        <v>9.61</v>
      </c>
      <c r="J276" s="81">
        <f>VLOOKUP(C276,Recipes!$A$2:$N$4,12,FALSE())</f>
        <v>6.1509461004819709E-2</v>
      </c>
      <c r="K276" s="81">
        <f t="shared" si="32"/>
        <v>9.3947168864831312</v>
      </c>
      <c r="L276" s="81">
        <f t="shared" si="33"/>
        <v>9.8252831135168677</v>
      </c>
      <c r="M276" s="81" t="str">
        <f t="shared" si="34"/>
        <v>OK</v>
      </c>
      <c r="N276" s="117">
        <f t="shared" si="35"/>
        <v>1</v>
      </c>
      <c r="O276" s="81">
        <f t="shared" si="36"/>
        <v>-2.000000000000135E-2</v>
      </c>
      <c r="P276" s="81">
        <f>IF(G276="","",ABS(O276-Components!$C$2))</f>
        <v>2.7733333333333312</v>
      </c>
      <c r="Q276" s="81">
        <f>IF(G276="","",ABS(O276-Components!$C$3))</f>
        <v>4.0560000000000009</v>
      </c>
      <c r="R276" s="81">
        <f>IF(G276="","",ABS(O276-Components!$C$4))</f>
        <v>1.0133333333333343</v>
      </c>
      <c r="S276" s="81">
        <f>IF(G276="","",ABS(O276-Components!$C$5))</f>
        <v>4.5826666666666718</v>
      </c>
      <c r="T276" s="81">
        <f>IF(G276="","",ABS(O276-Components!$C$6))</f>
        <v>1.1756666666666713</v>
      </c>
      <c r="U276" s="81">
        <f>IF(G276="","",ABS(O276-Components!$C$7))</f>
        <v>1.3943333333333314</v>
      </c>
      <c r="V276" s="81" t="str">
        <f>IF(G276="","",IF(M276="OK","NONE",INDEX({"S1","S2","W1","W2","N1","N2"},MATCH(MIN(P276:U276),P276:U276,0))))</f>
        <v>NONE</v>
      </c>
      <c r="W276" s="117">
        <f t="shared" si="37"/>
        <v>1</v>
      </c>
      <c r="X276" s="58"/>
    </row>
    <row r="277" spans="1:24">
      <c r="A277" s="115">
        <v>275</v>
      </c>
      <c r="B277" s="116">
        <v>10</v>
      </c>
      <c r="C277" s="81" t="s">
        <v>132</v>
      </c>
      <c r="D277" s="109" t="s">
        <v>238</v>
      </c>
      <c r="E277" s="81" t="s">
        <v>239</v>
      </c>
      <c r="F277" s="61">
        <v>8.57</v>
      </c>
      <c r="G277" s="52">
        <f t="shared" si="31"/>
        <v>9.5400000000000009</v>
      </c>
      <c r="H277" s="110"/>
      <c r="I277" s="81">
        <v>9.61</v>
      </c>
      <c r="J277" s="81">
        <f>VLOOKUP(C277,Recipes!$A$2:$N$4,12,FALSE())</f>
        <v>6.1509461004819709E-2</v>
      </c>
      <c r="K277" s="81">
        <f t="shared" si="32"/>
        <v>9.3947168864831312</v>
      </c>
      <c r="L277" s="81">
        <f t="shared" si="33"/>
        <v>9.8252831135168677</v>
      </c>
      <c r="M277" s="81" t="str">
        <f t="shared" si="34"/>
        <v>OK</v>
      </c>
      <c r="N277" s="117">
        <f t="shared" si="35"/>
        <v>1</v>
      </c>
      <c r="O277" s="81">
        <f t="shared" si="36"/>
        <v>6.9999999999998508E-2</v>
      </c>
      <c r="P277" s="81">
        <f>IF(G277="","",ABS(O277-Components!$C$2))</f>
        <v>2.6833333333333313</v>
      </c>
      <c r="Q277" s="81">
        <f>IF(G277="","",ABS(O277-Components!$C$3))</f>
        <v>3.9660000000000011</v>
      </c>
      <c r="R277" s="81">
        <f>IF(G277="","",ABS(O277-Components!$C$4))</f>
        <v>0.92333333333333445</v>
      </c>
      <c r="S277" s="81">
        <f>IF(G277="","",ABS(O277-Components!$C$5))</f>
        <v>4.4926666666666719</v>
      </c>
      <c r="T277" s="81">
        <f>IF(G277="","",ABS(O277-Components!$C$6))</f>
        <v>1.0856666666666714</v>
      </c>
      <c r="U277" s="81">
        <f>IF(G277="","",ABS(O277-Components!$C$7))</f>
        <v>1.3043333333333316</v>
      </c>
      <c r="V277" s="81" t="str">
        <f>IF(G277="","",IF(M277="OK","NONE",INDEX({"S1","S2","W1","W2","N1","N2"},MATCH(MIN(P277:U277),P277:U277,0))))</f>
        <v>NONE</v>
      </c>
      <c r="W277" s="117">
        <f t="shared" si="37"/>
        <v>1</v>
      </c>
      <c r="X277" s="58"/>
    </row>
    <row r="278" spans="1:24">
      <c r="A278" s="115">
        <v>276</v>
      </c>
      <c r="B278" s="116">
        <v>10</v>
      </c>
      <c r="C278" s="81" t="s">
        <v>132</v>
      </c>
      <c r="D278" s="109" t="s">
        <v>238</v>
      </c>
      <c r="E278" s="81" t="s">
        <v>239</v>
      </c>
      <c r="F278" s="61">
        <v>8.6</v>
      </c>
      <c r="G278" s="52">
        <f t="shared" si="31"/>
        <v>9.57</v>
      </c>
      <c r="H278" s="110"/>
      <c r="I278" s="81">
        <v>9.61</v>
      </c>
      <c r="J278" s="81">
        <f>VLOOKUP(C278,Recipes!$A$2:$N$4,12,FALSE())</f>
        <v>6.1509461004819709E-2</v>
      </c>
      <c r="K278" s="81">
        <f t="shared" si="32"/>
        <v>9.3947168864831312</v>
      </c>
      <c r="L278" s="81">
        <f t="shared" si="33"/>
        <v>9.8252831135168677</v>
      </c>
      <c r="M278" s="81" t="str">
        <f t="shared" si="34"/>
        <v>OK</v>
      </c>
      <c r="N278" s="117">
        <f t="shared" si="35"/>
        <v>1</v>
      </c>
      <c r="O278" s="81">
        <f t="shared" si="36"/>
        <v>3.9999999999999147E-2</v>
      </c>
      <c r="P278" s="81">
        <f>IF(G278="","",ABS(O278-Components!$C$2))</f>
        <v>2.7133333333333307</v>
      </c>
      <c r="Q278" s="81">
        <f>IF(G278="","",ABS(O278-Components!$C$3))</f>
        <v>3.9960000000000004</v>
      </c>
      <c r="R278" s="81">
        <f>IF(G278="","",ABS(O278-Components!$C$4))</f>
        <v>0.95333333333333381</v>
      </c>
      <c r="S278" s="81">
        <f>IF(G278="","",ABS(O278-Components!$C$5))</f>
        <v>4.5226666666666713</v>
      </c>
      <c r="T278" s="81">
        <f>IF(G278="","",ABS(O278-Components!$C$6))</f>
        <v>1.1156666666666708</v>
      </c>
      <c r="U278" s="81">
        <f>IF(G278="","",ABS(O278-Components!$C$7))</f>
        <v>1.3343333333333309</v>
      </c>
      <c r="V278" s="81" t="str">
        <f>IF(G278="","",IF(M278="OK","NONE",INDEX({"S1","S2","W1","W2","N1","N2"},MATCH(MIN(P278:U278),P278:U278,0))))</f>
        <v>NONE</v>
      </c>
      <c r="W278" s="117">
        <f t="shared" si="37"/>
        <v>1</v>
      </c>
      <c r="X278" s="58"/>
    </row>
    <row r="279" spans="1:24">
      <c r="A279" s="115">
        <v>277</v>
      </c>
      <c r="B279" s="116">
        <v>10</v>
      </c>
      <c r="C279" s="81" t="s">
        <v>132</v>
      </c>
      <c r="D279" s="109" t="s">
        <v>238</v>
      </c>
      <c r="E279" s="81" t="s">
        <v>239</v>
      </c>
      <c r="F279" s="61">
        <v>8.65</v>
      </c>
      <c r="G279" s="52">
        <f t="shared" si="31"/>
        <v>9.620000000000001</v>
      </c>
      <c r="H279" s="110"/>
      <c r="I279" s="81">
        <v>9.61</v>
      </c>
      <c r="J279" s="81">
        <f>VLOOKUP(C279,Recipes!$A$2:$N$4,12,FALSE())</f>
        <v>6.1509461004819709E-2</v>
      </c>
      <c r="K279" s="81">
        <f t="shared" si="32"/>
        <v>9.3947168864831312</v>
      </c>
      <c r="L279" s="81">
        <f t="shared" si="33"/>
        <v>9.8252831135168677</v>
      </c>
      <c r="M279" s="81" t="str">
        <f t="shared" si="34"/>
        <v>OK</v>
      </c>
      <c r="N279" s="117">
        <f t="shared" si="35"/>
        <v>1</v>
      </c>
      <c r="O279" s="81">
        <f t="shared" si="36"/>
        <v>-1.0000000000001563E-2</v>
      </c>
      <c r="P279" s="81">
        <f>IF(G279="","",ABS(O279-Components!$C$2))</f>
        <v>2.7633333333333314</v>
      </c>
      <c r="Q279" s="81">
        <f>IF(G279="","",ABS(O279-Components!$C$3))</f>
        <v>4.0460000000000012</v>
      </c>
      <c r="R279" s="81">
        <f>IF(G279="","",ABS(O279-Components!$C$4))</f>
        <v>1.0033333333333345</v>
      </c>
      <c r="S279" s="81">
        <f>IF(G279="","",ABS(O279-Components!$C$5))</f>
        <v>4.572666666666672</v>
      </c>
      <c r="T279" s="81">
        <f>IF(G279="","",ABS(O279-Components!$C$6))</f>
        <v>1.1656666666666715</v>
      </c>
      <c r="U279" s="81">
        <f>IF(G279="","",ABS(O279-Components!$C$7))</f>
        <v>1.3843333333333316</v>
      </c>
      <c r="V279" s="81" t="str">
        <f>IF(G279="","",IF(M279="OK","NONE",INDEX({"S1","S2","W1","W2","N1","N2"},MATCH(MIN(P279:U279),P279:U279,0))))</f>
        <v>NONE</v>
      </c>
      <c r="W279" s="117">
        <f t="shared" si="37"/>
        <v>1</v>
      </c>
      <c r="X279" s="58"/>
    </row>
    <row r="280" spans="1:24">
      <c r="A280" s="115">
        <v>278</v>
      </c>
      <c r="B280" s="116">
        <v>10</v>
      </c>
      <c r="C280" s="81" t="s">
        <v>132</v>
      </c>
      <c r="D280" s="109" t="s">
        <v>238</v>
      </c>
      <c r="E280" s="81" t="s">
        <v>239</v>
      </c>
      <c r="F280" s="61">
        <v>8.58</v>
      </c>
      <c r="G280" s="52">
        <f t="shared" si="31"/>
        <v>9.5500000000000007</v>
      </c>
      <c r="H280" s="110"/>
      <c r="I280" s="81">
        <v>9.61</v>
      </c>
      <c r="J280" s="81">
        <f>VLOOKUP(C280,Recipes!$A$2:$N$4,12,FALSE())</f>
        <v>6.1509461004819709E-2</v>
      </c>
      <c r="K280" s="81">
        <f t="shared" si="32"/>
        <v>9.3947168864831312</v>
      </c>
      <c r="L280" s="81">
        <f t="shared" si="33"/>
        <v>9.8252831135168677</v>
      </c>
      <c r="M280" s="81" t="str">
        <f t="shared" si="34"/>
        <v>OK</v>
      </c>
      <c r="N280" s="117">
        <f t="shared" si="35"/>
        <v>1</v>
      </c>
      <c r="O280" s="81">
        <f t="shared" si="36"/>
        <v>5.9999999999998721E-2</v>
      </c>
      <c r="P280" s="81">
        <f>IF(G280="","",ABS(O280-Components!$C$2))</f>
        <v>2.6933333333333311</v>
      </c>
      <c r="Q280" s="81">
        <f>IF(G280="","",ABS(O280-Components!$C$3))</f>
        <v>3.9760000000000009</v>
      </c>
      <c r="R280" s="81">
        <f>IF(G280="","",ABS(O280-Components!$C$4))</f>
        <v>0.93333333333333424</v>
      </c>
      <c r="S280" s="81">
        <f>IF(G280="","",ABS(O280-Components!$C$5))</f>
        <v>4.5026666666666717</v>
      </c>
      <c r="T280" s="81">
        <f>IF(G280="","",ABS(O280-Components!$C$6))</f>
        <v>1.0956666666666712</v>
      </c>
      <c r="U280" s="81">
        <f>IF(G280="","",ABS(O280-Components!$C$7))</f>
        <v>1.3143333333333314</v>
      </c>
      <c r="V280" s="81" t="str">
        <f>IF(G280="","",IF(M280="OK","NONE",INDEX({"S1","S2","W1","W2","N1","N2"},MATCH(MIN(P280:U280),P280:U280,0))))</f>
        <v>NONE</v>
      </c>
      <c r="W280" s="117">
        <f t="shared" si="37"/>
        <v>1</v>
      </c>
      <c r="X280" s="58"/>
    </row>
    <row r="281" spans="1:24">
      <c r="A281" s="115">
        <v>279</v>
      </c>
      <c r="B281" s="116">
        <v>10</v>
      </c>
      <c r="C281" s="81" t="s">
        <v>132</v>
      </c>
      <c r="D281" s="109" t="s">
        <v>238</v>
      </c>
      <c r="E281" s="81" t="s">
        <v>239</v>
      </c>
      <c r="F281" s="61">
        <v>8.58</v>
      </c>
      <c r="G281" s="52">
        <f t="shared" si="31"/>
        <v>9.5500000000000007</v>
      </c>
      <c r="H281" s="110"/>
      <c r="I281" s="81">
        <v>9.61</v>
      </c>
      <c r="J281" s="81">
        <f>VLOOKUP(C281,Recipes!$A$2:$N$4,12,FALSE())</f>
        <v>6.1509461004819709E-2</v>
      </c>
      <c r="K281" s="81">
        <f t="shared" si="32"/>
        <v>9.3947168864831312</v>
      </c>
      <c r="L281" s="81">
        <f t="shared" si="33"/>
        <v>9.8252831135168677</v>
      </c>
      <c r="M281" s="81" t="str">
        <f t="shared" si="34"/>
        <v>OK</v>
      </c>
      <c r="N281" s="117">
        <f t="shared" si="35"/>
        <v>1</v>
      </c>
      <c r="O281" s="81">
        <f t="shared" si="36"/>
        <v>5.9999999999998721E-2</v>
      </c>
      <c r="P281" s="81">
        <f>IF(G281="","",ABS(O281-Components!$C$2))</f>
        <v>2.6933333333333311</v>
      </c>
      <c r="Q281" s="81">
        <f>IF(G281="","",ABS(O281-Components!$C$3))</f>
        <v>3.9760000000000009</v>
      </c>
      <c r="R281" s="81">
        <f>IF(G281="","",ABS(O281-Components!$C$4))</f>
        <v>0.93333333333333424</v>
      </c>
      <c r="S281" s="81">
        <f>IF(G281="","",ABS(O281-Components!$C$5))</f>
        <v>4.5026666666666717</v>
      </c>
      <c r="T281" s="81">
        <f>IF(G281="","",ABS(O281-Components!$C$6))</f>
        <v>1.0956666666666712</v>
      </c>
      <c r="U281" s="81">
        <f>IF(G281="","",ABS(O281-Components!$C$7))</f>
        <v>1.3143333333333314</v>
      </c>
      <c r="V281" s="81" t="str">
        <f>IF(G281="","",IF(M281="OK","NONE",INDEX({"S1","S2","W1","W2","N1","N2"},MATCH(MIN(P281:U281),P281:U281,0))))</f>
        <v>NONE</v>
      </c>
      <c r="W281" s="117">
        <f t="shared" si="37"/>
        <v>1</v>
      </c>
      <c r="X281" s="58"/>
    </row>
    <row r="282" spans="1:24">
      <c r="A282" s="115">
        <v>280</v>
      </c>
      <c r="B282" s="116">
        <v>10</v>
      </c>
      <c r="C282" s="81" t="s">
        <v>132</v>
      </c>
      <c r="D282" s="109" t="s">
        <v>238</v>
      </c>
      <c r="E282" s="81" t="s">
        <v>239</v>
      </c>
      <c r="F282" s="61">
        <v>8.57</v>
      </c>
      <c r="G282" s="52">
        <f t="shared" si="31"/>
        <v>9.5400000000000009</v>
      </c>
      <c r="H282" s="110"/>
      <c r="I282" s="81">
        <v>9.61</v>
      </c>
      <c r="J282" s="81">
        <f>VLOOKUP(C282,Recipes!$A$2:$N$4,12,FALSE())</f>
        <v>6.1509461004819709E-2</v>
      </c>
      <c r="K282" s="81">
        <f t="shared" si="32"/>
        <v>9.3947168864831312</v>
      </c>
      <c r="L282" s="81">
        <f t="shared" si="33"/>
        <v>9.8252831135168677</v>
      </c>
      <c r="M282" s="81" t="str">
        <f t="shared" si="34"/>
        <v>OK</v>
      </c>
      <c r="N282" s="117">
        <f t="shared" si="35"/>
        <v>1</v>
      </c>
      <c r="O282" s="81">
        <f t="shared" si="36"/>
        <v>6.9999999999998508E-2</v>
      </c>
      <c r="P282" s="81">
        <f>IF(G282="","",ABS(O282-Components!$C$2))</f>
        <v>2.6833333333333313</v>
      </c>
      <c r="Q282" s="81">
        <f>IF(G282="","",ABS(O282-Components!$C$3))</f>
        <v>3.9660000000000011</v>
      </c>
      <c r="R282" s="81">
        <f>IF(G282="","",ABS(O282-Components!$C$4))</f>
        <v>0.92333333333333445</v>
      </c>
      <c r="S282" s="81">
        <f>IF(G282="","",ABS(O282-Components!$C$5))</f>
        <v>4.4926666666666719</v>
      </c>
      <c r="T282" s="81">
        <f>IF(G282="","",ABS(O282-Components!$C$6))</f>
        <v>1.0856666666666714</v>
      </c>
      <c r="U282" s="81">
        <f>IF(G282="","",ABS(O282-Components!$C$7))</f>
        <v>1.3043333333333316</v>
      </c>
      <c r="V282" s="81" t="str">
        <f>IF(G282="","",IF(M282="OK","NONE",INDEX({"S1","S2","W1","W2","N1","N2"},MATCH(MIN(P282:U282),P282:U282,0))))</f>
        <v>NONE</v>
      </c>
      <c r="W282" s="117">
        <f t="shared" si="37"/>
        <v>1</v>
      </c>
      <c r="X282" s="58"/>
    </row>
    <row r="283" spans="1:24">
      <c r="A283" s="115">
        <v>281</v>
      </c>
      <c r="B283" s="116">
        <v>10</v>
      </c>
      <c r="C283" s="81" t="s">
        <v>132</v>
      </c>
      <c r="D283" s="109" t="s">
        <v>238</v>
      </c>
      <c r="E283" s="81" t="s">
        <v>239</v>
      </c>
      <c r="F283" s="61">
        <v>8.5299999999999994</v>
      </c>
      <c r="G283" s="52">
        <f t="shared" si="31"/>
        <v>9.5</v>
      </c>
      <c r="H283" s="110"/>
      <c r="I283" s="81">
        <v>9.61</v>
      </c>
      <c r="J283" s="81">
        <f>VLOOKUP(C283,Recipes!$A$2:$N$4,12,FALSE())</f>
        <v>6.1509461004819709E-2</v>
      </c>
      <c r="K283" s="81">
        <f t="shared" si="32"/>
        <v>9.3947168864831312</v>
      </c>
      <c r="L283" s="81">
        <f t="shared" si="33"/>
        <v>9.8252831135168677</v>
      </c>
      <c r="M283" s="81" t="str">
        <f t="shared" si="34"/>
        <v>OK</v>
      </c>
      <c r="N283" s="117">
        <f t="shared" si="35"/>
        <v>1</v>
      </c>
      <c r="O283" s="81">
        <f t="shared" si="36"/>
        <v>0.10999999999999943</v>
      </c>
      <c r="P283" s="81">
        <f>IF(G283="","",ABS(O283-Components!$C$2))</f>
        <v>2.6433333333333304</v>
      </c>
      <c r="Q283" s="81">
        <f>IF(G283="","",ABS(O283-Components!$C$3))</f>
        <v>3.9260000000000002</v>
      </c>
      <c r="R283" s="81">
        <f>IF(G283="","",ABS(O283-Components!$C$4))</f>
        <v>0.88333333333333353</v>
      </c>
      <c r="S283" s="81">
        <f>IF(G283="","",ABS(O283-Components!$C$5))</f>
        <v>4.452666666666671</v>
      </c>
      <c r="T283" s="81">
        <f>IF(G283="","",ABS(O283-Components!$C$6))</f>
        <v>1.0456666666666705</v>
      </c>
      <c r="U283" s="81">
        <f>IF(G283="","",ABS(O283-Components!$C$7))</f>
        <v>1.2643333333333306</v>
      </c>
      <c r="V283" s="81" t="str">
        <f>IF(G283="","",IF(M283="OK","NONE",INDEX({"S1","S2","W1","W2","N1","N2"},MATCH(MIN(P283:U283),P283:U283,0))))</f>
        <v>NONE</v>
      </c>
      <c r="W283" s="117">
        <f t="shared" si="37"/>
        <v>1</v>
      </c>
      <c r="X283" s="58"/>
    </row>
    <row r="284" spans="1:24">
      <c r="A284" s="115">
        <v>282</v>
      </c>
      <c r="B284" s="116">
        <v>10</v>
      </c>
      <c r="C284" s="81" t="s">
        <v>132</v>
      </c>
      <c r="D284" s="109" t="s">
        <v>238</v>
      </c>
      <c r="E284" s="81" t="s">
        <v>239</v>
      </c>
      <c r="F284" s="61">
        <v>8.64</v>
      </c>
      <c r="G284" s="52">
        <f t="shared" si="31"/>
        <v>9.6100000000000012</v>
      </c>
      <c r="H284" s="110"/>
      <c r="I284" s="81">
        <v>9.61</v>
      </c>
      <c r="J284" s="81">
        <f>VLOOKUP(C284,Recipes!$A$2:$N$4,12,FALSE())</f>
        <v>6.1509461004819709E-2</v>
      </c>
      <c r="K284" s="81">
        <f t="shared" si="32"/>
        <v>9.3947168864831312</v>
      </c>
      <c r="L284" s="81">
        <f t="shared" si="33"/>
        <v>9.8252831135168677</v>
      </c>
      <c r="M284" s="81" t="str">
        <f t="shared" si="34"/>
        <v>OK</v>
      </c>
      <c r="N284" s="117">
        <f t="shared" si="35"/>
        <v>1</v>
      </c>
      <c r="O284" s="81">
        <f t="shared" si="36"/>
        <v>-1.7763568394002505E-15</v>
      </c>
      <c r="P284" s="81">
        <f>IF(G284="","",ABS(O284-Components!$C$2))</f>
        <v>2.7533333333333316</v>
      </c>
      <c r="Q284" s="81">
        <f>IF(G284="","",ABS(O284-Components!$C$3))</f>
        <v>4.0360000000000014</v>
      </c>
      <c r="R284" s="81">
        <f>IF(G284="","",ABS(O284-Components!$C$4))</f>
        <v>0.99333333333333473</v>
      </c>
      <c r="S284" s="81">
        <f>IF(G284="","",ABS(O284-Components!$C$5))</f>
        <v>4.5626666666666722</v>
      </c>
      <c r="T284" s="81">
        <f>IF(G284="","",ABS(O284-Components!$C$6))</f>
        <v>1.1556666666666717</v>
      </c>
      <c r="U284" s="81">
        <f>IF(G284="","",ABS(O284-Components!$C$7))</f>
        <v>1.3743333333333319</v>
      </c>
      <c r="V284" s="81" t="str">
        <f>IF(G284="","",IF(M284="OK","NONE",INDEX({"S1","S2","W1","W2","N1","N2"},MATCH(MIN(P284:U284),P284:U284,0))))</f>
        <v>NONE</v>
      </c>
      <c r="W284" s="117">
        <f t="shared" si="37"/>
        <v>1</v>
      </c>
      <c r="X284" s="58"/>
    </row>
    <row r="285" spans="1:24">
      <c r="A285" s="115">
        <v>283</v>
      </c>
      <c r="B285" s="116">
        <v>10</v>
      </c>
      <c r="C285" s="81" t="s">
        <v>132</v>
      </c>
      <c r="D285" s="109" t="s">
        <v>238</v>
      </c>
      <c r="E285" s="81" t="s">
        <v>239</v>
      </c>
      <c r="F285" s="61">
        <v>8.57</v>
      </c>
      <c r="G285" s="52">
        <f t="shared" si="31"/>
        <v>9.5400000000000009</v>
      </c>
      <c r="H285" s="110"/>
      <c r="I285" s="81">
        <v>9.61</v>
      </c>
      <c r="J285" s="81">
        <f>VLOOKUP(C285,Recipes!$A$2:$N$4,12,FALSE())</f>
        <v>6.1509461004819709E-2</v>
      </c>
      <c r="K285" s="81">
        <f t="shared" si="32"/>
        <v>9.3947168864831312</v>
      </c>
      <c r="L285" s="81">
        <f t="shared" si="33"/>
        <v>9.8252831135168677</v>
      </c>
      <c r="M285" s="81" t="str">
        <f t="shared" si="34"/>
        <v>OK</v>
      </c>
      <c r="N285" s="117">
        <f t="shared" si="35"/>
        <v>1</v>
      </c>
      <c r="O285" s="81">
        <f t="shared" si="36"/>
        <v>6.9999999999998508E-2</v>
      </c>
      <c r="P285" s="81">
        <f>IF(G285="","",ABS(O285-Components!$C$2))</f>
        <v>2.6833333333333313</v>
      </c>
      <c r="Q285" s="81">
        <f>IF(G285="","",ABS(O285-Components!$C$3))</f>
        <v>3.9660000000000011</v>
      </c>
      <c r="R285" s="81">
        <f>IF(G285="","",ABS(O285-Components!$C$4))</f>
        <v>0.92333333333333445</v>
      </c>
      <c r="S285" s="81">
        <f>IF(G285="","",ABS(O285-Components!$C$5))</f>
        <v>4.4926666666666719</v>
      </c>
      <c r="T285" s="81">
        <f>IF(G285="","",ABS(O285-Components!$C$6))</f>
        <v>1.0856666666666714</v>
      </c>
      <c r="U285" s="81">
        <f>IF(G285="","",ABS(O285-Components!$C$7))</f>
        <v>1.3043333333333316</v>
      </c>
      <c r="V285" s="81" t="str">
        <f>IF(G285="","",IF(M285="OK","NONE",INDEX({"S1","S2","W1","W2","N1","N2"},MATCH(MIN(P285:U285),P285:U285,0))))</f>
        <v>NONE</v>
      </c>
      <c r="W285" s="117">
        <f t="shared" si="37"/>
        <v>1</v>
      </c>
      <c r="X285" s="58"/>
    </row>
    <row r="286" spans="1:24">
      <c r="A286" s="115">
        <v>284</v>
      </c>
      <c r="B286" s="116">
        <v>10</v>
      </c>
      <c r="C286" s="81" t="s">
        <v>132</v>
      </c>
      <c r="D286" s="109" t="s">
        <v>238</v>
      </c>
      <c r="E286" s="81" t="s">
        <v>239</v>
      </c>
      <c r="F286" s="61">
        <v>8.58</v>
      </c>
      <c r="G286" s="52">
        <f t="shared" si="31"/>
        <v>9.5500000000000007</v>
      </c>
      <c r="H286" s="110"/>
      <c r="I286" s="81">
        <v>9.61</v>
      </c>
      <c r="J286" s="81">
        <f>VLOOKUP(C286,Recipes!$A$2:$N$4,12,FALSE())</f>
        <v>6.1509461004819709E-2</v>
      </c>
      <c r="K286" s="81">
        <f t="shared" si="32"/>
        <v>9.3947168864831312</v>
      </c>
      <c r="L286" s="81">
        <f t="shared" si="33"/>
        <v>9.8252831135168677</v>
      </c>
      <c r="M286" s="81" t="str">
        <f t="shared" si="34"/>
        <v>OK</v>
      </c>
      <c r="N286" s="117">
        <f t="shared" si="35"/>
        <v>1</v>
      </c>
      <c r="O286" s="81">
        <f t="shared" si="36"/>
        <v>5.9999999999998721E-2</v>
      </c>
      <c r="P286" s="81">
        <f>IF(G286="","",ABS(O286-Components!$C$2))</f>
        <v>2.6933333333333311</v>
      </c>
      <c r="Q286" s="81">
        <f>IF(G286="","",ABS(O286-Components!$C$3))</f>
        <v>3.9760000000000009</v>
      </c>
      <c r="R286" s="81">
        <f>IF(G286="","",ABS(O286-Components!$C$4))</f>
        <v>0.93333333333333424</v>
      </c>
      <c r="S286" s="81">
        <f>IF(G286="","",ABS(O286-Components!$C$5))</f>
        <v>4.5026666666666717</v>
      </c>
      <c r="T286" s="81">
        <f>IF(G286="","",ABS(O286-Components!$C$6))</f>
        <v>1.0956666666666712</v>
      </c>
      <c r="U286" s="81">
        <f>IF(G286="","",ABS(O286-Components!$C$7))</f>
        <v>1.3143333333333314</v>
      </c>
      <c r="V286" s="81" t="str">
        <f>IF(G286="","",IF(M286="OK","NONE",INDEX({"S1","S2","W1","W2","N1","N2"},MATCH(MIN(P286:U286),P286:U286,0))))</f>
        <v>NONE</v>
      </c>
      <c r="W286" s="117">
        <f t="shared" si="37"/>
        <v>1</v>
      </c>
      <c r="X286" s="58"/>
    </row>
    <row r="287" spans="1:24">
      <c r="A287" s="115">
        <v>285</v>
      </c>
      <c r="B287" s="116">
        <v>10</v>
      </c>
      <c r="C287" s="81" t="s">
        <v>132</v>
      </c>
      <c r="D287" s="109" t="s">
        <v>238</v>
      </c>
      <c r="E287" s="81" t="s">
        <v>239</v>
      </c>
      <c r="F287" s="61">
        <v>8.6300000000000008</v>
      </c>
      <c r="G287" s="52">
        <f t="shared" si="31"/>
        <v>9.6000000000000014</v>
      </c>
      <c r="H287" s="110"/>
      <c r="I287" s="81">
        <v>9.61</v>
      </c>
      <c r="J287" s="81">
        <f>VLOOKUP(C287,Recipes!$A$2:$N$4,12,FALSE())</f>
        <v>6.1509461004819709E-2</v>
      </c>
      <c r="K287" s="81">
        <f t="shared" si="32"/>
        <v>9.3947168864831312</v>
      </c>
      <c r="L287" s="81">
        <f t="shared" si="33"/>
        <v>9.8252831135168677</v>
      </c>
      <c r="M287" s="81" t="str">
        <f t="shared" si="34"/>
        <v>OK</v>
      </c>
      <c r="N287" s="117">
        <f t="shared" si="35"/>
        <v>1</v>
      </c>
      <c r="O287" s="81">
        <f t="shared" si="36"/>
        <v>9.9999999999980105E-3</v>
      </c>
      <c r="P287" s="81">
        <f>IF(G287="","",ABS(O287-Components!$C$2))</f>
        <v>2.7433333333333318</v>
      </c>
      <c r="Q287" s="81">
        <f>IF(G287="","",ABS(O287-Components!$C$3))</f>
        <v>4.0260000000000016</v>
      </c>
      <c r="R287" s="81">
        <f>IF(G287="","",ABS(O287-Components!$C$4))</f>
        <v>0.98333333333333495</v>
      </c>
      <c r="S287" s="81">
        <f>IF(G287="","",ABS(O287-Components!$C$5))</f>
        <v>4.5526666666666724</v>
      </c>
      <c r="T287" s="81">
        <f>IF(G287="","",ABS(O287-Components!$C$6))</f>
        <v>1.1456666666666719</v>
      </c>
      <c r="U287" s="81">
        <f>IF(G287="","",ABS(O287-Components!$C$7))</f>
        <v>1.3643333333333321</v>
      </c>
      <c r="V287" s="81" t="str">
        <f>IF(G287="","",IF(M287="OK","NONE",INDEX({"S1","S2","W1","W2","N1","N2"},MATCH(MIN(P287:U287),P287:U287,0))))</f>
        <v>NONE</v>
      </c>
      <c r="W287" s="117">
        <f t="shared" si="37"/>
        <v>1</v>
      </c>
      <c r="X287" s="58"/>
    </row>
    <row r="288" spans="1:24">
      <c r="A288" s="115">
        <v>286</v>
      </c>
      <c r="B288" s="116">
        <v>10</v>
      </c>
      <c r="C288" s="81" t="s">
        <v>132</v>
      </c>
      <c r="D288" s="109" t="s">
        <v>238</v>
      </c>
      <c r="E288" s="81" t="s">
        <v>239</v>
      </c>
      <c r="F288" s="61">
        <v>8.6</v>
      </c>
      <c r="G288" s="52">
        <f t="shared" si="31"/>
        <v>9.57</v>
      </c>
      <c r="H288" s="110"/>
      <c r="I288" s="81">
        <v>9.61</v>
      </c>
      <c r="J288" s="81">
        <f>VLOOKUP(C288,Recipes!$A$2:$N$4,12,FALSE())</f>
        <v>6.1509461004819709E-2</v>
      </c>
      <c r="K288" s="81">
        <f t="shared" si="32"/>
        <v>9.3947168864831312</v>
      </c>
      <c r="L288" s="81">
        <f t="shared" si="33"/>
        <v>9.8252831135168677</v>
      </c>
      <c r="M288" s="81" t="str">
        <f t="shared" si="34"/>
        <v>OK</v>
      </c>
      <c r="N288" s="117">
        <f t="shared" si="35"/>
        <v>1</v>
      </c>
      <c r="O288" s="81">
        <f t="shared" si="36"/>
        <v>3.9999999999999147E-2</v>
      </c>
      <c r="P288" s="81">
        <f>IF(G288="","",ABS(O288-Components!$C$2))</f>
        <v>2.7133333333333307</v>
      </c>
      <c r="Q288" s="81">
        <f>IF(G288="","",ABS(O288-Components!$C$3))</f>
        <v>3.9960000000000004</v>
      </c>
      <c r="R288" s="81">
        <f>IF(G288="","",ABS(O288-Components!$C$4))</f>
        <v>0.95333333333333381</v>
      </c>
      <c r="S288" s="81">
        <f>IF(G288="","",ABS(O288-Components!$C$5))</f>
        <v>4.5226666666666713</v>
      </c>
      <c r="T288" s="81">
        <f>IF(G288="","",ABS(O288-Components!$C$6))</f>
        <v>1.1156666666666708</v>
      </c>
      <c r="U288" s="81">
        <f>IF(G288="","",ABS(O288-Components!$C$7))</f>
        <v>1.3343333333333309</v>
      </c>
      <c r="V288" s="81" t="str">
        <f>IF(G288="","",IF(M288="OK","NONE",INDEX({"S1","S2","W1","W2","N1","N2"},MATCH(MIN(P288:U288),P288:U288,0))))</f>
        <v>NONE</v>
      </c>
      <c r="W288" s="117">
        <f t="shared" si="37"/>
        <v>1</v>
      </c>
      <c r="X288" s="58"/>
    </row>
    <row r="289" spans="1:24">
      <c r="A289" s="115">
        <v>287</v>
      </c>
      <c r="B289" s="116">
        <v>10</v>
      </c>
      <c r="C289" s="81" t="s">
        <v>132</v>
      </c>
      <c r="D289" s="109" t="s">
        <v>238</v>
      </c>
      <c r="E289" s="81" t="s">
        <v>239</v>
      </c>
      <c r="F289" s="61">
        <v>8.6199999999999992</v>
      </c>
      <c r="G289" s="52">
        <f t="shared" si="31"/>
        <v>9.59</v>
      </c>
      <c r="H289" s="110"/>
      <c r="I289" s="81">
        <v>9.61</v>
      </c>
      <c r="J289" s="81">
        <f>VLOOKUP(C289,Recipes!$A$2:$N$4,12,FALSE())</f>
        <v>6.1509461004819709E-2</v>
      </c>
      <c r="K289" s="81">
        <f t="shared" si="32"/>
        <v>9.3947168864831312</v>
      </c>
      <c r="L289" s="81">
        <f t="shared" si="33"/>
        <v>9.8252831135168677</v>
      </c>
      <c r="M289" s="81" t="str">
        <f t="shared" si="34"/>
        <v>OK</v>
      </c>
      <c r="N289" s="117">
        <f t="shared" si="35"/>
        <v>1</v>
      </c>
      <c r="O289" s="81">
        <f t="shared" si="36"/>
        <v>1.9999999999999574E-2</v>
      </c>
      <c r="P289" s="81">
        <f>IF(G289="","",ABS(O289-Components!$C$2))</f>
        <v>2.7333333333333303</v>
      </c>
      <c r="Q289" s="81">
        <f>IF(G289="","",ABS(O289-Components!$C$3))</f>
        <v>4.016</v>
      </c>
      <c r="R289" s="81">
        <f>IF(G289="","",ABS(O289-Components!$C$4))</f>
        <v>0.97333333333333338</v>
      </c>
      <c r="S289" s="81">
        <f>IF(G289="","",ABS(O289-Components!$C$5))</f>
        <v>4.5426666666666708</v>
      </c>
      <c r="T289" s="81">
        <f>IF(G289="","",ABS(O289-Components!$C$6))</f>
        <v>1.1356666666666704</v>
      </c>
      <c r="U289" s="81">
        <f>IF(G289="","",ABS(O289-Components!$C$7))</f>
        <v>1.3543333333333305</v>
      </c>
      <c r="V289" s="81" t="str">
        <f>IF(G289="","",IF(M289="OK","NONE",INDEX({"S1","S2","W1","W2","N1","N2"},MATCH(MIN(P289:U289),P289:U289,0))))</f>
        <v>NONE</v>
      </c>
      <c r="W289" s="117">
        <f t="shared" si="37"/>
        <v>1</v>
      </c>
      <c r="X289" s="58"/>
    </row>
    <row r="290" spans="1:24">
      <c r="A290" s="115">
        <v>288</v>
      </c>
      <c r="B290" s="116">
        <v>10</v>
      </c>
      <c r="C290" s="81" t="s">
        <v>132</v>
      </c>
      <c r="D290" s="109" t="s">
        <v>238</v>
      </c>
      <c r="E290" s="81" t="s">
        <v>239</v>
      </c>
      <c r="F290" s="61">
        <v>8.41</v>
      </c>
      <c r="G290" s="52">
        <f t="shared" si="31"/>
        <v>9.3800000000000008</v>
      </c>
      <c r="H290" s="110"/>
      <c r="I290" s="81">
        <v>9.61</v>
      </c>
      <c r="J290" s="81">
        <f>VLOOKUP(C290,Recipes!$A$2:$N$4,12,FALSE())</f>
        <v>6.1509461004819709E-2</v>
      </c>
      <c r="K290" s="81">
        <f t="shared" si="32"/>
        <v>9.3947168864831312</v>
      </c>
      <c r="L290" s="81">
        <f t="shared" si="33"/>
        <v>9.8252831135168677</v>
      </c>
      <c r="M290" s="81" t="str">
        <f t="shared" si="34"/>
        <v>NG</v>
      </c>
      <c r="N290" s="122">
        <f t="shared" si="35"/>
        <v>0</v>
      </c>
      <c r="O290" s="81">
        <f t="shared" si="36"/>
        <v>0.22999999999999865</v>
      </c>
      <c r="P290" s="81">
        <f>IF(G290="","",ABS(O290-Components!$C$2))</f>
        <v>2.5233333333333312</v>
      </c>
      <c r="Q290" s="81">
        <f>IF(G290="","",ABS(O290-Components!$C$3))</f>
        <v>3.8060000000000009</v>
      </c>
      <c r="R290" s="81">
        <f>IF(G290="","",ABS(O290-Components!$C$4))</f>
        <v>0.76333333333333431</v>
      </c>
      <c r="S290" s="81">
        <f>IF(G290="","",ABS(O290-Components!$C$5))</f>
        <v>4.3326666666666718</v>
      </c>
      <c r="T290" s="81">
        <f>IF(G290="","",ABS(O290-Components!$C$6))</f>
        <v>0.9256666666666713</v>
      </c>
      <c r="U290" s="81">
        <f>IF(G290="","",ABS(O290-Components!$C$7))</f>
        <v>1.1443333333333314</v>
      </c>
      <c r="V290" s="81" t="str">
        <f>IF(G290="","",IF(M290="OK","NONE",INDEX({"S1","S2","W1","W2","N1","N2"},MATCH(MIN(P290:U290),P290:U290,0))))</f>
        <v>W1</v>
      </c>
      <c r="W290" s="122">
        <f t="shared" si="37"/>
        <v>0</v>
      </c>
      <c r="X290" s="58"/>
    </row>
    <row r="291" spans="1:24">
      <c r="A291" s="115">
        <v>289</v>
      </c>
      <c r="B291" s="116">
        <v>10</v>
      </c>
      <c r="C291" s="81" t="s">
        <v>132</v>
      </c>
      <c r="D291" s="109" t="s">
        <v>238</v>
      </c>
      <c r="E291" s="81" t="s">
        <v>239</v>
      </c>
      <c r="F291" s="61">
        <v>8.61</v>
      </c>
      <c r="G291" s="52">
        <f t="shared" si="31"/>
        <v>9.58</v>
      </c>
      <c r="H291" s="110"/>
      <c r="I291" s="81">
        <v>9.61</v>
      </c>
      <c r="J291" s="81">
        <f>VLOOKUP(C291,Recipes!$A$2:$N$4,12,FALSE())</f>
        <v>6.1509461004819709E-2</v>
      </c>
      <c r="K291" s="81">
        <f t="shared" si="32"/>
        <v>9.3947168864831312</v>
      </c>
      <c r="L291" s="81">
        <f t="shared" si="33"/>
        <v>9.8252831135168677</v>
      </c>
      <c r="M291" s="81" t="str">
        <f t="shared" si="34"/>
        <v>OK</v>
      </c>
      <c r="N291" s="117">
        <f t="shared" si="35"/>
        <v>1</v>
      </c>
      <c r="O291" s="81">
        <f t="shared" si="36"/>
        <v>2.9999999999999361E-2</v>
      </c>
      <c r="P291" s="81">
        <f>IF(G291="","",ABS(O291-Components!$C$2))</f>
        <v>2.7233333333333305</v>
      </c>
      <c r="Q291" s="81">
        <f>IF(G291="","",ABS(O291-Components!$C$3))</f>
        <v>4.0060000000000002</v>
      </c>
      <c r="R291" s="81">
        <f>IF(G291="","",ABS(O291-Components!$C$4))</f>
        <v>0.9633333333333336</v>
      </c>
      <c r="S291" s="81">
        <f>IF(G291="","",ABS(O291-Components!$C$5))</f>
        <v>4.5326666666666711</v>
      </c>
      <c r="T291" s="81">
        <f>IF(G291="","",ABS(O291-Components!$C$6))</f>
        <v>1.1256666666666706</v>
      </c>
      <c r="U291" s="81">
        <f>IF(G291="","",ABS(O291-Components!$C$7))</f>
        <v>1.3443333333333307</v>
      </c>
      <c r="V291" s="81" t="str">
        <f>IF(G291="","",IF(M291="OK","NONE",INDEX({"S1","S2","W1","W2","N1","N2"},MATCH(MIN(P291:U291),P291:U291,0))))</f>
        <v>NONE</v>
      </c>
      <c r="W291" s="117">
        <f t="shared" si="37"/>
        <v>1</v>
      </c>
      <c r="X291" s="58"/>
    </row>
    <row r="292" spans="1:24">
      <c r="A292" s="115">
        <v>290</v>
      </c>
      <c r="B292" s="116">
        <v>10</v>
      </c>
      <c r="C292" s="81" t="s">
        <v>132</v>
      </c>
      <c r="D292" s="109" t="s">
        <v>238</v>
      </c>
      <c r="E292" s="81" t="s">
        <v>239</v>
      </c>
      <c r="F292" s="61">
        <v>8.61</v>
      </c>
      <c r="G292" s="52">
        <f t="shared" si="31"/>
        <v>9.58</v>
      </c>
      <c r="H292" s="110"/>
      <c r="I292" s="81">
        <v>9.61</v>
      </c>
      <c r="J292" s="81">
        <f>VLOOKUP(C292,Recipes!$A$2:$N$4,12,FALSE())</f>
        <v>6.1509461004819709E-2</v>
      </c>
      <c r="K292" s="81">
        <f t="shared" si="32"/>
        <v>9.3947168864831312</v>
      </c>
      <c r="L292" s="81">
        <f t="shared" si="33"/>
        <v>9.8252831135168677</v>
      </c>
      <c r="M292" s="81" t="str">
        <f t="shared" si="34"/>
        <v>OK</v>
      </c>
      <c r="N292" s="117">
        <f t="shared" si="35"/>
        <v>1</v>
      </c>
      <c r="O292" s="81">
        <f t="shared" si="36"/>
        <v>2.9999999999999361E-2</v>
      </c>
      <c r="P292" s="81">
        <f>IF(G292="","",ABS(O292-Components!$C$2))</f>
        <v>2.7233333333333305</v>
      </c>
      <c r="Q292" s="81">
        <f>IF(G292="","",ABS(O292-Components!$C$3))</f>
        <v>4.0060000000000002</v>
      </c>
      <c r="R292" s="81">
        <f>IF(G292="","",ABS(O292-Components!$C$4))</f>
        <v>0.9633333333333336</v>
      </c>
      <c r="S292" s="81">
        <f>IF(G292="","",ABS(O292-Components!$C$5))</f>
        <v>4.5326666666666711</v>
      </c>
      <c r="T292" s="81">
        <f>IF(G292="","",ABS(O292-Components!$C$6))</f>
        <v>1.1256666666666706</v>
      </c>
      <c r="U292" s="81">
        <f>IF(G292="","",ABS(O292-Components!$C$7))</f>
        <v>1.3443333333333307</v>
      </c>
      <c r="V292" s="81" t="str">
        <f>IF(G292="","",IF(M292="OK","NONE",INDEX({"S1","S2","W1","W2","N1","N2"},MATCH(MIN(P292:U292),P292:U292,0))))</f>
        <v>NONE</v>
      </c>
      <c r="W292" s="117">
        <f t="shared" si="37"/>
        <v>1</v>
      </c>
      <c r="X292" s="58"/>
    </row>
    <row r="293" spans="1:24">
      <c r="A293" s="115">
        <v>291</v>
      </c>
      <c r="B293" s="116">
        <v>10</v>
      </c>
      <c r="C293" s="81" t="s">
        <v>132</v>
      </c>
      <c r="D293" s="109" t="s">
        <v>238</v>
      </c>
      <c r="E293" s="81" t="s">
        <v>239</v>
      </c>
      <c r="F293" s="61">
        <v>8.5399999999999991</v>
      </c>
      <c r="G293" s="52">
        <f t="shared" si="31"/>
        <v>9.51</v>
      </c>
      <c r="H293" s="110"/>
      <c r="I293" s="81">
        <v>9.61</v>
      </c>
      <c r="J293" s="81">
        <f>VLOOKUP(C293,Recipes!$A$2:$N$4,12,FALSE())</f>
        <v>6.1509461004819709E-2</v>
      </c>
      <c r="K293" s="81">
        <f t="shared" si="32"/>
        <v>9.3947168864831312</v>
      </c>
      <c r="L293" s="81">
        <f t="shared" si="33"/>
        <v>9.8252831135168677</v>
      </c>
      <c r="M293" s="81" t="str">
        <f t="shared" si="34"/>
        <v>OK</v>
      </c>
      <c r="N293" s="117">
        <f t="shared" si="35"/>
        <v>1</v>
      </c>
      <c r="O293" s="81">
        <f t="shared" si="36"/>
        <v>9.9999999999999645E-2</v>
      </c>
      <c r="P293" s="81">
        <f>IF(G293="","",ABS(O293-Components!$C$2))</f>
        <v>2.6533333333333302</v>
      </c>
      <c r="Q293" s="81">
        <f>IF(G293="","",ABS(O293-Components!$C$3))</f>
        <v>3.9359999999999999</v>
      </c>
      <c r="R293" s="81">
        <f>IF(G293="","",ABS(O293-Components!$C$4))</f>
        <v>0.89333333333333331</v>
      </c>
      <c r="S293" s="81">
        <f>IF(G293="","",ABS(O293-Components!$C$5))</f>
        <v>4.4626666666666708</v>
      </c>
      <c r="T293" s="81">
        <f>IF(G293="","",ABS(O293-Components!$C$6))</f>
        <v>1.0556666666666703</v>
      </c>
      <c r="U293" s="81">
        <f>IF(G293="","",ABS(O293-Components!$C$7))</f>
        <v>1.2743333333333304</v>
      </c>
      <c r="V293" s="81" t="str">
        <f>IF(G293="","",IF(M293="OK","NONE",INDEX({"S1","S2","W1","W2","N1","N2"},MATCH(MIN(P293:U293),P293:U293,0))))</f>
        <v>NONE</v>
      </c>
      <c r="W293" s="117">
        <f t="shared" si="37"/>
        <v>1</v>
      </c>
      <c r="X293" s="58"/>
    </row>
    <row r="294" spans="1:24">
      <c r="A294" s="115">
        <v>292</v>
      </c>
      <c r="B294" s="116">
        <v>10</v>
      </c>
      <c r="C294" s="81" t="s">
        <v>132</v>
      </c>
      <c r="D294" s="109" t="s">
        <v>238</v>
      </c>
      <c r="E294" s="81" t="s">
        <v>239</v>
      </c>
      <c r="F294" s="61">
        <v>8.59</v>
      </c>
      <c r="G294" s="52">
        <f t="shared" si="31"/>
        <v>9.56</v>
      </c>
      <c r="H294" s="110"/>
      <c r="I294" s="81">
        <v>9.61</v>
      </c>
      <c r="J294" s="81">
        <f>VLOOKUP(C294,Recipes!$A$2:$N$4,12,FALSE())</f>
        <v>6.1509461004819709E-2</v>
      </c>
      <c r="K294" s="81">
        <f t="shared" si="32"/>
        <v>9.3947168864831312</v>
      </c>
      <c r="L294" s="81">
        <f t="shared" si="33"/>
        <v>9.8252831135168677</v>
      </c>
      <c r="M294" s="81" t="str">
        <f t="shared" si="34"/>
        <v>OK</v>
      </c>
      <c r="N294" s="117">
        <f t="shared" si="35"/>
        <v>1</v>
      </c>
      <c r="O294" s="81">
        <f t="shared" si="36"/>
        <v>4.9999999999998934E-2</v>
      </c>
      <c r="P294" s="81">
        <f>IF(G294="","",ABS(O294-Components!$C$2))</f>
        <v>2.7033333333333309</v>
      </c>
      <c r="Q294" s="81">
        <f>IF(G294="","",ABS(O294-Components!$C$3))</f>
        <v>3.9860000000000007</v>
      </c>
      <c r="R294" s="81">
        <f>IF(G294="","",ABS(O294-Components!$C$4))</f>
        <v>0.94333333333333402</v>
      </c>
      <c r="S294" s="81">
        <f>IF(G294="","",ABS(O294-Components!$C$5))</f>
        <v>4.5126666666666715</v>
      </c>
      <c r="T294" s="81">
        <f>IF(G294="","",ABS(O294-Components!$C$6))</f>
        <v>1.105666666666671</v>
      </c>
      <c r="U294" s="81">
        <f>IF(G294="","",ABS(O294-Components!$C$7))</f>
        <v>1.3243333333333311</v>
      </c>
      <c r="V294" s="81" t="str">
        <f>IF(G294="","",IF(M294="OK","NONE",INDEX({"S1","S2","W1","W2","N1","N2"},MATCH(MIN(P294:U294),P294:U294,0))))</f>
        <v>NONE</v>
      </c>
      <c r="W294" s="117">
        <f t="shared" si="37"/>
        <v>1</v>
      </c>
      <c r="X294" s="58"/>
    </row>
    <row r="295" spans="1:24">
      <c r="A295" s="115">
        <v>293</v>
      </c>
      <c r="B295" s="116">
        <v>10</v>
      </c>
      <c r="C295" s="81" t="s">
        <v>132</v>
      </c>
      <c r="D295" s="109" t="s">
        <v>238</v>
      </c>
      <c r="E295" s="81" t="s">
        <v>239</v>
      </c>
      <c r="F295" s="61">
        <v>8.64</v>
      </c>
      <c r="G295" s="52">
        <f t="shared" si="31"/>
        <v>9.6100000000000012</v>
      </c>
      <c r="H295" s="110"/>
      <c r="I295" s="81">
        <v>9.61</v>
      </c>
      <c r="J295" s="81">
        <f>VLOOKUP(C295,Recipes!$A$2:$N$4,12,FALSE())</f>
        <v>6.1509461004819709E-2</v>
      </c>
      <c r="K295" s="81">
        <f t="shared" si="32"/>
        <v>9.3947168864831312</v>
      </c>
      <c r="L295" s="81">
        <f t="shared" si="33"/>
        <v>9.8252831135168677</v>
      </c>
      <c r="M295" s="81" t="str">
        <f t="shared" si="34"/>
        <v>OK</v>
      </c>
      <c r="N295" s="117">
        <f t="shared" si="35"/>
        <v>1</v>
      </c>
      <c r="O295" s="81">
        <f t="shared" si="36"/>
        <v>-1.7763568394002505E-15</v>
      </c>
      <c r="P295" s="81">
        <f>IF(G295="","",ABS(O295-Components!$C$2))</f>
        <v>2.7533333333333316</v>
      </c>
      <c r="Q295" s="81">
        <f>IF(G295="","",ABS(O295-Components!$C$3))</f>
        <v>4.0360000000000014</v>
      </c>
      <c r="R295" s="81">
        <f>IF(G295="","",ABS(O295-Components!$C$4))</f>
        <v>0.99333333333333473</v>
      </c>
      <c r="S295" s="81">
        <f>IF(G295="","",ABS(O295-Components!$C$5))</f>
        <v>4.5626666666666722</v>
      </c>
      <c r="T295" s="81">
        <f>IF(G295="","",ABS(O295-Components!$C$6))</f>
        <v>1.1556666666666717</v>
      </c>
      <c r="U295" s="81">
        <f>IF(G295="","",ABS(O295-Components!$C$7))</f>
        <v>1.3743333333333319</v>
      </c>
      <c r="V295" s="81" t="str">
        <f>IF(G295="","",IF(M295="OK","NONE",INDEX({"S1","S2","W1","W2","N1","N2"},MATCH(MIN(P295:U295),P295:U295,0))))</f>
        <v>NONE</v>
      </c>
      <c r="W295" s="117">
        <f t="shared" si="37"/>
        <v>1</v>
      </c>
      <c r="X295" s="58"/>
    </row>
    <row r="296" spans="1:24">
      <c r="A296" s="115">
        <v>294</v>
      </c>
      <c r="B296" s="116">
        <v>10</v>
      </c>
      <c r="C296" s="81" t="s">
        <v>132</v>
      </c>
      <c r="D296" s="109" t="s">
        <v>238</v>
      </c>
      <c r="E296" s="81" t="s">
        <v>239</v>
      </c>
      <c r="F296" s="61">
        <v>8.64</v>
      </c>
      <c r="G296" s="52">
        <f t="shared" si="31"/>
        <v>9.6100000000000012</v>
      </c>
      <c r="H296" s="110"/>
      <c r="I296" s="81">
        <v>9.61</v>
      </c>
      <c r="J296" s="81">
        <f>VLOOKUP(C296,Recipes!$A$2:$N$4,12,FALSE())</f>
        <v>6.1509461004819709E-2</v>
      </c>
      <c r="K296" s="81">
        <f t="shared" si="32"/>
        <v>9.3947168864831312</v>
      </c>
      <c r="L296" s="81">
        <f t="shared" si="33"/>
        <v>9.8252831135168677</v>
      </c>
      <c r="M296" s="81" t="str">
        <f t="shared" si="34"/>
        <v>OK</v>
      </c>
      <c r="N296" s="117">
        <f t="shared" si="35"/>
        <v>1</v>
      </c>
      <c r="O296" s="81">
        <f t="shared" si="36"/>
        <v>-1.7763568394002505E-15</v>
      </c>
      <c r="P296" s="81">
        <f>IF(G296="","",ABS(O296-Components!$C$2))</f>
        <v>2.7533333333333316</v>
      </c>
      <c r="Q296" s="81">
        <f>IF(G296="","",ABS(O296-Components!$C$3))</f>
        <v>4.0360000000000014</v>
      </c>
      <c r="R296" s="81">
        <f>IF(G296="","",ABS(O296-Components!$C$4))</f>
        <v>0.99333333333333473</v>
      </c>
      <c r="S296" s="81">
        <f>IF(G296="","",ABS(O296-Components!$C$5))</f>
        <v>4.5626666666666722</v>
      </c>
      <c r="T296" s="81">
        <f>IF(G296="","",ABS(O296-Components!$C$6))</f>
        <v>1.1556666666666717</v>
      </c>
      <c r="U296" s="81">
        <f>IF(G296="","",ABS(O296-Components!$C$7))</f>
        <v>1.3743333333333319</v>
      </c>
      <c r="V296" s="81" t="str">
        <f>IF(G296="","",IF(M296="OK","NONE",INDEX({"S1","S2","W1","W2","N1","N2"},MATCH(MIN(P296:U296),P296:U296,0))))</f>
        <v>NONE</v>
      </c>
      <c r="W296" s="117">
        <f t="shared" si="37"/>
        <v>1</v>
      </c>
      <c r="X296" s="58"/>
    </row>
    <row r="297" spans="1:24">
      <c r="A297" s="115">
        <v>295</v>
      </c>
      <c r="B297" s="116">
        <v>10</v>
      </c>
      <c r="C297" s="81" t="s">
        <v>132</v>
      </c>
      <c r="D297" s="109" t="s">
        <v>238</v>
      </c>
      <c r="E297" s="81" t="s">
        <v>239</v>
      </c>
      <c r="F297" s="61">
        <v>8.68</v>
      </c>
      <c r="G297" s="52">
        <f t="shared" si="31"/>
        <v>9.65</v>
      </c>
      <c r="H297" s="110"/>
      <c r="I297" s="81">
        <v>9.61</v>
      </c>
      <c r="J297" s="81">
        <f>VLOOKUP(C297,Recipes!$A$2:$N$4,12,FALSE())</f>
        <v>6.1509461004819709E-2</v>
      </c>
      <c r="K297" s="81">
        <f t="shared" si="32"/>
        <v>9.3947168864831312</v>
      </c>
      <c r="L297" s="81">
        <f t="shared" si="33"/>
        <v>9.8252831135168677</v>
      </c>
      <c r="M297" s="81" t="str">
        <f t="shared" si="34"/>
        <v>OK</v>
      </c>
      <c r="N297" s="117">
        <f t="shared" si="35"/>
        <v>1</v>
      </c>
      <c r="O297" s="81">
        <f t="shared" si="36"/>
        <v>-4.0000000000000924E-2</v>
      </c>
      <c r="P297" s="81">
        <f>IF(G297="","",ABS(O297-Components!$C$2))</f>
        <v>2.7933333333333308</v>
      </c>
      <c r="Q297" s="81">
        <f>IF(G297="","",ABS(O297-Components!$C$3))</f>
        <v>4.0760000000000005</v>
      </c>
      <c r="R297" s="81">
        <f>IF(G297="","",ABS(O297-Components!$C$4))</f>
        <v>1.0333333333333339</v>
      </c>
      <c r="S297" s="81">
        <f>IF(G297="","",ABS(O297-Components!$C$5))</f>
        <v>4.6026666666666713</v>
      </c>
      <c r="T297" s="81">
        <f>IF(G297="","",ABS(O297-Components!$C$6))</f>
        <v>1.1956666666666709</v>
      </c>
      <c r="U297" s="81">
        <f>IF(G297="","",ABS(O297-Components!$C$7))</f>
        <v>1.414333333333331</v>
      </c>
      <c r="V297" s="81" t="str">
        <f>IF(G297="","",IF(M297="OK","NONE",INDEX({"S1","S2","W1","W2","N1","N2"},MATCH(MIN(P297:U297),P297:U297,0))))</f>
        <v>NONE</v>
      </c>
      <c r="W297" s="117">
        <f t="shared" si="37"/>
        <v>1</v>
      </c>
      <c r="X297" s="58"/>
    </row>
    <row r="298" spans="1:24">
      <c r="A298" s="115">
        <v>296</v>
      </c>
      <c r="B298" s="116">
        <v>10</v>
      </c>
      <c r="C298" s="81" t="s">
        <v>132</v>
      </c>
      <c r="D298" s="109" t="s">
        <v>238</v>
      </c>
      <c r="E298" s="81" t="s">
        <v>239</v>
      </c>
      <c r="F298" s="61">
        <v>8.66</v>
      </c>
      <c r="G298" s="52">
        <f t="shared" si="31"/>
        <v>9.6300000000000008</v>
      </c>
      <c r="H298" s="110"/>
      <c r="I298" s="81">
        <v>9.61</v>
      </c>
      <c r="J298" s="81">
        <f>VLOOKUP(C298,Recipes!$A$2:$N$4,12,FALSE())</f>
        <v>6.1509461004819709E-2</v>
      </c>
      <c r="K298" s="81">
        <f t="shared" si="32"/>
        <v>9.3947168864831312</v>
      </c>
      <c r="L298" s="81">
        <f t="shared" si="33"/>
        <v>9.8252831135168677</v>
      </c>
      <c r="M298" s="81" t="str">
        <f t="shared" si="34"/>
        <v>OK</v>
      </c>
      <c r="N298" s="117">
        <f t="shared" si="35"/>
        <v>1</v>
      </c>
      <c r="O298" s="81">
        <f t="shared" si="36"/>
        <v>-2.000000000000135E-2</v>
      </c>
      <c r="P298" s="81">
        <f>IF(G298="","",ABS(O298-Components!$C$2))</f>
        <v>2.7733333333333312</v>
      </c>
      <c r="Q298" s="81">
        <f>IF(G298="","",ABS(O298-Components!$C$3))</f>
        <v>4.0560000000000009</v>
      </c>
      <c r="R298" s="81">
        <f>IF(G298="","",ABS(O298-Components!$C$4))</f>
        <v>1.0133333333333343</v>
      </c>
      <c r="S298" s="81">
        <f>IF(G298="","",ABS(O298-Components!$C$5))</f>
        <v>4.5826666666666718</v>
      </c>
      <c r="T298" s="81">
        <f>IF(G298="","",ABS(O298-Components!$C$6))</f>
        <v>1.1756666666666713</v>
      </c>
      <c r="U298" s="81">
        <f>IF(G298="","",ABS(O298-Components!$C$7))</f>
        <v>1.3943333333333314</v>
      </c>
      <c r="V298" s="81" t="str">
        <f>IF(G298="","",IF(M298="OK","NONE",INDEX({"S1","S2","W1","W2","N1","N2"},MATCH(MIN(P298:U298),P298:U298,0))))</f>
        <v>NONE</v>
      </c>
      <c r="W298" s="117">
        <f t="shared" si="37"/>
        <v>1</v>
      </c>
      <c r="X298" s="58"/>
    </row>
    <row r="299" spans="1:24">
      <c r="A299" s="115">
        <v>297</v>
      </c>
      <c r="B299" s="116">
        <v>10</v>
      </c>
      <c r="C299" s="81" t="s">
        <v>132</v>
      </c>
      <c r="D299" s="109" t="s">
        <v>238</v>
      </c>
      <c r="E299" s="81" t="s">
        <v>239</v>
      </c>
      <c r="F299" s="61">
        <v>8.58</v>
      </c>
      <c r="G299" s="52">
        <f t="shared" si="31"/>
        <v>9.5500000000000007</v>
      </c>
      <c r="H299" s="110"/>
      <c r="I299" s="81">
        <v>9.61</v>
      </c>
      <c r="J299" s="81">
        <f>VLOOKUP(C299,Recipes!$A$2:$N$4,12,FALSE())</f>
        <v>6.1509461004819709E-2</v>
      </c>
      <c r="K299" s="81">
        <f t="shared" si="32"/>
        <v>9.3947168864831312</v>
      </c>
      <c r="L299" s="81">
        <f t="shared" si="33"/>
        <v>9.8252831135168677</v>
      </c>
      <c r="M299" s="81" t="str">
        <f t="shared" si="34"/>
        <v>OK</v>
      </c>
      <c r="N299" s="117">
        <f t="shared" si="35"/>
        <v>1</v>
      </c>
      <c r="O299" s="81">
        <f t="shared" si="36"/>
        <v>5.9999999999998721E-2</v>
      </c>
      <c r="P299" s="81">
        <f>IF(G299="","",ABS(O299-Components!$C$2))</f>
        <v>2.6933333333333311</v>
      </c>
      <c r="Q299" s="81">
        <f>IF(G299="","",ABS(O299-Components!$C$3))</f>
        <v>3.9760000000000009</v>
      </c>
      <c r="R299" s="81">
        <f>IF(G299="","",ABS(O299-Components!$C$4))</f>
        <v>0.93333333333333424</v>
      </c>
      <c r="S299" s="81">
        <f>IF(G299="","",ABS(O299-Components!$C$5))</f>
        <v>4.5026666666666717</v>
      </c>
      <c r="T299" s="81">
        <f>IF(G299="","",ABS(O299-Components!$C$6))</f>
        <v>1.0956666666666712</v>
      </c>
      <c r="U299" s="81">
        <f>IF(G299="","",ABS(O299-Components!$C$7))</f>
        <v>1.3143333333333314</v>
      </c>
      <c r="V299" s="81" t="str">
        <f>IF(G299="","",IF(M299="OK","NONE",INDEX({"S1","S2","W1","W2","N1","N2"},MATCH(MIN(P299:U299),P299:U299,0))))</f>
        <v>NONE</v>
      </c>
      <c r="W299" s="117">
        <f t="shared" si="37"/>
        <v>1</v>
      </c>
      <c r="X299" s="58"/>
    </row>
    <row r="300" spans="1:24">
      <c r="A300" s="115">
        <v>298</v>
      </c>
      <c r="B300" s="116">
        <v>10</v>
      </c>
      <c r="C300" s="81" t="s">
        <v>132</v>
      </c>
      <c r="D300" s="109" t="s">
        <v>238</v>
      </c>
      <c r="E300" s="81" t="s">
        <v>239</v>
      </c>
      <c r="F300" s="52">
        <v>8.6300000000000008</v>
      </c>
      <c r="G300" s="52">
        <f t="shared" si="31"/>
        <v>9.6000000000000014</v>
      </c>
      <c r="H300" s="110"/>
      <c r="I300" s="81">
        <v>9.61</v>
      </c>
      <c r="J300" s="81">
        <f>VLOOKUP(C300,Recipes!$A$2:$N$4,12,FALSE())</f>
        <v>6.1509461004819709E-2</v>
      </c>
      <c r="K300" s="81">
        <f t="shared" si="32"/>
        <v>9.3947168864831312</v>
      </c>
      <c r="L300" s="81">
        <f t="shared" si="33"/>
        <v>9.8252831135168677</v>
      </c>
      <c r="M300" s="81" t="str">
        <f t="shared" si="34"/>
        <v>OK</v>
      </c>
      <c r="N300" s="117">
        <f t="shared" si="35"/>
        <v>1</v>
      </c>
      <c r="O300" s="81">
        <f t="shared" si="36"/>
        <v>9.9999999999980105E-3</v>
      </c>
      <c r="P300" s="81">
        <f>IF(G300="","",ABS(O300-Components!$C$2))</f>
        <v>2.7433333333333318</v>
      </c>
      <c r="Q300" s="81">
        <f>IF(G300="","",ABS(O300-Components!$C$3))</f>
        <v>4.0260000000000016</v>
      </c>
      <c r="R300" s="81">
        <f>IF(G300="","",ABS(O300-Components!$C$4))</f>
        <v>0.98333333333333495</v>
      </c>
      <c r="S300" s="81">
        <f>IF(G300="","",ABS(O300-Components!$C$5))</f>
        <v>4.5526666666666724</v>
      </c>
      <c r="T300" s="81">
        <f>IF(G300="","",ABS(O300-Components!$C$6))</f>
        <v>1.1456666666666719</v>
      </c>
      <c r="U300" s="81">
        <f>IF(G300="","",ABS(O300-Components!$C$7))</f>
        <v>1.3643333333333321</v>
      </c>
      <c r="V300" s="81" t="str">
        <f>IF(G300="","",IF(M300="OK","NONE",INDEX({"S1","S2","W1","W2","N1","N2"},MATCH(MIN(P300:U300),P300:U300,0))))</f>
        <v>NONE</v>
      </c>
      <c r="W300" s="117">
        <f t="shared" si="37"/>
        <v>1</v>
      </c>
      <c r="X300" s="58"/>
    </row>
    <row r="301" spans="1:24">
      <c r="A301" s="115">
        <v>299</v>
      </c>
      <c r="B301" s="116">
        <v>10</v>
      </c>
      <c r="C301" s="61" t="s">
        <v>132</v>
      </c>
      <c r="D301" s="61" t="s">
        <v>238</v>
      </c>
      <c r="E301" s="61" t="s">
        <v>239</v>
      </c>
      <c r="F301" s="61">
        <v>8.6199999999999992</v>
      </c>
      <c r="G301" s="52">
        <f t="shared" si="31"/>
        <v>9.59</v>
      </c>
      <c r="H301" s="110"/>
      <c r="I301" s="81">
        <v>9.61</v>
      </c>
      <c r="J301" s="81">
        <f>VLOOKUP(C301,Recipes!$A$2:$N$4,12,FALSE())</f>
        <v>6.1509461004819709E-2</v>
      </c>
      <c r="K301" s="81">
        <f t="shared" si="32"/>
        <v>9.3947168864831312</v>
      </c>
      <c r="L301" s="81">
        <f t="shared" si="33"/>
        <v>9.8252831135168677</v>
      </c>
      <c r="M301" s="81" t="str">
        <f t="shared" si="34"/>
        <v>OK</v>
      </c>
      <c r="N301" s="117">
        <f t="shared" si="35"/>
        <v>1</v>
      </c>
      <c r="O301" s="81">
        <f t="shared" si="36"/>
        <v>1.9999999999999574E-2</v>
      </c>
      <c r="P301" s="81">
        <f>IF(G301="","",ABS(O301-Components!$C$2))</f>
        <v>2.7333333333333303</v>
      </c>
      <c r="Q301" s="81">
        <f>IF(G301="","",ABS(O301-Components!$C$3))</f>
        <v>4.016</v>
      </c>
      <c r="R301" s="81">
        <f>IF(G301="","",ABS(O301-Components!$C$4))</f>
        <v>0.97333333333333338</v>
      </c>
      <c r="S301" s="81">
        <f>IF(G301="","",ABS(O301-Components!$C$5))</f>
        <v>4.5426666666666708</v>
      </c>
      <c r="T301" s="81">
        <f>IF(G301="","",ABS(O301-Components!$C$6))</f>
        <v>1.1356666666666704</v>
      </c>
      <c r="U301" s="81">
        <f>IF(G301="","",ABS(O301-Components!$C$7))</f>
        <v>1.3543333333333305</v>
      </c>
      <c r="V301" s="81" t="str">
        <f>IF(G301="","",IF(M301="OK","NONE",INDEX({"S1","S2","W1","W2","N1","N2"},MATCH(MIN(P301:U301),P301:U301,0))))</f>
        <v>NONE</v>
      </c>
      <c r="W301" s="117">
        <f t="shared" si="37"/>
        <v>1</v>
      </c>
      <c r="X301" s="58"/>
    </row>
    <row r="302" spans="1:24">
      <c r="A302" s="115">
        <v>300</v>
      </c>
      <c r="B302" s="116">
        <v>10</v>
      </c>
      <c r="C302" s="61" t="s">
        <v>132</v>
      </c>
      <c r="D302" s="61" t="s">
        <v>238</v>
      </c>
      <c r="E302" s="61" t="s">
        <v>239</v>
      </c>
      <c r="F302" s="61">
        <v>8.58</v>
      </c>
      <c r="G302" s="52">
        <f t="shared" si="31"/>
        <v>9.5500000000000007</v>
      </c>
      <c r="H302" s="110"/>
      <c r="I302" s="81">
        <v>9.61</v>
      </c>
      <c r="J302" s="81">
        <f>VLOOKUP(C302,Recipes!$A$2:$N$4,12,FALSE())</f>
        <v>6.1509461004819709E-2</v>
      </c>
      <c r="K302" s="81">
        <f t="shared" si="32"/>
        <v>9.3947168864831312</v>
      </c>
      <c r="L302" s="81">
        <f t="shared" si="33"/>
        <v>9.8252831135168677</v>
      </c>
      <c r="M302" s="81" t="str">
        <f t="shared" si="34"/>
        <v>OK</v>
      </c>
      <c r="N302" s="117">
        <f t="shared" si="35"/>
        <v>1</v>
      </c>
      <c r="O302" s="81">
        <f t="shared" si="36"/>
        <v>5.9999999999998721E-2</v>
      </c>
      <c r="P302" s="81">
        <f>IF(G302="","",ABS(O302-Components!$C$2))</f>
        <v>2.6933333333333311</v>
      </c>
      <c r="Q302" s="81">
        <f>IF(G302="","",ABS(O302-Components!$C$3))</f>
        <v>3.9760000000000009</v>
      </c>
      <c r="R302" s="81">
        <f>IF(G302="","",ABS(O302-Components!$C$4))</f>
        <v>0.93333333333333424</v>
      </c>
      <c r="S302" s="81">
        <f>IF(G302="","",ABS(O302-Components!$C$5))</f>
        <v>4.5026666666666717</v>
      </c>
      <c r="T302" s="81">
        <f>IF(G302="","",ABS(O302-Components!$C$6))</f>
        <v>1.0956666666666712</v>
      </c>
      <c r="U302" s="81">
        <f>IF(G302="","",ABS(O302-Components!$C$7))</f>
        <v>1.3143333333333314</v>
      </c>
      <c r="V302" s="81" t="str">
        <f>IF(G302="","",IF(M302="OK","NONE",INDEX({"S1","S2","W1","W2","N1","N2"},MATCH(MIN(P302:U302),P302:U302,0))))</f>
        <v>NONE</v>
      </c>
      <c r="W302" s="117">
        <f t="shared" si="37"/>
        <v>1</v>
      </c>
      <c r="X302" s="58"/>
    </row>
    <row r="303" spans="1:24">
      <c r="A303" s="115">
        <v>301</v>
      </c>
      <c r="B303" s="116">
        <v>11</v>
      </c>
      <c r="C303" s="81" t="s">
        <v>132</v>
      </c>
      <c r="D303" s="111" t="s">
        <v>240</v>
      </c>
      <c r="E303" s="81" t="s">
        <v>99</v>
      </c>
      <c r="F303" s="52">
        <v>5.89</v>
      </c>
      <c r="G303" s="52">
        <f t="shared" si="31"/>
        <v>6.8599999999999994</v>
      </c>
      <c r="H303" s="110"/>
      <c r="I303" s="81">
        <v>9.61</v>
      </c>
      <c r="J303" s="81">
        <f>VLOOKUP(C303,Recipes!$A$2:$N$4,12,FALSE())</f>
        <v>6.1509461004819709E-2</v>
      </c>
      <c r="K303" s="81">
        <f t="shared" si="32"/>
        <v>9.3947168864831312</v>
      </c>
      <c r="L303" s="81">
        <f t="shared" si="33"/>
        <v>9.8252831135168677</v>
      </c>
      <c r="M303" s="81" t="str">
        <f t="shared" si="34"/>
        <v>NG</v>
      </c>
      <c r="N303" s="117">
        <f t="shared" si="35"/>
        <v>1</v>
      </c>
      <c r="O303" s="81">
        <f t="shared" si="36"/>
        <v>2.75</v>
      </c>
      <c r="P303" s="81">
        <f>IF(G303="","",ABS(O303-Components!$C$2))</f>
        <v>3.3333333333298576E-3</v>
      </c>
      <c r="Q303" s="81">
        <f>IF(G303="","",ABS(O303-Components!$C$3))</f>
        <v>1.2859999999999996</v>
      </c>
      <c r="R303" s="81">
        <f>IF(G303="","",ABS(O303-Components!$C$4))</f>
        <v>1.756666666666667</v>
      </c>
      <c r="S303" s="81">
        <f>IF(G303="","",ABS(O303-Components!$C$5))</f>
        <v>1.8126666666666704</v>
      </c>
      <c r="T303" s="81">
        <f>IF(G303="","",ABS(O303-Components!$C$6))</f>
        <v>1.59433333333333</v>
      </c>
      <c r="U303" s="81">
        <f>IF(G303="","",ABS(O303-Components!$C$7))</f>
        <v>1.3756666666666699</v>
      </c>
      <c r="V303" s="81" t="str">
        <f>IF(G303="","",IF(M303="OK","NONE",INDEX({"S1","S2","W1","W2","N1","N2"},MATCH(MIN(P303:U303),P303:U303,0))))</f>
        <v>S1</v>
      </c>
      <c r="W303" s="117">
        <f t="shared" si="37"/>
        <v>1</v>
      </c>
      <c r="X303" s="58"/>
    </row>
    <row r="304" spans="1:24">
      <c r="A304" s="115">
        <v>302</v>
      </c>
      <c r="B304" s="116">
        <v>11</v>
      </c>
      <c r="C304" s="81" t="s">
        <v>132</v>
      </c>
      <c r="D304" s="111" t="s">
        <v>240</v>
      </c>
      <c r="E304" s="81" t="s">
        <v>99</v>
      </c>
      <c r="F304" s="52">
        <v>5.89</v>
      </c>
      <c r="G304" s="52">
        <f t="shared" si="31"/>
        <v>6.8599999999999994</v>
      </c>
      <c r="H304" s="110"/>
      <c r="I304" s="81">
        <v>9.61</v>
      </c>
      <c r="J304" s="81">
        <f>VLOOKUP(C304,Recipes!$A$2:$N$4,12,FALSE())</f>
        <v>6.1509461004819709E-2</v>
      </c>
      <c r="K304" s="81">
        <f t="shared" si="32"/>
        <v>9.3947168864831312</v>
      </c>
      <c r="L304" s="81">
        <f t="shared" si="33"/>
        <v>9.8252831135168677</v>
      </c>
      <c r="M304" s="81" t="str">
        <f t="shared" si="34"/>
        <v>NG</v>
      </c>
      <c r="N304" s="117">
        <f t="shared" si="35"/>
        <v>1</v>
      </c>
      <c r="O304" s="81">
        <f t="shared" si="36"/>
        <v>2.75</v>
      </c>
      <c r="P304" s="81">
        <f>IF(G304="","",ABS(O304-Components!$C$2))</f>
        <v>3.3333333333298576E-3</v>
      </c>
      <c r="Q304" s="81">
        <f>IF(G304="","",ABS(O304-Components!$C$3))</f>
        <v>1.2859999999999996</v>
      </c>
      <c r="R304" s="81">
        <f>IF(G304="","",ABS(O304-Components!$C$4))</f>
        <v>1.756666666666667</v>
      </c>
      <c r="S304" s="81">
        <f>IF(G304="","",ABS(O304-Components!$C$5))</f>
        <v>1.8126666666666704</v>
      </c>
      <c r="T304" s="81">
        <f>IF(G304="","",ABS(O304-Components!$C$6))</f>
        <v>1.59433333333333</v>
      </c>
      <c r="U304" s="81">
        <f>IF(G304="","",ABS(O304-Components!$C$7))</f>
        <v>1.3756666666666699</v>
      </c>
      <c r="V304" s="81" t="str">
        <f>IF(G304="","",IF(M304="OK","NONE",INDEX({"S1","S2","W1","W2","N1","N2"},MATCH(MIN(P304:U304),P304:U304,0))))</f>
        <v>S1</v>
      </c>
      <c r="W304" s="117">
        <f t="shared" si="37"/>
        <v>1</v>
      </c>
      <c r="X304" s="58"/>
    </row>
    <row r="305" spans="1:24">
      <c r="A305" s="115">
        <v>303</v>
      </c>
      <c r="B305" s="116">
        <v>11</v>
      </c>
      <c r="C305" s="81" t="s">
        <v>132</v>
      </c>
      <c r="D305" s="111" t="s">
        <v>240</v>
      </c>
      <c r="E305" s="81" t="s">
        <v>99</v>
      </c>
      <c r="F305" s="61">
        <v>5.9</v>
      </c>
      <c r="G305" s="52">
        <f t="shared" si="31"/>
        <v>6.87</v>
      </c>
      <c r="H305" s="110"/>
      <c r="I305" s="81">
        <v>9.61</v>
      </c>
      <c r="J305" s="81">
        <f>VLOOKUP(C305,Recipes!$A$2:$N$4,12,FALSE())</f>
        <v>6.1509461004819709E-2</v>
      </c>
      <c r="K305" s="81">
        <f t="shared" si="32"/>
        <v>9.3947168864831312</v>
      </c>
      <c r="L305" s="81">
        <f t="shared" si="33"/>
        <v>9.8252831135168677</v>
      </c>
      <c r="M305" s="81" t="str">
        <f t="shared" si="34"/>
        <v>NG</v>
      </c>
      <c r="N305" s="117">
        <f t="shared" si="35"/>
        <v>1</v>
      </c>
      <c r="O305" s="81">
        <f t="shared" si="36"/>
        <v>2.7399999999999993</v>
      </c>
      <c r="P305" s="81">
        <f>IF(G305="","",ABS(O305-Components!$C$2))</f>
        <v>1.3333333333330533E-2</v>
      </c>
      <c r="Q305" s="81">
        <f>IF(G305="","",ABS(O305-Components!$C$3))</f>
        <v>1.2960000000000003</v>
      </c>
      <c r="R305" s="81">
        <f>IF(G305="","",ABS(O305-Components!$C$4))</f>
        <v>1.7466666666666664</v>
      </c>
      <c r="S305" s="81">
        <f>IF(G305="","",ABS(O305-Components!$C$5))</f>
        <v>1.8226666666666711</v>
      </c>
      <c r="T305" s="81">
        <f>IF(G305="","",ABS(O305-Components!$C$6))</f>
        <v>1.5843333333333294</v>
      </c>
      <c r="U305" s="81">
        <f>IF(G305="","",ABS(O305-Components!$C$7))</f>
        <v>1.3656666666666692</v>
      </c>
      <c r="V305" s="81" t="str">
        <f>IF(G305="","",IF(M305="OK","NONE",INDEX({"S1","S2","W1","W2","N1","N2"},MATCH(MIN(P305:U305),P305:U305,0))))</f>
        <v>S1</v>
      </c>
      <c r="W305" s="117">
        <f t="shared" si="37"/>
        <v>1</v>
      </c>
      <c r="X305" s="58"/>
    </row>
    <row r="306" spans="1:24">
      <c r="A306" s="115">
        <v>304</v>
      </c>
      <c r="B306" s="116">
        <v>11</v>
      </c>
      <c r="C306" s="81" t="s">
        <v>132</v>
      </c>
      <c r="D306" s="111" t="s">
        <v>240</v>
      </c>
      <c r="E306" s="81" t="s">
        <v>99</v>
      </c>
      <c r="F306" s="61">
        <v>5.88</v>
      </c>
      <c r="G306" s="52">
        <f t="shared" si="31"/>
        <v>6.85</v>
      </c>
      <c r="H306" s="110"/>
      <c r="I306" s="81">
        <v>9.61</v>
      </c>
      <c r="J306" s="81">
        <f>VLOOKUP(C306,Recipes!$A$2:$N$4,12,FALSE())</f>
        <v>6.1509461004819709E-2</v>
      </c>
      <c r="K306" s="81">
        <f t="shared" si="32"/>
        <v>9.3947168864831312</v>
      </c>
      <c r="L306" s="81">
        <f t="shared" si="33"/>
        <v>9.8252831135168677</v>
      </c>
      <c r="M306" s="81" t="str">
        <f t="shared" si="34"/>
        <v>NG</v>
      </c>
      <c r="N306" s="117">
        <f t="shared" si="35"/>
        <v>1</v>
      </c>
      <c r="O306" s="81">
        <f t="shared" si="36"/>
        <v>2.76</v>
      </c>
      <c r="P306" s="81">
        <f>IF(G306="","",ABS(O306-Components!$C$2))</f>
        <v>6.6666666666699292E-3</v>
      </c>
      <c r="Q306" s="81">
        <f>IF(G306="","",ABS(O306-Components!$C$3))</f>
        <v>1.2759999999999998</v>
      </c>
      <c r="R306" s="81">
        <f>IF(G306="","",ABS(O306-Components!$C$4))</f>
        <v>1.7666666666666668</v>
      </c>
      <c r="S306" s="81">
        <f>IF(G306="","",ABS(O306-Components!$C$5))</f>
        <v>1.8026666666666706</v>
      </c>
      <c r="T306" s="81">
        <f>IF(G306="","",ABS(O306-Components!$C$6))</f>
        <v>1.6043333333333298</v>
      </c>
      <c r="U306" s="81">
        <f>IF(G306="","",ABS(O306-Components!$C$7))</f>
        <v>1.3856666666666697</v>
      </c>
      <c r="V306" s="81" t="str">
        <f>IF(G306="","",IF(M306="OK","NONE",INDEX({"S1","S2","W1","W2","N1","N2"},MATCH(MIN(P306:U306),P306:U306,0))))</f>
        <v>S1</v>
      </c>
      <c r="W306" s="117">
        <f t="shared" si="37"/>
        <v>1</v>
      </c>
      <c r="X306" s="58"/>
    </row>
    <row r="307" spans="1:24">
      <c r="A307" s="115">
        <v>305</v>
      </c>
      <c r="B307" s="116">
        <v>11</v>
      </c>
      <c r="C307" s="81" t="s">
        <v>132</v>
      </c>
      <c r="D307" s="111" t="s">
        <v>240</v>
      </c>
      <c r="E307" s="81" t="s">
        <v>99</v>
      </c>
      <c r="F307" s="61">
        <v>5.91</v>
      </c>
      <c r="G307" s="52">
        <f t="shared" si="31"/>
        <v>6.88</v>
      </c>
      <c r="H307" s="110"/>
      <c r="I307" s="81">
        <v>9.61</v>
      </c>
      <c r="J307" s="81">
        <f>VLOOKUP(C307,Recipes!$A$2:$N$4,12,FALSE())</f>
        <v>6.1509461004819709E-2</v>
      </c>
      <c r="K307" s="81">
        <f t="shared" si="32"/>
        <v>9.3947168864831312</v>
      </c>
      <c r="L307" s="81">
        <f t="shared" si="33"/>
        <v>9.8252831135168677</v>
      </c>
      <c r="M307" s="81" t="str">
        <f t="shared" si="34"/>
        <v>NG</v>
      </c>
      <c r="N307" s="117">
        <f t="shared" si="35"/>
        <v>1</v>
      </c>
      <c r="O307" s="81">
        <f t="shared" si="36"/>
        <v>2.7299999999999995</v>
      </c>
      <c r="P307" s="81">
        <f>IF(G307="","",ABS(O307-Components!$C$2))</f>
        <v>2.3333333333330319E-2</v>
      </c>
      <c r="Q307" s="81">
        <f>IF(G307="","",ABS(O307-Components!$C$3))</f>
        <v>1.306</v>
      </c>
      <c r="R307" s="81">
        <f>IF(G307="","",ABS(O307-Components!$C$4))</f>
        <v>1.7366666666666666</v>
      </c>
      <c r="S307" s="81">
        <f>IF(G307="","",ABS(O307-Components!$C$5))</f>
        <v>1.8326666666666709</v>
      </c>
      <c r="T307" s="81">
        <f>IF(G307="","",ABS(O307-Components!$C$6))</f>
        <v>1.5743333333333296</v>
      </c>
      <c r="U307" s="81">
        <f>IF(G307="","",ABS(O307-Components!$C$7))</f>
        <v>1.3556666666666695</v>
      </c>
      <c r="V307" s="81" t="str">
        <f>IF(G307="","",IF(M307="OK","NONE",INDEX({"S1","S2","W1","W2","N1","N2"},MATCH(MIN(P307:U307),P307:U307,0))))</f>
        <v>S1</v>
      </c>
      <c r="W307" s="117">
        <f t="shared" si="37"/>
        <v>1</v>
      </c>
      <c r="X307" s="58"/>
    </row>
    <row r="308" spans="1:24">
      <c r="A308" s="115">
        <v>306</v>
      </c>
      <c r="B308" s="116">
        <v>11</v>
      </c>
      <c r="C308" s="81" t="s">
        <v>132</v>
      </c>
      <c r="D308" s="111" t="s">
        <v>240</v>
      </c>
      <c r="E308" s="81" t="s">
        <v>99</v>
      </c>
      <c r="F308" s="61">
        <v>5.86</v>
      </c>
      <c r="G308" s="52">
        <f t="shared" si="31"/>
        <v>6.83</v>
      </c>
      <c r="H308" s="110"/>
      <c r="I308" s="81">
        <v>9.61</v>
      </c>
      <c r="J308" s="81">
        <f>VLOOKUP(C308,Recipes!$A$2:$N$4,12,FALSE())</f>
        <v>6.1509461004819709E-2</v>
      </c>
      <c r="K308" s="81">
        <f t="shared" si="32"/>
        <v>9.3947168864831312</v>
      </c>
      <c r="L308" s="81">
        <f t="shared" si="33"/>
        <v>9.8252831135168677</v>
      </c>
      <c r="M308" s="81" t="str">
        <f t="shared" si="34"/>
        <v>NG</v>
      </c>
      <c r="N308" s="117">
        <f t="shared" si="35"/>
        <v>1</v>
      </c>
      <c r="O308" s="81">
        <f t="shared" si="36"/>
        <v>2.7799999999999994</v>
      </c>
      <c r="P308" s="81">
        <f>IF(G308="","",ABS(O308-Components!$C$2))</f>
        <v>2.6666666666669503E-2</v>
      </c>
      <c r="Q308" s="81">
        <f>IF(G308="","",ABS(O308-Components!$C$3))</f>
        <v>1.2560000000000002</v>
      </c>
      <c r="R308" s="81">
        <f>IF(G308="","",ABS(O308-Components!$C$4))</f>
        <v>1.7866666666666664</v>
      </c>
      <c r="S308" s="81">
        <f>IF(G308="","",ABS(O308-Components!$C$5))</f>
        <v>1.7826666666666711</v>
      </c>
      <c r="T308" s="81">
        <f>IF(G308="","",ABS(O308-Components!$C$6))</f>
        <v>1.6243333333333294</v>
      </c>
      <c r="U308" s="81">
        <f>IF(G308="","",ABS(O308-Components!$C$7))</f>
        <v>1.4056666666666693</v>
      </c>
      <c r="V308" s="81" t="str">
        <f>IF(G308="","",IF(M308="OK","NONE",INDEX({"S1","S2","W1","W2","N1","N2"},MATCH(MIN(P308:U308),P308:U308,0))))</f>
        <v>S1</v>
      </c>
      <c r="W308" s="117">
        <f t="shared" si="37"/>
        <v>1</v>
      </c>
      <c r="X308" s="58"/>
    </row>
    <row r="309" spans="1:24">
      <c r="A309" s="115">
        <v>307</v>
      </c>
      <c r="B309" s="116">
        <v>11</v>
      </c>
      <c r="C309" s="81" t="s">
        <v>132</v>
      </c>
      <c r="D309" s="111" t="s">
        <v>240</v>
      </c>
      <c r="E309" s="81" t="s">
        <v>99</v>
      </c>
      <c r="F309" s="61">
        <v>5.9</v>
      </c>
      <c r="G309" s="52">
        <f t="shared" si="31"/>
        <v>6.87</v>
      </c>
      <c r="H309" s="110"/>
      <c r="I309" s="81">
        <v>9.61</v>
      </c>
      <c r="J309" s="81">
        <f>VLOOKUP(C309,Recipes!$A$2:$N$4,12,FALSE())</f>
        <v>6.1509461004819709E-2</v>
      </c>
      <c r="K309" s="81">
        <f t="shared" si="32"/>
        <v>9.3947168864831312</v>
      </c>
      <c r="L309" s="81">
        <f t="shared" si="33"/>
        <v>9.8252831135168677</v>
      </c>
      <c r="M309" s="81" t="str">
        <f t="shared" si="34"/>
        <v>NG</v>
      </c>
      <c r="N309" s="117">
        <f t="shared" si="35"/>
        <v>1</v>
      </c>
      <c r="O309" s="81">
        <f t="shared" si="36"/>
        <v>2.7399999999999993</v>
      </c>
      <c r="P309" s="81">
        <f>IF(G309="","",ABS(O309-Components!$C$2))</f>
        <v>1.3333333333330533E-2</v>
      </c>
      <c r="Q309" s="81">
        <f>IF(G309="","",ABS(O309-Components!$C$3))</f>
        <v>1.2960000000000003</v>
      </c>
      <c r="R309" s="81">
        <f>IF(G309="","",ABS(O309-Components!$C$4))</f>
        <v>1.7466666666666664</v>
      </c>
      <c r="S309" s="81">
        <f>IF(G309="","",ABS(O309-Components!$C$5))</f>
        <v>1.8226666666666711</v>
      </c>
      <c r="T309" s="81">
        <f>IF(G309="","",ABS(O309-Components!$C$6))</f>
        <v>1.5843333333333294</v>
      </c>
      <c r="U309" s="81">
        <f>IF(G309="","",ABS(O309-Components!$C$7))</f>
        <v>1.3656666666666692</v>
      </c>
      <c r="V309" s="81" t="str">
        <f>IF(G309="","",IF(M309="OK","NONE",INDEX({"S1","S2","W1","W2","N1","N2"},MATCH(MIN(P309:U309),P309:U309,0))))</f>
        <v>S1</v>
      </c>
      <c r="W309" s="117">
        <f t="shared" si="37"/>
        <v>1</v>
      </c>
      <c r="X309" s="58"/>
    </row>
    <row r="310" spans="1:24">
      <c r="A310" s="115">
        <v>308</v>
      </c>
      <c r="B310" s="116">
        <v>11</v>
      </c>
      <c r="C310" s="81" t="s">
        <v>132</v>
      </c>
      <c r="D310" s="111" t="s">
        <v>240</v>
      </c>
      <c r="E310" s="81" t="s">
        <v>99</v>
      </c>
      <c r="F310" s="61">
        <v>5.8</v>
      </c>
      <c r="G310" s="52">
        <f t="shared" si="31"/>
        <v>6.77</v>
      </c>
      <c r="H310" s="110"/>
      <c r="I310" s="81">
        <v>9.61</v>
      </c>
      <c r="J310" s="81">
        <f>VLOOKUP(C310,Recipes!$A$2:$N$4,12,FALSE())</f>
        <v>6.1509461004819709E-2</v>
      </c>
      <c r="K310" s="81">
        <f t="shared" si="32"/>
        <v>9.3947168864831312</v>
      </c>
      <c r="L310" s="81">
        <f t="shared" si="33"/>
        <v>9.8252831135168677</v>
      </c>
      <c r="M310" s="81" t="str">
        <f t="shared" si="34"/>
        <v>NG</v>
      </c>
      <c r="N310" s="117">
        <f t="shared" si="35"/>
        <v>1</v>
      </c>
      <c r="O310" s="81">
        <f t="shared" si="36"/>
        <v>2.84</v>
      </c>
      <c r="P310" s="81">
        <f>IF(G310="","",ABS(O310-Components!$C$2))</f>
        <v>8.666666666667E-2</v>
      </c>
      <c r="Q310" s="81">
        <f>IF(G310="","",ABS(O310-Components!$C$3))</f>
        <v>1.1959999999999997</v>
      </c>
      <c r="R310" s="81">
        <f>IF(G310="","",ABS(O310-Components!$C$4))</f>
        <v>1.8466666666666669</v>
      </c>
      <c r="S310" s="81">
        <f>IF(G310="","",ABS(O310-Components!$C$5))</f>
        <v>1.7226666666666706</v>
      </c>
      <c r="T310" s="81">
        <f>IF(G310="","",ABS(O310-Components!$C$6))</f>
        <v>1.6843333333333299</v>
      </c>
      <c r="U310" s="81">
        <f>IF(G310="","",ABS(O310-Components!$C$7))</f>
        <v>1.4656666666666698</v>
      </c>
      <c r="V310" s="81" t="str">
        <f>IF(G310="","",IF(M310="OK","NONE",INDEX({"S1","S2","W1","W2","N1","N2"},MATCH(MIN(P310:U310),P310:U310,0))))</f>
        <v>S1</v>
      </c>
      <c r="W310" s="117">
        <f t="shared" si="37"/>
        <v>1</v>
      </c>
      <c r="X310" s="58"/>
    </row>
    <row r="311" spans="1:24">
      <c r="A311" s="115">
        <v>309</v>
      </c>
      <c r="B311" s="116">
        <v>11</v>
      </c>
      <c r="C311" s="81" t="s">
        <v>132</v>
      </c>
      <c r="D311" s="111" t="s">
        <v>240</v>
      </c>
      <c r="E311" s="81" t="s">
        <v>99</v>
      </c>
      <c r="F311" s="61">
        <v>5.94</v>
      </c>
      <c r="G311" s="52">
        <f t="shared" si="31"/>
        <v>6.91</v>
      </c>
      <c r="H311" s="110"/>
      <c r="I311" s="81">
        <v>9.61</v>
      </c>
      <c r="J311" s="81">
        <f>VLOOKUP(C311,Recipes!$A$2:$N$4,12,FALSE())</f>
        <v>6.1509461004819709E-2</v>
      </c>
      <c r="K311" s="81">
        <f t="shared" si="32"/>
        <v>9.3947168864831312</v>
      </c>
      <c r="L311" s="81">
        <f t="shared" si="33"/>
        <v>9.8252831135168677</v>
      </c>
      <c r="M311" s="81" t="str">
        <f t="shared" si="34"/>
        <v>NG</v>
      </c>
      <c r="N311" s="117">
        <f t="shared" si="35"/>
        <v>1</v>
      </c>
      <c r="O311" s="81">
        <f t="shared" si="36"/>
        <v>2.6999999999999993</v>
      </c>
      <c r="P311" s="81">
        <f>IF(G311="","",ABS(O311-Components!$C$2))</f>
        <v>5.3333333333330568E-2</v>
      </c>
      <c r="Q311" s="81">
        <f>IF(G311="","",ABS(O311-Components!$C$3))</f>
        <v>1.3360000000000003</v>
      </c>
      <c r="R311" s="81">
        <f>IF(G311="","",ABS(O311-Components!$C$4))</f>
        <v>1.7066666666666663</v>
      </c>
      <c r="S311" s="81">
        <f>IF(G311="","",ABS(O311-Components!$C$5))</f>
        <v>1.8626666666666711</v>
      </c>
      <c r="T311" s="81">
        <f>IF(G311="","",ABS(O311-Components!$C$6))</f>
        <v>1.5443333333333293</v>
      </c>
      <c r="U311" s="81">
        <f>IF(G311="","",ABS(O311-Components!$C$7))</f>
        <v>1.3256666666666692</v>
      </c>
      <c r="V311" s="81" t="str">
        <f>IF(G311="","",IF(M311="OK","NONE",INDEX({"S1","S2","W1","W2","N1","N2"},MATCH(MIN(P311:U311),P311:U311,0))))</f>
        <v>S1</v>
      </c>
      <c r="W311" s="117">
        <f t="shared" si="37"/>
        <v>1</v>
      </c>
      <c r="X311" s="58"/>
    </row>
    <row r="312" spans="1:24">
      <c r="A312" s="115">
        <v>310</v>
      </c>
      <c r="B312" s="116">
        <v>11</v>
      </c>
      <c r="C312" s="81" t="s">
        <v>132</v>
      </c>
      <c r="D312" s="111" t="s">
        <v>240</v>
      </c>
      <c r="E312" s="81" t="s">
        <v>99</v>
      </c>
      <c r="F312" s="61">
        <v>5.94</v>
      </c>
      <c r="G312" s="52">
        <f t="shared" si="31"/>
        <v>6.91</v>
      </c>
      <c r="H312" s="110"/>
      <c r="I312" s="81">
        <v>9.61</v>
      </c>
      <c r="J312" s="81">
        <f>VLOOKUP(C312,Recipes!$A$2:$N$4,12,FALSE())</f>
        <v>6.1509461004819709E-2</v>
      </c>
      <c r="K312" s="81">
        <f t="shared" si="32"/>
        <v>9.3947168864831312</v>
      </c>
      <c r="L312" s="81">
        <f t="shared" si="33"/>
        <v>9.8252831135168677</v>
      </c>
      <c r="M312" s="81" t="str">
        <f t="shared" si="34"/>
        <v>NG</v>
      </c>
      <c r="N312" s="117">
        <f t="shared" si="35"/>
        <v>1</v>
      </c>
      <c r="O312" s="81">
        <f t="shared" si="36"/>
        <v>2.6999999999999993</v>
      </c>
      <c r="P312" s="81">
        <f>IF(G312="","",ABS(O312-Components!$C$2))</f>
        <v>5.3333333333330568E-2</v>
      </c>
      <c r="Q312" s="81">
        <f>IF(G312="","",ABS(O312-Components!$C$3))</f>
        <v>1.3360000000000003</v>
      </c>
      <c r="R312" s="81">
        <f>IF(G312="","",ABS(O312-Components!$C$4))</f>
        <v>1.7066666666666663</v>
      </c>
      <c r="S312" s="81">
        <f>IF(G312="","",ABS(O312-Components!$C$5))</f>
        <v>1.8626666666666711</v>
      </c>
      <c r="T312" s="81">
        <f>IF(G312="","",ABS(O312-Components!$C$6))</f>
        <v>1.5443333333333293</v>
      </c>
      <c r="U312" s="81">
        <f>IF(G312="","",ABS(O312-Components!$C$7))</f>
        <v>1.3256666666666692</v>
      </c>
      <c r="V312" s="81" t="str">
        <f>IF(G312="","",IF(M312="OK","NONE",INDEX({"S1","S2","W1","W2","N1","N2"},MATCH(MIN(P312:U312),P312:U312,0))))</f>
        <v>S1</v>
      </c>
      <c r="W312" s="117">
        <f t="shared" si="37"/>
        <v>1</v>
      </c>
      <c r="X312" s="58"/>
    </row>
    <row r="313" spans="1:24">
      <c r="A313" s="115">
        <v>311</v>
      </c>
      <c r="B313" s="116">
        <v>11</v>
      </c>
      <c r="C313" s="81" t="s">
        <v>132</v>
      </c>
      <c r="D313" s="111" t="s">
        <v>240</v>
      </c>
      <c r="E313" s="81" t="s">
        <v>99</v>
      </c>
      <c r="F313" s="61">
        <v>5.87</v>
      </c>
      <c r="G313" s="52">
        <f t="shared" si="31"/>
        <v>6.84</v>
      </c>
      <c r="H313" s="110"/>
      <c r="I313" s="81">
        <v>9.61</v>
      </c>
      <c r="J313" s="81">
        <f>VLOOKUP(C313,Recipes!$A$2:$N$4,12,FALSE())</f>
        <v>6.1509461004819709E-2</v>
      </c>
      <c r="K313" s="81">
        <f t="shared" si="32"/>
        <v>9.3947168864831312</v>
      </c>
      <c r="L313" s="81">
        <f t="shared" si="33"/>
        <v>9.8252831135168677</v>
      </c>
      <c r="M313" s="81" t="str">
        <f t="shared" si="34"/>
        <v>NG</v>
      </c>
      <c r="N313" s="117">
        <f t="shared" si="35"/>
        <v>1</v>
      </c>
      <c r="O313" s="81">
        <f t="shared" si="36"/>
        <v>2.7699999999999996</v>
      </c>
      <c r="P313" s="81">
        <f>IF(G313="","",ABS(O313-Components!$C$2))</f>
        <v>1.6666666666669716E-2</v>
      </c>
      <c r="Q313" s="81">
        <f>IF(G313="","",ABS(O313-Components!$C$3))</f>
        <v>1.266</v>
      </c>
      <c r="R313" s="81">
        <f>IF(G313="","",ABS(O313-Components!$C$4))</f>
        <v>1.7766666666666666</v>
      </c>
      <c r="S313" s="81">
        <f>IF(G313="","",ABS(O313-Components!$C$5))</f>
        <v>1.7926666666666708</v>
      </c>
      <c r="T313" s="81">
        <f>IF(G313="","",ABS(O313-Components!$C$6))</f>
        <v>1.6143333333333296</v>
      </c>
      <c r="U313" s="81">
        <f>IF(G313="","",ABS(O313-Components!$C$7))</f>
        <v>1.3956666666666695</v>
      </c>
      <c r="V313" s="81" t="str">
        <f>IF(G313="","",IF(M313="OK","NONE",INDEX({"S1","S2","W1","W2","N1","N2"},MATCH(MIN(P313:U313),P313:U313,0))))</f>
        <v>S1</v>
      </c>
      <c r="W313" s="117">
        <f t="shared" si="37"/>
        <v>1</v>
      </c>
      <c r="X313" s="58"/>
    </row>
    <row r="314" spans="1:24">
      <c r="A314" s="115">
        <v>312</v>
      </c>
      <c r="B314" s="116">
        <v>11</v>
      </c>
      <c r="C314" s="81" t="s">
        <v>132</v>
      </c>
      <c r="D314" s="111" t="s">
        <v>240</v>
      </c>
      <c r="E314" s="81" t="s">
        <v>99</v>
      </c>
      <c r="F314" s="61">
        <v>5.88</v>
      </c>
      <c r="G314" s="52">
        <f t="shared" si="31"/>
        <v>6.85</v>
      </c>
      <c r="H314" s="110"/>
      <c r="I314" s="81">
        <v>9.61</v>
      </c>
      <c r="J314" s="81">
        <f>VLOOKUP(C314,Recipes!$A$2:$N$4,12,FALSE())</f>
        <v>6.1509461004819709E-2</v>
      </c>
      <c r="K314" s="81">
        <f t="shared" si="32"/>
        <v>9.3947168864831312</v>
      </c>
      <c r="L314" s="81">
        <f t="shared" si="33"/>
        <v>9.8252831135168677</v>
      </c>
      <c r="M314" s="81" t="str">
        <f t="shared" si="34"/>
        <v>NG</v>
      </c>
      <c r="N314" s="117">
        <f t="shared" si="35"/>
        <v>1</v>
      </c>
      <c r="O314" s="81">
        <f t="shared" si="36"/>
        <v>2.76</v>
      </c>
      <c r="P314" s="81">
        <f>IF(G314="","",ABS(O314-Components!$C$2))</f>
        <v>6.6666666666699292E-3</v>
      </c>
      <c r="Q314" s="81">
        <f>IF(G314="","",ABS(O314-Components!$C$3))</f>
        <v>1.2759999999999998</v>
      </c>
      <c r="R314" s="81">
        <f>IF(G314="","",ABS(O314-Components!$C$4))</f>
        <v>1.7666666666666668</v>
      </c>
      <c r="S314" s="81">
        <f>IF(G314="","",ABS(O314-Components!$C$5))</f>
        <v>1.8026666666666706</v>
      </c>
      <c r="T314" s="81">
        <f>IF(G314="","",ABS(O314-Components!$C$6))</f>
        <v>1.6043333333333298</v>
      </c>
      <c r="U314" s="81">
        <f>IF(G314="","",ABS(O314-Components!$C$7))</f>
        <v>1.3856666666666697</v>
      </c>
      <c r="V314" s="81" t="str">
        <f>IF(G314="","",IF(M314="OK","NONE",INDEX({"S1","S2","W1","W2","N1","N2"},MATCH(MIN(P314:U314),P314:U314,0))))</f>
        <v>S1</v>
      </c>
      <c r="W314" s="117">
        <f t="shared" si="37"/>
        <v>1</v>
      </c>
      <c r="X314" s="58"/>
    </row>
    <row r="315" spans="1:24">
      <c r="A315" s="115">
        <v>313</v>
      </c>
      <c r="B315" s="116">
        <v>11</v>
      </c>
      <c r="C315" s="81" t="s">
        <v>132</v>
      </c>
      <c r="D315" s="111" t="s">
        <v>240</v>
      </c>
      <c r="E315" s="81" t="s">
        <v>99</v>
      </c>
      <c r="F315" s="61">
        <v>5.87</v>
      </c>
      <c r="G315" s="52">
        <f t="shared" si="31"/>
        <v>6.84</v>
      </c>
      <c r="H315" s="110"/>
      <c r="I315" s="81">
        <v>9.61</v>
      </c>
      <c r="J315" s="81">
        <f>VLOOKUP(C315,Recipes!$A$2:$N$4,12,FALSE())</f>
        <v>6.1509461004819709E-2</v>
      </c>
      <c r="K315" s="81">
        <f t="shared" si="32"/>
        <v>9.3947168864831312</v>
      </c>
      <c r="L315" s="81">
        <f t="shared" si="33"/>
        <v>9.8252831135168677</v>
      </c>
      <c r="M315" s="81" t="str">
        <f t="shared" si="34"/>
        <v>NG</v>
      </c>
      <c r="N315" s="117">
        <f t="shared" si="35"/>
        <v>1</v>
      </c>
      <c r="O315" s="81">
        <f t="shared" si="36"/>
        <v>2.7699999999999996</v>
      </c>
      <c r="P315" s="81">
        <f>IF(G315="","",ABS(O315-Components!$C$2))</f>
        <v>1.6666666666669716E-2</v>
      </c>
      <c r="Q315" s="81">
        <f>IF(G315="","",ABS(O315-Components!$C$3))</f>
        <v>1.266</v>
      </c>
      <c r="R315" s="81">
        <f>IF(G315="","",ABS(O315-Components!$C$4))</f>
        <v>1.7766666666666666</v>
      </c>
      <c r="S315" s="81">
        <f>IF(G315="","",ABS(O315-Components!$C$5))</f>
        <v>1.7926666666666708</v>
      </c>
      <c r="T315" s="81">
        <f>IF(G315="","",ABS(O315-Components!$C$6))</f>
        <v>1.6143333333333296</v>
      </c>
      <c r="U315" s="81">
        <f>IF(G315="","",ABS(O315-Components!$C$7))</f>
        <v>1.3956666666666695</v>
      </c>
      <c r="V315" s="81" t="str">
        <f>IF(G315="","",IF(M315="OK","NONE",INDEX({"S1","S2","W1","W2","N1","N2"},MATCH(MIN(P315:U315),P315:U315,0))))</f>
        <v>S1</v>
      </c>
      <c r="W315" s="117">
        <f t="shared" si="37"/>
        <v>1</v>
      </c>
      <c r="X315" s="58"/>
    </row>
    <row r="316" spans="1:24">
      <c r="A316" s="115">
        <v>314</v>
      </c>
      <c r="B316" s="116">
        <v>11</v>
      </c>
      <c r="C316" s="81" t="s">
        <v>132</v>
      </c>
      <c r="D316" s="111" t="s">
        <v>240</v>
      </c>
      <c r="E316" s="81" t="s">
        <v>99</v>
      </c>
      <c r="F316" s="61">
        <v>5.87</v>
      </c>
      <c r="G316" s="52">
        <f t="shared" si="31"/>
        <v>6.84</v>
      </c>
      <c r="H316" s="110"/>
      <c r="I316" s="81">
        <v>9.61</v>
      </c>
      <c r="J316" s="81">
        <f>VLOOKUP(C316,Recipes!$A$2:$N$4,12,FALSE())</f>
        <v>6.1509461004819709E-2</v>
      </c>
      <c r="K316" s="81">
        <f t="shared" si="32"/>
        <v>9.3947168864831312</v>
      </c>
      <c r="L316" s="81">
        <f t="shared" si="33"/>
        <v>9.8252831135168677</v>
      </c>
      <c r="M316" s="81" t="str">
        <f t="shared" si="34"/>
        <v>NG</v>
      </c>
      <c r="N316" s="117">
        <f t="shared" si="35"/>
        <v>1</v>
      </c>
      <c r="O316" s="81">
        <f t="shared" si="36"/>
        <v>2.7699999999999996</v>
      </c>
      <c r="P316" s="81">
        <f>IF(G316="","",ABS(O316-Components!$C$2))</f>
        <v>1.6666666666669716E-2</v>
      </c>
      <c r="Q316" s="81">
        <f>IF(G316="","",ABS(O316-Components!$C$3))</f>
        <v>1.266</v>
      </c>
      <c r="R316" s="81">
        <f>IF(G316="","",ABS(O316-Components!$C$4))</f>
        <v>1.7766666666666666</v>
      </c>
      <c r="S316" s="81">
        <f>IF(G316="","",ABS(O316-Components!$C$5))</f>
        <v>1.7926666666666708</v>
      </c>
      <c r="T316" s="81">
        <f>IF(G316="","",ABS(O316-Components!$C$6))</f>
        <v>1.6143333333333296</v>
      </c>
      <c r="U316" s="81">
        <f>IF(G316="","",ABS(O316-Components!$C$7))</f>
        <v>1.3956666666666695</v>
      </c>
      <c r="V316" s="81" t="str">
        <f>IF(G316="","",IF(M316="OK","NONE",INDEX({"S1","S2","W1","W2","N1","N2"},MATCH(MIN(P316:U316),P316:U316,0))))</f>
        <v>S1</v>
      </c>
      <c r="W316" s="117">
        <f t="shared" si="37"/>
        <v>1</v>
      </c>
      <c r="X316" s="58"/>
    </row>
    <row r="317" spans="1:24">
      <c r="A317" s="115">
        <v>315</v>
      </c>
      <c r="B317" s="116">
        <v>11</v>
      </c>
      <c r="C317" s="81" t="s">
        <v>132</v>
      </c>
      <c r="D317" s="111" t="s">
        <v>240</v>
      </c>
      <c r="E317" s="81" t="s">
        <v>99</v>
      </c>
      <c r="F317" s="61">
        <v>5.82</v>
      </c>
      <c r="G317" s="52">
        <f t="shared" si="31"/>
        <v>6.79</v>
      </c>
      <c r="H317" s="110"/>
      <c r="I317" s="81">
        <v>9.61</v>
      </c>
      <c r="J317" s="81">
        <f>VLOOKUP(C317,Recipes!$A$2:$N$4,12,FALSE())</f>
        <v>6.1509461004819709E-2</v>
      </c>
      <c r="K317" s="81">
        <f t="shared" si="32"/>
        <v>9.3947168864831312</v>
      </c>
      <c r="L317" s="81">
        <f t="shared" si="33"/>
        <v>9.8252831135168677</v>
      </c>
      <c r="M317" s="81" t="str">
        <f t="shared" si="34"/>
        <v>NG</v>
      </c>
      <c r="N317" s="117">
        <f t="shared" si="35"/>
        <v>1</v>
      </c>
      <c r="O317" s="81">
        <f t="shared" si="36"/>
        <v>2.8199999999999994</v>
      </c>
      <c r="P317" s="81">
        <f>IF(G317="","",ABS(O317-Components!$C$2))</f>
        <v>6.6666666666669538E-2</v>
      </c>
      <c r="Q317" s="81">
        <f>IF(G317="","",ABS(O317-Components!$C$3))</f>
        <v>1.2160000000000002</v>
      </c>
      <c r="R317" s="81">
        <f>IF(G317="","",ABS(O317-Components!$C$4))</f>
        <v>1.8266666666666664</v>
      </c>
      <c r="S317" s="81">
        <f>IF(G317="","",ABS(O317-Components!$C$5))</f>
        <v>1.742666666666671</v>
      </c>
      <c r="T317" s="81">
        <f>IF(G317="","",ABS(O317-Components!$C$6))</f>
        <v>1.6643333333333294</v>
      </c>
      <c r="U317" s="81">
        <f>IF(G317="","",ABS(O317-Components!$C$7))</f>
        <v>1.4456666666666693</v>
      </c>
      <c r="V317" s="81" t="str">
        <f>IF(G317="","",IF(M317="OK","NONE",INDEX({"S1","S2","W1","W2","N1","N2"},MATCH(MIN(P317:U317),P317:U317,0))))</f>
        <v>S1</v>
      </c>
      <c r="W317" s="117">
        <f t="shared" si="37"/>
        <v>1</v>
      </c>
      <c r="X317" s="58"/>
    </row>
    <row r="318" spans="1:24">
      <c r="A318" s="115">
        <v>316</v>
      </c>
      <c r="B318" s="116">
        <v>11</v>
      </c>
      <c r="C318" s="81" t="s">
        <v>132</v>
      </c>
      <c r="D318" s="111" t="s">
        <v>240</v>
      </c>
      <c r="E318" s="81" t="s">
        <v>99</v>
      </c>
      <c r="F318" s="61">
        <v>5.92</v>
      </c>
      <c r="G318" s="52">
        <f t="shared" si="31"/>
        <v>6.89</v>
      </c>
      <c r="H318" s="110"/>
      <c r="I318" s="81">
        <v>9.61</v>
      </c>
      <c r="J318" s="81">
        <f>VLOOKUP(C318,Recipes!$A$2:$N$4,12,FALSE())</f>
        <v>6.1509461004819709E-2</v>
      </c>
      <c r="K318" s="81">
        <f t="shared" si="32"/>
        <v>9.3947168864831312</v>
      </c>
      <c r="L318" s="81">
        <f t="shared" si="33"/>
        <v>9.8252831135168677</v>
      </c>
      <c r="M318" s="81" t="str">
        <f t="shared" si="34"/>
        <v>NG</v>
      </c>
      <c r="N318" s="117">
        <f t="shared" si="35"/>
        <v>1</v>
      </c>
      <c r="O318" s="81">
        <f t="shared" si="36"/>
        <v>2.7199999999999998</v>
      </c>
      <c r="P318" s="81">
        <f>IF(G318="","",ABS(O318-Components!$C$2))</f>
        <v>3.3333333333330106E-2</v>
      </c>
      <c r="Q318" s="81">
        <f>IF(G318="","",ABS(O318-Components!$C$3))</f>
        <v>1.3159999999999998</v>
      </c>
      <c r="R318" s="81">
        <f>IF(G318="","",ABS(O318-Components!$C$4))</f>
        <v>1.7266666666666668</v>
      </c>
      <c r="S318" s="81">
        <f>IF(G318="","",ABS(O318-Components!$C$5))</f>
        <v>1.8426666666666707</v>
      </c>
      <c r="T318" s="81">
        <f>IF(G318="","",ABS(O318-Components!$C$6))</f>
        <v>1.5643333333333298</v>
      </c>
      <c r="U318" s="81">
        <f>IF(G318="","",ABS(O318-Components!$C$7))</f>
        <v>1.3456666666666697</v>
      </c>
      <c r="V318" s="81" t="str">
        <f>IF(G318="","",IF(M318="OK","NONE",INDEX({"S1","S2","W1","W2","N1","N2"},MATCH(MIN(P318:U318),P318:U318,0))))</f>
        <v>S1</v>
      </c>
      <c r="W318" s="117">
        <f t="shared" si="37"/>
        <v>1</v>
      </c>
      <c r="X318" s="58"/>
    </row>
    <row r="319" spans="1:24">
      <c r="A319" s="115">
        <v>317</v>
      </c>
      <c r="B319" s="116">
        <v>11</v>
      </c>
      <c r="C319" s="81" t="s">
        <v>132</v>
      </c>
      <c r="D319" s="111" t="s">
        <v>240</v>
      </c>
      <c r="E319" s="81" t="s">
        <v>99</v>
      </c>
      <c r="F319" s="61">
        <v>5.84</v>
      </c>
      <c r="G319" s="52">
        <f t="shared" si="31"/>
        <v>6.81</v>
      </c>
      <c r="H319" s="110"/>
      <c r="I319" s="81">
        <v>9.61</v>
      </c>
      <c r="J319" s="81">
        <f>VLOOKUP(C319,Recipes!$A$2:$N$4,12,FALSE())</f>
        <v>6.1509461004819709E-2</v>
      </c>
      <c r="K319" s="81">
        <f t="shared" si="32"/>
        <v>9.3947168864831312</v>
      </c>
      <c r="L319" s="81">
        <f t="shared" si="33"/>
        <v>9.8252831135168677</v>
      </c>
      <c r="M319" s="81" t="str">
        <f t="shared" si="34"/>
        <v>NG</v>
      </c>
      <c r="N319" s="117">
        <f t="shared" si="35"/>
        <v>1</v>
      </c>
      <c r="O319" s="81">
        <f t="shared" si="36"/>
        <v>2.8</v>
      </c>
      <c r="P319" s="81">
        <f>IF(G319="","",ABS(O319-Components!$C$2))</f>
        <v>4.6666666666669965E-2</v>
      </c>
      <c r="Q319" s="81">
        <f>IF(G319="","",ABS(O319-Components!$C$3))</f>
        <v>1.2359999999999998</v>
      </c>
      <c r="R319" s="81">
        <f>IF(G319="","",ABS(O319-Components!$C$4))</f>
        <v>1.8066666666666669</v>
      </c>
      <c r="S319" s="81">
        <f>IF(G319="","",ABS(O319-Components!$C$5))</f>
        <v>1.7626666666666706</v>
      </c>
      <c r="T319" s="81">
        <f>IF(G319="","",ABS(O319-Components!$C$6))</f>
        <v>1.6443333333333299</v>
      </c>
      <c r="U319" s="81">
        <f>IF(G319="","",ABS(O319-Components!$C$7))</f>
        <v>1.4256666666666697</v>
      </c>
      <c r="V319" s="81" t="str">
        <f>IF(G319="","",IF(M319="OK","NONE",INDEX({"S1","S2","W1","W2","N1","N2"},MATCH(MIN(P319:U319),P319:U319,0))))</f>
        <v>S1</v>
      </c>
      <c r="W319" s="117">
        <f t="shared" si="37"/>
        <v>1</v>
      </c>
      <c r="X319" s="58"/>
    </row>
    <row r="320" spans="1:24">
      <c r="A320" s="115">
        <v>318</v>
      </c>
      <c r="B320" s="116">
        <v>11</v>
      </c>
      <c r="C320" s="81" t="s">
        <v>132</v>
      </c>
      <c r="D320" s="111" t="s">
        <v>240</v>
      </c>
      <c r="E320" s="81" t="s">
        <v>99</v>
      </c>
      <c r="F320" s="61">
        <v>5.92</v>
      </c>
      <c r="G320" s="52">
        <f t="shared" si="31"/>
        <v>6.89</v>
      </c>
      <c r="H320" s="110"/>
      <c r="I320" s="81">
        <v>9.61</v>
      </c>
      <c r="J320" s="81">
        <f>VLOOKUP(C320,Recipes!$A$2:$N$4,12,FALSE())</f>
        <v>6.1509461004819709E-2</v>
      </c>
      <c r="K320" s="81">
        <f t="shared" si="32"/>
        <v>9.3947168864831312</v>
      </c>
      <c r="L320" s="81">
        <f t="shared" si="33"/>
        <v>9.8252831135168677</v>
      </c>
      <c r="M320" s="81" t="str">
        <f t="shared" si="34"/>
        <v>NG</v>
      </c>
      <c r="N320" s="117">
        <f t="shared" si="35"/>
        <v>1</v>
      </c>
      <c r="O320" s="81">
        <f t="shared" si="36"/>
        <v>2.7199999999999998</v>
      </c>
      <c r="P320" s="81">
        <f>IF(G320="","",ABS(O320-Components!$C$2))</f>
        <v>3.3333333333330106E-2</v>
      </c>
      <c r="Q320" s="81">
        <f>IF(G320="","",ABS(O320-Components!$C$3))</f>
        <v>1.3159999999999998</v>
      </c>
      <c r="R320" s="81">
        <f>IF(G320="","",ABS(O320-Components!$C$4))</f>
        <v>1.7266666666666668</v>
      </c>
      <c r="S320" s="81">
        <f>IF(G320="","",ABS(O320-Components!$C$5))</f>
        <v>1.8426666666666707</v>
      </c>
      <c r="T320" s="81">
        <f>IF(G320="","",ABS(O320-Components!$C$6))</f>
        <v>1.5643333333333298</v>
      </c>
      <c r="U320" s="81">
        <f>IF(G320="","",ABS(O320-Components!$C$7))</f>
        <v>1.3456666666666697</v>
      </c>
      <c r="V320" s="81" t="str">
        <f>IF(G320="","",IF(M320="OK","NONE",INDEX({"S1","S2","W1","W2","N1","N2"},MATCH(MIN(P320:U320),P320:U320,0))))</f>
        <v>S1</v>
      </c>
      <c r="W320" s="117">
        <f t="shared" si="37"/>
        <v>1</v>
      </c>
      <c r="X320" s="58"/>
    </row>
    <row r="321" spans="1:24">
      <c r="A321" s="115">
        <v>319</v>
      </c>
      <c r="B321" s="116">
        <v>11</v>
      </c>
      <c r="C321" s="81" t="s">
        <v>132</v>
      </c>
      <c r="D321" s="111" t="s">
        <v>240</v>
      </c>
      <c r="E321" s="81" t="s">
        <v>99</v>
      </c>
      <c r="F321" s="61">
        <v>5.87</v>
      </c>
      <c r="G321" s="52">
        <f t="shared" si="31"/>
        <v>6.84</v>
      </c>
      <c r="H321" s="110"/>
      <c r="I321" s="81">
        <v>9.61</v>
      </c>
      <c r="J321" s="81">
        <f>VLOOKUP(C321,Recipes!$A$2:$N$4,12,FALSE())</f>
        <v>6.1509461004819709E-2</v>
      </c>
      <c r="K321" s="81">
        <f t="shared" si="32"/>
        <v>9.3947168864831312</v>
      </c>
      <c r="L321" s="81">
        <f t="shared" si="33"/>
        <v>9.8252831135168677</v>
      </c>
      <c r="M321" s="81" t="str">
        <f t="shared" si="34"/>
        <v>NG</v>
      </c>
      <c r="N321" s="117">
        <f t="shared" si="35"/>
        <v>1</v>
      </c>
      <c r="O321" s="81">
        <f t="shared" si="36"/>
        <v>2.7699999999999996</v>
      </c>
      <c r="P321" s="81">
        <f>IF(G321="","",ABS(O321-Components!$C$2))</f>
        <v>1.6666666666669716E-2</v>
      </c>
      <c r="Q321" s="81">
        <f>IF(G321="","",ABS(O321-Components!$C$3))</f>
        <v>1.266</v>
      </c>
      <c r="R321" s="81">
        <f>IF(G321="","",ABS(O321-Components!$C$4))</f>
        <v>1.7766666666666666</v>
      </c>
      <c r="S321" s="81">
        <f>IF(G321="","",ABS(O321-Components!$C$5))</f>
        <v>1.7926666666666708</v>
      </c>
      <c r="T321" s="81">
        <f>IF(G321="","",ABS(O321-Components!$C$6))</f>
        <v>1.6143333333333296</v>
      </c>
      <c r="U321" s="81">
        <f>IF(G321="","",ABS(O321-Components!$C$7))</f>
        <v>1.3956666666666695</v>
      </c>
      <c r="V321" s="81" t="str">
        <f>IF(G321="","",IF(M321="OK","NONE",INDEX({"S1","S2","W1","W2","N1","N2"},MATCH(MIN(P321:U321),P321:U321,0))))</f>
        <v>S1</v>
      </c>
      <c r="W321" s="117">
        <f t="shared" si="37"/>
        <v>1</v>
      </c>
      <c r="X321" s="58"/>
    </row>
    <row r="322" spans="1:24">
      <c r="A322" s="115">
        <v>320</v>
      </c>
      <c r="B322" s="116">
        <v>11</v>
      </c>
      <c r="C322" s="81" t="s">
        <v>132</v>
      </c>
      <c r="D322" s="111" t="s">
        <v>240</v>
      </c>
      <c r="E322" s="81" t="s">
        <v>99</v>
      </c>
      <c r="F322" s="61">
        <v>5.82</v>
      </c>
      <c r="G322" s="52">
        <f t="shared" si="31"/>
        <v>6.79</v>
      </c>
      <c r="H322" s="110"/>
      <c r="I322" s="81">
        <v>9.61</v>
      </c>
      <c r="J322" s="81">
        <f>VLOOKUP(C322,Recipes!$A$2:$N$4,12,FALSE())</f>
        <v>6.1509461004819709E-2</v>
      </c>
      <c r="K322" s="81">
        <f t="shared" si="32"/>
        <v>9.3947168864831312</v>
      </c>
      <c r="L322" s="81">
        <f t="shared" si="33"/>
        <v>9.8252831135168677</v>
      </c>
      <c r="M322" s="81" t="str">
        <f t="shared" si="34"/>
        <v>NG</v>
      </c>
      <c r="N322" s="117">
        <f t="shared" si="35"/>
        <v>1</v>
      </c>
      <c r="O322" s="81">
        <f t="shared" si="36"/>
        <v>2.8199999999999994</v>
      </c>
      <c r="P322" s="81">
        <f>IF(G322="","",ABS(O322-Components!$C$2))</f>
        <v>6.6666666666669538E-2</v>
      </c>
      <c r="Q322" s="81">
        <f>IF(G322="","",ABS(O322-Components!$C$3))</f>
        <v>1.2160000000000002</v>
      </c>
      <c r="R322" s="81">
        <f>IF(G322="","",ABS(O322-Components!$C$4))</f>
        <v>1.8266666666666664</v>
      </c>
      <c r="S322" s="81">
        <f>IF(G322="","",ABS(O322-Components!$C$5))</f>
        <v>1.742666666666671</v>
      </c>
      <c r="T322" s="81">
        <f>IF(G322="","",ABS(O322-Components!$C$6))</f>
        <v>1.6643333333333294</v>
      </c>
      <c r="U322" s="81">
        <f>IF(G322="","",ABS(O322-Components!$C$7))</f>
        <v>1.4456666666666693</v>
      </c>
      <c r="V322" s="81" t="str">
        <f>IF(G322="","",IF(M322="OK","NONE",INDEX({"S1","S2","W1","W2","N1","N2"},MATCH(MIN(P322:U322),P322:U322,0))))</f>
        <v>S1</v>
      </c>
      <c r="W322" s="117">
        <f t="shared" si="37"/>
        <v>1</v>
      </c>
      <c r="X322" s="58"/>
    </row>
    <row r="323" spans="1:24">
      <c r="A323" s="115">
        <v>321</v>
      </c>
      <c r="B323" s="116">
        <v>11</v>
      </c>
      <c r="C323" s="81" t="s">
        <v>132</v>
      </c>
      <c r="D323" s="111" t="s">
        <v>240</v>
      </c>
      <c r="E323" s="81" t="s">
        <v>99</v>
      </c>
      <c r="F323" s="61">
        <v>5.77</v>
      </c>
      <c r="G323" s="52">
        <f t="shared" ref="G323:G386" si="38">0.97+F323</f>
        <v>6.7399999999999993</v>
      </c>
      <c r="H323" s="110"/>
      <c r="I323" s="81">
        <v>9.61</v>
      </c>
      <c r="J323" s="81">
        <f>VLOOKUP(C323,Recipes!$A$2:$N$4,12,FALSE())</f>
        <v>6.1509461004819709E-2</v>
      </c>
      <c r="K323" s="81">
        <f t="shared" si="32"/>
        <v>9.3947168864831312</v>
      </c>
      <c r="L323" s="81">
        <f t="shared" si="33"/>
        <v>9.8252831135168677</v>
      </c>
      <c r="M323" s="81" t="str">
        <f t="shared" si="34"/>
        <v>NG</v>
      </c>
      <c r="N323" s="117">
        <f t="shared" si="35"/>
        <v>1</v>
      </c>
      <c r="O323" s="81">
        <f t="shared" si="36"/>
        <v>2.87</v>
      </c>
      <c r="P323" s="81">
        <f>IF(G323="","",ABS(O323-Components!$C$2))</f>
        <v>0.11666666666667025</v>
      </c>
      <c r="Q323" s="81">
        <f>IF(G323="","",ABS(O323-Components!$C$3))</f>
        <v>1.1659999999999995</v>
      </c>
      <c r="R323" s="81">
        <f>IF(G323="","",ABS(O323-Components!$C$4))</f>
        <v>1.8766666666666671</v>
      </c>
      <c r="S323" s="81">
        <f>IF(G323="","",ABS(O323-Components!$C$5))</f>
        <v>1.6926666666666703</v>
      </c>
      <c r="T323" s="81">
        <f>IF(G323="","",ABS(O323-Components!$C$6))</f>
        <v>1.7143333333333302</v>
      </c>
      <c r="U323" s="81">
        <f>IF(G323="","",ABS(O323-Components!$C$7))</f>
        <v>1.49566666666667</v>
      </c>
      <c r="V323" s="81" t="str">
        <f>IF(G323="","",IF(M323="OK","NONE",INDEX({"S1","S2","W1","W2","N1","N2"},MATCH(MIN(P323:U323),P323:U323,0))))</f>
        <v>S1</v>
      </c>
      <c r="W323" s="117">
        <f t="shared" si="37"/>
        <v>1</v>
      </c>
      <c r="X323" s="58"/>
    </row>
    <row r="324" spans="1:24">
      <c r="A324" s="115">
        <v>322</v>
      </c>
      <c r="B324" s="116">
        <v>11</v>
      </c>
      <c r="C324" s="81" t="s">
        <v>132</v>
      </c>
      <c r="D324" s="111" t="s">
        <v>240</v>
      </c>
      <c r="E324" s="81" t="s">
        <v>99</v>
      </c>
      <c r="F324" s="61">
        <v>5.83</v>
      </c>
      <c r="G324" s="52">
        <f t="shared" si="38"/>
        <v>6.8</v>
      </c>
      <c r="H324" s="110"/>
      <c r="I324" s="81">
        <v>9.61</v>
      </c>
      <c r="J324" s="81">
        <f>VLOOKUP(C324,Recipes!$A$2:$N$4,12,FALSE())</f>
        <v>6.1509461004819709E-2</v>
      </c>
      <c r="K324" s="81">
        <f t="shared" ref="K324:K387" si="39">I324-3.5*J324</f>
        <v>9.3947168864831312</v>
      </c>
      <c r="L324" s="81">
        <f t="shared" ref="L324:L387" si="40">I324+3.5*J324</f>
        <v>9.8252831135168677</v>
      </c>
      <c r="M324" s="81" t="str">
        <f t="shared" ref="M324:M387" si="41">IF(G324="","",IF(AND(G324&gt;=K324,G324&lt;=L324),"OK","NG"))</f>
        <v>NG</v>
      </c>
      <c r="N324" s="117">
        <f t="shared" ref="N324:N387" si="42">IF(M324="","",IF(M324=D324,1,0))</f>
        <v>1</v>
      </c>
      <c r="O324" s="81">
        <f t="shared" ref="O324:O387" si="43">IF(G324="","",I324-G324)</f>
        <v>2.8099999999999996</v>
      </c>
      <c r="P324" s="81">
        <f>IF(G324="","",ABS(O324-Components!$C$2))</f>
        <v>5.6666666666669752E-2</v>
      </c>
      <c r="Q324" s="81">
        <f>IF(G324="","",ABS(O324-Components!$C$3))</f>
        <v>1.226</v>
      </c>
      <c r="R324" s="81">
        <f>IF(G324="","",ABS(O324-Components!$C$4))</f>
        <v>1.8166666666666667</v>
      </c>
      <c r="S324" s="81">
        <f>IF(G324="","",ABS(O324-Components!$C$5))</f>
        <v>1.7526666666666708</v>
      </c>
      <c r="T324" s="81">
        <f>IF(G324="","",ABS(O324-Components!$C$6))</f>
        <v>1.6543333333333297</v>
      </c>
      <c r="U324" s="81">
        <f>IF(G324="","",ABS(O324-Components!$C$7))</f>
        <v>1.4356666666666695</v>
      </c>
      <c r="V324" s="81" t="str">
        <f>IF(G324="","",IF(M324="OK","NONE",INDEX({"S1","S2","W1","W2","N1","N2"},MATCH(MIN(P324:U324),P324:U324,0))))</f>
        <v>S1</v>
      </c>
      <c r="W324" s="117">
        <f t="shared" ref="W324:W387" si="44">IF(G324="","",IF(V324=E324,1,0))</f>
        <v>1</v>
      </c>
      <c r="X324" s="58"/>
    </row>
    <row r="325" spans="1:24">
      <c r="A325" s="115">
        <v>323</v>
      </c>
      <c r="B325" s="116">
        <v>11</v>
      </c>
      <c r="C325" s="81" t="s">
        <v>132</v>
      </c>
      <c r="D325" s="111" t="s">
        <v>240</v>
      </c>
      <c r="E325" s="81" t="s">
        <v>99</v>
      </c>
      <c r="F325" s="61">
        <v>5.85</v>
      </c>
      <c r="G325" s="52">
        <f t="shared" si="38"/>
        <v>6.8199999999999994</v>
      </c>
      <c r="H325" s="110"/>
      <c r="I325" s="81">
        <v>9.61</v>
      </c>
      <c r="J325" s="81">
        <f>VLOOKUP(C325,Recipes!$A$2:$N$4,12,FALSE())</f>
        <v>6.1509461004819709E-2</v>
      </c>
      <c r="K325" s="81">
        <f t="shared" si="39"/>
        <v>9.3947168864831312</v>
      </c>
      <c r="L325" s="81">
        <f t="shared" si="40"/>
        <v>9.8252831135168677</v>
      </c>
      <c r="M325" s="81" t="str">
        <f t="shared" si="41"/>
        <v>NG</v>
      </c>
      <c r="N325" s="117">
        <f t="shared" si="42"/>
        <v>1</v>
      </c>
      <c r="O325" s="81">
        <f t="shared" si="43"/>
        <v>2.79</v>
      </c>
      <c r="P325" s="81">
        <f>IF(G325="","",ABS(O325-Components!$C$2))</f>
        <v>3.6666666666670178E-2</v>
      </c>
      <c r="Q325" s="81">
        <f>IF(G325="","",ABS(O325-Components!$C$3))</f>
        <v>1.2459999999999996</v>
      </c>
      <c r="R325" s="81">
        <f>IF(G325="","",ABS(O325-Components!$C$4))</f>
        <v>1.7966666666666671</v>
      </c>
      <c r="S325" s="81">
        <f>IF(G325="","",ABS(O325-Components!$C$5))</f>
        <v>1.7726666666666704</v>
      </c>
      <c r="T325" s="81">
        <f>IF(G325="","",ABS(O325-Components!$C$6))</f>
        <v>1.6343333333333301</v>
      </c>
      <c r="U325" s="81">
        <f>IF(G325="","",ABS(O325-Components!$C$7))</f>
        <v>1.41566666666667</v>
      </c>
      <c r="V325" s="81" t="str">
        <f>IF(G325="","",IF(M325="OK","NONE",INDEX({"S1","S2","W1","W2","N1","N2"},MATCH(MIN(P325:U325),P325:U325,0))))</f>
        <v>S1</v>
      </c>
      <c r="W325" s="117">
        <f t="shared" si="44"/>
        <v>1</v>
      </c>
      <c r="X325" s="58"/>
    </row>
    <row r="326" spans="1:24">
      <c r="A326" s="115">
        <v>324</v>
      </c>
      <c r="B326" s="116">
        <v>11</v>
      </c>
      <c r="C326" s="81" t="s">
        <v>132</v>
      </c>
      <c r="D326" s="111" t="s">
        <v>240</v>
      </c>
      <c r="E326" s="81" t="s">
        <v>99</v>
      </c>
      <c r="F326" s="61">
        <v>5.86</v>
      </c>
      <c r="G326" s="52">
        <f t="shared" si="38"/>
        <v>6.83</v>
      </c>
      <c r="H326" s="110"/>
      <c r="I326" s="81">
        <v>9.61</v>
      </c>
      <c r="J326" s="81">
        <f>VLOOKUP(C326,Recipes!$A$2:$N$4,12,FALSE())</f>
        <v>6.1509461004819709E-2</v>
      </c>
      <c r="K326" s="81">
        <f t="shared" si="39"/>
        <v>9.3947168864831312</v>
      </c>
      <c r="L326" s="81">
        <f t="shared" si="40"/>
        <v>9.8252831135168677</v>
      </c>
      <c r="M326" s="81" t="str">
        <f t="shared" si="41"/>
        <v>NG</v>
      </c>
      <c r="N326" s="117">
        <f t="shared" si="42"/>
        <v>1</v>
      </c>
      <c r="O326" s="81">
        <f t="shared" si="43"/>
        <v>2.7799999999999994</v>
      </c>
      <c r="P326" s="81">
        <f>IF(G326="","",ABS(O326-Components!$C$2))</f>
        <v>2.6666666666669503E-2</v>
      </c>
      <c r="Q326" s="81">
        <f>IF(G326="","",ABS(O326-Components!$C$3))</f>
        <v>1.2560000000000002</v>
      </c>
      <c r="R326" s="81">
        <f>IF(G326="","",ABS(O326-Components!$C$4))</f>
        <v>1.7866666666666664</v>
      </c>
      <c r="S326" s="81">
        <f>IF(G326="","",ABS(O326-Components!$C$5))</f>
        <v>1.7826666666666711</v>
      </c>
      <c r="T326" s="81">
        <f>IF(G326="","",ABS(O326-Components!$C$6))</f>
        <v>1.6243333333333294</v>
      </c>
      <c r="U326" s="81">
        <f>IF(G326="","",ABS(O326-Components!$C$7))</f>
        <v>1.4056666666666693</v>
      </c>
      <c r="V326" s="81" t="str">
        <f>IF(G326="","",IF(M326="OK","NONE",INDEX({"S1","S2","W1","W2","N1","N2"},MATCH(MIN(P326:U326),P326:U326,0))))</f>
        <v>S1</v>
      </c>
      <c r="W326" s="117">
        <f t="shared" si="44"/>
        <v>1</v>
      </c>
      <c r="X326" s="58"/>
    </row>
    <row r="327" spans="1:24">
      <c r="A327" s="115">
        <v>325</v>
      </c>
      <c r="B327" s="116">
        <v>11</v>
      </c>
      <c r="C327" s="81" t="s">
        <v>132</v>
      </c>
      <c r="D327" s="111" t="s">
        <v>240</v>
      </c>
      <c r="E327" s="81" t="s">
        <v>99</v>
      </c>
      <c r="F327" s="61">
        <v>5.87</v>
      </c>
      <c r="G327" s="52">
        <f t="shared" si="38"/>
        <v>6.84</v>
      </c>
      <c r="H327" s="110"/>
      <c r="I327" s="81">
        <v>9.61</v>
      </c>
      <c r="J327" s="81">
        <f>VLOOKUP(C327,Recipes!$A$2:$N$4,12,FALSE())</f>
        <v>6.1509461004819709E-2</v>
      </c>
      <c r="K327" s="81">
        <f t="shared" si="39"/>
        <v>9.3947168864831312</v>
      </c>
      <c r="L327" s="81">
        <f t="shared" si="40"/>
        <v>9.8252831135168677</v>
      </c>
      <c r="M327" s="81" t="str">
        <f t="shared" si="41"/>
        <v>NG</v>
      </c>
      <c r="N327" s="117">
        <f t="shared" si="42"/>
        <v>1</v>
      </c>
      <c r="O327" s="81">
        <f t="shared" si="43"/>
        <v>2.7699999999999996</v>
      </c>
      <c r="P327" s="81">
        <f>IF(G327="","",ABS(O327-Components!$C$2))</f>
        <v>1.6666666666669716E-2</v>
      </c>
      <c r="Q327" s="81">
        <f>IF(G327="","",ABS(O327-Components!$C$3))</f>
        <v>1.266</v>
      </c>
      <c r="R327" s="81">
        <f>IF(G327="","",ABS(O327-Components!$C$4))</f>
        <v>1.7766666666666666</v>
      </c>
      <c r="S327" s="81">
        <f>IF(G327="","",ABS(O327-Components!$C$5))</f>
        <v>1.7926666666666708</v>
      </c>
      <c r="T327" s="81">
        <f>IF(G327="","",ABS(O327-Components!$C$6))</f>
        <v>1.6143333333333296</v>
      </c>
      <c r="U327" s="81">
        <f>IF(G327="","",ABS(O327-Components!$C$7))</f>
        <v>1.3956666666666695</v>
      </c>
      <c r="V327" s="81" t="str">
        <f>IF(G327="","",IF(M327="OK","NONE",INDEX({"S1","S2","W1","W2","N1","N2"},MATCH(MIN(P327:U327),P327:U327,0))))</f>
        <v>S1</v>
      </c>
      <c r="W327" s="117">
        <f t="shared" si="44"/>
        <v>1</v>
      </c>
      <c r="X327" s="58"/>
    </row>
    <row r="328" spans="1:24">
      <c r="A328" s="115">
        <v>326</v>
      </c>
      <c r="B328" s="116">
        <v>11</v>
      </c>
      <c r="C328" s="81" t="s">
        <v>132</v>
      </c>
      <c r="D328" s="111" t="s">
        <v>240</v>
      </c>
      <c r="E328" s="81" t="s">
        <v>99</v>
      </c>
      <c r="F328" s="61">
        <v>5.81</v>
      </c>
      <c r="G328" s="52">
        <f t="shared" si="38"/>
        <v>6.7799999999999994</v>
      </c>
      <c r="H328" s="110"/>
      <c r="I328" s="81">
        <v>9.61</v>
      </c>
      <c r="J328" s="81">
        <f>VLOOKUP(C328,Recipes!$A$2:$N$4,12,FALSE())</f>
        <v>6.1509461004819709E-2</v>
      </c>
      <c r="K328" s="81">
        <f t="shared" si="39"/>
        <v>9.3947168864831312</v>
      </c>
      <c r="L328" s="81">
        <f t="shared" si="40"/>
        <v>9.8252831135168677</v>
      </c>
      <c r="M328" s="81" t="str">
        <f t="shared" si="41"/>
        <v>NG</v>
      </c>
      <c r="N328" s="117">
        <f t="shared" si="42"/>
        <v>1</v>
      </c>
      <c r="O328" s="81">
        <f t="shared" si="43"/>
        <v>2.83</v>
      </c>
      <c r="P328" s="81">
        <f>IF(G328="","",ABS(O328-Components!$C$2))</f>
        <v>7.6666666666670213E-2</v>
      </c>
      <c r="Q328" s="81">
        <f>IF(G328="","",ABS(O328-Components!$C$3))</f>
        <v>1.2059999999999995</v>
      </c>
      <c r="R328" s="81">
        <f>IF(G328="","",ABS(O328-Components!$C$4))</f>
        <v>1.8366666666666671</v>
      </c>
      <c r="S328" s="81">
        <f>IF(G328="","",ABS(O328-Components!$C$5))</f>
        <v>1.7326666666666704</v>
      </c>
      <c r="T328" s="81">
        <f>IF(G328="","",ABS(O328-Components!$C$6))</f>
        <v>1.6743333333333301</v>
      </c>
      <c r="U328" s="81">
        <f>IF(G328="","",ABS(O328-Components!$C$7))</f>
        <v>1.45566666666667</v>
      </c>
      <c r="V328" s="81" t="str">
        <f>IF(G328="","",IF(M328="OK","NONE",INDEX({"S1","S2","W1","W2","N1","N2"},MATCH(MIN(P328:U328),P328:U328,0))))</f>
        <v>S1</v>
      </c>
      <c r="W328" s="117">
        <f t="shared" si="44"/>
        <v>1</v>
      </c>
      <c r="X328" s="58"/>
    </row>
    <row r="329" spans="1:24">
      <c r="A329" s="115">
        <v>327</v>
      </c>
      <c r="B329" s="116">
        <v>11</v>
      </c>
      <c r="C329" s="81" t="s">
        <v>132</v>
      </c>
      <c r="D329" s="111" t="s">
        <v>240</v>
      </c>
      <c r="E329" s="81" t="s">
        <v>99</v>
      </c>
      <c r="F329" s="61">
        <v>5.83</v>
      </c>
      <c r="G329" s="52">
        <f t="shared" si="38"/>
        <v>6.8</v>
      </c>
      <c r="H329" s="110"/>
      <c r="I329" s="81">
        <v>9.61</v>
      </c>
      <c r="J329" s="81">
        <f>VLOOKUP(C329,Recipes!$A$2:$N$4,12,FALSE())</f>
        <v>6.1509461004819709E-2</v>
      </c>
      <c r="K329" s="81">
        <f t="shared" si="39"/>
        <v>9.3947168864831312</v>
      </c>
      <c r="L329" s="81">
        <f t="shared" si="40"/>
        <v>9.8252831135168677</v>
      </c>
      <c r="M329" s="81" t="str">
        <f t="shared" si="41"/>
        <v>NG</v>
      </c>
      <c r="N329" s="117">
        <f t="shared" si="42"/>
        <v>1</v>
      </c>
      <c r="O329" s="81">
        <f t="shared" si="43"/>
        <v>2.8099999999999996</v>
      </c>
      <c r="P329" s="81">
        <f>IF(G329="","",ABS(O329-Components!$C$2))</f>
        <v>5.6666666666669752E-2</v>
      </c>
      <c r="Q329" s="81">
        <f>IF(G329="","",ABS(O329-Components!$C$3))</f>
        <v>1.226</v>
      </c>
      <c r="R329" s="81">
        <f>IF(G329="","",ABS(O329-Components!$C$4))</f>
        <v>1.8166666666666667</v>
      </c>
      <c r="S329" s="81">
        <f>IF(G329="","",ABS(O329-Components!$C$5))</f>
        <v>1.7526666666666708</v>
      </c>
      <c r="T329" s="81">
        <f>IF(G329="","",ABS(O329-Components!$C$6))</f>
        <v>1.6543333333333297</v>
      </c>
      <c r="U329" s="81">
        <f>IF(G329="","",ABS(O329-Components!$C$7))</f>
        <v>1.4356666666666695</v>
      </c>
      <c r="V329" s="81" t="str">
        <f>IF(G329="","",IF(M329="OK","NONE",INDEX({"S1","S2","W1","W2","N1","N2"},MATCH(MIN(P329:U329),P329:U329,0))))</f>
        <v>S1</v>
      </c>
      <c r="W329" s="117">
        <f t="shared" si="44"/>
        <v>1</v>
      </c>
      <c r="X329" s="58"/>
    </row>
    <row r="330" spans="1:24">
      <c r="A330" s="115">
        <v>328</v>
      </c>
      <c r="B330" s="116">
        <v>11</v>
      </c>
      <c r="C330" s="81" t="s">
        <v>132</v>
      </c>
      <c r="D330" s="111" t="s">
        <v>240</v>
      </c>
      <c r="E330" s="81" t="s">
        <v>99</v>
      </c>
      <c r="F330" s="61">
        <v>5.87</v>
      </c>
      <c r="G330" s="52">
        <f t="shared" si="38"/>
        <v>6.84</v>
      </c>
      <c r="H330" s="110"/>
      <c r="I330" s="81">
        <v>9.61</v>
      </c>
      <c r="J330" s="81">
        <f>VLOOKUP(C330,Recipes!$A$2:$N$4,12,FALSE())</f>
        <v>6.1509461004819709E-2</v>
      </c>
      <c r="K330" s="81">
        <f t="shared" si="39"/>
        <v>9.3947168864831312</v>
      </c>
      <c r="L330" s="81">
        <f t="shared" si="40"/>
        <v>9.8252831135168677</v>
      </c>
      <c r="M330" s="81" t="str">
        <f t="shared" si="41"/>
        <v>NG</v>
      </c>
      <c r="N330" s="117">
        <f t="shared" si="42"/>
        <v>1</v>
      </c>
      <c r="O330" s="81">
        <f t="shared" si="43"/>
        <v>2.7699999999999996</v>
      </c>
      <c r="P330" s="81">
        <f>IF(G330="","",ABS(O330-Components!$C$2))</f>
        <v>1.6666666666669716E-2</v>
      </c>
      <c r="Q330" s="81">
        <f>IF(G330="","",ABS(O330-Components!$C$3))</f>
        <v>1.266</v>
      </c>
      <c r="R330" s="81">
        <f>IF(G330="","",ABS(O330-Components!$C$4))</f>
        <v>1.7766666666666666</v>
      </c>
      <c r="S330" s="81">
        <f>IF(G330="","",ABS(O330-Components!$C$5))</f>
        <v>1.7926666666666708</v>
      </c>
      <c r="T330" s="81">
        <f>IF(G330="","",ABS(O330-Components!$C$6))</f>
        <v>1.6143333333333296</v>
      </c>
      <c r="U330" s="81">
        <f>IF(G330="","",ABS(O330-Components!$C$7))</f>
        <v>1.3956666666666695</v>
      </c>
      <c r="V330" s="81" t="str">
        <f>IF(G330="","",IF(M330="OK","NONE",INDEX({"S1","S2","W1","W2","N1","N2"},MATCH(MIN(P330:U330),P330:U330,0))))</f>
        <v>S1</v>
      </c>
      <c r="W330" s="117">
        <f t="shared" si="44"/>
        <v>1</v>
      </c>
      <c r="X330" s="58"/>
    </row>
    <row r="331" spans="1:24">
      <c r="A331" s="115">
        <v>329</v>
      </c>
      <c r="B331" s="116">
        <v>11</v>
      </c>
      <c r="C331" s="81" t="s">
        <v>132</v>
      </c>
      <c r="D331" s="111" t="s">
        <v>240</v>
      </c>
      <c r="E331" s="81" t="s">
        <v>99</v>
      </c>
      <c r="F331" s="61">
        <v>5.8</v>
      </c>
      <c r="G331" s="52">
        <f t="shared" si="38"/>
        <v>6.77</v>
      </c>
      <c r="H331" s="110"/>
      <c r="I331" s="81">
        <v>9.61</v>
      </c>
      <c r="J331" s="81">
        <f>VLOOKUP(C331,Recipes!$A$2:$N$4,12,FALSE())</f>
        <v>6.1509461004819709E-2</v>
      </c>
      <c r="K331" s="81">
        <f t="shared" si="39"/>
        <v>9.3947168864831312</v>
      </c>
      <c r="L331" s="81">
        <f t="shared" si="40"/>
        <v>9.8252831135168677</v>
      </c>
      <c r="M331" s="81" t="str">
        <f t="shared" si="41"/>
        <v>NG</v>
      </c>
      <c r="N331" s="117">
        <f t="shared" si="42"/>
        <v>1</v>
      </c>
      <c r="O331" s="81">
        <f t="shared" si="43"/>
        <v>2.84</v>
      </c>
      <c r="P331" s="81">
        <f>IF(G331="","",ABS(O331-Components!$C$2))</f>
        <v>8.666666666667E-2</v>
      </c>
      <c r="Q331" s="81">
        <f>IF(G331="","",ABS(O331-Components!$C$3))</f>
        <v>1.1959999999999997</v>
      </c>
      <c r="R331" s="81">
        <f>IF(G331="","",ABS(O331-Components!$C$4))</f>
        <v>1.8466666666666669</v>
      </c>
      <c r="S331" s="81">
        <f>IF(G331="","",ABS(O331-Components!$C$5))</f>
        <v>1.7226666666666706</v>
      </c>
      <c r="T331" s="81">
        <f>IF(G331="","",ABS(O331-Components!$C$6))</f>
        <v>1.6843333333333299</v>
      </c>
      <c r="U331" s="81">
        <f>IF(G331="","",ABS(O331-Components!$C$7))</f>
        <v>1.4656666666666698</v>
      </c>
      <c r="V331" s="81" t="str">
        <f>IF(G331="","",IF(M331="OK","NONE",INDEX({"S1","S2","W1","W2","N1","N2"},MATCH(MIN(P331:U331),P331:U331,0))))</f>
        <v>S1</v>
      </c>
      <c r="W331" s="117">
        <f t="shared" si="44"/>
        <v>1</v>
      </c>
      <c r="X331" s="58"/>
    </row>
    <row r="332" spans="1:24">
      <c r="A332" s="115">
        <v>330</v>
      </c>
      <c r="B332" s="116">
        <v>11</v>
      </c>
      <c r="C332" s="81" t="s">
        <v>132</v>
      </c>
      <c r="D332" s="111" t="s">
        <v>240</v>
      </c>
      <c r="E332" s="81" t="s">
        <v>99</v>
      </c>
      <c r="F332" s="61">
        <v>5.86</v>
      </c>
      <c r="G332" s="52">
        <f t="shared" si="38"/>
        <v>6.83</v>
      </c>
      <c r="H332" s="110"/>
      <c r="I332" s="81">
        <v>9.61</v>
      </c>
      <c r="J332" s="81">
        <f>VLOOKUP(C332,Recipes!$A$2:$N$4,12,FALSE())</f>
        <v>6.1509461004819709E-2</v>
      </c>
      <c r="K332" s="81">
        <f t="shared" si="39"/>
        <v>9.3947168864831312</v>
      </c>
      <c r="L332" s="81">
        <f t="shared" si="40"/>
        <v>9.8252831135168677</v>
      </c>
      <c r="M332" s="81" t="str">
        <f t="shared" si="41"/>
        <v>NG</v>
      </c>
      <c r="N332" s="117">
        <f t="shared" si="42"/>
        <v>1</v>
      </c>
      <c r="O332" s="81">
        <f t="shared" si="43"/>
        <v>2.7799999999999994</v>
      </c>
      <c r="P332" s="81">
        <f>IF(G332="","",ABS(O332-Components!$C$2))</f>
        <v>2.6666666666669503E-2</v>
      </c>
      <c r="Q332" s="81">
        <f>IF(G332="","",ABS(O332-Components!$C$3))</f>
        <v>1.2560000000000002</v>
      </c>
      <c r="R332" s="81">
        <f>IF(G332="","",ABS(O332-Components!$C$4))</f>
        <v>1.7866666666666664</v>
      </c>
      <c r="S332" s="81">
        <f>IF(G332="","",ABS(O332-Components!$C$5))</f>
        <v>1.7826666666666711</v>
      </c>
      <c r="T332" s="81">
        <f>IF(G332="","",ABS(O332-Components!$C$6))</f>
        <v>1.6243333333333294</v>
      </c>
      <c r="U332" s="81">
        <f>IF(G332="","",ABS(O332-Components!$C$7))</f>
        <v>1.4056666666666693</v>
      </c>
      <c r="V332" s="81" t="str">
        <f>IF(G332="","",IF(M332="OK","NONE",INDEX({"S1","S2","W1","W2","N1","N2"},MATCH(MIN(P332:U332),P332:U332,0))))</f>
        <v>S1</v>
      </c>
      <c r="W332" s="117">
        <f t="shared" si="44"/>
        <v>1</v>
      </c>
      <c r="X332" s="58"/>
    </row>
    <row r="333" spans="1:24">
      <c r="A333" s="115">
        <v>331</v>
      </c>
      <c r="B333" s="116">
        <v>12</v>
      </c>
      <c r="C333" s="81" t="s">
        <v>132</v>
      </c>
      <c r="D333" s="111" t="s">
        <v>240</v>
      </c>
      <c r="E333" s="81" t="s">
        <v>104</v>
      </c>
      <c r="F333" s="61">
        <v>7.6</v>
      </c>
      <c r="G333" s="52">
        <f t="shared" si="38"/>
        <v>8.57</v>
      </c>
      <c r="H333" s="110"/>
      <c r="I333" s="81">
        <v>9.61</v>
      </c>
      <c r="J333" s="81">
        <f>VLOOKUP(C333,Recipes!$A$2:$N$4,12,FALSE())</f>
        <v>6.1509461004819709E-2</v>
      </c>
      <c r="K333" s="81">
        <f t="shared" si="39"/>
        <v>9.3947168864831312</v>
      </c>
      <c r="L333" s="81">
        <f t="shared" si="40"/>
        <v>9.8252831135168677</v>
      </c>
      <c r="M333" s="81" t="str">
        <f t="shared" si="41"/>
        <v>NG</v>
      </c>
      <c r="N333" s="117">
        <f t="shared" si="42"/>
        <v>1</v>
      </c>
      <c r="O333" s="81">
        <f t="shared" si="43"/>
        <v>1.0399999999999991</v>
      </c>
      <c r="P333" s="81">
        <f>IF(G333="","",ABS(O333-Components!$C$2))</f>
        <v>1.7133333333333307</v>
      </c>
      <c r="Q333" s="81">
        <f>IF(G333="","",ABS(O333-Components!$C$3))</f>
        <v>2.9960000000000004</v>
      </c>
      <c r="R333" s="81">
        <f>IF(G333="","",ABS(O333-Components!$C$4))</f>
        <v>4.666666666666619E-2</v>
      </c>
      <c r="S333" s="81">
        <f>IF(G333="","",ABS(O333-Components!$C$5))</f>
        <v>3.5226666666666713</v>
      </c>
      <c r="T333" s="81">
        <f>IF(G333="","",ABS(O333-Components!$C$6))</f>
        <v>0.1156666666666708</v>
      </c>
      <c r="U333" s="81">
        <f>IF(G333="","",ABS(O333-Components!$C$7))</f>
        <v>0.33433333333333093</v>
      </c>
      <c r="V333" s="81" t="str">
        <f>IF(G333="","",IF(M333="OK","NONE",INDEX({"S1","S2","W1","W2","N1","N2"},MATCH(MIN(P333:U333),P333:U333,0))))</f>
        <v>W1</v>
      </c>
      <c r="W333" s="117">
        <f t="shared" si="44"/>
        <v>1</v>
      </c>
      <c r="X333" s="58"/>
    </row>
    <row r="334" spans="1:24">
      <c r="A334" s="115">
        <v>332</v>
      </c>
      <c r="B334" s="116">
        <v>12</v>
      </c>
      <c r="C334" s="81" t="s">
        <v>132</v>
      </c>
      <c r="D334" s="111" t="s">
        <v>240</v>
      </c>
      <c r="E334" s="81" t="s">
        <v>104</v>
      </c>
      <c r="F334" s="61">
        <v>7.68</v>
      </c>
      <c r="G334" s="52">
        <f t="shared" si="38"/>
        <v>8.65</v>
      </c>
      <c r="H334" s="110"/>
      <c r="I334" s="81">
        <v>9.61</v>
      </c>
      <c r="J334" s="81">
        <f>VLOOKUP(C334,Recipes!$A$2:$N$4,12,FALSE())</f>
        <v>6.1509461004819709E-2</v>
      </c>
      <c r="K334" s="81">
        <f t="shared" si="39"/>
        <v>9.3947168864831312</v>
      </c>
      <c r="L334" s="81">
        <f t="shared" si="40"/>
        <v>9.8252831135168677</v>
      </c>
      <c r="M334" s="81" t="str">
        <f t="shared" si="41"/>
        <v>NG</v>
      </c>
      <c r="N334" s="117">
        <f t="shared" si="42"/>
        <v>1</v>
      </c>
      <c r="O334" s="81">
        <f t="shared" si="43"/>
        <v>0.95999999999999908</v>
      </c>
      <c r="P334" s="81">
        <f>IF(G334="","",ABS(O334-Components!$C$2))</f>
        <v>1.7933333333333308</v>
      </c>
      <c r="Q334" s="81">
        <f>IF(G334="","",ABS(O334-Components!$C$3))</f>
        <v>3.0760000000000005</v>
      </c>
      <c r="R334" s="81">
        <f>IF(G334="","",ABS(O334-Components!$C$4))</f>
        <v>3.3333333333333881E-2</v>
      </c>
      <c r="S334" s="81">
        <f>IF(G334="","",ABS(O334-Components!$C$5))</f>
        <v>3.6026666666666713</v>
      </c>
      <c r="T334" s="81">
        <f>IF(G334="","",ABS(O334-Components!$C$6))</f>
        <v>0.19566666666667087</v>
      </c>
      <c r="U334" s="81">
        <f>IF(G334="","",ABS(O334-Components!$C$7))</f>
        <v>0.414333333333331</v>
      </c>
      <c r="V334" s="81" t="str">
        <f>IF(G334="","",IF(M334="OK","NONE",INDEX({"S1","S2","W1","W2","N1","N2"},MATCH(MIN(P334:U334),P334:U334,0))))</f>
        <v>W1</v>
      </c>
      <c r="W334" s="117">
        <f t="shared" si="44"/>
        <v>1</v>
      </c>
      <c r="X334" s="58"/>
    </row>
    <row r="335" spans="1:24">
      <c r="A335" s="115">
        <v>333</v>
      </c>
      <c r="B335" s="116">
        <v>12</v>
      </c>
      <c r="C335" s="81" t="s">
        <v>132</v>
      </c>
      <c r="D335" s="111" t="s">
        <v>240</v>
      </c>
      <c r="E335" s="81" t="s">
        <v>104</v>
      </c>
      <c r="F335" s="61">
        <v>7.4</v>
      </c>
      <c r="G335" s="52">
        <f t="shared" si="38"/>
        <v>8.370000000000001</v>
      </c>
      <c r="H335" s="110"/>
      <c r="I335" s="81">
        <v>9.61</v>
      </c>
      <c r="J335" s="81">
        <f>VLOOKUP(C335,Recipes!$A$2:$N$4,12,FALSE())</f>
        <v>6.1509461004819709E-2</v>
      </c>
      <c r="K335" s="81">
        <f t="shared" si="39"/>
        <v>9.3947168864831312</v>
      </c>
      <c r="L335" s="81">
        <f t="shared" si="40"/>
        <v>9.8252831135168677</v>
      </c>
      <c r="M335" s="81" t="str">
        <f t="shared" si="41"/>
        <v>NG</v>
      </c>
      <c r="N335" s="117">
        <f t="shared" si="42"/>
        <v>1</v>
      </c>
      <c r="O335" s="81">
        <f t="shared" si="43"/>
        <v>1.2399999999999984</v>
      </c>
      <c r="P335" s="81">
        <f>IF(G335="","",ABS(O335-Components!$C$2))</f>
        <v>1.5133333333333314</v>
      </c>
      <c r="Q335" s="81">
        <f>IF(G335="","",ABS(O335-Components!$C$3))</f>
        <v>2.7960000000000012</v>
      </c>
      <c r="R335" s="81">
        <f>IF(G335="","",ABS(O335-Components!$C$4))</f>
        <v>0.24666666666666548</v>
      </c>
      <c r="S335" s="81">
        <f>IF(G335="","",ABS(O335-Components!$C$5))</f>
        <v>3.322666666666672</v>
      </c>
      <c r="T335" s="81">
        <f>IF(G335="","",ABS(O335-Components!$C$6))</f>
        <v>8.4333333333328486E-2</v>
      </c>
      <c r="U335" s="81">
        <f>IF(G335="","",ABS(O335-Components!$C$7))</f>
        <v>0.13433333333333164</v>
      </c>
      <c r="V335" s="81" t="str">
        <f>IF(G335="","",IF(M335="OK","NONE",INDEX({"S1","S2","W1","W2","N1","N2"},MATCH(MIN(P335:U335),P335:U335,0))))</f>
        <v>N1</v>
      </c>
      <c r="W335" s="122">
        <f t="shared" si="44"/>
        <v>0</v>
      </c>
      <c r="X335" s="58"/>
    </row>
    <row r="336" spans="1:24">
      <c r="A336" s="115">
        <v>334</v>
      </c>
      <c r="B336" s="116">
        <v>12</v>
      </c>
      <c r="C336" s="81" t="s">
        <v>132</v>
      </c>
      <c r="D336" s="111" t="s">
        <v>240</v>
      </c>
      <c r="E336" s="81" t="s">
        <v>104</v>
      </c>
      <c r="F336" s="61">
        <v>7.59</v>
      </c>
      <c r="G336" s="52">
        <f t="shared" si="38"/>
        <v>8.56</v>
      </c>
      <c r="H336" s="110"/>
      <c r="I336" s="81">
        <v>9.61</v>
      </c>
      <c r="J336" s="81">
        <f>VLOOKUP(C336,Recipes!$A$2:$N$4,12,FALSE())</f>
        <v>6.1509461004819709E-2</v>
      </c>
      <c r="K336" s="81">
        <f t="shared" si="39"/>
        <v>9.3947168864831312</v>
      </c>
      <c r="L336" s="81">
        <f t="shared" si="40"/>
        <v>9.8252831135168677</v>
      </c>
      <c r="M336" s="81" t="str">
        <f t="shared" si="41"/>
        <v>NG</v>
      </c>
      <c r="N336" s="117">
        <f t="shared" si="42"/>
        <v>1</v>
      </c>
      <c r="O336" s="81">
        <f t="shared" si="43"/>
        <v>1.0499999999999989</v>
      </c>
      <c r="P336" s="81">
        <f>IF(G336="","",ABS(O336-Components!$C$2))</f>
        <v>1.7033333333333309</v>
      </c>
      <c r="Q336" s="81">
        <f>IF(G336="","",ABS(O336-Components!$C$3))</f>
        <v>2.9860000000000007</v>
      </c>
      <c r="R336" s="81">
        <f>IF(G336="","",ABS(O336-Components!$C$4))</f>
        <v>5.6666666666665977E-2</v>
      </c>
      <c r="S336" s="81">
        <f>IF(G336="","",ABS(O336-Components!$C$5))</f>
        <v>3.5126666666666715</v>
      </c>
      <c r="T336" s="81">
        <f>IF(G336="","",ABS(O336-Components!$C$6))</f>
        <v>0.10566666666667102</v>
      </c>
      <c r="U336" s="81">
        <f>IF(G336="","",ABS(O336-Components!$C$7))</f>
        <v>0.32433333333333114</v>
      </c>
      <c r="V336" s="81" t="str">
        <f>IF(G336="","",IF(M336="OK","NONE",INDEX({"S1","S2","W1","W2","N1","N2"},MATCH(MIN(P336:U336),P336:U336,0))))</f>
        <v>W1</v>
      </c>
      <c r="W336" s="117">
        <f t="shared" si="44"/>
        <v>1</v>
      </c>
      <c r="X336" s="58"/>
    </row>
    <row r="337" spans="1:24">
      <c r="A337" s="115">
        <v>335</v>
      </c>
      <c r="B337" s="116">
        <v>12</v>
      </c>
      <c r="C337" s="81" t="s">
        <v>132</v>
      </c>
      <c r="D337" s="111" t="s">
        <v>240</v>
      </c>
      <c r="E337" s="81" t="s">
        <v>104</v>
      </c>
      <c r="F337" s="61">
        <v>7.53</v>
      </c>
      <c r="G337" s="52">
        <f t="shared" si="38"/>
        <v>8.5</v>
      </c>
      <c r="H337" s="110"/>
      <c r="I337" s="81">
        <v>9.61</v>
      </c>
      <c r="J337" s="81">
        <f>VLOOKUP(C337,Recipes!$A$2:$N$4,12,FALSE())</f>
        <v>6.1509461004819709E-2</v>
      </c>
      <c r="K337" s="81">
        <f t="shared" si="39"/>
        <v>9.3947168864831312</v>
      </c>
      <c r="L337" s="81">
        <f t="shared" si="40"/>
        <v>9.8252831135168677</v>
      </c>
      <c r="M337" s="81" t="str">
        <f t="shared" si="41"/>
        <v>NG</v>
      </c>
      <c r="N337" s="117">
        <f t="shared" si="42"/>
        <v>1</v>
      </c>
      <c r="O337" s="81">
        <f t="shared" si="43"/>
        <v>1.1099999999999994</v>
      </c>
      <c r="P337" s="81">
        <f>IF(G337="","",ABS(O337-Components!$C$2))</f>
        <v>1.6433333333333304</v>
      </c>
      <c r="Q337" s="81">
        <f>IF(G337="","",ABS(O337-Components!$C$3))</f>
        <v>2.9260000000000002</v>
      </c>
      <c r="R337" s="81">
        <f>IF(G337="","",ABS(O337-Components!$C$4))</f>
        <v>0.11666666666666647</v>
      </c>
      <c r="S337" s="81">
        <f>IF(G337="","",ABS(O337-Components!$C$5))</f>
        <v>3.452666666666671</v>
      </c>
      <c r="T337" s="81">
        <f>IF(G337="","",ABS(O337-Components!$C$6))</f>
        <v>4.5666666666670519E-2</v>
      </c>
      <c r="U337" s="81">
        <f>IF(G337="","",ABS(O337-Components!$C$7))</f>
        <v>0.26433333333333064</v>
      </c>
      <c r="V337" s="81" t="str">
        <f>IF(G337="","",IF(M337="OK","NONE",INDEX({"S1","S2","W1","W2","N1","N2"},MATCH(MIN(P337:U337),P337:U337,0))))</f>
        <v>N1</v>
      </c>
      <c r="W337" s="122">
        <f t="shared" si="44"/>
        <v>0</v>
      </c>
      <c r="X337" s="58"/>
    </row>
    <row r="338" spans="1:24">
      <c r="A338" s="115">
        <v>336</v>
      </c>
      <c r="B338" s="116">
        <v>12</v>
      </c>
      <c r="C338" s="81" t="s">
        <v>132</v>
      </c>
      <c r="D338" s="111" t="s">
        <v>240</v>
      </c>
      <c r="E338" s="81" t="s">
        <v>104</v>
      </c>
      <c r="F338" s="61">
        <v>7.53</v>
      </c>
      <c r="G338" s="52">
        <f t="shared" si="38"/>
        <v>8.5</v>
      </c>
      <c r="H338" s="110"/>
      <c r="I338" s="81">
        <v>9.61</v>
      </c>
      <c r="J338" s="81">
        <f>VLOOKUP(C338,Recipes!$A$2:$N$4,12,FALSE())</f>
        <v>6.1509461004819709E-2</v>
      </c>
      <c r="K338" s="81">
        <f t="shared" si="39"/>
        <v>9.3947168864831312</v>
      </c>
      <c r="L338" s="81">
        <f t="shared" si="40"/>
        <v>9.8252831135168677</v>
      </c>
      <c r="M338" s="81" t="str">
        <f t="shared" si="41"/>
        <v>NG</v>
      </c>
      <c r="N338" s="117">
        <f t="shared" si="42"/>
        <v>1</v>
      </c>
      <c r="O338" s="81">
        <f t="shared" si="43"/>
        <v>1.1099999999999994</v>
      </c>
      <c r="P338" s="81">
        <f>IF(G338="","",ABS(O338-Components!$C$2))</f>
        <v>1.6433333333333304</v>
      </c>
      <c r="Q338" s="81">
        <f>IF(G338="","",ABS(O338-Components!$C$3))</f>
        <v>2.9260000000000002</v>
      </c>
      <c r="R338" s="81">
        <f>IF(G338="","",ABS(O338-Components!$C$4))</f>
        <v>0.11666666666666647</v>
      </c>
      <c r="S338" s="81">
        <f>IF(G338="","",ABS(O338-Components!$C$5))</f>
        <v>3.452666666666671</v>
      </c>
      <c r="T338" s="81">
        <f>IF(G338="","",ABS(O338-Components!$C$6))</f>
        <v>4.5666666666670519E-2</v>
      </c>
      <c r="U338" s="81">
        <f>IF(G338="","",ABS(O338-Components!$C$7))</f>
        <v>0.26433333333333064</v>
      </c>
      <c r="V338" s="81" t="str">
        <f>IF(G338="","",IF(M338="OK","NONE",INDEX({"S1","S2","W1","W2","N1","N2"},MATCH(MIN(P338:U338),P338:U338,0))))</f>
        <v>N1</v>
      </c>
      <c r="W338" s="122">
        <f t="shared" si="44"/>
        <v>0</v>
      </c>
      <c r="X338" s="58"/>
    </row>
    <row r="339" spans="1:24">
      <c r="A339" s="115">
        <v>337</v>
      </c>
      <c r="B339" s="116">
        <v>12</v>
      </c>
      <c r="C339" s="81" t="s">
        <v>132</v>
      </c>
      <c r="D339" s="111" t="s">
        <v>240</v>
      </c>
      <c r="E339" s="81" t="s">
        <v>104</v>
      </c>
      <c r="F339" s="61">
        <v>7.63</v>
      </c>
      <c r="G339" s="52">
        <f t="shared" si="38"/>
        <v>8.6</v>
      </c>
      <c r="H339" s="110"/>
      <c r="I339" s="81">
        <v>9.61</v>
      </c>
      <c r="J339" s="81">
        <f>VLOOKUP(C339,Recipes!$A$2:$N$4,12,FALSE())</f>
        <v>6.1509461004819709E-2</v>
      </c>
      <c r="K339" s="81">
        <f t="shared" si="39"/>
        <v>9.3947168864831312</v>
      </c>
      <c r="L339" s="81">
        <f t="shared" si="40"/>
        <v>9.8252831135168677</v>
      </c>
      <c r="M339" s="81" t="str">
        <f t="shared" si="41"/>
        <v>NG</v>
      </c>
      <c r="N339" s="117">
        <f t="shared" si="42"/>
        <v>1</v>
      </c>
      <c r="O339" s="81">
        <f t="shared" si="43"/>
        <v>1.0099999999999998</v>
      </c>
      <c r="P339" s="81">
        <f>IF(G339="","",ABS(O339-Components!$C$2))</f>
        <v>1.7433333333333301</v>
      </c>
      <c r="Q339" s="81">
        <f>IF(G339="","",ABS(O339-Components!$C$3))</f>
        <v>3.0259999999999998</v>
      </c>
      <c r="R339" s="81">
        <f>IF(G339="","",ABS(O339-Components!$C$4))</f>
        <v>1.6666666666666829E-2</v>
      </c>
      <c r="S339" s="81">
        <f>IF(G339="","",ABS(O339-Components!$C$5))</f>
        <v>3.5526666666666706</v>
      </c>
      <c r="T339" s="81">
        <f>IF(G339="","",ABS(O339-Components!$C$6))</f>
        <v>0.14566666666667016</v>
      </c>
      <c r="U339" s="81">
        <f>IF(G339="","",ABS(O339-Components!$C$7))</f>
        <v>0.36433333333333029</v>
      </c>
      <c r="V339" s="81" t="str">
        <f>IF(G339="","",IF(M339="OK","NONE",INDEX({"S1","S2","W1","W2","N1","N2"},MATCH(MIN(P339:U339),P339:U339,0))))</f>
        <v>W1</v>
      </c>
      <c r="W339" s="117">
        <f t="shared" si="44"/>
        <v>1</v>
      </c>
      <c r="X339" s="58"/>
    </row>
    <row r="340" spans="1:24">
      <c r="A340" s="115">
        <v>338</v>
      </c>
      <c r="B340" s="116">
        <v>12</v>
      </c>
      <c r="C340" s="81" t="s">
        <v>132</v>
      </c>
      <c r="D340" s="111" t="s">
        <v>240</v>
      </c>
      <c r="E340" s="81" t="s">
        <v>104</v>
      </c>
      <c r="F340" s="61">
        <v>7.62</v>
      </c>
      <c r="G340" s="52">
        <f t="shared" si="38"/>
        <v>8.59</v>
      </c>
      <c r="H340" s="110"/>
      <c r="I340" s="81">
        <v>9.61</v>
      </c>
      <c r="J340" s="81">
        <f>VLOOKUP(C340,Recipes!$A$2:$N$4,12,FALSE())</f>
        <v>6.1509461004819709E-2</v>
      </c>
      <c r="K340" s="81">
        <f t="shared" si="39"/>
        <v>9.3947168864831312</v>
      </c>
      <c r="L340" s="81">
        <f t="shared" si="40"/>
        <v>9.8252831135168677</v>
      </c>
      <c r="M340" s="81" t="str">
        <f t="shared" si="41"/>
        <v>NG</v>
      </c>
      <c r="N340" s="117">
        <f t="shared" si="42"/>
        <v>1</v>
      </c>
      <c r="O340" s="81">
        <f t="shared" si="43"/>
        <v>1.0199999999999996</v>
      </c>
      <c r="P340" s="81">
        <f>IF(G340="","",ABS(O340-Components!$C$2))</f>
        <v>1.7333333333333303</v>
      </c>
      <c r="Q340" s="81">
        <f>IF(G340="","",ABS(O340-Components!$C$3))</f>
        <v>3.016</v>
      </c>
      <c r="R340" s="81">
        <f>IF(G340="","",ABS(O340-Components!$C$4))</f>
        <v>2.6666666666666616E-2</v>
      </c>
      <c r="S340" s="81">
        <f>IF(G340="","",ABS(O340-Components!$C$5))</f>
        <v>3.5426666666666708</v>
      </c>
      <c r="T340" s="81">
        <f>IF(G340="","",ABS(O340-Components!$C$6))</f>
        <v>0.13566666666667038</v>
      </c>
      <c r="U340" s="81">
        <f>IF(G340="","",ABS(O340-Components!$C$7))</f>
        <v>0.3543333333333305</v>
      </c>
      <c r="V340" s="81" t="str">
        <f>IF(G340="","",IF(M340="OK","NONE",INDEX({"S1","S2","W1","W2","N1","N2"},MATCH(MIN(P340:U340),P340:U340,0))))</f>
        <v>W1</v>
      </c>
      <c r="W340" s="117">
        <f t="shared" si="44"/>
        <v>1</v>
      </c>
      <c r="X340" s="58"/>
    </row>
    <row r="341" spans="1:24">
      <c r="A341" s="115">
        <v>339</v>
      </c>
      <c r="B341" s="116">
        <v>12</v>
      </c>
      <c r="C341" s="81" t="s">
        <v>132</v>
      </c>
      <c r="D341" s="111" t="s">
        <v>240</v>
      </c>
      <c r="E341" s="81" t="s">
        <v>104</v>
      </c>
      <c r="F341" s="61">
        <v>7.59</v>
      </c>
      <c r="G341" s="52">
        <f t="shared" si="38"/>
        <v>8.56</v>
      </c>
      <c r="H341" s="110"/>
      <c r="I341" s="81">
        <v>9.61</v>
      </c>
      <c r="J341" s="81">
        <f>VLOOKUP(C341,Recipes!$A$2:$N$4,12,FALSE())</f>
        <v>6.1509461004819709E-2</v>
      </c>
      <c r="K341" s="81">
        <f t="shared" si="39"/>
        <v>9.3947168864831312</v>
      </c>
      <c r="L341" s="81">
        <f t="shared" si="40"/>
        <v>9.8252831135168677</v>
      </c>
      <c r="M341" s="81" t="str">
        <f t="shared" si="41"/>
        <v>NG</v>
      </c>
      <c r="N341" s="117">
        <f t="shared" si="42"/>
        <v>1</v>
      </c>
      <c r="O341" s="81">
        <f t="shared" si="43"/>
        <v>1.0499999999999989</v>
      </c>
      <c r="P341" s="81">
        <f>IF(G341="","",ABS(O341-Components!$C$2))</f>
        <v>1.7033333333333309</v>
      </c>
      <c r="Q341" s="81">
        <f>IF(G341="","",ABS(O341-Components!$C$3))</f>
        <v>2.9860000000000007</v>
      </c>
      <c r="R341" s="81">
        <f>IF(G341="","",ABS(O341-Components!$C$4))</f>
        <v>5.6666666666665977E-2</v>
      </c>
      <c r="S341" s="81">
        <f>IF(G341="","",ABS(O341-Components!$C$5))</f>
        <v>3.5126666666666715</v>
      </c>
      <c r="T341" s="81">
        <f>IF(G341="","",ABS(O341-Components!$C$6))</f>
        <v>0.10566666666667102</v>
      </c>
      <c r="U341" s="81">
        <f>IF(G341="","",ABS(O341-Components!$C$7))</f>
        <v>0.32433333333333114</v>
      </c>
      <c r="V341" s="81" t="str">
        <f>IF(G341="","",IF(M341="OK","NONE",INDEX({"S1","S2","W1","W2","N1","N2"},MATCH(MIN(P341:U341),P341:U341,0))))</f>
        <v>W1</v>
      </c>
      <c r="W341" s="117">
        <f t="shared" si="44"/>
        <v>1</v>
      </c>
      <c r="X341" s="58"/>
    </row>
    <row r="342" spans="1:24">
      <c r="A342" s="115">
        <v>340</v>
      </c>
      <c r="B342" s="116">
        <v>12</v>
      </c>
      <c r="C342" s="81" t="s">
        <v>132</v>
      </c>
      <c r="D342" s="111" t="s">
        <v>240</v>
      </c>
      <c r="E342" s="81" t="s">
        <v>104</v>
      </c>
      <c r="F342" s="61">
        <v>7.64</v>
      </c>
      <c r="G342" s="52">
        <f t="shared" si="38"/>
        <v>8.61</v>
      </c>
      <c r="H342" s="110"/>
      <c r="I342" s="81">
        <v>9.61</v>
      </c>
      <c r="J342" s="81">
        <f>VLOOKUP(C342,Recipes!$A$2:$N$4,12,FALSE())</f>
        <v>6.1509461004819709E-2</v>
      </c>
      <c r="K342" s="81">
        <f t="shared" si="39"/>
        <v>9.3947168864831312</v>
      </c>
      <c r="L342" s="81">
        <f t="shared" si="40"/>
        <v>9.8252831135168677</v>
      </c>
      <c r="M342" s="81" t="str">
        <f t="shared" si="41"/>
        <v>NG</v>
      </c>
      <c r="N342" s="117">
        <f t="shared" si="42"/>
        <v>1</v>
      </c>
      <c r="O342" s="81">
        <f t="shared" si="43"/>
        <v>1</v>
      </c>
      <c r="P342" s="81">
        <f>IF(G342="","",ABS(O342-Components!$C$2))</f>
        <v>1.7533333333333299</v>
      </c>
      <c r="Q342" s="81">
        <f>IF(G342="","",ABS(O342-Components!$C$3))</f>
        <v>3.0359999999999996</v>
      </c>
      <c r="R342" s="81">
        <f>IF(G342="","",ABS(O342-Components!$C$4))</f>
        <v>6.6666666666670427E-3</v>
      </c>
      <c r="S342" s="81">
        <f>IF(G342="","",ABS(O342-Components!$C$5))</f>
        <v>3.5626666666666704</v>
      </c>
      <c r="T342" s="81">
        <f>IF(G342="","",ABS(O342-Components!$C$6))</f>
        <v>0.15566666666666995</v>
      </c>
      <c r="U342" s="81">
        <f>IF(G342="","",ABS(O342-Components!$C$7))</f>
        <v>0.37433333333333008</v>
      </c>
      <c r="V342" s="81" t="str">
        <f>IF(G342="","",IF(M342="OK","NONE",INDEX({"S1","S2","W1","W2","N1","N2"},MATCH(MIN(P342:U342),P342:U342,0))))</f>
        <v>W1</v>
      </c>
      <c r="W342" s="117">
        <f t="shared" si="44"/>
        <v>1</v>
      </c>
      <c r="X342" s="58"/>
    </row>
    <row r="343" spans="1:24">
      <c r="A343" s="115">
        <v>341</v>
      </c>
      <c r="B343" s="116">
        <v>12</v>
      </c>
      <c r="C343" s="81" t="s">
        <v>132</v>
      </c>
      <c r="D343" s="111" t="s">
        <v>240</v>
      </c>
      <c r="E343" s="81" t="s">
        <v>104</v>
      </c>
      <c r="F343" s="61">
        <v>7.65</v>
      </c>
      <c r="G343" s="52">
        <f t="shared" si="38"/>
        <v>8.620000000000001</v>
      </c>
      <c r="H343" s="110"/>
      <c r="I343" s="81">
        <v>9.61</v>
      </c>
      <c r="J343" s="81">
        <f>VLOOKUP(C343,Recipes!$A$2:$N$4,12,FALSE())</f>
        <v>6.1509461004819709E-2</v>
      </c>
      <c r="K343" s="81">
        <f t="shared" si="39"/>
        <v>9.3947168864831312</v>
      </c>
      <c r="L343" s="81">
        <f t="shared" si="40"/>
        <v>9.8252831135168677</v>
      </c>
      <c r="M343" s="81" t="str">
        <f t="shared" si="41"/>
        <v>NG</v>
      </c>
      <c r="N343" s="117">
        <f t="shared" si="42"/>
        <v>1</v>
      </c>
      <c r="O343" s="81">
        <f t="shared" si="43"/>
        <v>0.98999999999999844</v>
      </c>
      <c r="P343" s="81">
        <f>IF(G343="","",ABS(O343-Components!$C$2))</f>
        <v>1.7633333333333314</v>
      </c>
      <c r="Q343" s="81">
        <f>IF(G343="","",ABS(O343-Components!$C$3))</f>
        <v>3.0460000000000012</v>
      </c>
      <c r="R343" s="81">
        <f>IF(G343="","",ABS(O343-Components!$C$4))</f>
        <v>3.3333333333345205E-3</v>
      </c>
      <c r="S343" s="81">
        <f>IF(G343="","",ABS(O343-Components!$C$5))</f>
        <v>3.572666666666672</v>
      </c>
      <c r="T343" s="81">
        <f>IF(G343="","",ABS(O343-Components!$C$6))</f>
        <v>0.16566666666667151</v>
      </c>
      <c r="U343" s="81">
        <f>IF(G343="","",ABS(O343-Components!$C$7))</f>
        <v>0.38433333333333164</v>
      </c>
      <c r="V343" s="81" t="str">
        <f>IF(G343="","",IF(M343="OK","NONE",INDEX({"S1","S2","W1","W2","N1","N2"},MATCH(MIN(P343:U343),P343:U343,0))))</f>
        <v>W1</v>
      </c>
      <c r="W343" s="117">
        <f t="shared" si="44"/>
        <v>1</v>
      </c>
      <c r="X343" s="58"/>
    </row>
    <row r="344" spans="1:24">
      <c r="A344" s="115">
        <v>342</v>
      </c>
      <c r="B344" s="116">
        <v>12</v>
      </c>
      <c r="C344" s="81" t="s">
        <v>132</v>
      </c>
      <c r="D344" s="111" t="s">
        <v>240</v>
      </c>
      <c r="E344" s="81" t="s">
        <v>104</v>
      </c>
      <c r="F344" s="61">
        <v>7.6</v>
      </c>
      <c r="G344" s="52">
        <f t="shared" si="38"/>
        <v>8.57</v>
      </c>
      <c r="H344" s="110"/>
      <c r="I344" s="81">
        <v>9.61</v>
      </c>
      <c r="J344" s="81">
        <f>VLOOKUP(C344,Recipes!$A$2:$N$4,12,FALSE())</f>
        <v>6.1509461004819709E-2</v>
      </c>
      <c r="K344" s="81">
        <f t="shared" si="39"/>
        <v>9.3947168864831312</v>
      </c>
      <c r="L344" s="81">
        <f t="shared" si="40"/>
        <v>9.8252831135168677</v>
      </c>
      <c r="M344" s="81" t="str">
        <f t="shared" si="41"/>
        <v>NG</v>
      </c>
      <c r="N344" s="117">
        <f t="shared" si="42"/>
        <v>1</v>
      </c>
      <c r="O344" s="81">
        <f t="shared" si="43"/>
        <v>1.0399999999999991</v>
      </c>
      <c r="P344" s="81">
        <f>IF(G344="","",ABS(O344-Components!$C$2))</f>
        <v>1.7133333333333307</v>
      </c>
      <c r="Q344" s="81">
        <f>IF(G344="","",ABS(O344-Components!$C$3))</f>
        <v>2.9960000000000004</v>
      </c>
      <c r="R344" s="81">
        <f>IF(G344="","",ABS(O344-Components!$C$4))</f>
        <v>4.666666666666619E-2</v>
      </c>
      <c r="S344" s="81">
        <f>IF(G344="","",ABS(O344-Components!$C$5))</f>
        <v>3.5226666666666713</v>
      </c>
      <c r="T344" s="81">
        <f>IF(G344="","",ABS(O344-Components!$C$6))</f>
        <v>0.1156666666666708</v>
      </c>
      <c r="U344" s="81">
        <f>IF(G344="","",ABS(O344-Components!$C$7))</f>
        <v>0.33433333333333093</v>
      </c>
      <c r="V344" s="81" t="str">
        <f>IF(G344="","",IF(M344="OK","NONE",INDEX({"S1","S2","W1","W2","N1","N2"},MATCH(MIN(P344:U344),P344:U344,0))))</f>
        <v>W1</v>
      </c>
      <c r="W344" s="117">
        <f t="shared" si="44"/>
        <v>1</v>
      </c>
      <c r="X344" s="58"/>
    </row>
    <row r="345" spans="1:24">
      <c r="A345" s="115">
        <v>343</v>
      </c>
      <c r="B345" s="116">
        <v>12</v>
      </c>
      <c r="C345" s="81" t="s">
        <v>132</v>
      </c>
      <c r="D345" s="111" t="s">
        <v>240</v>
      </c>
      <c r="E345" s="81" t="s">
        <v>104</v>
      </c>
      <c r="F345" s="61">
        <v>7.6</v>
      </c>
      <c r="G345" s="52">
        <f t="shared" si="38"/>
        <v>8.57</v>
      </c>
      <c r="H345" s="110"/>
      <c r="I345" s="81">
        <v>9.61</v>
      </c>
      <c r="J345" s="81">
        <f>VLOOKUP(C345,Recipes!$A$2:$N$4,12,FALSE())</f>
        <v>6.1509461004819709E-2</v>
      </c>
      <c r="K345" s="81">
        <f t="shared" si="39"/>
        <v>9.3947168864831312</v>
      </c>
      <c r="L345" s="81">
        <f t="shared" si="40"/>
        <v>9.8252831135168677</v>
      </c>
      <c r="M345" s="81" t="str">
        <f t="shared" si="41"/>
        <v>NG</v>
      </c>
      <c r="N345" s="117">
        <f t="shared" si="42"/>
        <v>1</v>
      </c>
      <c r="O345" s="81">
        <f t="shared" si="43"/>
        <v>1.0399999999999991</v>
      </c>
      <c r="P345" s="81">
        <f>IF(G345="","",ABS(O345-Components!$C$2))</f>
        <v>1.7133333333333307</v>
      </c>
      <c r="Q345" s="81">
        <f>IF(G345="","",ABS(O345-Components!$C$3))</f>
        <v>2.9960000000000004</v>
      </c>
      <c r="R345" s="81">
        <f>IF(G345="","",ABS(O345-Components!$C$4))</f>
        <v>4.666666666666619E-2</v>
      </c>
      <c r="S345" s="81">
        <f>IF(G345="","",ABS(O345-Components!$C$5))</f>
        <v>3.5226666666666713</v>
      </c>
      <c r="T345" s="81">
        <f>IF(G345="","",ABS(O345-Components!$C$6))</f>
        <v>0.1156666666666708</v>
      </c>
      <c r="U345" s="81">
        <f>IF(G345="","",ABS(O345-Components!$C$7))</f>
        <v>0.33433333333333093</v>
      </c>
      <c r="V345" s="81" t="str">
        <f>IF(G345="","",IF(M345="OK","NONE",INDEX({"S1","S2","W1","W2","N1","N2"},MATCH(MIN(P345:U345),P345:U345,0))))</f>
        <v>W1</v>
      </c>
      <c r="W345" s="117">
        <f t="shared" si="44"/>
        <v>1</v>
      </c>
      <c r="X345" s="58"/>
    </row>
    <row r="346" spans="1:24">
      <c r="A346" s="115">
        <v>344</v>
      </c>
      <c r="B346" s="116">
        <v>12</v>
      </c>
      <c r="C346" s="81" t="s">
        <v>132</v>
      </c>
      <c r="D346" s="111" t="s">
        <v>240</v>
      </c>
      <c r="E346" s="81" t="s">
        <v>104</v>
      </c>
      <c r="F346" s="61">
        <v>7.59</v>
      </c>
      <c r="G346" s="52">
        <f t="shared" si="38"/>
        <v>8.56</v>
      </c>
      <c r="H346" s="110"/>
      <c r="I346" s="81">
        <v>9.61</v>
      </c>
      <c r="J346" s="81">
        <f>VLOOKUP(C346,Recipes!$A$2:$N$4,12,FALSE())</f>
        <v>6.1509461004819709E-2</v>
      </c>
      <c r="K346" s="81">
        <f t="shared" si="39"/>
        <v>9.3947168864831312</v>
      </c>
      <c r="L346" s="81">
        <f t="shared" si="40"/>
        <v>9.8252831135168677</v>
      </c>
      <c r="M346" s="81" t="str">
        <f t="shared" si="41"/>
        <v>NG</v>
      </c>
      <c r="N346" s="117">
        <f t="shared" si="42"/>
        <v>1</v>
      </c>
      <c r="O346" s="81">
        <f t="shared" si="43"/>
        <v>1.0499999999999989</v>
      </c>
      <c r="P346" s="81">
        <f>IF(G346="","",ABS(O346-Components!$C$2))</f>
        <v>1.7033333333333309</v>
      </c>
      <c r="Q346" s="81">
        <f>IF(G346="","",ABS(O346-Components!$C$3))</f>
        <v>2.9860000000000007</v>
      </c>
      <c r="R346" s="81">
        <f>IF(G346="","",ABS(O346-Components!$C$4))</f>
        <v>5.6666666666665977E-2</v>
      </c>
      <c r="S346" s="81">
        <f>IF(G346="","",ABS(O346-Components!$C$5))</f>
        <v>3.5126666666666715</v>
      </c>
      <c r="T346" s="81">
        <f>IF(G346="","",ABS(O346-Components!$C$6))</f>
        <v>0.10566666666667102</v>
      </c>
      <c r="U346" s="81">
        <f>IF(G346="","",ABS(O346-Components!$C$7))</f>
        <v>0.32433333333333114</v>
      </c>
      <c r="V346" s="81" t="str">
        <f>IF(G346="","",IF(M346="OK","NONE",INDEX({"S1","S2","W1","W2","N1","N2"},MATCH(MIN(P346:U346),P346:U346,0))))</f>
        <v>W1</v>
      </c>
      <c r="W346" s="117">
        <f t="shared" si="44"/>
        <v>1</v>
      </c>
      <c r="X346" s="58"/>
    </row>
    <row r="347" spans="1:24">
      <c r="A347" s="115">
        <v>345</v>
      </c>
      <c r="B347" s="116">
        <v>12</v>
      </c>
      <c r="C347" s="81" t="s">
        <v>132</v>
      </c>
      <c r="D347" s="111" t="s">
        <v>240</v>
      </c>
      <c r="E347" s="81" t="s">
        <v>104</v>
      </c>
      <c r="F347" s="61">
        <v>7.63</v>
      </c>
      <c r="G347" s="52">
        <f t="shared" si="38"/>
        <v>8.6</v>
      </c>
      <c r="H347" s="110"/>
      <c r="I347" s="81">
        <v>9.61</v>
      </c>
      <c r="J347" s="81">
        <f>VLOOKUP(C347,Recipes!$A$2:$N$4,12,FALSE())</f>
        <v>6.1509461004819709E-2</v>
      </c>
      <c r="K347" s="81">
        <f t="shared" si="39"/>
        <v>9.3947168864831312</v>
      </c>
      <c r="L347" s="81">
        <f t="shared" si="40"/>
        <v>9.8252831135168677</v>
      </c>
      <c r="M347" s="81" t="str">
        <f t="shared" si="41"/>
        <v>NG</v>
      </c>
      <c r="N347" s="117">
        <f t="shared" si="42"/>
        <v>1</v>
      </c>
      <c r="O347" s="81">
        <f t="shared" si="43"/>
        <v>1.0099999999999998</v>
      </c>
      <c r="P347" s="81">
        <f>IF(G347="","",ABS(O347-Components!$C$2))</f>
        <v>1.7433333333333301</v>
      </c>
      <c r="Q347" s="81">
        <f>IF(G347="","",ABS(O347-Components!$C$3))</f>
        <v>3.0259999999999998</v>
      </c>
      <c r="R347" s="81">
        <f>IF(G347="","",ABS(O347-Components!$C$4))</f>
        <v>1.6666666666666829E-2</v>
      </c>
      <c r="S347" s="81">
        <f>IF(G347="","",ABS(O347-Components!$C$5))</f>
        <v>3.5526666666666706</v>
      </c>
      <c r="T347" s="81">
        <f>IF(G347="","",ABS(O347-Components!$C$6))</f>
        <v>0.14566666666667016</v>
      </c>
      <c r="U347" s="81">
        <f>IF(G347="","",ABS(O347-Components!$C$7))</f>
        <v>0.36433333333333029</v>
      </c>
      <c r="V347" s="81" t="str">
        <f>IF(G347="","",IF(M347="OK","NONE",INDEX({"S1","S2","W1","W2","N1","N2"},MATCH(MIN(P347:U347),P347:U347,0))))</f>
        <v>W1</v>
      </c>
      <c r="W347" s="117">
        <f t="shared" si="44"/>
        <v>1</v>
      </c>
      <c r="X347" s="58"/>
    </row>
    <row r="348" spans="1:24">
      <c r="A348" s="115">
        <v>346</v>
      </c>
      <c r="B348" s="116">
        <v>12</v>
      </c>
      <c r="C348" s="81" t="s">
        <v>132</v>
      </c>
      <c r="D348" s="111" t="s">
        <v>240</v>
      </c>
      <c r="E348" s="81" t="s">
        <v>104</v>
      </c>
      <c r="F348" s="61">
        <v>7.6</v>
      </c>
      <c r="G348" s="52">
        <f t="shared" si="38"/>
        <v>8.57</v>
      </c>
      <c r="H348" s="110"/>
      <c r="I348" s="81">
        <v>9.61</v>
      </c>
      <c r="J348" s="81">
        <f>VLOOKUP(C348,Recipes!$A$2:$N$4,12,FALSE())</f>
        <v>6.1509461004819709E-2</v>
      </c>
      <c r="K348" s="81">
        <f t="shared" si="39"/>
        <v>9.3947168864831312</v>
      </c>
      <c r="L348" s="81">
        <f t="shared" si="40"/>
        <v>9.8252831135168677</v>
      </c>
      <c r="M348" s="81" t="str">
        <f t="shared" si="41"/>
        <v>NG</v>
      </c>
      <c r="N348" s="117">
        <f t="shared" si="42"/>
        <v>1</v>
      </c>
      <c r="O348" s="81">
        <f t="shared" si="43"/>
        <v>1.0399999999999991</v>
      </c>
      <c r="P348" s="81">
        <f>IF(G348="","",ABS(O348-Components!$C$2))</f>
        <v>1.7133333333333307</v>
      </c>
      <c r="Q348" s="81">
        <f>IF(G348="","",ABS(O348-Components!$C$3))</f>
        <v>2.9960000000000004</v>
      </c>
      <c r="R348" s="81">
        <f>IF(G348="","",ABS(O348-Components!$C$4))</f>
        <v>4.666666666666619E-2</v>
      </c>
      <c r="S348" s="81">
        <f>IF(G348="","",ABS(O348-Components!$C$5))</f>
        <v>3.5226666666666713</v>
      </c>
      <c r="T348" s="81">
        <f>IF(G348="","",ABS(O348-Components!$C$6))</f>
        <v>0.1156666666666708</v>
      </c>
      <c r="U348" s="81">
        <f>IF(G348="","",ABS(O348-Components!$C$7))</f>
        <v>0.33433333333333093</v>
      </c>
      <c r="V348" s="81" t="str">
        <f>IF(G348="","",IF(M348="OK","NONE",INDEX({"S1","S2","W1","W2","N1","N2"},MATCH(MIN(P348:U348),P348:U348,0))))</f>
        <v>W1</v>
      </c>
      <c r="W348" s="117">
        <f t="shared" si="44"/>
        <v>1</v>
      </c>
      <c r="X348" s="58"/>
    </row>
    <row r="349" spans="1:24">
      <c r="A349" s="115">
        <v>347</v>
      </c>
      <c r="B349" s="116">
        <v>12</v>
      </c>
      <c r="C349" s="81" t="s">
        <v>132</v>
      </c>
      <c r="D349" s="111" t="s">
        <v>240</v>
      </c>
      <c r="E349" s="81" t="s">
        <v>104</v>
      </c>
      <c r="F349" s="61">
        <v>7.56</v>
      </c>
      <c r="G349" s="52">
        <f t="shared" si="38"/>
        <v>8.5299999999999994</v>
      </c>
      <c r="H349" s="110"/>
      <c r="I349" s="81">
        <v>9.61</v>
      </c>
      <c r="J349" s="81">
        <f>VLOOKUP(C349,Recipes!$A$2:$N$4,12,FALSE())</f>
        <v>6.1509461004819709E-2</v>
      </c>
      <c r="K349" s="81">
        <f t="shared" si="39"/>
        <v>9.3947168864831312</v>
      </c>
      <c r="L349" s="81">
        <f t="shared" si="40"/>
        <v>9.8252831135168677</v>
      </c>
      <c r="M349" s="81" t="str">
        <f t="shared" si="41"/>
        <v>NG</v>
      </c>
      <c r="N349" s="117">
        <f t="shared" si="42"/>
        <v>1</v>
      </c>
      <c r="O349" s="81">
        <f t="shared" si="43"/>
        <v>1.08</v>
      </c>
      <c r="P349" s="81">
        <f>IF(G349="","",ABS(O349-Components!$C$2))</f>
        <v>1.6733333333333298</v>
      </c>
      <c r="Q349" s="81">
        <f>IF(G349="","",ABS(O349-Components!$C$3))</f>
        <v>2.9559999999999995</v>
      </c>
      <c r="R349" s="81">
        <f>IF(G349="","",ABS(O349-Components!$C$4))</f>
        <v>8.6666666666667114E-2</v>
      </c>
      <c r="S349" s="81">
        <f>IF(G349="","",ABS(O349-Components!$C$5))</f>
        <v>3.4826666666666704</v>
      </c>
      <c r="T349" s="81">
        <f>IF(G349="","",ABS(O349-Components!$C$6))</f>
        <v>7.566666666666988E-2</v>
      </c>
      <c r="U349" s="81">
        <f>IF(G349="","",ABS(O349-Components!$C$7))</f>
        <v>0.29433333333333001</v>
      </c>
      <c r="V349" s="81" t="str">
        <f>IF(G349="","",IF(M349="OK","NONE",INDEX({"S1","S2","W1","W2","N1","N2"},MATCH(MIN(P349:U349),P349:U349,0))))</f>
        <v>N1</v>
      </c>
      <c r="W349" s="122">
        <f t="shared" si="44"/>
        <v>0</v>
      </c>
      <c r="X349" s="58"/>
    </row>
    <row r="350" spans="1:24">
      <c r="A350" s="115">
        <v>348</v>
      </c>
      <c r="B350" s="116">
        <v>12</v>
      </c>
      <c r="C350" s="81" t="s">
        <v>132</v>
      </c>
      <c r="D350" s="111" t="s">
        <v>240</v>
      </c>
      <c r="E350" s="81" t="s">
        <v>104</v>
      </c>
      <c r="F350" s="61">
        <v>7.63</v>
      </c>
      <c r="G350" s="52">
        <f t="shared" si="38"/>
        <v>8.6</v>
      </c>
      <c r="H350" s="110"/>
      <c r="I350" s="81">
        <v>9.61</v>
      </c>
      <c r="J350" s="81">
        <f>VLOOKUP(C350,Recipes!$A$2:$N$4,12,FALSE())</f>
        <v>6.1509461004819709E-2</v>
      </c>
      <c r="K350" s="81">
        <f t="shared" si="39"/>
        <v>9.3947168864831312</v>
      </c>
      <c r="L350" s="81">
        <f t="shared" si="40"/>
        <v>9.8252831135168677</v>
      </c>
      <c r="M350" s="81" t="str">
        <f t="shared" si="41"/>
        <v>NG</v>
      </c>
      <c r="N350" s="117">
        <f t="shared" si="42"/>
        <v>1</v>
      </c>
      <c r="O350" s="81">
        <f t="shared" si="43"/>
        <v>1.0099999999999998</v>
      </c>
      <c r="P350" s="81">
        <f>IF(G350="","",ABS(O350-Components!$C$2))</f>
        <v>1.7433333333333301</v>
      </c>
      <c r="Q350" s="81">
        <f>IF(G350="","",ABS(O350-Components!$C$3))</f>
        <v>3.0259999999999998</v>
      </c>
      <c r="R350" s="81">
        <f>IF(G350="","",ABS(O350-Components!$C$4))</f>
        <v>1.6666666666666829E-2</v>
      </c>
      <c r="S350" s="81">
        <f>IF(G350="","",ABS(O350-Components!$C$5))</f>
        <v>3.5526666666666706</v>
      </c>
      <c r="T350" s="81">
        <f>IF(G350="","",ABS(O350-Components!$C$6))</f>
        <v>0.14566666666667016</v>
      </c>
      <c r="U350" s="81">
        <f>IF(G350="","",ABS(O350-Components!$C$7))</f>
        <v>0.36433333333333029</v>
      </c>
      <c r="V350" s="81" t="str">
        <f>IF(G350="","",IF(M350="OK","NONE",INDEX({"S1","S2","W1","W2","N1","N2"},MATCH(MIN(P350:U350),P350:U350,0))))</f>
        <v>W1</v>
      </c>
      <c r="W350" s="117">
        <f t="shared" si="44"/>
        <v>1</v>
      </c>
      <c r="X350" s="58"/>
    </row>
    <row r="351" spans="1:24">
      <c r="A351" s="115">
        <v>349</v>
      </c>
      <c r="B351" s="116">
        <v>12</v>
      </c>
      <c r="C351" s="81" t="s">
        <v>132</v>
      </c>
      <c r="D351" s="111" t="s">
        <v>240</v>
      </c>
      <c r="E351" s="81" t="s">
        <v>104</v>
      </c>
      <c r="F351" s="61">
        <v>7.6</v>
      </c>
      <c r="G351" s="52">
        <f t="shared" si="38"/>
        <v>8.57</v>
      </c>
      <c r="H351" s="110"/>
      <c r="I351" s="81">
        <v>9.61</v>
      </c>
      <c r="J351" s="81">
        <f>VLOOKUP(C351,Recipes!$A$2:$N$4,12,FALSE())</f>
        <v>6.1509461004819709E-2</v>
      </c>
      <c r="K351" s="81">
        <f t="shared" si="39"/>
        <v>9.3947168864831312</v>
      </c>
      <c r="L351" s="81">
        <f t="shared" si="40"/>
        <v>9.8252831135168677</v>
      </c>
      <c r="M351" s="81" t="str">
        <f t="shared" si="41"/>
        <v>NG</v>
      </c>
      <c r="N351" s="117">
        <f t="shared" si="42"/>
        <v>1</v>
      </c>
      <c r="O351" s="81">
        <f t="shared" si="43"/>
        <v>1.0399999999999991</v>
      </c>
      <c r="P351" s="81">
        <f>IF(G351="","",ABS(O351-Components!$C$2))</f>
        <v>1.7133333333333307</v>
      </c>
      <c r="Q351" s="81">
        <f>IF(G351="","",ABS(O351-Components!$C$3))</f>
        <v>2.9960000000000004</v>
      </c>
      <c r="R351" s="81">
        <f>IF(G351="","",ABS(O351-Components!$C$4))</f>
        <v>4.666666666666619E-2</v>
      </c>
      <c r="S351" s="81">
        <f>IF(G351="","",ABS(O351-Components!$C$5))</f>
        <v>3.5226666666666713</v>
      </c>
      <c r="T351" s="81">
        <f>IF(G351="","",ABS(O351-Components!$C$6))</f>
        <v>0.1156666666666708</v>
      </c>
      <c r="U351" s="81">
        <f>IF(G351="","",ABS(O351-Components!$C$7))</f>
        <v>0.33433333333333093</v>
      </c>
      <c r="V351" s="81" t="str">
        <f>IF(G351="","",IF(M351="OK","NONE",INDEX({"S1","S2","W1","W2","N1","N2"},MATCH(MIN(P351:U351),P351:U351,0))))</f>
        <v>W1</v>
      </c>
      <c r="W351" s="117">
        <f t="shared" si="44"/>
        <v>1</v>
      </c>
      <c r="X351" s="58"/>
    </row>
    <row r="352" spans="1:24">
      <c r="A352" s="115">
        <v>350</v>
      </c>
      <c r="B352" s="116">
        <v>12</v>
      </c>
      <c r="C352" s="81" t="s">
        <v>132</v>
      </c>
      <c r="D352" s="111" t="s">
        <v>240</v>
      </c>
      <c r="E352" s="81" t="s">
        <v>104</v>
      </c>
      <c r="F352" s="61">
        <v>7.58</v>
      </c>
      <c r="G352" s="52">
        <f t="shared" si="38"/>
        <v>8.5500000000000007</v>
      </c>
      <c r="H352" s="110"/>
      <c r="I352" s="81">
        <v>9.61</v>
      </c>
      <c r="J352" s="81">
        <f>VLOOKUP(C352,Recipes!$A$2:$N$4,12,FALSE())</f>
        <v>6.1509461004819709E-2</v>
      </c>
      <c r="K352" s="81">
        <f t="shared" si="39"/>
        <v>9.3947168864831312</v>
      </c>
      <c r="L352" s="81">
        <f t="shared" si="40"/>
        <v>9.8252831135168677</v>
      </c>
      <c r="M352" s="81" t="str">
        <f t="shared" si="41"/>
        <v>NG</v>
      </c>
      <c r="N352" s="117">
        <f t="shared" si="42"/>
        <v>1</v>
      </c>
      <c r="O352" s="81">
        <f t="shared" si="43"/>
        <v>1.0599999999999987</v>
      </c>
      <c r="P352" s="81">
        <f>IF(G352="","",ABS(O352-Components!$C$2))</f>
        <v>1.6933333333333311</v>
      </c>
      <c r="Q352" s="81">
        <f>IF(G352="","",ABS(O352-Components!$C$3))</f>
        <v>2.9760000000000009</v>
      </c>
      <c r="R352" s="81">
        <f>IF(G352="","",ABS(O352-Components!$C$4))</f>
        <v>6.6666666666665764E-2</v>
      </c>
      <c r="S352" s="81">
        <f>IF(G352="","",ABS(O352-Components!$C$5))</f>
        <v>3.5026666666666717</v>
      </c>
      <c r="T352" s="81">
        <f>IF(G352="","",ABS(O352-Components!$C$6))</f>
        <v>9.566666666667123E-2</v>
      </c>
      <c r="U352" s="81">
        <f>IF(G352="","",ABS(O352-Components!$C$7))</f>
        <v>0.31433333333333136</v>
      </c>
      <c r="V352" s="81" t="str">
        <f>IF(G352="","",IF(M352="OK","NONE",INDEX({"S1","S2","W1","W2","N1","N2"},MATCH(MIN(P352:U352),P352:U352,0))))</f>
        <v>W1</v>
      </c>
      <c r="W352" s="117">
        <f t="shared" si="44"/>
        <v>1</v>
      </c>
      <c r="X352" s="58"/>
    </row>
    <row r="353" spans="1:24">
      <c r="A353" s="115">
        <v>351</v>
      </c>
      <c r="B353" s="116">
        <v>12</v>
      </c>
      <c r="C353" s="81" t="s">
        <v>132</v>
      </c>
      <c r="D353" s="111" t="s">
        <v>240</v>
      </c>
      <c r="E353" s="81" t="s">
        <v>104</v>
      </c>
      <c r="F353" s="61">
        <v>7.61</v>
      </c>
      <c r="G353" s="52">
        <f t="shared" si="38"/>
        <v>8.58</v>
      </c>
      <c r="H353" s="110"/>
      <c r="I353" s="81">
        <v>9.61</v>
      </c>
      <c r="J353" s="81">
        <f>VLOOKUP(C353,Recipes!$A$2:$N$4,12,FALSE())</f>
        <v>6.1509461004819709E-2</v>
      </c>
      <c r="K353" s="81">
        <f t="shared" si="39"/>
        <v>9.3947168864831312</v>
      </c>
      <c r="L353" s="81">
        <f t="shared" si="40"/>
        <v>9.8252831135168677</v>
      </c>
      <c r="M353" s="81" t="str">
        <f t="shared" si="41"/>
        <v>NG</v>
      </c>
      <c r="N353" s="117">
        <f t="shared" si="42"/>
        <v>1</v>
      </c>
      <c r="O353" s="81">
        <f t="shared" si="43"/>
        <v>1.0299999999999994</v>
      </c>
      <c r="P353" s="81">
        <f>IF(G353="","",ABS(O353-Components!$C$2))</f>
        <v>1.7233333333333305</v>
      </c>
      <c r="Q353" s="81">
        <f>IF(G353="","",ABS(O353-Components!$C$3))</f>
        <v>3.0060000000000002</v>
      </c>
      <c r="R353" s="81">
        <f>IF(G353="","",ABS(O353-Components!$C$4))</f>
        <v>3.6666666666666403E-2</v>
      </c>
      <c r="S353" s="81">
        <f>IF(G353="","",ABS(O353-Components!$C$5))</f>
        <v>3.5326666666666711</v>
      </c>
      <c r="T353" s="81">
        <f>IF(G353="","",ABS(O353-Components!$C$6))</f>
        <v>0.12566666666667059</v>
      </c>
      <c r="U353" s="81">
        <f>IF(G353="","",ABS(O353-Components!$C$7))</f>
        <v>0.34433333333333072</v>
      </c>
      <c r="V353" s="81" t="str">
        <f>IF(G353="","",IF(M353="OK","NONE",INDEX({"S1","S2","W1","W2","N1","N2"},MATCH(MIN(P353:U353),P353:U353,0))))</f>
        <v>W1</v>
      </c>
      <c r="W353" s="117">
        <f t="shared" si="44"/>
        <v>1</v>
      </c>
      <c r="X353" s="58"/>
    </row>
    <row r="354" spans="1:24">
      <c r="A354" s="115">
        <v>352</v>
      </c>
      <c r="B354" s="116">
        <v>12</v>
      </c>
      <c r="C354" s="81" t="s">
        <v>132</v>
      </c>
      <c r="D354" s="111" t="s">
        <v>240</v>
      </c>
      <c r="E354" s="81" t="s">
        <v>104</v>
      </c>
      <c r="F354" s="61">
        <v>7.67</v>
      </c>
      <c r="G354" s="52">
        <f t="shared" si="38"/>
        <v>8.64</v>
      </c>
      <c r="H354" s="110"/>
      <c r="I354" s="81">
        <v>9.61</v>
      </c>
      <c r="J354" s="81">
        <f>VLOOKUP(C354,Recipes!$A$2:$N$4,12,FALSE())</f>
        <v>6.1509461004819709E-2</v>
      </c>
      <c r="K354" s="81">
        <f t="shared" si="39"/>
        <v>9.3947168864831312</v>
      </c>
      <c r="L354" s="81">
        <f t="shared" si="40"/>
        <v>9.8252831135168677</v>
      </c>
      <c r="M354" s="81" t="str">
        <f t="shared" si="41"/>
        <v>NG</v>
      </c>
      <c r="N354" s="117">
        <f t="shared" si="42"/>
        <v>1</v>
      </c>
      <c r="O354" s="81">
        <f t="shared" si="43"/>
        <v>0.96999999999999886</v>
      </c>
      <c r="P354" s="81">
        <f>IF(G354="","",ABS(O354-Components!$C$2))</f>
        <v>1.783333333333331</v>
      </c>
      <c r="Q354" s="81">
        <f>IF(G354="","",ABS(O354-Components!$C$3))</f>
        <v>3.0660000000000007</v>
      </c>
      <c r="R354" s="81">
        <f>IF(G354="","",ABS(O354-Components!$C$4))</f>
        <v>2.3333333333334094E-2</v>
      </c>
      <c r="S354" s="81">
        <f>IF(G354="","",ABS(O354-Components!$C$5))</f>
        <v>3.5926666666666716</v>
      </c>
      <c r="T354" s="81">
        <f>IF(G354="","",ABS(O354-Components!$C$6))</f>
        <v>0.18566666666667109</v>
      </c>
      <c r="U354" s="81">
        <f>IF(G354="","",ABS(O354-Components!$C$7))</f>
        <v>0.40433333333333121</v>
      </c>
      <c r="V354" s="81" t="str">
        <f>IF(G354="","",IF(M354="OK","NONE",INDEX({"S1","S2","W1","W2","N1","N2"},MATCH(MIN(P354:U354),P354:U354,0))))</f>
        <v>W1</v>
      </c>
      <c r="W354" s="117">
        <f t="shared" si="44"/>
        <v>1</v>
      </c>
      <c r="X354" s="58"/>
    </row>
    <row r="355" spans="1:24">
      <c r="A355" s="115">
        <v>353</v>
      </c>
      <c r="B355" s="116">
        <v>12</v>
      </c>
      <c r="C355" s="81" t="s">
        <v>132</v>
      </c>
      <c r="D355" s="111" t="s">
        <v>240</v>
      </c>
      <c r="E355" s="81" t="s">
        <v>104</v>
      </c>
      <c r="F355" s="61">
        <v>7.42</v>
      </c>
      <c r="G355" s="52">
        <f t="shared" si="38"/>
        <v>8.39</v>
      </c>
      <c r="H355" s="110"/>
      <c r="I355" s="81">
        <v>9.61</v>
      </c>
      <c r="J355" s="81">
        <f>VLOOKUP(C355,Recipes!$A$2:$N$4,12,FALSE())</f>
        <v>6.1509461004819709E-2</v>
      </c>
      <c r="K355" s="81">
        <f t="shared" si="39"/>
        <v>9.3947168864831312</v>
      </c>
      <c r="L355" s="81">
        <f t="shared" si="40"/>
        <v>9.8252831135168677</v>
      </c>
      <c r="M355" s="81" t="str">
        <f t="shared" si="41"/>
        <v>NG</v>
      </c>
      <c r="N355" s="117">
        <f t="shared" si="42"/>
        <v>1</v>
      </c>
      <c r="O355" s="81">
        <f t="shared" si="43"/>
        <v>1.2199999999999989</v>
      </c>
      <c r="P355" s="81">
        <f>IF(G355="","",ABS(O355-Components!$C$2))</f>
        <v>1.533333333333331</v>
      </c>
      <c r="Q355" s="81">
        <f>IF(G355="","",ABS(O355-Components!$C$3))</f>
        <v>2.8160000000000007</v>
      </c>
      <c r="R355" s="81">
        <f>IF(G355="","",ABS(O355-Components!$C$4))</f>
        <v>0.22666666666666591</v>
      </c>
      <c r="S355" s="81">
        <f>IF(G355="","",ABS(O355-Components!$C$5))</f>
        <v>3.3426666666666716</v>
      </c>
      <c r="T355" s="81">
        <f>IF(G355="","",ABS(O355-Components!$C$6))</f>
        <v>6.4333333333328913E-2</v>
      </c>
      <c r="U355" s="81">
        <f>IF(G355="","",ABS(O355-Components!$C$7))</f>
        <v>0.15433333333333121</v>
      </c>
      <c r="V355" s="81" t="str">
        <f>IF(G355="","",IF(M355="OK","NONE",INDEX({"S1","S2","W1","W2","N1","N2"},MATCH(MIN(P355:U355),P355:U355,0))))</f>
        <v>N1</v>
      </c>
      <c r="W355" s="122">
        <f t="shared" si="44"/>
        <v>0</v>
      </c>
      <c r="X355" s="58"/>
    </row>
    <row r="356" spans="1:24">
      <c r="A356" s="115">
        <v>354</v>
      </c>
      <c r="B356" s="116">
        <v>12</v>
      </c>
      <c r="C356" s="81" t="s">
        <v>132</v>
      </c>
      <c r="D356" s="111" t="s">
        <v>240</v>
      </c>
      <c r="E356" s="81" t="s">
        <v>104</v>
      </c>
      <c r="F356" s="61">
        <v>7.69</v>
      </c>
      <c r="G356" s="52">
        <f t="shared" si="38"/>
        <v>8.66</v>
      </c>
      <c r="H356" s="110"/>
      <c r="I356" s="81">
        <v>9.61</v>
      </c>
      <c r="J356" s="81">
        <f>VLOOKUP(C356,Recipes!$A$2:$N$4,12,FALSE())</f>
        <v>6.1509461004819709E-2</v>
      </c>
      <c r="K356" s="81">
        <f t="shared" si="39"/>
        <v>9.3947168864831312</v>
      </c>
      <c r="L356" s="81">
        <f t="shared" si="40"/>
        <v>9.8252831135168677</v>
      </c>
      <c r="M356" s="81" t="str">
        <f t="shared" si="41"/>
        <v>NG</v>
      </c>
      <c r="N356" s="117">
        <f t="shared" si="42"/>
        <v>1</v>
      </c>
      <c r="O356" s="81">
        <f t="shared" si="43"/>
        <v>0.94999999999999929</v>
      </c>
      <c r="P356" s="81">
        <f>IF(G356="","",ABS(O356-Components!$C$2))</f>
        <v>1.8033333333333306</v>
      </c>
      <c r="Q356" s="81">
        <f>IF(G356="","",ABS(O356-Components!$C$3))</f>
        <v>3.0860000000000003</v>
      </c>
      <c r="R356" s="81">
        <f>IF(G356="","",ABS(O356-Components!$C$4))</f>
        <v>4.3333333333333668E-2</v>
      </c>
      <c r="S356" s="81">
        <f>IF(G356="","",ABS(O356-Components!$C$5))</f>
        <v>3.6126666666666711</v>
      </c>
      <c r="T356" s="81">
        <f>IF(G356="","",ABS(O356-Components!$C$6))</f>
        <v>0.20566666666667066</v>
      </c>
      <c r="U356" s="81">
        <f>IF(G356="","",ABS(O356-Components!$C$7))</f>
        <v>0.42433333333333079</v>
      </c>
      <c r="V356" s="81" t="str">
        <f>IF(G356="","",IF(M356="OK","NONE",INDEX({"S1","S2","W1","W2","N1","N2"},MATCH(MIN(P356:U356),P356:U356,0))))</f>
        <v>W1</v>
      </c>
      <c r="W356" s="117">
        <f t="shared" si="44"/>
        <v>1</v>
      </c>
      <c r="X356" s="58"/>
    </row>
    <row r="357" spans="1:24">
      <c r="A357" s="115">
        <v>355</v>
      </c>
      <c r="B357" s="116">
        <v>12</v>
      </c>
      <c r="C357" s="81" t="s">
        <v>132</v>
      </c>
      <c r="D357" s="111" t="s">
        <v>240</v>
      </c>
      <c r="E357" s="81" t="s">
        <v>104</v>
      </c>
      <c r="F357" s="61">
        <v>7.63</v>
      </c>
      <c r="G357" s="52">
        <f t="shared" si="38"/>
        <v>8.6</v>
      </c>
      <c r="H357" s="110"/>
      <c r="I357" s="81">
        <v>9.61</v>
      </c>
      <c r="J357" s="81">
        <f>VLOOKUP(C357,Recipes!$A$2:$N$4,12,FALSE())</f>
        <v>6.1509461004819709E-2</v>
      </c>
      <c r="K357" s="81">
        <f t="shared" si="39"/>
        <v>9.3947168864831312</v>
      </c>
      <c r="L357" s="81">
        <f t="shared" si="40"/>
        <v>9.8252831135168677</v>
      </c>
      <c r="M357" s="81" t="str">
        <f t="shared" si="41"/>
        <v>NG</v>
      </c>
      <c r="N357" s="117">
        <f t="shared" si="42"/>
        <v>1</v>
      </c>
      <c r="O357" s="81">
        <f t="shared" si="43"/>
        <v>1.0099999999999998</v>
      </c>
      <c r="P357" s="81">
        <f>IF(G357="","",ABS(O357-Components!$C$2))</f>
        <v>1.7433333333333301</v>
      </c>
      <c r="Q357" s="81">
        <f>IF(G357="","",ABS(O357-Components!$C$3))</f>
        <v>3.0259999999999998</v>
      </c>
      <c r="R357" s="81">
        <f>IF(G357="","",ABS(O357-Components!$C$4))</f>
        <v>1.6666666666666829E-2</v>
      </c>
      <c r="S357" s="81">
        <f>IF(G357="","",ABS(O357-Components!$C$5))</f>
        <v>3.5526666666666706</v>
      </c>
      <c r="T357" s="81">
        <f>IF(G357="","",ABS(O357-Components!$C$6))</f>
        <v>0.14566666666667016</v>
      </c>
      <c r="U357" s="81">
        <f>IF(G357="","",ABS(O357-Components!$C$7))</f>
        <v>0.36433333333333029</v>
      </c>
      <c r="V357" s="81" t="str">
        <f>IF(G357="","",IF(M357="OK","NONE",INDEX({"S1","S2","W1","W2","N1","N2"},MATCH(MIN(P357:U357),P357:U357,0))))</f>
        <v>W1</v>
      </c>
      <c r="W357" s="117">
        <f t="shared" si="44"/>
        <v>1</v>
      </c>
      <c r="X357" s="58"/>
    </row>
    <row r="358" spans="1:24">
      <c r="A358" s="115">
        <v>356</v>
      </c>
      <c r="B358" s="116">
        <v>12</v>
      </c>
      <c r="C358" s="81" t="s">
        <v>132</v>
      </c>
      <c r="D358" s="111" t="s">
        <v>240</v>
      </c>
      <c r="E358" s="81" t="s">
        <v>104</v>
      </c>
      <c r="F358" s="52">
        <v>7.38</v>
      </c>
      <c r="G358" s="52">
        <f t="shared" si="38"/>
        <v>8.35</v>
      </c>
      <c r="H358" s="110"/>
      <c r="I358" s="81">
        <v>9.61</v>
      </c>
      <c r="J358" s="81">
        <f>VLOOKUP(C358,Recipes!$A$2:$N$4,12,FALSE())</f>
        <v>6.1509461004819709E-2</v>
      </c>
      <c r="K358" s="81">
        <f t="shared" si="39"/>
        <v>9.3947168864831312</v>
      </c>
      <c r="L358" s="81">
        <f t="shared" si="40"/>
        <v>9.8252831135168677</v>
      </c>
      <c r="M358" s="81" t="str">
        <f t="shared" si="41"/>
        <v>NG</v>
      </c>
      <c r="N358" s="117">
        <f t="shared" si="42"/>
        <v>1</v>
      </c>
      <c r="O358" s="81">
        <f t="shared" si="43"/>
        <v>1.2599999999999998</v>
      </c>
      <c r="P358" s="81">
        <f>IF(G358="","",ABS(O358-Components!$C$2))</f>
        <v>1.4933333333333301</v>
      </c>
      <c r="Q358" s="81">
        <f>IF(G358="","",ABS(O358-Components!$C$3))</f>
        <v>2.7759999999999998</v>
      </c>
      <c r="R358" s="81">
        <f>IF(G358="","",ABS(O358-Components!$C$4))</f>
        <v>0.26666666666666683</v>
      </c>
      <c r="S358" s="81">
        <f>IF(G358="","",ABS(O358-Components!$C$5))</f>
        <v>3.3026666666666706</v>
      </c>
      <c r="T358" s="81">
        <f>IF(G358="","",ABS(O358-Components!$C$6))</f>
        <v>0.10433333333332984</v>
      </c>
      <c r="U358" s="81">
        <f>IF(G358="","",ABS(O358-Components!$C$7))</f>
        <v>0.11433333333333029</v>
      </c>
      <c r="V358" s="81" t="str">
        <f>IF(G358="","",IF(M358="OK","NONE",INDEX({"S1","S2","W1","W2","N1","N2"},MATCH(MIN(P358:U358),P358:U358,0))))</f>
        <v>N1</v>
      </c>
      <c r="W358" s="122">
        <f t="shared" si="44"/>
        <v>0</v>
      </c>
      <c r="X358" s="58"/>
    </row>
    <row r="359" spans="1:24">
      <c r="A359" s="115">
        <v>357</v>
      </c>
      <c r="B359" s="116">
        <v>12</v>
      </c>
      <c r="C359" s="81" t="s">
        <v>132</v>
      </c>
      <c r="D359" s="111" t="s">
        <v>240</v>
      </c>
      <c r="E359" s="81" t="s">
        <v>104</v>
      </c>
      <c r="F359" s="52">
        <v>7.54</v>
      </c>
      <c r="G359" s="52">
        <f t="shared" si="38"/>
        <v>8.51</v>
      </c>
      <c r="H359" s="110"/>
      <c r="I359" s="81">
        <v>9.61</v>
      </c>
      <c r="J359" s="81">
        <f>VLOOKUP(C359,Recipes!$A$2:$N$4,12,FALSE())</f>
        <v>6.1509461004819709E-2</v>
      </c>
      <c r="K359" s="81">
        <f t="shared" si="39"/>
        <v>9.3947168864831312</v>
      </c>
      <c r="L359" s="81">
        <f t="shared" si="40"/>
        <v>9.8252831135168677</v>
      </c>
      <c r="M359" s="81" t="str">
        <f t="shared" si="41"/>
        <v>NG</v>
      </c>
      <c r="N359" s="117">
        <f t="shared" si="42"/>
        <v>1</v>
      </c>
      <c r="O359" s="81">
        <f t="shared" si="43"/>
        <v>1.0999999999999996</v>
      </c>
      <c r="P359" s="81">
        <f>IF(G359="","",ABS(O359-Components!$C$2))</f>
        <v>1.6533333333333302</v>
      </c>
      <c r="Q359" s="81">
        <f>IF(G359="","",ABS(O359-Components!$C$3))</f>
        <v>2.9359999999999999</v>
      </c>
      <c r="R359" s="81">
        <f>IF(G359="","",ABS(O359-Components!$C$4))</f>
        <v>0.10666666666666669</v>
      </c>
      <c r="S359" s="81">
        <f>IF(G359="","",ABS(O359-Components!$C$5))</f>
        <v>3.4626666666666708</v>
      </c>
      <c r="T359" s="81">
        <f>IF(G359="","",ABS(O359-Components!$C$6))</f>
        <v>5.5666666666670306E-2</v>
      </c>
      <c r="U359" s="81">
        <f>IF(G359="","",ABS(O359-Components!$C$7))</f>
        <v>0.27433333333333043</v>
      </c>
      <c r="V359" s="81" t="str">
        <f>IF(G359="","",IF(M359="OK","NONE",INDEX({"S1","S2","W1","W2","N1","N2"},MATCH(MIN(P359:U359),P359:U359,0))))</f>
        <v>N1</v>
      </c>
      <c r="W359" s="122">
        <f t="shared" si="44"/>
        <v>0</v>
      </c>
      <c r="X359" s="58"/>
    </row>
    <row r="360" spans="1:24">
      <c r="A360" s="115">
        <v>358</v>
      </c>
      <c r="B360" s="116">
        <v>12</v>
      </c>
      <c r="C360" s="81" t="s">
        <v>132</v>
      </c>
      <c r="D360" s="111" t="s">
        <v>240</v>
      </c>
      <c r="E360" s="81" t="s">
        <v>104</v>
      </c>
      <c r="F360" s="52">
        <v>7.65</v>
      </c>
      <c r="G360" s="52">
        <f t="shared" si="38"/>
        <v>8.620000000000001</v>
      </c>
      <c r="H360" s="110"/>
      <c r="I360" s="81">
        <v>9.61</v>
      </c>
      <c r="J360" s="81">
        <f>VLOOKUP(C360,Recipes!$A$2:$N$4,12,FALSE())</f>
        <v>6.1509461004819709E-2</v>
      </c>
      <c r="K360" s="81">
        <f t="shared" si="39"/>
        <v>9.3947168864831312</v>
      </c>
      <c r="L360" s="81">
        <f t="shared" si="40"/>
        <v>9.8252831135168677</v>
      </c>
      <c r="M360" s="81" t="str">
        <f t="shared" si="41"/>
        <v>NG</v>
      </c>
      <c r="N360" s="117">
        <f t="shared" si="42"/>
        <v>1</v>
      </c>
      <c r="O360" s="81">
        <f t="shared" si="43"/>
        <v>0.98999999999999844</v>
      </c>
      <c r="P360" s="81">
        <f>IF(G360="","",ABS(O360-Components!$C$2))</f>
        <v>1.7633333333333314</v>
      </c>
      <c r="Q360" s="81">
        <f>IF(G360="","",ABS(O360-Components!$C$3))</f>
        <v>3.0460000000000012</v>
      </c>
      <c r="R360" s="81">
        <f>IF(G360="","",ABS(O360-Components!$C$4))</f>
        <v>3.3333333333345205E-3</v>
      </c>
      <c r="S360" s="81">
        <f>IF(G360="","",ABS(O360-Components!$C$5))</f>
        <v>3.572666666666672</v>
      </c>
      <c r="T360" s="81">
        <f>IF(G360="","",ABS(O360-Components!$C$6))</f>
        <v>0.16566666666667151</v>
      </c>
      <c r="U360" s="81">
        <f>IF(G360="","",ABS(O360-Components!$C$7))</f>
        <v>0.38433333333333164</v>
      </c>
      <c r="V360" s="81" t="str">
        <f>IF(G360="","",IF(M360="OK","NONE",INDEX({"S1","S2","W1","W2","N1","N2"},MATCH(MIN(P360:U360),P360:U360,0))))</f>
        <v>W1</v>
      </c>
      <c r="W360" s="117">
        <f t="shared" si="44"/>
        <v>1</v>
      </c>
      <c r="X360" s="58"/>
    </row>
    <row r="361" spans="1:24">
      <c r="A361" s="115">
        <v>359</v>
      </c>
      <c r="B361" s="116">
        <v>12</v>
      </c>
      <c r="C361" s="81" t="s">
        <v>132</v>
      </c>
      <c r="D361" s="111" t="s">
        <v>240</v>
      </c>
      <c r="E361" s="81" t="s">
        <v>104</v>
      </c>
      <c r="F361" s="52">
        <v>7.34</v>
      </c>
      <c r="G361" s="52">
        <f t="shared" si="38"/>
        <v>8.31</v>
      </c>
      <c r="H361" s="110"/>
      <c r="I361" s="81">
        <v>9.61</v>
      </c>
      <c r="J361" s="81">
        <f>VLOOKUP(C361,Recipes!$A$2:$N$4,12,FALSE())</f>
        <v>6.1509461004819709E-2</v>
      </c>
      <c r="K361" s="81">
        <f t="shared" si="39"/>
        <v>9.3947168864831312</v>
      </c>
      <c r="L361" s="81">
        <f t="shared" si="40"/>
        <v>9.8252831135168677</v>
      </c>
      <c r="M361" s="81" t="str">
        <f t="shared" si="41"/>
        <v>NG</v>
      </c>
      <c r="N361" s="117">
        <f t="shared" si="42"/>
        <v>1</v>
      </c>
      <c r="O361" s="81">
        <f t="shared" si="43"/>
        <v>1.2999999999999989</v>
      </c>
      <c r="P361" s="81">
        <f>IF(G361="","",ABS(O361-Components!$C$2))</f>
        <v>1.4533333333333309</v>
      </c>
      <c r="Q361" s="81">
        <f>IF(G361="","",ABS(O361-Components!$C$3))</f>
        <v>2.7360000000000007</v>
      </c>
      <c r="R361" s="81">
        <f>IF(G361="","",ABS(O361-Components!$C$4))</f>
        <v>0.30666666666666598</v>
      </c>
      <c r="S361" s="81">
        <f>IF(G361="","",ABS(O361-Components!$C$5))</f>
        <v>3.2626666666666715</v>
      </c>
      <c r="T361" s="81">
        <f>IF(G361="","",ABS(O361-Components!$C$6))</f>
        <v>0.14433333333332898</v>
      </c>
      <c r="U361" s="81">
        <f>IF(G361="","",ABS(O361-Components!$C$7))</f>
        <v>7.4333333333331142E-2</v>
      </c>
      <c r="V361" s="81" t="str">
        <f>IF(G361="","",IF(M361="OK","NONE",INDEX({"S1","S2","W1","W2","N1","N2"},MATCH(MIN(P361:U361),P361:U361,0))))</f>
        <v>N2</v>
      </c>
      <c r="W361" s="122">
        <f t="shared" si="44"/>
        <v>0</v>
      </c>
      <c r="X361" s="58"/>
    </row>
    <row r="362" spans="1:24">
      <c r="A362" s="115">
        <v>360</v>
      </c>
      <c r="B362" s="116">
        <v>12</v>
      </c>
      <c r="C362" s="81" t="s">
        <v>132</v>
      </c>
      <c r="D362" s="111" t="s">
        <v>240</v>
      </c>
      <c r="E362" s="81" t="s">
        <v>104</v>
      </c>
      <c r="F362" s="52">
        <v>7.68</v>
      </c>
      <c r="G362" s="52">
        <f t="shared" si="38"/>
        <v>8.65</v>
      </c>
      <c r="H362" s="110"/>
      <c r="I362" s="81">
        <v>9.61</v>
      </c>
      <c r="J362" s="81">
        <f>VLOOKUP(C362,Recipes!$A$2:$N$4,12,FALSE())</f>
        <v>6.1509461004819709E-2</v>
      </c>
      <c r="K362" s="81">
        <f t="shared" si="39"/>
        <v>9.3947168864831312</v>
      </c>
      <c r="L362" s="81">
        <f t="shared" si="40"/>
        <v>9.8252831135168677</v>
      </c>
      <c r="M362" s="81" t="str">
        <f t="shared" si="41"/>
        <v>NG</v>
      </c>
      <c r="N362" s="117">
        <f t="shared" si="42"/>
        <v>1</v>
      </c>
      <c r="O362" s="81">
        <f t="shared" si="43"/>
        <v>0.95999999999999908</v>
      </c>
      <c r="P362" s="81">
        <f>IF(G362="","",ABS(O362-Components!$C$2))</f>
        <v>1.7933333333333308</v>
      </c>
      <c r="Q362" s="81">
        <f>IF(G362="","",ABS(O362-Components!$C$3))</f>
        <v>3.0760000000000005</v>
      </c>
      <c r="R362" s="81">
        <f>IF(G362="","",ABS(O362-Components!$C$4))</f>
        <v>3.3333333333333881E-2</v>
      </c>
      <c r="S362" s="81">
        <f>IF(G362="","",ABS(O362-Components!$C$5))</f>
        <v>3.6026666666666713</v>
      </c>
      <c r="T362" s="81">
        <f>IF(G362="","",ABS(O362-Components!$C$6))</f>
        <v>0.19566666666667087</v>
      </c>
      <c r="U362" s="81">
        <f>IF(G362="","",ABS(O362-Components!$C$7))</f>
        <v>0.414333333333331</v>
      </c>
      <c r="V362" s="81" t="str">
        <f>IF(G362="","",IF(M362="OK","NONE",INDEX({"S1","S2","W1","W2","N1","N2"},MATCH(MIN(P362:U362),P362:U362,0))))</f>
        <v>W1</v>
      </c>
      <c r="W362" s="117">
        <f t="shared" si="44"/>
        <v>1</v>
      </c>
      <c r="X362" s="58"/>
    </row>
    <row r="363" spans="1:24">
      <c r="A363" s="115">
        <v>361</v>
      </c>
      <c r="B363" s="116">
        <v>13</v>
      </c>
      <c r="C363" s="81" t="s">
        <v>132</v>
      </c>
      <c r="D363" s="111" t="s">
        <v>240</v>
      </c>
      <c r="E363" s="81" t="s">
        <v>110</v>
      </c>
      <c r="F363" s="61">
        <v>7.21</v>
      </c>
      <c r="G363" s="52">
        <f t="shared" si="38"/>
        <v>8.18</v>
      </c>
      <c r="H363" s="110"/>
      <c r="I363" s="81">
        <v>9.61</v>
      </c>
      <c r="J363" s="81">
        <f>VLOOKUP(C363,Recipes!$A$2:$N$4,12,FALSE())</f>
        <v>6.1509461004819709E-2</v>
      </c>
      <c r="K363" s="81">
        <f t="shared" si="39"/>
        <v>9.3947168864831312</v>
      </c>
      <c r="L363" s="81">
        <f t="shared" si="40"/>
        <v>9.8252831135168677</v>
      </c>
      <c r="M363" s="81" t="str">
        <f t="shared" si="41"/>
        <v>NG</v>
      </c>
      <c r="N363" s="117">
        <f t="shared" si="42"/>
        <v>1</v>
      </c>
      <c r="O363" s="81">
        <f t="shared" si="43"/>
        <v>1.4299999999999997</v>
      </c>
      <c r="P363" s="81">
        <f>IF(G363="","",ABS(O363-Components!$C$2))</f>
        <v>1.3233333333333301</v>
      </c>
      <c r="Q363" s="81">
        <f>IF(G363="","",ABS(O363-Components!$C$3))</f>
        <v>2.6059999999999999</v>
      </c>
      <c r="R363" s="81">
        <f>IF(G363="","",ABS(O363-Components!$C$4))</f>
        <v>0.43666666666666676</v>
      </c>
      <c r="S363" s="81">
        <f>IF(G363="","",ABS(O363-Components!$C$5))</f>
        <v>3.1326666666666707</v>
      </c>
      <c r="T363" s="81">
        <f>IF(G363="","",ABS(O363-Components!$C$6))</f>
        <v>0.27433333333332977</v>
      </c>
      <c r="U363" s="81">
        <f>IF(G363="","",ABS(O363-Components!$C$7))</f>
        <v>5.566666666666964E-2</v>
      </c>
      <c r="V363" s="81" t="str">
        <f>IF(G363="","",IF(M363="OK","NONE",INDEX({"S1","S2","W1","W2","N1","N2"},MATCH(MIN(P363:U363),P363:U363,0))))</f>
        <v>N2</v>
      </c>
      <c r="W363" s="117">
        <f t="shared" si="44"/>
        <v>1</v>
      </c>
      <c r="X363" s="58"/>
    </row>
    <row r="364" spans="1:24">
      <c r="A364" s="115">
        <v>362</v>
      </c>
      <c r="B364" s="116">
        <v>13</v>
      </c>
      <c r="C364" s="81" t="s">
        <v>132</v>
      </c>
      <c r="D364" s="111" t="s">
        <v>240</v>
      </c>
      <c r="E364" s="81" t="s">
        <v>110</v>
      </c>
      <c r="F364" s="61">
        <v>7.27</v>
      </c>
      <c r="G364" s="52">
        <f t="shared" si="38"/>
        <v>8.24</v>
      </c>
      <c r="H364" s="110"/>
      <c r="I364" s="81">
        <v>9.61</v>
      </c>
      <c r="J364" s="81">
        <f>VLOOKUP(C364,Recipes!$A$2:$N$4,12,FALSE())</f>
        <v>6.1509461004819709E-2</v>
      </c>
      <c r="K364" s="81">
        <f t="shared" si="39"/>
        <v>9.3947168864831312</v>
      </c>
      <c r="L364" s="81">
        <f t="shared" si="40"/>
        <v>9.8252831135168677</v>
      </c>
      <c r="M364" s="81" t="str">
        <f t="shared" si="41"/>
        <v>NG</v>
      </c>
      <c r="N364" s="117">
        <f t="shared" si="42"/>
        <v>1</v>
      </c>
      <c r="O364" s="81">
        <f t="shared" si="43"/>
        <v>1.3699999999999992</v>
      </c>
      <c r="P364" s="81">
        <f>IF(G364="","",ABS(O364-Components!$C$2))</f>
        <v>1.3833333333333306</v>
      </c>
      <c r="Q364" s="81">
        <f>IF(G364="","",ABS(O364-Components!$C$3))</f>
        <v>2.6660000000000004</v>
      </c>
      <c r="R364" s="81">
        <f>IF(G364="","",ABS(O364-Components!$C$4))</f>
        <v>0.37666666666666626</v>
      </c>
      <c r="S364" s="81">
        <f>IF(G364="","",ABS(O364-Components!$C$5))</f>
        <v>3.1926666666666712</v>
      </c>
      <c r="T364" s="81">
        <f>IF(G364="","",ABS(O364-Components!$C$6))</f>
        <v>0.21433333333332927</v>
      </c>
      <c r="U364" s="81">
        <f>IF(G364="","",ABS(O364-Components!$C$7))</f>
        <v>4.3333333333308577E-3</v>
      </c>
      <c r="V364" s="81" t="str">
        <f>IF(G364="","",IF(M364="OK","NONE",INDEX({"S1","S2","W1","W2","N1","N2"},MATCH(MIN(P364:U364),P364:U364,0))))</f>
        <v>N2</v>
      </c>
      <c r="W364" s="117">
        <f t="shared" si="44"/>
        <v>1</v>
      </c>
      <c r="X364" s="58"/>
    </row>
    <row r="365" spans="1:24">
      <c r="A365" s="115">
        <v>363</v>
      </c>
      <c r="B365" s="116">
        <v>13</v>
      </c>
      <c r="C365" s="81" t="s">
        <v>132</v>
      </c>
      <c r="D365" s="111" t="s">
        <v>240</v>
      </c>
      <c r="E365" s="81" t="s">
        <v>110</v>
      </c>
      <c r="F365" s="61">
        <v>7.3</v>
      </c>
      <c r="G365" s="52">
        <f t="shared" si="38"/>
        <v>8.27</v>
      </c>
      <c r="H365" s="110"/>
      <c r="I365" s="81">
        <v>9.61</v>
      </c>
      <c r="J365" s="81">
        <f>VLOOKUP(C365,Recipes!$A$2:$N$4,12,FALSE())</f>
        <v>6.1509461004819709E-2</v>
      </c>
      <c r="K365" s="81">
        <f t="shared" si="39"/>
        <v>9.3947168864831312</v>
      </c>
      <c r="L365" s="81">
        <f t="shared" si="40"/>
        <v>9.8252831135168677</v>
      </c>
      <c r="M365" s="81" t="str">
        <f t="shared" si="41"/>
        <v>NG</v>
      </c>
      <c r="N365" s="117">
        <f t="shared" si="42"/>
        <v>1</v>
      </c>
      <c r="O365" s="81">
        <f t="shared" si="43"/>
        <v>1.3399999999999999</v>
      </c>
      <c r="P365" s="81">
        <f>IF(G365="","",ABS(O365-Components!$C$2))</f>
        <v>1.41333333333333</v>
      </c>
      <c r="Q365" s="81">
        <f>IF(G365="","",ABS(O365-Components!$C$3))</f>
        <v>2.6959999999999997</v>
      </c>
      <c r="R365" s="81">
        <f>IF(G365="","",ABS(O365-Components!$C$4))</f>
        <v>0.3466666666666669</v>
      </c>
      <c r="S365" s="81">
        <f>IF(G365="","",ABS(O365-Components!$C$5))</f>
        <v>3.2226666666666706</v>
      </c>
      <c r="T365" s="81">
        <f>IF(G365="","",ABS(O365-Components!$C$6))</f>
        <v>0.18433333333332991</v>
      </c>
      <c r="U365" s="81">
        <f>IF(G365="","",ABS(O365-Components!$C$7))</f>
        <v>3.4333333333330218E-2</v>
      </c>
      <c r="V365" s="81" t="str">
        <f>IF(G365="","",IF(M365="OK","NONE",INDEX({"S1","S2","W1","W2","N1","N2"},MATCH(MIN(P365:U365),P365:U365,0))))</f>
        <v>N2</v>
      </c>
      <c r="W365" s="117">
        <f t="shared" si="44"/>
        <v>1</v>
      </c>
      <c r="X365" s="58"/>
    </row>
    <row r="366" spans="1:24">
      <c r="A366" s="115">
        <v>364</v>
      </c>
      <c r="B366" s="116">
        <v>13</v>
      </c>
      <c r="C366" s="81" t="s">
        <v>132</v>
      </c>
      <c r="D366" s="111" t="s">
        <v>240</v>
      </c>
      <c r="E366" s="81" t="s">
        <v>110</v>
      </c>
      <c r="F366" s="61">
        <v>7.31</v>
      </c>
      <c r="G366" s="52">
        <f t="shared" si="38"/>
        <v>8.2799999999999994</v>
      </c>
      <c r="H366" s="110"/>
      <c r="I366" s="81">
        <v>9.61</v>
      </c>
      <c r="J366" s="81">
        <f>VLOOKUP(C366,Recipes!$A$2:$N$4,12,FALSE())</f>
        <v>6.1509461004819709E-2</v>
      </c>
      <c r="K366" s="81">
        <f t="shared" si="39"/>
        <v>9.3947168864831312</v>
      </c>
      <c r="L366" s="81">
        <f t="shared" si="40"/>
        <v>9.8252831135168677</v>
      </c>
      <c r="M366" s="81" t="str">
        <f t="shared" si="41"/>
        <v>NG</v>
      </c>
      <c r="N366" s="117">
        <f t="shared" si="42"/>
        <v>1</v>
      </c>
      <c r="O366" s="81">
        <f t="shared" si="43"/>
        <v>1.33</v>
      </c>
      <c r="P366" s="81">
        <f>IF(G366="","",ABS(O366-Components!$C$2))</f>
        <v>1.4233333333333298</v>
      </c>
      <c r="Q366" s="81">
        <f>IF(G366="","",ABS(O366-Components!$C$3))</f>
        <v>2.7059999999999995</v>
      </c>
      <c r="R366" s="81">
        <f>IF(G366="","",ABS(O366-Components!$C$4))</f>
        <v>0.33666666666666711</v>
      </c>
      <c r="S366" s="81">
        <f>IF(G366="","",ABS(O366-Components!$C$5))</f>
        <v>3.2326666666666704</v>
      </c>
      <c r="T366" s="81">
        <f>IF(G366="","",ABS(O366-Components!$C$6))</f>
        <v>0.17433333333333012</v>
      </c>
      <c r="U366" s="81">
        <f>IF(G366="","",ABS(O366-Components!$C$7))</f>
        <v>4.4333333333330005E-2</v>
      </c>
      <c r="V366" s="81" t="str">
        <f>IF(G366="","",IF(M366="OK","NONE",INDEX({"S1","S2","W1","W2","N1","N2"},MATCH(MIN(P366:U366),P366:U366,0))))</f>
        <v>N2</v>
      </c>
      <c r="W366" s="117">
        <f t="shared" si="44"/>
        <v>1</v>
      </c>
      <c r="X366" s="58"/>
    </row>
    <row r="367" spans="1:24">
      <c r="A367" s="115">
        <v>365</v>
      </c>
      <c r="B367" s="116">
        <v>13</v>
      </c>
      <c r="C367" s="81" t="s">
        <v>132</v>
      </c>
      <c r="D367" s="111" t="s">
        <v>240</v>
      </c>
      <c r="E367" s="81" t="s">
        <v>110</v>
      </c>
      <c r="F367" s="61">
        <v>7.17</v>
      </c>
      <c r="G367" s="52">
        <f t="shared" si="38"/>
        <v>8.14</v>
      </c>
      <c r="H367" s="110"/>
      <c r="I367" s="81">
        <v>9.61</v>
      </c>
      <c r="J367" s="81">
        <f>VLOOKUP(C367,Recipes!$A$2:$N$4,12,FALSE())</f>
        <v>6.1509461004819709E-2</v>
      </c>
      <c r="K367" s="81">
        <f t="shared" si="39"/>
        <v>9.3947168864831312</v>
      </c>
      <c r="L367" s="81">
        <f t="shared" si="40"/>
        <v>9.8252831135168677</v>
      </c>
      <c r="M367" s="81" t="str">
        <f t="shared" si="41"/>
        <v>NG</v>
      </c>
      <c r="N367" s="117">
        <f t="shared" si="42"/>
        <v>1</v>
      </c>
      <c r="O367" s="81">
        <f t="shared" si="43"/>
        <v>1.4699999999999989</v>
      </c>
      <c r="P367" s="81">
        <f>IF(G367="","",ABS(O367-Components!$C$2))</f>
        <v>1.283333333333331</v>
      </c>
      <c r="Q367" s="81">
        <f>IF(G367="","",ABS(O367-Components!$C$3))</f>
        <v>2.5660000000000007</v>
      </c>
      <c r="R367" s="81">
        <f>IF(G367="","",ABS(O367-Components!$C$4))</f>
        <v>0.47666666666666591</v>
      </c>
      <c r="S367" s="81">
        <f>IF(G367="","",ABS(O367-Components!$C$5))</f>
        <v>3.0926666666666716</v>
      </c>
      <c r="T367" s="81">
        <f>IF(G367="","",ABS(O367-Components!$C$6))</f>
        <v>0.31433333333332891</v>
      </c>
      <c r="U367" s="81">
        <f>IF(G367="","",ABS(O367-Components!$C$7))</f>
        <v>9.5666666666668787E-2</v>
      </c>
      <c r="V367" s="81" t="str">
        <f>IF(G367="","",IF(M367="OK","NONE",INDEX({"S1","S2","W1","W2","N1","N2"},MATCH(MIN(P367:U367),P367:U367,0))))</f>
        <v>N2</v>
      </c>
      <c r="W367" s="117">
        <f t="shared" si="44"/>
        <v>1</v>
      </c>
      <c r="X367" s="58"/>
    </row>
    <row r="368" spans="1:24">
      <c r="A368" s="115">
        <v>366</v>
      </c>
      <c r="B368" s="116">
        <v>13</v>
      </c>
      <c r="C368" s="81" t="s">
        <v>132</v>
      </c>
      <c r="D368" s="111" t="s">
        <v>240</v>
      </c>
      <c r="E368" s="81" t="s">
        <v>110</v>
      </c>
      <c r="F368" s="61">
        <v>7.23</v>
      </c>
      <c r="G368" s="52">
        <f t="shared" si="38"/>
        <v>8.2000000000000011</v>
      </c>
      <c r="H368" s="110"/>
      <c r="I368" s="81">
        <v>9.61</v>
      </c>
      <c r="J368" s="81">
        <f>VLOOKUP(C368,Recipes!$A$2:$N$4,12,FALSE())</f>
        <v>6.1509461004819709E-2</v>
      </c>
      <c r="K368" s="81">
        <f t="shared" si="39"/>
        <v>9.3947168864831312</v>
      </c>
      <c r="L368" s="81">
        <f t="shared" si="40"/>
        <v>9.8252831135168677</v>
      </c>
      <c r="M368" s="81" t="str">
        <f t="shared" si="41"/>
        <v>NG</v>
      </c>
      <c r="N368" s="117">
        <f t="shared" si="42"/>
        <v>1</v>
      </c>
      <c r="O368" s="81">
        <f t="shared" si="43"/>
        <v>1.4099999999999984</v>
      </c>
      <c r="P368" s="81">
        <f>IF(G368="","",ABS(O368-Components!$C$2))</f>
        <v>1.3433333333333315</v>
      </c>
      <c r="Q368" s="81">
        <f>IF(G368="","",ABS(O368-Components!$C$3))</f>
        <v>2.6260000000000012</v>
      </c>
      <c r="R368" s="81">
        <f>IF(G368="","",ABS(O368-Components!$C$4))</f>
        <v>0.41666666666666541</v>
      </c>
      <c r="S368" s="81">
        <f>IF(G368="","",ABS(O368-Components!$C$5))</f>
        <v>3.1526666666666721</v>
      </c>
      <c r="T368" s="81">
        <f>IF(G368="","",ABS(O368-Components!$C$6))</f>
        <v>0.25433333333332842</v>
      </c>
      <c r="U368" s="81">
        <f>IF(G368="","",ABS(O368-Components!$C$7))</f>
        <v>3.566666666666829E-2</v>
      </c>
      <c r="V368" s="81" t="str">
        <f>IF(G368="","",IF(M368="OK","NONE",INDEX({"S1","S2","W1","W2","N1","N2"},MATCH(MIN(P368:U368),P368:U368,0))))</f>
        <v>N2</v>
      </c>
      <c r="W368" s="117">
        <f t="shared" si="44"/>
        <v>1</v>
      </c>
      <c r="X368" s="58"/>
    </row>
    <row r="369" spans="1:24">
      <c r="A369" s="115">
        <v>367</v>
      </c>
      <c r="B369" s="116">
        <v>13</v>
      </c>
      <c r="C369" s="81" t="s">
        <v>132</v>
      </c>
      <c r="D369" s="111" t="s">
        <v>240</v>
      </c>
      <c r="E369" s="81" t="s">
        <v>110</v>
      </c>
      <c r="F369" s="61">
        <v>7.23</v>
      </c>
      <c r="G369" s="52">
        <f t="shared" si="38"/>
        <v>8.2000000000000011</v>
      </c>
      <c r="H369" s="110"/>
      <c r="I369" s="81">
        <v>9.61</v>
      </c>
      <c r="J369" s="81">
        <f>VLOOKUP(C369,Recipes!$A$2:$N$4,12,FALSE())</f>
        <v>6.1509461004819709E-2</v>
      </c>
      <c r="K369" s="81">
        <f t="shared" si="39"/>
        <v>9.3947168864831312</v>
      </c>
      <c r="L369" s="81">
        <f t="shared" si="40"/>
        <v>9.8252831135168677</v>
      </c>
      <c r="M369" s="81" t="str">
        <f t="shared" si="41"/>
        <v>NG</v>
      </c>
      <c r="N369" s="117">
        <f t="shared" si="42"/>
        <v>1</v>
      </c>
      <c r="O369" s="81">
        <f t="shared" si="43"/>
        <v>1.4099999999999984</v>
      </c>
      <c r="P369" s="81">
        <f>IF(G369="","",ABS(O369-Components!$C$2))</f>
        <v>1.3433333333333315</v>
      </c>
      <c r="Q369" s="81">
        <f>IF(G369="","",ABS(O369-Components!$C$3))</f>
        <v>2.6260000000000012</v>
      </c>
      <c r="R369" s="81">
        <f>IF(G369="","",ABS(O369-Components!$C$4))</f>
        <v>0.41666666666666541</v>
      </c>
      <c r="S369" s="81">
        <f>IF(G369="","",ABS(O369-Components!$C$5))</f>
        <v>3.1526666666666721</v>
      </c>
      <c r="T369" s="81">
        <f>IF(G369="","",ABS(O369-Components!$C$6))</f>
        <v>0.25433333333332842</v>
      </c>
      <c r="U369" s="81">
        <f>IF(G369="","",ABS(O369-Components!$C$7))</f>
        <v>3.566666666666829E-2</v>
      </c>
      <c r="V369" s="81" t="str">
        <f>IF(G369="","",IF(M369="OK","NONE",INDEX({"S1","S2","W1","W2","N1","N2"},MATCH(MIN(P369:U369),P369:U369,0))))</f>
        <v>N2</v>
      </c>
      <c r="W369" s="117">
        <f t="shared" si="44"/>
        <v>1</v>
      </c>
      <c r="X369" s="58"/>
    </row>
    <row r="370" spans="1:24">
      <c r="A370" s="115">
        <v>368</v>
      </c>
      <c r="B370" s="116">
        <v>13</v>
      </c>
      <c r="C370" s="81" t="s">
        <v>132</v>
      </c>
      <c r="D370" s="111" t="s">
        <v>240</v>
      </c>
      <c r="E370" s="81" t="s">
        <v>110</v>
      </c>
      <c r="F370" s="61">
        <v>7.3</v>
      </c>
      <c r="G370" s="52">
        <f t="shared" si="38"/>
        <v>8.27</v>
      </c>
      <c r="H370" s="110"/>
      <c r="I370" s="81">
        <v>9.61</v>
      </c>
      <c r="J370" s="81">
        <f>VLOOKUP(C370,Recipes!$A$2:$N$4,12,FALSE())</f>
        <v>6.1509461004819709E-2</v>
      </c>
      <c r="K370" s="81">
        <f t="shared" si="39"/>
        <v>9.3947168864831312</v>
      </c>
      <c r="L370" s="81">
        <f t="shared" si="40"/>
        <v>9.8252831135168677</v>
      </c>
      <c r="M370" s="81" t="str">
        <f t="shared" si="41"/>
        <v>NG</v>
      </c>
      <c r="N370" s="117">
        <f t="shared" si="42"/>
        <v>1</v>
      </c>
      <c r="O370" s="81">
        <f t="shared" si="43"/>
        <v>1.3399999999999999</v>
      </c>
      <c r="P370" s="81">
        <f>IF(G370="","",ABS(O370-Components!$C$2))</f>
        <v>1.41333333333333</v>
      </c>
      <c r="Q370" s="81">
        <f>IF(G370="","",ABS(O370-Components!$C$3))</f>
        <v>2.6959999999999997</v>
      </c>
      <c r="R370" s="81">
        <f>IF(G370="","",ABS(O370-Components!$C$4))</f>
        <v>0.3466666666666669</v>
      </c>
      <c r="S370" s="81">
        <f>IF(G370="","",ABS(O370-Components!$C$5))</f>
        <v>3.2226666666666706</v>
      </c>
      <c r="T370" s="81">
        <f>IF(G370="","",ABS(O370-Components!$C$6))</f>
        <v>0.18433333333332991</v>
      </c>
      <c r="U370" s="81">
        <f>IF(G370="","",ABS(O370-Components!$C$7))</f>
        <v>3.4333333333330218E-2</v>
      </c>
      <c r="V370" s="81" t="str">
        <f>IF(G370="","",IF(M370="OK","NONE",INDEX({"S1","S2","W1","W2","N1","N2"},MATCH(MIN(P370:U370),P370:U370,0))))</f>
        <v>N2</v>
      </c>
      <c r="W370" s="117">
        <f t="shared" si="44"/>
        <v>1</v>
      </c>
      <c r="X370" s="58"/>
    </row>
    <row r="371" spans="1:24">
      <c r="A371" s="115">
        <v>369</v>
      </c>
      <c r="B371" s="116">
        <v>13</v>
      </c>
      <c r="C371" s="81" t="s">
        <v>132</v>
      </c>
      <c r="D371" s="111" t="s">
        <v>240</v>
      </c>
      <c r="E371" s="81" t="s">
        <v>110</v>
      </c>
      <c r="F371" s="61">
        <v>7.25</v>
      </c>
      <c r="G371" s="52">
        <f t="shared" si="38"/>
        <v>8.2200000000000006</v>
      </c>
      <c r="H371" s="110"/>
      <c r="I371" s="81">
        <v>9.61</v>
      </c>
      <c r="J371" s="81">
        <f>VLOOKUP(C371,Recipes!$A$2:$N$4,12,FALSE())</f>
        <v>6.1509461004819709E-2</v>
      </c>
      <c r="K371" s="81">
        <f t="shared" si="39"/>
        <v>9.3947168864831312</v>
      </c>
      <c r="L371" s="81">
        <f t="shared" si="40"/>
        <v>9.8252831135168677</v>
      </c>
      <c r="M371" s="81" t="str">
        <f t="shared" si="41"/>
        <v>NG</v>
      </c>
      <c r="N371" s="117">
        <f t="shared" si="42"/>
        <v>1</v>
      </c>
      <c r="O371" s="81">
        <f t="shared" si="43"/>
        <v>1.3899999999999988</v>
      </c>
      <c r="P371" s="81">
        <f>IF(G371="","",ABS(O371-Components!$C$2))</f>
        <v>1.3633333333333311</v>
      </c>
      <c r="Q371" s="81">
        <f>IF(G371="","",ABS(O371-Components!$C$3))</f>
        <v>2.6460000000000008</v>
      </c>
      <c r="R371" s="81">
        <f>IF(G371="","",ABS(O371-Components!$C$4))</f>
        <v>0.39666666666666583</v>
      </c>
      <c r="S371" s="81">
        <f>IF(G371="","",ABS(O371-Components!$C$5))</f>
        <v>3.1726666666666716</v>
      </c>
      <c r="T371" s="81">
        <f>IF(G371="","",ABS(O371-Components!$C$6))</f>
        <v>0.23433333333332884</v>
      </c>
      <c r="U371" s="81">
        <f>IF(G371="","",ABS(O371-Components!$C$7))</f>
        <v>1.5666666666668716E-2</v>
      </c>
      <c r="V371" s="81" t="str">
        <f>IF(G371="","",IF(M371="OK","NONE",INDEX({"S1","S2","W1","W2","N1","N2"},MATCH(MIN(P371:U371),P371:U371,0))))</f>
        <v>N2</v>
      </c>
      <c r="W371" s="117">
        <f t="shared" si="44"/>
        <v>1</v>
      </c>
      <c r="X371" s="58"/>
    </row>
    <row r="372" spans="1:24">
      <c r="A372" s="115">
        <v>370</v>
      </c>
      <c r="B372" s="116">
        <v>13</v>
      </c>
      <c r="C372" s="81" t="s">
        <v>132</v>
      </c>
      <c r="D372" s="111" t="s">
        <v>240</v>
      </c>
      <c r="E372" s="81" t="s">
        <v>110</v>
      </c>
      <c r="F372" s="61">
        <v>7.25</v>
      </c>
      <c r="G372" s="52">
        <f t="shared" si="38"/>
        <v>8.2200000000000006</v>
      </c>
      <c r="H372" s="110"/>
      <c r="I372" s="81">
        <v>9.61</v>
      </c>
      <c r="J372" s="81">
        <f>VLOOKUP(C372,Recipes!$A$2:$N$4,12,FALSE())</f>
        <v>6.1509461004819709E-2</v>
      </c>
      <c r="K372" s="81">
        <f t="shared" si="39"/>
        <v>9.3947168864831312</v>
      </c>
      <c r="L372" s="81">
        <f t="shared" si="40"/>
        <v>9.8252831135168677</v>
      </c>
      <c r="M372" s="81" t="str">
        <f t="shared" si="41"/>
        <v>NG</v>
      </c>
      <c r="N372" s="117">
        <f t="shared" si="42"/>
        <v>1</v>
      </c>
      <c r="O372" s="81">
        <f t="shared" si="43"/>
        <v>1.3899999999999988</v>
      </c>
      <c r="P372" s="81">
        <f>IF(G372="","",ABS(O372-Components!$C$2))</f>
        <v>1.3633333333333311</v>
      </c>
      <c r="Q372" s="81">
        <f>IF(G372="","",ABS(O372-Components!$C$3))</f>
        <v>2.6460000000000008</v>
      </c>
      <c r="R372" s="81">
        <f>IF(G372="","",ABS(O372-Components!$C$4))</f>
        <v>0.39666666666666583</v>
      </c>
      <c r="S372" s="81">
        <f>IF(G372="","",ABS(O372-Components!$C$5))</f>
        <v>3.1726666666666716</v>
      </c>
      <c r="T372" s="81">
        <f>IF(G372="","",ABS(O372-Components!$C$6))</f>
        <v>0.23433333333332884</v>
      </c>
      <c r="U372" s="81">
        <f>IF(G372="","",ABS(O372-Components!$C$7))</f>
        <v>1.5666666666668716E-2</v>
      </c>
      <c r="V372" s="81" t="str">
        <f>IF(G372="","",IF(M372="OK","NONE",INDEX({"S1","S2","W1","W2","N1","N2"},MATCH(MIN(P372:U372),P372:U372,0))))</f>
        <v>N2</v>
      </c>
      <c r="W372" s="117">
        <f t="shared" si="44"/>
        <v>1</v>
      </c>
      <c r="X372" s="58"/>
    </row>
    <row r="373" spans="1:24">
      <c r="A373" s="115">
        <v>371</v>
      </c>
      <c r="B373" s="116">
        <v>13</v>
      </c>
      <c r="C373" s="81" t="s">
        <v>132</v>
      </c>
      <c r="D373" s="111" t="s">
        <v>240</v>
      </c>
      <c r="E373" s="81" t="s">
        <v>110</v>
      </c>
      <c r="F373" s="61">
        <v>7.19</v>
      </c>
      <c r="G373" s="52">
        <f t="shared" si="38"/>
        <v>8.16</v>
      </c>
      <c r="H373" s="110"/>
      <c r="I373" s="81">
        <v>9.61</v>
      </c>
      <c r="J373" s="81">
        <f>VLOOKUP(C373,Recipes!$A$2:$N$4,12,FALSE())</f>
        <v>6.1509461004819709E-2</v>
      </c>
      <c r="K373" s="81">
        <f t="shared" si="39"/>
        <v>9.3947168864831312</v>
      </c>
      <c r="L373" s="81">
        <f t="shared" si="40"/>
        <v>9.8252831135168677</v>
      </c>
      <c r="M373" s="81" t="str">
        <f t="shared" si="41"/>
        <v>NG</v>
      </c>
      <c r="N373" s="117">
        <f t="shared" si="42"/>
        <v>1</v>
      </c>
      <c r="O373" s="81">
        <f t="shared" si="43"/>
        <v>1.4499999999999993</v>
      </c>
      <c r="P373" s="81">
        <f>IF(G373="","",ABS(O373-Components!$C$2))</f>
        <v>1.3033333333333306</v>
      </c>
      <c r="Q373" s="81">
        <f>IF(G373="","",ABS(O373-Components!$C$3))</f>
        <v>2.5860000000000003</v>
      </c>
      <c r="R373" s="81">
        <f>IF(G373="","",ABS(O373-Components!$C$4))</f>
        <v>0.45666666666666633</v>
      </c>
      <c r="S373" s="81">
        <f>IF(G373="","",ABS(O373-Components!$C$5))</f>
        <v>3.1126666666666711</v>
      </c>
      <c r="T373" s="81">
        <f>IF(G373="","",ABS(O373-Components!$C$6))</f>
        <v>0.29433333333332934</v>
      </c>
      <c r="U373" s="81">
        <f>IF(G373="","",ABS(O373-Components!$C$7))</f>
        <v>7.5666666666669213E-2</v>
      </c>
      <c r="V373" s="81" t="str">
        <f>IF(G373="","",IF(M373="OK","NONE",INDEX({"S1","S2","W1","W2","N1","N2"},MATCH(MIN(P373:U373),P373:U373,0))))</f>
        <v>N2</v>
      </c>
      <c r="W373" s="117">
        <f t="shared" si="44"/>
        <v>1</v>
      </c>
      <c r="X373" s="58"/>
    </row>
    <row r="374" spans="1:24">
      <c r="A374" s="115">
        <v>372</v>
      </c>
      <c r="B374" s="116">
        <v>13</v>
      </c>
      <c r="C374" s="81" t="s">
        <v>132</v>
      </c>
      <c r="D374" s="111" t="s">
        <v>240</v>
      </c>
      <c r="E374" s="81" t="s">
        <v>110</v>
      </c>
      <c r="F374" s="61">
        <v>7.26</v>
      </c>
      <c r="G374" s="52">
        <f t="shared" si="38"/>
        <v>8.23</v>
      </c>
      <c r="H374" s="110"/>
      <c r="I374" s="81">
        <v>9.61</v>
      </c>
      <c r="J374" s="81">
        <f>VLOOKUP(C374,Recipes!$A$2:$N$4,12,FALSE())</f>
        <v>6.1509461004819709E-2</v>
      </c>
      <c r="K374" s="81">
        <f t="shared" si="39"/>
        <v>9.3947168864831312</v>
      </c>
      <c r="L374" s="81">
        <f t="shared" si="40"/>
        <v>9.8252831135168677</v>
      </c>
      <c r="M374" s="81" t="str">
        <f t="shared" si="41"/>
        <v>NG</v>
      </c>
      <c r="N374" s="117">
        <f t="shared" si="42"/>
        <v>1</v>
      </c>
      <c r="O374" s="81">
        <f t="shared" si="43"/>
        <v>1.379999999999999</v>
      </c>
      <c r="P374" s="81">
        <f>IF(G374="","",ABS(O374-Components!$C$2))</f>
        <v>1.3733333333333309</v>
      </c>
      <c r="Q374" s="81">
        <f>IF(G374="","",ABS(O374-Components!$C$3))</f>
        <v>2.6560000000000006</v>
      </c>
      <c r="R374" s="81">
        <f>IF(G374="","",ABS(O374-Components!$C$4))</f>
        <v>0.38666666666666605</v>
      </c>
      <c r="S374" s="81">
        <f>IF(G374="","",ABS(O374-Components!$C$5))</f>
        <v>3.1826666666666714</v>
      </c>
      <c r="T374" s="81">
        <f>IF(G374="","",ABS(O374-Components!$C$6))</f>
        <v>0.22433333333332905</v>
      </c>
      <c r="U374" s="81">
        <f>IF(G374="","",ABS(O374-Components!$C$7))</f>
        <v>5.6666666666689292E-3</v>
      </c>
      <c r="V374" s="81" t="str">
        <f>IF(G374="","",IF(M374="OK","NONE",INDEX({"S1","S2","W1","W2","N1","N2"},MATCH(MIN(P374:U374),P374:U374,0))))</f>
        <v>N2</v>
      </c>
      <c r="W374" s="117">
        <f t="shared" si="44"/>
        <v>1</v>
      </c>
      <c r="X374" s="58"/>
    </row>
    <row r="375" spans="1:24">
      <c r="A375" s="115">
        <v>373</v>
      </c>
      <c r="B375" s="116">
        <v>13</v>
      </c>
      <c r="C375" s="81" t="s">
        <v>132</v>
      </c>
      <c r="D375" s="111" t="s">
        <v>240</v>
      </c>
      <c r="E375" s="81" t="s">
        <v>110</v>
      </c>
      <c r="F375" s="61">
        <v>7.23</v>
      </c>
      <c r="G375" s="52">
        <f t="shared" si="38"/>
        <v>8.2000000000000011</v>
      </c>
      <c r="H375" s="110"/>
      <c r="I375" s="81">
        <v>9.61</v>
      </c>
      <c r="J375" s="81">
        <f>VLOOKUP(C375,Recipes!$A$2:$N$4,12,FALSE())</f>
        <v>6.1509461004819709E-2</v>
      </c>
      <c r="K375" s="81">
        <f t="shared" si="39"/>
        <v>9.3947168864831312</v>
      </c>
      <c r="L375" s="81">
        <f t="shared" si="40"/>
        <v>9.8252831135168677</v>
      </c>
      <c r="M375" s="81" t="str">
        <f t="shared" si="41"/>
        <v>NG</v>
      </c>
      <c r="N375" s="117">
        <f t="shared" si="42"/>
        <v>1</v>
      </c>
      <c r="O375" s="81">
        <f t="shared" si="43"/>
        <v>1.4099999999999984</v>
      </c>
      <c r="P375" s="81">
        <f>IF(G375="","",ABS(O375-Components!$C$2))</f>
        <v>1.3433333333333315</v>
      </c>
      <c r="Q375" s="81">
        <f>IF(G375="","",ABS(O375-Components!$C$3))</f>
        <v>2.6260000000000012</v>
      </c>
      <c r="R375" s="81">
        <f>IF(G375="","",ABS(O375-Components!$C$4))</f>
        <v>0.41666666666666541</v>
      </c>
      <c r="S375" s="81">
        <f>IF(G375="","",ABS(O375-Components!$C$5))</f>
        <v>3.1526666666666721</v>
      </c>
      <c r="T375" s="81">
        <f>IF(G375="","",ABS(O375-Components!$C$6))</f>
        <v>0.25433333333332842</v>
      </c>
      <c r="U375" s="81">
        <f>IF(G375="","",ABS(O375-Components!$C$7))</f>
        <v>3.566666666666829E-2</v>
      </c>
      <c r="V375" s="81" t="str">
        <f>IF(G375="","",IF(M375="OK","NONE",INDEX({"S1","S2","W1","W2","N1","N2"},MATCH(MIN(P375:U375),P375:U375,0))))</f>
        <v>N2</v>
      </c>
      <c r="W375" s="117">
        <f t="shared" si="44"/>
        <v>1</v>
      </c>
      <c r="X375" s="58"/>
    </row>
    <row r="376" spans="1:24">
      <c r="A376" s="115">
        <v>374</v>
      </c>
      <c r="B376" s="116">
        <v>13</v>
      </c>
      <c r="C376" s="81" t="s">
        <v>132</v>
      </c>
      <c r="D376" s="111" t="s">
        <v>240</v>
      </c>
      <c r="E376" s="81" t="s">
        <v>110</v>
      </c>
      <c r="F376" s="61">
        <v>7.06</v>
      </c>
      <c r="G376" s="52">
        <f t="shared" si="38"/>
        <v>8.0299999999999994</v>
      </c>
      <c r="H376" s="110"/>
      <c r="I376" s="81">
        <v>9.61</v>
      </c>
      <c r="J376" s="81">
        <f>VLOOKUP(C376,Recipes!$A$2:$N$4,12,FALSE())</f>
        <v>6.1509461004819709E-2</v>
      </c>
      <c r="K376" s="81">
        <f t="shared" si="39"/>
        <v>9.3947168864831312</v>
      </c>
      <c r="L376" s="81">
        <f t="shared" si="40"/>
        <v>9.8252831135168677</v>
      </c>
      <c r="M376" s="81" t="str">
        <f t="shared" si="41"/>
        <v>NG</v>
      </c>
      <c r="N376" s="117">
        <f t="shared" si="42"/>
        <v>1</v>
      </c>
      <c r="O376" s="81">
        <f t="shared" si="43"/>
        <v>1.58</v>
      </c>
      <c r="P376" s="81">
        <f>IF(G376="","",ABS(O376-Components!$C$2))</f>
        <v>1.1733333333333298</v>
      </c>
      <c r="Q376" s="81">
        <f>IF(G376="","",ABS(O376-Components!$C$3))</f>
        <v>2.4559999999999995</v>
      </c>
      <c r="R376" s="81">
        <f>IF(G376="","",ABS(O376-Components!$C$4))</f>
        <v>0.58666666666666711</v>
      </c>
      <c r="S376" s="81">
        <f>IF(G376="","",ABS(O376-Components!$C$5))</f>
        <v>2.9826666666666704</v>
      </c>
      <c r="T376" s="81">
        <f>IF(G376="","",ABS(O376-Components!$C$6))</f>
        <v>0.42433333333333012</v>
      </c>
      <c r="U376" s="81">
        <f>IF(G376="","",ABS(O376-Components!$C$7))</f>
        <v>0.20566666666666999</v>
      </c>
      <c r="V376" s="81" t="str">
        <f>IF(G376="","",IF(M376="OK","NONE",INDEX({"S1","S2","W1","W2","N1","N2"},MATCH(MIN(P376:U376),P376:U376,0))))</f>
        <v>N2</v>
      </c>
      <c r="W376" s="117">
        <f t="shared" si="44"/>
        <v>1</v>
      </c>
      <c r="X376" s="58"/>
    </row>
    <row r="377" spans="1:24">
      <c r="A377" s="115">
        <v>375</v>
      </c>
      <c r="B377" s="116">
        <v>13</v>
      </c>
      <c r="C377" s="81" t="s">
        <v>132</v>
      </c>
      <c r="D377" s="111" t="s">
        <v>240</v>
      </c>
      <c r="E377" s="81" t="s">
        <v>110</v>
      </c>
      <c r="F377" s="61">
        <v>7.2</v>
      </c>
      <c r="G377" s="52">
        <f t="shared" si="38"/>
        <v>8.17</v>
      </c>
      <c r="H377" s="110"/>
      <c r="I377" s="81">
        <v>9.61</v>
      </c>
      <c r="J377" s="81">
        <f>VLOOKUP(C377,Recipes!$A$2:$N$4,12,FALSE())</f>
        <v>6.1509461004819709E-2</v>
      </c>
      <c r="K377" s="81">
        <f t="shared" si="39"/>
        <v>9.3947168864831312</v>
      </c>
      <c r="L377" s="81">
        <f t="shared" si="40"/>
        <v>9.8252831135168677</v>
      </c>
      <c r="M377" s="81" t="str">
        <f t="shared" si="41"/>
        <v>NG</v>
      </c>
      <c r="N377" s="117">
        <f t="shared" si="42"/>
        <v>1</v>
      </c>
      <c r="O377" s="81">
        <f t="shared" si="43"/>
        <v>1.4399999999999995</v>
      </c>
      <c r="P377" s="81">
        <f>IF(G377="","",ABS(O377-Components!$C$2))</f>
        <v>1.3133333333333304</v>
      </c>
      <c r="Q377" s="81">
        <f>IF(G377="","",ABS(O377-Components!$C$3))</f>
        <v>2.5960000000000001</v>
      </c>
      <c r="R377" s="81">
        <f>IF(G377="","",ABS(O377-Components!$C$4))</f>
        <v>0.44666666666666655</v>
      </c>
      <c r="S377" s="81">
        <f>IF(G377="","",ABS(O377-Components!$C$5))</f>
        <v>3.1226666666666709</v>
      </c>
      <c r="T377" s="81">
        <f>IF(G377="","",ABS(O377-Components!$C$6))</f>
        <v>0.28433333333332955</v>
      </c>
      <c r="U377" s="81">
        <f>IF(G377="","",ABS(O377-Components!$C$7))</f>
        <v>6.5666666666669427E-2</v>
      </c>
      <c r="V377" s="81" t="str">
        <f>IF(G377="","",IF(M377="OK","NONE",INDEX({"S1","S2","W1","W2","N1","N2"},MATCH(MIN(P377:U377),P377:U377,0))))</f>
        <v>N2</v>
      </c>
      <c r="W377" s="117">
        <f t="shared" si="44"/>
        <v>1</v>
      </c>
      <c r="X377" s="58"/>
    </row>
    <row r="378" spans="1:24">
      <c r="A378" s="115">
        <v>376</v>
      </c>
      <c r="B378" s="116">
        <v>13</v>
      </c>
      <c r="C378" s="81" t="s">
        <v>132</v>
      </c>
      <c r="D378" s="111" t="s">
        <v>240</v>
      </c>
      <c r="E378" s="81" t="s">
        <v>110</v>
      </c>
      <c r="F378" s="61">
        <v>7.21</v>
      </c>
      <c r="G378" s="52">
        <f t="shared" si="38"/>
        <v>8.18</v>
      </c>
      <c r="H378" s="110"/>
      <c r="I378" s="81">
        <v>9.61</v>
      </c>
      <c r="J378" s="81">
        <f>VLOOKUP(C378,Recipes!$A$2:$N$4,12,FALSE())</f>
        <v>6.1509461004819709E-2</v>
      </c>
      <c r="K378" s="81">
        <f t="shared" si="39"/>
        <v>9.3947168864831312</v>
      </c>
      <c r="L378" s="81">
        <f t="shared" si="40"/>
        <v>9.8252831135168677</v>
      </c>
      <c r="M378" s="81" t="str">
        <f t="shared" si="41"/>
        <v>NG</v>
      </c>
      <c r="N378" s="117">
        <f t="shared" si="42"/>
        <v>1</v>
      </c>
      <c r="O378" s="81">
        <f t="shared" si="43"/>
        <v>1.4299999999999997</v>
      </c>
      <c r="P378" s="81">
        <f>IF(G378="","",ABS(O378-Components!$C$2))</f>
        <v>1.3233333333333301</v>
      </c>
      <c r="Q378" s="81">
        <f>IF(G378="","",ABS(O378-Components!$C$3))</f>
        <v>2.6059999999999999</v>
      </c>
      <c r="R378" s="81">
        <f>IF(G378="","",ABS(O378-Components!$C$4))</f>
        <v>0.43666666666666676</v>
      </c>
      <c r="S378" s="81">
        <f>IF(G378="","",ABS(O378-Components!$C$5))</f>
        <v>3.1326666666666707</v>
      </c>
      <c r="T378" s="81">
        <f>IF(G378="","",ABS(O378-Components!$C$6))</f>
        <v>0.27433333333332977</v>
      </c>
      <c r="U378" s="81">
        <f>IF(G378="","",ABS(O378-Components!$C$7))</f>
        <v>5.566666666666964E-2</v>
      </c>
      <c r="V378" s="81" t="str">
        <f>IF(G378="","",IF(M378="OK","NONE",INDEX({"S1","S2","W1","W2","N1","N2"},MATCH(MIN(P378:U378),P378:U378,0))))</f>
        <v>N2</v>
      </c>
      <c r="W378" s="117">
        <f t="shared" si="44"/>
        <v>1</v>
      </c>
      <c r="X378" s="58"/>
    </row>
    <row r="379" spans="1:24">
      <c r="A379" s="115">
        <v>377</v>
      </c>
      <c r="B379" s="116">
        <v>13</v>
      </c>
      <c r="C379" s="81" t="s">
        <v>132</v>
      </c>
      <c r="D379" s="111" t="s">
        <v>240</v>
      </c>
      <c r="E379" s="81" t="s">
        <v>110</v>
      </c>
      <c r="F379" s="61">
        <v>7.22</v>
      </c>
      <c r="G379" s="52">
        <f t="shared" si="38"/>
        <v>8.19</v>
      </c>
      <c r="H379" s="110"/>
      <c r="I379" s="81">
        <v>9.61</v>
      </c>
      <c r="J379" s="81">
        <f>VLOOKUP(C379,Recipes!$A$2:$N$4,12,FALSE())</f>
        <v>6.1509461004819709E-2</v>
      </c>
      <c r="K379" s="81">
        <f t="shared" si="39"/>
        <v>9.3947168864831312</v>
      </c>
      <c r="L379" s="81">
        <f t="shared" si="40"/>
        <v>9.8252831135168677</v>
      </c>
      <c r="M379" s="81" t="str">
        <f t="shared" si="41"/>
        <v>NG</v>
      </c>
      <c r="N379" s="117">
        <f t="shared" si="42"/>
        <v>1</v>
      </c>
      <c r="O379" s="81">
        <f t="shared" si="43"/>
        <v>1.42</v>
      </c>
      <c r="P379" s="81">
        <f>IF(G379="","",ABS(O379-Components!$C$2))</f>
        <v>1.3333333333333299</v>
      </c>
      <c r="Q379" s="81">
        <f>IF(G379="","",ABS(O379-Components!$C$3))</f>
        <v>2.6159999999999997</v>
      </c>
      <c r="R379" s="81">
        <f>IF(G379="","",ABS(O379-Components!$C$4))</f>
        <v>0.42666666666666697</v>
      </c>
      <c r="S379" s="81">
        <f>IF(G379="","",ABS(O379-Components!$C$5))</f>
        <v>3.1426666666666705</v>
      </c>
      <c r="T379" s="81">
        <f>IF(G379="","",ABS(O379-Components!$C$6))</f>
        <v>0.26433333333332998</v>
      </c>
      <c r="U379" s="81">
        <f>IF(G379="","",ABS(O379-Components!$C$7))</f>
        <v>4.5666666666669853E-2</v>
      </c>
      <c r="V379" s="81" t="str">
        <f>IF(G379="","",IF(M379="OK","NONE",INDEX({"S1","S2","W1","W2","N1","N2"},MATCH(MIN(P379:U379),P379:U379,0))))</f>
        <v>N2</v>
      </c>
      <c r="W379" s="117">
        <f t="shared" si="44"/>
        <v>1</v>
      </c>
      <c r="X379" s="58"/>
    </row>
    <row r="380" spans="1:24">
      <c r="A380" s="115">
        <v>378</v>
      </c>
      <c r="B380" s="116">
        <v>13</v>
      </c>
      <c r="C380" s="81" t="s">
        <v>132</v>
      </c>
      <c r="D380" s="111" t="s">
        <v>240</v>
      </c>
      <c r="E380" s="81" t="s">
        <v>110</v>
      </c>
      <c r="F380" s="61">
        <v>7.15</v>
      </c>
      <c r="G380" s="52">
        <f t="shared" si="38"/>
        <v>8.120000000000001</v>
      </c>
      <c r="H380" s="110"/>
      <c r="I380" s="81">
        <v>9.61</v>
      </c>
      <c r="J380" s="81">
        <f>VLOOKUP(C380,Recipes!$A$2:$N$4,12,FALSE())</f>
        <v>6.1509461004819709E-2</v>
      </c>
      <c r="K380" s="81">
        <f t="shared" si="39"/>
        <v>9.3947168864831312</v>
      </c>
      <c r="L380" s="81">
        <f t="shared" si="40"/>
        <v>9.8252831135168677</v>
      </c>
      <c r="M380" s="81" t="str">
        <f t="shared" si="41"/>
        <v>NG</v>
      </c>
      <c r="N380" s="117">
        <f t="shared" si="42"/>
        <v>1</v>
      </c>
      <c r="O380" s="81">
        <f t="shared" si="43"/>
        <v>1.4899999999999984</v>
      </c>
      <c r="P380" s="81">
        <f>IF(G380="","",ABS(O380-Components!$C$2))</f>
        <v>1.2633333333333314</v>
      </c>
      <c r="Q380" s="81">
        <f>IF(G380="","",ABS(O380-Components!$C$3))</f>
        <v>2.5460000000000012</v>
      </c>
      <c r="R380" s="81">
        <f>IF(G380="","",ABS(O380-Components!$C$4))</f>
        <v>0.49666666666666548</v>
      </c>
      <c r="S380" s="81">
        <f>IF(G380="","",ABS(O380-Components!$C$5))</f>
        <v>3.072666666666672</v>
      </c>
      <c r="T380" s="81">
        <f>IF(G380="","",ABS(O380-Components!$C$6))</f>
        <v>0.33433333333332849</v>
      </c>
      <c r="U380" s="81">
        <f>IF(G380="","",ABS(O380-Components!$C$7))</f>
        <v>0.11566666666666836</v>
      </c>
      <c r="V380" s="81" t="str">
        <f>IF(G380="","",IF(M380="OK","NONE",INDEX({"S1","S2","W1","W2","N1","N2"},MATCH(MIN(P380:U380),P380:U380,0))))</f>
        <v>N2</v>
      </c>
      <c r="W380" s="117">
        <f t="shared" si="44"/>
        <v>1</v>
      </c>
      <c r="X380" s="58"/>
    </row>
    <row r="381" spans="1:24">
      <c r="A381" s="115">
        <v>379</v>
      </c>
      <c r="B381" s="116">
        <v>13</v>
      </c>
      <c r="C381" s="81" t="s">
        <v>132</v>
      </c>
      <c r="D381" s="111" t="s">
        <v>240</v>
      </c>
      <c r="E381" s="81" t="s">
        <v>110</v>
      </c>
      <c r="F381" s="61">
        <v>7.28</v>
      </c>
      <c r="G381" s="52">
        <f t="shared" si="38"/>
        <v>8.25</v>
      </c>
      <c r="H381" s="110"/>
      <c r="I381" s="81">
        <v>9.61</v>
      </c>
      <c r="J381" s="81">
        <f>VLOOKUP(C381,Recipes!$A$2:$N$4,12,FALSE())</f>
        <v>6.1509461004819709E-2</v>
      </c>
      <c r="K381" s="81">
        <f t="shared" si="39"/>
        <v>9.3947168864831312</v>
      </c>
      <c r="L381" s="81">
        <f t="shared" si="40"/>
        <v>9.8252831135168677</v>
      </c>
      <c r="M381" s="81" t="str">
        <f t="shared" si="41"/>
        <v>NG</v>
      </c>
      <c r="N381" s="117">
        <f t="shared" si="42"/>
        <v>1</v>
      </c>
      <c r="O381" s="81">
        <f t="shared" si="43"/>
        <v>1.3599999999999994</v>
      </c>
      <c r="P381" s="81">
        <f>IF(G381="","",ABS(O381-Components!$C$2))</f>
        <v>1.3933333333333304</v>
      </c>
      <c r="Q381" s="81">
        <f>IF(G381="","",ABS(O381-Components!$C$3))</f>
        <v>2.6760000000000002</v>
      </c>
      <c r="R381" s="81">
        <f>IF(G381="","",ABS(O381-Components!$C$4))</f>
        <v>0.36666666666666647</v>
      </c>
      <c r="S381" s="81">
        <f>IF(G381="","",ABS(O381-Components!$C$5))</f>
        <v>3.202666666666671</v>
      </c>
      <c r="T381" s="81">
        <f>IF(G381="","",ABS(O381-Components!$C$6))</f>
        <v>0.20433333333332948</v>
      </c>
      <c r="U381" s="81">
        <f>IF(G381="","",ABS(O381-Components!$C$7))</f>
        <v>1.4333333333330645E-2</v>
      </c>
      <c r="V381" s="81" t="str">
        <f>IF(G381="","",IF(M381="OK","NONE",INDEX({"S1","S2","W1","W2","N1","N2"},MATCH(MIN(P381:U381),P381:U381,0))))</f>
        <v>N2</v>
      </c>
      <c r="W381" s="117">
        <f t="shared" si="44"/>
        <v>1</v>
      </c>
      <c r="X381" s="58"/>
    </row>
    <row r="382" spans="1:24">
      <c r="A382" s="115">
        <v>380</v>
      </c>
      <c r="B382" s="116">
        <v>13</v>
      </c>
      <c r="C382" s="81" t="s">
        <v>132</v>
      </c>
      <c r="D382" s="111" t="s">
        <v>240</v>
      </c>
      <c r="E382" s="81" t="s">
        <v>110</v>
      </c>
      <c r="F382" s="61">
        <v>7.23</v>
      </c>
      <c r="G382" s="52">
        <f t="shared" si="38"/>
        <v>8.2000000000000011</v>
      </c>
      <c r="H382" s="110"/>
      <c r="I382" s="81">
        <v>9.61</v>
      </c>
      <c r="J382" s="81">
        <f>VLOOKUP(C382,Recipes!$A$2:$N$4,12,FALSE())</f>
        <v>6.1509461004819709E-2</v>
      </c>
      <c r="K382" s="81">
        <f t="shared" si="39"/>
        <v>9.3947168864831312</v>
      </c>
      <c r="L382" s="81">
        <f t="shared" si="40"/>
        <v>9.8252831135168677</v>
      </c>
      <c r="M382" s="81" t="str">
        <f t="shared" si="41"/>
        <v>NG</v>
      </c>
      <c r="N382" s="117">
        <f t="shared" si="42"/>
        <v>1</v>
      </c>
      <c r="O382" s="81">
        <f t="shared" si="43"/>
        <v>1.4099999999999984</v>
      </c>
      <c r="P382" s="81">
        <f>IF(G382="","",ABS(O382-Components!$C$2))</f>
        <v>1.3433333333333315</v>
      </c>
      <c r="Q382" s="81">
        <f>IF(G382="","",ABS(O382-Components!$C$3))</f>
        <v>2.6260000000000012</v>
      </c>
      <c r="R382" s="81">
        <f>IF(G382="","",ABS(O382-Components!$C$4))</f>
        <v>0.41666666666666541</v>
      </c>
      <c r="S382" s="81">
        <f>IF(G382="","",ABS(O382-Components!$C$5))</f>
        <v>3.1526666666666721</v>
      </c>
      <c r="T382" s="81">
        <f>IF(G382="","",ABS(O382-Components!$C$6))</f>
        <v>0.25433333333332842</v>
      </c>
      <c r="U382" s="81">
        <f>IF(G382="","",ABS(O382-Components!$C$7))</f>
        <v>3.566666666666829E-2</v>
      </c>
      <c r="V382" s="81" t="str">
        <f>IF(G382="","",IF(M382="OK","NONE",INDEX({"S1","S2","W1","W2","N1","N2"},MATCH(MIN(P382:U382),P382:U382,0))))</f>
        <v>N2</v>
      </c>
      <c r="W382" s="117">
        <f t="shared" si="44"/>
        <v>1</v>
      </c>
      <c r="X382" s="58"/>
    </row>
    <row r="383" spans="1:24">
      <c r="A383" s="115">
        <v>381</v>
      </c>
      <c r="B383" s="116">
        <v>13</v>
      </c>
      <c r="C383" s="81" t="s">
        <v>132</v>
      </c>
      <c r="D383" s="111" t="s">
        <v>240</v>
      </c>
      <c r="E383" s="81" t="s">
        <v>110</v>
      </c>
      <c r="F383" s="61">
        <v>7.26</v>
      </c>
      <c r="G383" s="52">
        <f t="shared" si="38"/>
        <v>8.23</v>
      </c>
      <c r="H383" s="110"/>
      <c r="I383" s="81">
        <v>9.61</v>
      </c>
      <c r="J383" s="81">
        <f>VLOOKUP(C383,Recipes!$A$2:$N$4,12,FALSE())</f>
        <v>6.1509461004819709E-2</v>
      </c>
      <c r="K383" s="81">
        <f t="shared" si="39"/>
        <v>9.3947168864831312</v>
      </c>
      <c r="L383" s="81">
        <f t="shared" si="40"/>
        <v>9.8252831135168677</v>
      </c>
      <c r="M383" s="81" t="str">
        <f t="shared" si="41"/>
        <v>NG</v>
      </c>
      <c r="N383" s="117">
        <f t="shared" si="42"/>
        <v>1</v>
      </c>
      <c r="O383" s="81">
        <f t="shared" si="43"/>
        <v>1.379999999999999</v>
      </c>
      <c r="P383" s="81">
        <f>IF(G383="","",ABS(O383-Components!$C$2))</f>
        <v>1.3733333333333309</v>
      </c>
      <c r="Q383" s="81">
        <f>IF(G383="","",ABS(O383-Components!$C$3))</f>
        <v>2.6560000000000006</v>
      </c>
      <c r="R383" s="81">
        <f>IF(G383="","",ABS(O383-Components!$C$4))</f>
        <v>0.38666666666666605</v>
      </c>
      <c r="S383" s="81">
        <f>IF(G383="","",ABS(O383-Components!$C$5))</f>
        <v>3.1826666666666714</v>
      </c>
      <c r="T383" s="81">
        <f>IF(G383="","",ABS(O383-Components!$C$6))</f>
        <v>0.22433333333332905</v>
      </c>
      <c r="U383" s="81">
        <f>IF(G383="","",ABS(O383-Components!$C$7))</f>
        <v>5.6666666666689292E-3</v>
      </c>
      <c r="V383" s="81" t="str">
        <f>IF(G383="","",IF(M383="OK","NONE",INDEX({"S1","S2","W1","W2","N1","N2"},MATCH(MIN(P383:U383),P383:U383,0))))</f>
        <v>N2</v>
      </c>
      <c r="W383" s="117">
        <f t="shared" si="44"/>
        <v>1</v>
      </c>
      <c r="X383" s="58"/>
    </row>
    <row r="384" spans="1:24">
      <c r="A384" s="115">
        <v>382</v>
      </c>
      <c r="B384" s="116">
        <v>13</v>
      </c>
      <c r="C384" s="81" t="s">
        <v>132</v>
      </c>
      <c r="D384" s="111" t="s">
        <v>240</v>
      </c>
      <c r="E384" s="81" t="s">
        <v>110</v>
      </c>
      <c r="F384" s="61">
        <v>7.26</v>
      </c>
      <c r="G384" s="52">
        <f t="shared" si="38"/>
        <v>8.23</v>
      </c>
      <c r="H384" s="110"/>
      <c r="I384" s="81">
        <v>9.61</v>
      </c>
      <c r="J384" s="81">
        <f>VLOOKUP(C384,Recipes!$A$2:$N$4,12,FALSE())</f>
        <v>6.1509461004819709E-2</v>
      </c>
      <c r="K384" s="81">
        <f t="shared" si="39"/>
        <v>9.3947168864831312</v>
      </c>
      <c r="L384" s="81">
        <f t="shared" si="40"/>
        <v>9.8252831135168677</v>
      </c>
      <c r="M384" s="81" t="str">
        <f t="shared" si="41"/>
        <v>NG</v>
      </c>
      <c r="N384" s="117">
        <f t="shared" si="42"/>
        <v>1</v>
      </c>
      <c r="O384" s="81">
        <f t="shared" si="43"/>
        <v>1.379999999999999</v>
      </c>
      <c r="P384" s="81">
        <f>IF(G384="","",ABS(O384-Components!$C$2))</f>
        <v>1.3733333333333309</v>
      </c>
      <c r="Q384" s="81">
        <f>IF(G384="","",ABS(O384-Components!$C$3))</f>
        <v>2.6560000000000006</v>
      </c>
      <c r="R384" s="81">
        <f>IF(G384="","",ABS(O384-Components!$C$4))</f>
        <v>0.38666666666666605</v>
      </c>
      <c r="S384" s="81">
        <f>IF(G384="","",ABS(O384-Components!$C$5))</f>
        <v>3.1826666666666714</v>
      </c>
      <c r="T384" s="81">
        <f>IF(G384="","",ABS(O384-Components!$C$6))</f>
        <v>0.22433333333332905</v>
      </c>
      <c r="U384" s="81">
        <f>IF(G384="","",ABS(O384-Components!$C$7))</f>
        <v>5.6666666666689292E-3</v>
      </c>
      <c r="V384" s="81" t="str">
        <f>IF(G384="","",IF(M384="OK","NONE",INDEX({"S1","S2","W1","W2","N1","N2"},MATCH(MIN(P384:U384),P384:U384,0))))</f>
        <v>N2</v>
      </c>
      <c r="W384" s="117">
        <f t="shared" si="44"/>
        <v>1</v>
      </c>
      <c r="X384" s="58"/>
    </row>
    <row r="385" spans="1:24">
      <c r="A385" s="115">
        <v>383</v>
      </c>
      <c r="B385" s="116">
        <v>13</v>
      </c>
      <c r="C385" s="81" t="s">
        <v>132</v>
      </c>
      <c r="D385" s="111" t="s">
        <v>240</v>
      </c>
      <c r="E385" s="81" t="s">
        <v>110</v>
      </c>
      <c r="F385" s="61">
        <v>7.27</v>
      </c>
      <c r="G385" s="52">
        <f t="shared" si="38"/>
        <v>8.24</v>
      </c>
      <c r="H385" s="110"/>
      <c r="I385" s="81">
        <v>9.61</v>
      </c>
      <c r="J385" s="81">
        <f>VLOOKUP(C385,Recipes!$A$2:$N$4,12,FALSE())</f>
        <v>6.1509461004819709E-2</v>
      </c>
      <c r="K385" s="81">
        <f t="shared" si="39"/>
        <v>9.3947168864831312</v>
      </c>
      <c r="L385" s="81">
        <f t="shared" si="40"/>
        <v>9.8252831135168677</v>
      </c>
      <c r="M385" s="81" t="str">
        <f t="shared" si="41"/>
        <v>NG</v>
      </c>
      <c r="N385" s="117">
        <f t="shared" si="42"/>
        <v>1</v>
      </c>
      <c r="O385" s="81">
        <f t="shared" si="43"/>
        <v>1.3699999999999992</v>
      </c>
      <c r="P385" s="81">
        <f>IF(G385="","",ABS(O385-Components!$C$2))</f>
        <v>1.3833333333333306</v>
      </c>
      <c r="Q385" s="81">
        <f>IF(G385="","",ABS(O385-Components!$C$3))</f>
        <v>2.6660000000000004</v>
      </c>
      <c r="R385" s="81">
        <f>IF(G385="","",ABS(O385-Components!$C$4))</f>
        <v>0.37666666666666626</v>
      </c>
      <c r="S385" s="81">
        <f>IF(G385="","",ABS(O385-Components!$C$5))</f>
        <v>3.1926666666666712</v>
      </c>
      <c r="T385" s="81">
        <f>IF(G385="","",ABS(O385-Components!$C$6))</f>
        <v>0.21433333333332927</v>
      </c>
      <c r="U385" s="81">
        <f>IF(G385="","",ABS(O385-Components!$C$7))</f>
        <v>4.3333333333308577E-3</v>
      </c>
      <c r="V385" s="81" t="str">
        <f>IF(G385="","",IF(M385="OK","NONE",INDEX({"S1","S2","W1","W2","N1","N2"},MATCH(MIN(P385:U385),P385:U385,0))))</f>
        <v>N2</v>
      </c>
      <c r="W385" s="117">
        <f t="shared" si="44"/>
        <v>1</v>
      </c>
      <c r="X385" s="58"/>
    </row>
    <row r="386" spans="1:24">
      <c r="A386" s="115">
        <v>384</v>
      </c>
      <c r="B386" s="116">
        <v>13</v>
      </c>
      <c r="C386" s="81" t="s">
        <v>132</v>
      </c>
      <c r="D386" s="111" t="s">
        <v>240</v>
      </c>
      <c r="E386" s="81" t="s">
        <v>110</v>
      </c>
      <c r="F386" s="61">
        <v>7.14</v>
      </c>
      <c r="G386" s="52">
        <f t="shared" si="38"/>
        <v>8.11</v>
      </c>
      <c r="H386" s="110"/>
      <c r="I386" s="81">
        <v>9.61</v>
      </c>
      <c r="J386" s="81">
        <f>VLOOKUP(C386,Recipes!$A$2:$N$4,12,FALSE())</f>
        <v>6.1509461004819709E-2</v>
      </c>
      <c r="K386" s="81">
        <f t="shared" si="39"/>
        <v>9.3947168864831312</v>
      </c>
      <c r="L386" s="81">
        <f t="shared" si="40"/>
        <v>9.8252831135168677</v>
      </c>
      <c r="M386" s="81" t="str">
        <f t="shared" si="41"/>
        <v>NG</v>
      </c>
      <c r="N386" s="117">
        <f t="shared" si="42"/>
        <v>1</v>
      </c>
      <c r="O386" s="81">
        <f t="shared" si="43"/>
        <v>1.5</v>
      </c>
      <c r="P386" s="81">
        <f>IF(G386="","",ABS(O386-Components!$C$2))</f>
        <v>1.2533333333333299</v>
      </c>
      <c r="Q386" s="81">
        <f>IF(G386="","",ABS(O386-Components!$C$3))</f>
        <v>2.5359999999999996</v>
      </c>
      <c r="R386" s="81">
        <f>IF(G386="","",ABS(O386-Components!$C$4))</f>
        <v>0.50666666666666704</v>
      </c>
      <c r="S386" s="81">
        <f>IF(G386="","",ABS(O386-Components!$C$5))</f>
        <v>3.0626666666666704</v>
      </c>
      <c r="T386" s="81">
        <f>IF(G386="","",ABS(O386-Components!$C$6))</f>
        <v>0.34433333333333005</v>
      </c>
      <c r="U386" s="81">
        <f>IF(G386="","",ABS(O386-Components!$C$7))</f>
        <v>0.12566666666666992</v>
      </c>
      <c r="V386" s="81" t="str">
        <f>IF(G386="","",IF(M386="OK","NONE",INDEX({"S1","S2","W1","W2","N1","N2"},MATCH(MIN(P386:U386),P386:U386,0))))</f>
        <v>N2</v>
      </c>
      <c r="W386" s="117">
        <f t="shared" si="44"/>
        <v>1</v>
      </c>
      <c r="X386" s="58"/>
    </row>
    <row r="387" spans="1:24">
      <c r="A387" s="115">
        <v>385</v>
      </c>
      <c r="B387" s="116">
        <v>13</v>
      </c>
      <c r="C387" s="81" t="s">
        <v>132</v>
      </c>
      <c r="D387" s="111" t="s">
        <v>240</v>
      </c>
      <c r="E387" s="81" t="s">
        <v>110</v>
      </c>
      <c r="F387" s="61">
        <v>6.97</v>
      </c>
      <c r="G387" s="52">
        <f t="shared" ref="G387:G422" si="45">0.97+F387</f>
        <v>7.9399999999999995</v>
      </c>
      <c r="H387" s="110"/>
      <c r="I387" s="81">
        <v>9.61</v>
      </c>
      <c r="J387" s="81">
        <f>VLOOKUP(C387,Recipes!$A$2:$N$4,12,FALSE())</f>
        <v>6.1509461004819709E-2</v>
      </c>
      <c r="K387" s="81">
        <f t="shared" si="39"/>
        <v>9.3947168864831312</v>
      </c>
      <c r="L387" s="81">
        <f t="shared" si="40"/>
        <v>9.8252831135168677</v>
      </c>
      <c r="M387" s="81" t="str">
        <f t="shared" si="41"/>
        <v>NG</v>
      </c>
      <c r="N387" s="117">
        <f t="shared" si="42"/>
        <v>1</v>
      </c>
      <c r="O387" s="81">
        <f t="shared" si="43"/>
        <v>1.67</v>
      </c>
      <c r="P387" s="81">
        <f>IF(G387="","",ABS(O387-Components!$C$2))</f>
        <v>1.0833333333333299</v>
      </c>
      <c r="Q387" s="81">
        <f>IF(G387="","",ABS(O387-Components!$C$3))</f>
        <v>2.3659999999999997</v>
      </c>
      <c r="R387" s="81">
        <f>IF(G387="","",ABS(O387-Components!$C$4))</f>
        <v>0.67666666666666697</v>
      </c>
      <c r="S387" s="81">
        <f>IF(G387="","",ABS(O387-Components!$C$5))</f>
        <v>2.8926666666666705</v>
      </c>
      <c r="T387" s="81">
        <f>IF(G387="","",ABS(O387-Components!$C$6))</f>
        <v>0.51433333333332998</v>
      </c>
      <c r="U387" s="81">
        <f>IF(G387="","",ABS(O387-Components!$C$7))</f>
        <v>0.29566666666666985</v>
      </c>
      <c r="V387" s="81" t="str">
        <f>IF(G387="","",IF(M387="OK","NONE",INDEX({"S1","S2","W1","W2","N1","N2"},MATCH(MIN(P387:U387),P387:U387,0))))</f>
        <v>N2</v>
      </c>
      <c r="W387" s="117">
        <f t="shared" si="44"/>
        <v>1</v>
      </c>
      <c r="X387" s="58"/>
    </row>
    <row r="388" spans="1:24">
      <c r="A388" s="115">
        <v>386</v>
      </c>
      <c r="B388" s="116">
        <v>13</v>
      </c>
      <c r="C388" s="81" t="s">
        <v>132</v>
      </c>
      <c r="D388" s="111" t="s">
        <v>240</v>
      </c>
      <c r="E388" s="81" t="s">
        <v>110</v>
      </c>
      <c r="F388" s="52">
        <v>7.29</v>
      </c>
      <c r="G388" s="52">
        <f t="shared" si="45"/>
        <v>8.26</v>
      </c>
      <c r="H388" s="110"/>
      <c r="I388" s="81">
        <v>9.61</v>
      </c>
      <c r="J388" s="81">
        <f>VLOOKUP(C388,Recipes!$A$2:$N$4,12,FALSE())</f>
        <v>6.1509461004819709E-2</v>
      </c>
      <c r="K388" s="81">
        <f t="shared" ref="K388:K422" si="46">I388-3.5*J388</f>
        <v>9.3947168864831312</v>
      </c>
      <c r="L388" s="81">
        <f t="shared" ref="L388:L422" si="47">I388+3.5*J388</f>
        <v>9.8252831135168677</v>
      </c>
      <c r="M388" s="81" t="str">
        <f t="shared" ref="M388:M422" si="48">IF(G388="","",IF(AND(G388&gt;=K388,G388&lt;=L388),"OK","NG"))</f>
        <v>NG</v>
      </c>
      <c r="N388" s="117">
        <f t="shared" ref="N388:N422" si="49">IF(M388="","",IF(M388=D388,1,0))</f>
        <v>1</v>
      </c>
      <c r="O388" s="81">
        <f t="shared" ref="O388:O422" si="50">IF(G388="","",I388-G388)</f>
        <v>1.3499999999999996</v>
      </c>
      <c r="P388" s="81">
        <f>IF(G388="","",ABS(O388-Components!$C$2))</f>
        <v>1.4033333333333302</v>
      </c>
      <c r="Q388" s="81">
        <f>IF(G388="","",ABS(O388-Components!$C$3))</f>
        <v>2.6859999999999999</v>
      </c>
      <c r="R388" s="81">
        <f>IF(G388="","",ABS(O388-Components!$C$4))</f>
        <v>0.35666666666666669</v>
      </c>
      <c r="S388" s="81">
        <f>IF(G388="","",ABS(O388-Components!$C$5))</f>
        <v>3.2126666666666708</v>
      </c>
      <c r="T388" s="81">
        <f>IF(G388="","",ABS(O388-Components!$C$6))</f>
        <v>0.19433333333332969</v>
      </c>
      <c r="U388" s="81">
        <f>IF(G388="","",ABS(O388-Components!$C$7))</f>
        <v>2.4333333333330431E-2</v>
      </c>
      <c r="V388" s="81" t="str">
        <f>IF(G388="","",IF(M388="OK","NONE",INDEX({"S1","S2","W1","W2","N1","N2"},MATCH(MIN(P388:U388),P388:U388,0))))</f>
        <v>N2</v>
      </c>
      <c r="W388" s="117">
        <f t="shared" ref="W388:W422" si="51">IF(G388="","",IF(V388=E388,1,0))</f>
        <v>1</v>
      </c>
      <c r="X388" s="58"/>
    </row>
    <row r="389" spans="1:24">
      <c r="A389" s="115">
        <v>387</v>
      </c>
      <c r="B389" s="116">
        <v>13</v>
      </c>
      <c r="C389" s="81" t="s">
        <v>132</v>
      </c>
      <c r="D389" s="111" t="s">
        <v>240</v>
      </c>
      <c r="E389" s="81" t="s">
        <v>110</v>
      </c>
      <c r="F389" s="52">
        <v>7.16</v>
      </c>
      <c r="G389" s="52">
        <f t="shared" si="45"/>
        <v>8.1300000000000008</v>
      </c>
      <c r="H389" s="110"/>
      <c r="I389" s="81">
        <v>9.61</v>
      </c>
      <c r="J389" s="81">
        <f>VLOOKUP(C389,Recipes!$A$2:$N$4,12,FALSE())</f>
        <v>6.1509461004819709E-2</v>
      </c>
      <c r="K389" s="81">
        <f t="shared" si="46"/>
        <v>9.3947168864831312</v>
      </c>
      <c r="L389" s="81">
        <f t="shared" si="47"/>
        <v>9.8252831135168677</v>
      </c>
      <c r="M389" s="81" t="str">
        <f t="shared" si="48"/>
        <v>NG</v>
      </c>
      <c r="N389" s="117">
        <f t="shared" si="49"/>
        <v>1</v>
      </c>
      <c r="O389" s="81">
        <f t="shared" si="50"/>
        <v>1.4799999999999986</v>
      </c>
      <c r="P389" s="81">
        <f>IF(G389="","",ABS(O389-Components!$C$2))</f>
        <v>1.2733333333333312</v>
      </c>
      <c r="Q389" s="81">
        <f>IF(G389="","",ABS(O389-Components!$C$3))</f>
        <v>2.5560000000000009</v>
      </c>
      <c r="R389" s="81">
        <f>IF(G389="","",ABS(O389-Components!$C$4))</f>
        <v>0.48666666666666569</v>
      </c>
      <c r="S389" s="81">
        <f>IF(G389="","",ABS(O389-Components!$C$5))</f>
        <v>3.0826666666666718</v>
      </c>
      <c r="T389" s="81">
        <f>IF(G389="","",ABS(O389-Components!$C$6))</f>
        <v>0.3243333333333287</v>
      </c>
      <c r="U389" s="81">
        <f>IF(G389="","",ABS(O389-Components!$C$7))</f>
        <v>0.10566666666666857</v>
      </c>
      <c r="V389" s="81" t="str">
        <f>IF(G389="","",IF(M389="OK","NONE",INDEX({"S1","S2","W1","W2","N1","N2"},MATCH(MIN(P389:U389),P389:U389,0))))</f>
        <v>N2</v>
      </c>
      <c r="W389" s="117">
        <f t="shared" si="51"/>
        <v>1</v>
      </c>
      <c r="X389" s="58"/>
    </row>
    <row r="390" spans="1:24">
      <c r="A390" s="115">
        <v>388</v>
      </c>
      <c r="B390" s="116">
        <v>13</v>
      </c>
      <c r="C390" s="81" t="s">
        <v>132</v>
      </c>
      <c r="D390" s="111" t="s">
        <v>240</v>
      </c>
      <c r="E390" s="81" t="s">
        <v>110</v>
      </c>
      <c r="F390" s="52">
        <v>7.23</v>
      </c>
      <c r="G390" s="52">
        <f t="shared" si="45"/>
        <v>8.2000000000000011</v>
      </c>
      <c r="H390" s="110"/>
      <c r="I390" s="81">
        <v>9.61</v>
      </c>
      <c r="J390" s="81">
        <f>VLOOKUP(C390,Recipes!$A$2:$N$4,12,FALSE())</f>
        <v>6.1509461004819709E-2</v>
      </c>
      <c r="K390" s="81">
        <f t="shared" si="46"/>
        <v>9.3947168864831312</v>
      </c>
      <c r="L390" s="81">
        <f t="shared" si="47"/>
        <v>9.8252831135168677</v>
      </c>
      <c r="M390" s="81" t="str">
        <f t="shared" si="48"/>
        <v>NG</v>
      </c>
      <c r="N390" s="117">
        <f t="shared" si="49"/>
        <v>1</v>
      </c>
      <c r="O390" s="81">
        <f t="shared" si="50"/>
        <v>1.4099999999999984</v>
      </c>
      <c r="P390" s="81">
        <f>IF(G390="","",ABS(O390-Components!$C$2))</f>
        <v>1.3433333333333315</v>
      </c>
      <c r="Q390" s="81">
        <f>IF(G390="","",ABS(O390-Components!$C$3))</f>
        <v>2.6260000000000012</v>
      </c>
      <c r="R390" s="81">
        <f>IF(G390="","",ABS(O390-Components!$C$4))</f>
        <v>0.41666666666666541</v>
      </c>
      <c r="S390" s="81">
        <f>IF(G390="","",ABS(O390-Components!$C$5))</f>
        <v>3.1526666666666721</v>
      </c>
      <c r="T390" s="81">
        <f>IF(G390="","",ABS(O390-Components!$C$6))</f>
        <v>0.25433333333332842</v>
      </c>
      <c r="U390" s="81">
        <f>IF(G390="","",ABS(O390-Components!$C$7))</f>
        <v>3.566666666666829E-2</v>
      </c>
      <c r="V390" s="81" t="str">
        <f>IF(G390="","",IF(M390="OK","NONE",INDEX({"S1","S2","W1","W2","N1","N2"},MATCH(MIN(P390:U390),P390:U390,0))))</f>
        <v>N2</v>
      </c>
      <c r="W390" s="117">
        <f t="shared" si="51"/>
        <v>1</v>
      </c>
      <c r="X390" s="58"/>
    </row>
    <row r="391" spans="1:24">
      <c r="A391" s="115">
        <v>389</v>
      </c>
      <c r="B391" s="116">
        <v>13</v>
      </c>
      <c r="C391" s="61" t="s">
        <v>132</v>
      </c>
      <c r="D391" s="61" t="s">
        <v>240</v>
      </c>
      <c r="E391" s="61" t="s">
        <v>110</v>
      </c>
      <c r="F391" s="61">
        <v>7.25</v>
      </c>
      <c r="G391" s="52">
        <f t="shared" si="45"/>
        <v>8.2200000000000006</v>
      </c>
      <c r="H391" s="110"/>
      <c r="I391" s="81">
        <v>9.61</v>
      </c>
      <c r="J391" s="81">
        <f>VLOOKUP(C391,Recipes!$A$2:$N$4,12,FALSE())</f>
        <v>6.1509461004819709E-2</v>
      </c>
      <c r="K391" s="81">
        <f t="shared" si="46"/>
        <v>9.3947168864831312</v>
      </c>
      <c r="L391" s="81">
        <f t="shared" si="47"/>
        <v>9.8252831135168677</v>
      </c>
      <c r="M391" s="81" t="str">
        <f t="shared" si="48"/>
        <v>NG</v>
      </c>
      <c r="N391" s="117">
        <f t="shared" si="49"/>
        <v>1</v>
      </c>
      <c r="O391" s="81">
        <f t="shared" si="50"/>
        <v>1.3899999999999988</v>
      </c>
      <c r="P391" s="81">
        <f>IF(G391="","",ABS(O391-Components!$C$2))</f>
        <v>1.3633333333333311</v>
      </c>
      <c r="Q391" s="81">
        <f>IF(G391="","",ABS(O391-Components!$C$3))</f>
        <v>2.6460000000000008</v>
      </c>
      <c r="R391" s="81">
        <f>IF(G391="","",ABS(O391-Components!$C$4))</f>
        <v>0.39666666666666583</v>
      </c>
      <c r="S391" s="81">
        <f>IF(G391="","",ABS(O391-Components!$C$5))</f>
        <v>3.1726666666666716</v>
      </c>
      <c r="T391" s="81">
        <f>IF(G391="","",ABS(O391-Components!$C$6))</f>
        <v>0.23433333333332884</v>
      </c>
      <c r="U391" s="81">
        <f>IF(G391="","",ABS(O391-Components!$C$7))</f>
        <v>1.5666666666668716E-2</v>
      </c>
      <c r="V391" s="81" t="str">
        <f>IF(G391="","",IF(M391="OK","NONE",INDEX({"S1","S2","W1","W2","N1","N2"},MATCH(MIN(P391:U391),P391:U391,0))))</f>
        <v>N2</v>
      </c>
      <c r="W391" s="117">
        <f t="shared" si="51"/>
        <v>1</v>
      </c>
      <c r="X391" s="58"/>
    </row>
    <row r="392" spans="1:24">
      <c r="A392" s="115">
        <v>390</v>
      </c>
      <c r="B392" s="116">
        <v>13</v>
      </c>
      <c r="C392" s="61" t="s">
        <v>132</v>
      </c>
      <c r="D392" s="61" t="s">
        <v>240</v>
      </c>
      <c r="E392" s="61" t="s">
        <v>110</v>
      </c>
      <c r="F392" s="61">
        <v>7.2</v>
      </c>
      <c r="G392" s="52">
        <f t="shared" si="45"/>
        <v>8.17</v>
      </c>
      <c r="H392" s="110"/>
      <c r="I392" s="81">
        <v>9.61</v>
      </c>
      <c r="J392" s="81">
        <f>VLOOKUP(C392,Recipes!$A$2:$N$4,12,FALSE())</f>
        <v>6.1509461004819709E-2</v>
      </c>
      <c r="K392" s="81">
        <f t="shared" si="46"/>
        <v>9.3947168864831312</v>
      </c>
      <c r="L392" s="81">
        <f t="shared" si="47"/>
        <v>9.8252831135168677</v>
      </c>
      <c r="M392" s="81" t="str">
        <f t="shared" si="48"/>
        <v>NG</v>
      </c>
      <c r="N392" s="117">
        <f t="shared" si="49"/>
        <v>1</v>
      </c>
      <c r="O392" s="81">
        <f t="shared" si="50"/>
        <v>1.4399999999999995</v>
      </c>
      <c r="P392" s="81">
        <f>IF(G392="","",ABS(O392-Components!$C$2))</f>
        <v>1.3133333333333304</v>
      </c>
      <c r="Q392" s="81">
        <f>IF(G392="","",ABS(O392-Components!$C$3))</f>
        <v>2.5960000000000001</v>
      </c>
      <c r="R392" s="81">
        <f>IF(G392="","",ABS(O392-Components!$C$4))</f>
        <v>0.44666666666666655</v>
      </c>
      <c r="S392" s="81">
        <f>IF(G392="","",ABS(O392-Components!$C$5))</f>
        <v>3.1226666666666709</v>
      </c>
      <c r="T392" s="81">
        <f>IF(G392="","",ABS(O392-Components!$C$6))</f>
        <v>0.28433333333332955</v>
      </c>
      <c r="U392" s="81">
        <f>IF(G392="","",ABS(O392-Components!$C$7))</f>
        <v>6.5666666666669427E-2</v>
      </c>
      <c r="V392" s="81" t="str">
        <f>IF(G392="","",IF(M392="OK","NONE",INDEX({"S1","S2","W1","W2","N1","N2"},MATCH(MIN(P392:U392),P392:U392,0))))</f>
        <v>N2</v>
      </c>
      <c r="W392" s="117">
        <f t="shared" si="51"/>
        <v>1</v>
      </c>
      <c r="X392" s="58"/>
    </row>
    <row r="393" spans="1:24">
      <c r="A393" s="115">
        <v>391</v>
      </c>
      <c r="B393" s="116">
        <v>14</v>
      </c>
      <c r="C393" s="81" t="s">
        <v>132</v>
      </c>
      <c r="D393" s="111" t="s">
        <v>240</v>
      </c>
      <c r="E393" s="81" t="s">
        <v>108</v>
      </c>
      <c r="F393" s="61">
        <v>7.39</v>
      </c>
      <c r="G393" s="52">
        <f t="shared" si="45"/>
        <v>8.36</v>
      </c>
      <c r="H393" s="110"/>
      <c r="I393" s="81">
        <v>9.61</v>
      </c>
      <c r="J393" s="81">
        <f>VLOOKUP(C393,Recipes!$A$2:$N$4,12,FALSE())</f>
        <v>6.1509461004819709E-2</v>
      </c>
      <c r="K393" s="81">
        <f t="shared" si="46"/>
        <v>9.3947168864831312</v>
      </c>
      <c r="L393" s="81">
        <f t="shared" si="47"/>
        <v>9.8252831135168677</v>
      </c>
      <c r="M393" s="81" t="str">
        <f t="shared" si="48"/>
        <v>NG</v>
      </c>
      <c r="N393" s="117">
        <f t="shared" si="49"/>
        <v>1</v>
      </c>
      <c r="O393" s="81">
        <f t="shared" si="50"/>
        <v>1.25</v>
      </c>
      <c r="P393" s="81">
        <f>IF(G393="","",ABS(O393-Components!$C$2))</f>
        <v>1.5033333333333299</v>
      </c>
      <c r="Q393" s="81">
        <f>IF(G393="","",ABS(O393-Components!$C$3))</f>
        <v>2.7859999999999996</v>
      </c>
      <c r="R393" s="81">
        <f>IF(G393="","",ABS(O393-Components!$C$4))</f>
        <v>0.25666666666666704</v>
      </c>
      <c r="S393" s="81">
        <f>IF(G393="","",ABS(O393-Components!$C$5))</f>
        <v>3.3126666666666704</v>
      </c>
      <c r="T393" s="81">
        <f>IF(G393="","",ABS(O393-Components!$C$6))</f>
        <v>9.4333333333330049E-2</v>
      </c>
      <c r="U393" s="81">
        <f>IF(G393="","",ABS(O393-Components!$C$7))</f>
        <v>0.12433333333333008</v>
      </c>
      <c r="V393" s="81" t="str">
        <f>IF(G393="","",IF(M393="OK","NONE",INDEX({"S1","S2","W1","W2","N1","N2"},MATCH(MIN(P393:U393),P393:U393,0))))</f>
        <v>N1</v>
      </c>
      <c r="W393" s="117">
        <f t="shared" si="51"/>
        <v>1</v>
      </c>
      <c r="X393" s="58"/>
    </row>
    <row r="394" spans="1:24">
      <c r="A394" s="115">
        <v>392</v>
      </c>
      <c r="B394" s="116">
        <v>14</v>
      </c>
      <c r="C394" s="81" t="s">
        <v>132</v>
      </c>
      <c r="D394" s="111" t="s">
        <v>240</v>
      </c>
      <c r="E394" s="81" t="s">
        <v>108</v>
      </c>
      <c r="F394" s="61">
        <v>7.49</v>
      </c>
      <c r="G394" s="52">
        <f t="shared" si="45"/>
        <v>8.4600000000000009</v>
      </c>
      <c r="H394" s="110"/>
      <c r="I394" s="81">
        <v>9.61</v>
      </c>
      <c r="J394" s="81">
        <f>VLOOKUP(C394,Recipes!$A$2:$N$4,12,FALSE())</f>
        <v>6.1509461004819709E-2</v>
      </c>
      <c r="K394" s="81">
        <f t="shared" si="46"/>
        <v>9.3947168864831312</v>
      </c>
      <c r="L394" s="81">
        <f t="shared" si="47"/>
        <v>9.8252831135168677</v>
      </c>
      <c r="M394" s="81" t="str">
        <f t="shared" si="48"/>
        <v>NG</v>
      </c>
      <c r="N394" s="117">
        <f t="shared" si="49"/>
        <v>1</v>
      </c>
      <c r="O394" s="81">
        <f t="shared" si="50"/>
        <v>1.1499999999999986</v>
      </c>
      <c r="P394" s="81">
        <f>IF(G394="","",ABS(O394-Components!$C$2))</f>
        <v>1.6033333333333313</v>
      </c>
      <c r="Q394" s="81">
        <f>IF(G394="","",ABS(O394-Components!$C$3))</f>
        <v>2.886000000000001</v>
      </c>
      <c r="R394" s="81">
        <f>IF(G394="","",ABS(O394-Components!$C$4))</f>
        <v>0.15666666666666562</v>
      </c>
      <c r="S394" s="81">
        <f>IF(G394="","",ABS(O394-Components!$C$5))</f>
        <v>3.4126666666666718</v>
      </c>
      <c r="T394" s="81">
        <f>IF(G394="","",ABS(O394-Components!$C$6))</f>
        <v>5.6666666666713716E-3</v>
      </c>
      <c r="U394" s="81">
        <f>IF(G394="","",ABS(O394-Components!$C$7))</f>
        <v>0.2243333333333315</v>
      </c>
      <c r="V394" s="81" t="str">
        <f>IF(G394="","",IF(M394="OK","NONE",INDEX({"S1","S2","W1","W2","N1","N2"},MATCH(MIN(P394:U394),P394:U394,0))))</f>
        <v>N1</v>
      </c>
      <c r="W394" s="117">
        <f t="shared" si="51"/>
        <v>1</v>
      </c>
      <c r="X394" s="58"/>
    </row>
    <row r="395" spans="1:24">
      <c r="A395" s="115">
        <v>393</v>
      </c>
      <c r="B395" s="116">
        <v>14</v>
      </c>
      <c r="C395" s="81" t="s">
        <v>132</v>
      </c>
      <c r="D395" s="111" t="s">
        <v>240</v>
      </c>
      <c r="E395" s="81" t="s">
        <v>108</v>
      </c>
      <c r="F395" s="61">
        <v>7.43</v>
      </c>
      <c r="G395" s="52">
        <f t="shared" si="45"/>
        <v>8.4</v>
      </c>
      <c r="H395" s="110"/>
      <c r="I395" s="81">
        <v>9.61</v>
      </c>
      <c r="J395" s="81">
        <f>VLOOKUP(C395,Recipes!$A$2:$N$4,12,FALSE())</f>
        <v>6.1509461004819709E-2</v>
      </c>
      <c r="K395" s="81">
        <f t="shared" si="46"/>
        <v>9.3947168864831312</v>
      </c>
      <c r="L395" s="81">
        <f t="shared" si="47"/>
        <v>9.8252831135168677</v>
      </c>
      <c r="M395" s="81" t="str">
        <f t="shared" si="48"/>
        <v>NG</v>
      </c>
      <c r="N395" s="117">
        <f t="shared" si="49"/>
        <v>1</v>
      </c>
      <c r="O395" s="81">
        <f t="shared" si="50"/>
        <v>1.2099999999999991</v>
      </c>
      <c r="P395" s="81">
        <f>IF(G395="","",ABS(O395-Components!$C$2))</f>
        <v>1.5433333333333308</v>
      </c>
      <c r="Q395" s="81">
        <f>IF(G395="","",ABS(O395-Components!$C$3))</f>
        <v>2.8260000000000005</v>
      </c>
      <c r="R395" s="81">
        <f>IF(G395="","",ABS(O395-Components!$C$4))</f>
        <v>0.21666666666666612</v>
      </c>
      <c r="S395" s="81">
        <f>IF(G395="","",ABS(O395-Components!$C$5))</f>
        <v>3.3526666666666713</v>
      </c>
      <c r="T395" s="81">
        <f>IF(G395="","",ABS(O395-Components!$C$6))</f>
        <v>5.4333333333329126E-2</v>
      </c>
      <c r="U395" s="81">
        <f>IF(G395="","",ABS(O395-Components!$C$7))</f>
        <v>0.164333333333331</v>
      </c>
      <c r="V395" s="81" t="str">
        <f>IF(G395="","",IF(M395="OK","NONE",INDEX({"S1","S2","W1","W2","N1","N2"},MATCH(MIN(P395:U395),P395:U395,0))))</f>
        <v>N1</v>
      </c>
      <c r="W395" s="117">
        <f t="shared" si="51"/>
        <v>1</v>
      </c>
      <c r="X395" s="58"/>
    </row>
    <row r="396" spans="1:24">
      <c r="A396" s="115">
        <v>394</v>
      </c>
      <c r="B396" s="116">
        <v>14</v>
      </c>
      <c r="C396" s="81" t="s">
        <v>132</v>
      </c>
      <c r="D396" s="111" t="s">
        <v>240</v>
      </c>
      <c r="E396" s="81" t="s">
        <v>108</v>
      </c>
      <c r="F396" s="61">
        <v>7.39</v>
      </c>
      <c r="G396" s="52">
        <f t="shared" si="45"/>
        <v>8.36</v>
      </c>
      <c r="H396" s="110"/>
      <c r="I396" s="81">
        <v>9.61</v>
      </c>
      <c r="J396" s="81">
        <f>VLOOKUP(C396,Recipes!$A$2:$N$4,12,FALSE())</f>
        <v>6.1509461004819709E-2</v>
      </c>
      <c r="K396" s="81">
        <f t="shared" si="46"/>
        <v>9.3947168864831312</v>
      </c>
      <c r="L396" s="81">
        <f t="shared" si="47"/>
        <v>9.8252831135168677</v>
      </c>
      <c r="M396" s="81" t="str">
        <f t="shared" si="48"/>
        <v>NG</v>
      </c>
      <c r="N396" s="117">
        <f t="shared" si="49"/>
        <v>1</v>
      </c>
      <c r="O396" s="81">
        <f t="shared" si="50"/>
        <v>1.25</v>
      </c>
      <c r="P396" s="81">
        <f>IF(G396="","",ABS(O396-Components!$C$2))</f>
        <v>1.5033333333333299</v>
      </c>
      <c r="Q396" s="81">
        <f>IF(G396="","",ABS(O396-Components!$C$3))</f>
        <v>2.7859999999999996</v>
      </c>
      <c r="R396" s="81">
        <f>IF(G396="","",ABS(O396-Components!$C$4))</f>
        <v>0.25666666666666704</v>
      </c>
      <c r="S396" s="81">
        <f>IF(G396="","",ABS(O396-Components!$C$5))</f>
        <v>3.3126666666666704</v>
      </c>
      <c r="T396" s="81">
        <f>IF(G396="","",ABS(O396-Components!$C$6))</f>
        <v>9.4333333333330049E-2</v>
      </c>
      <c r="U396" s="81">
        <f>IF(G396="","",ABS(O396-Components!$C$7))</f>
        <v>0.12433333333333008</v>
      </c>
      <c r="V396" s="81" t="str">
        <f>IF(G396="","",IF(M396="OK","NONE",INDEX({"S1","S2","W1","W2","N1","N2"},MATCH(MIN(P396:U396),P396:U396,0))))</f>
        <v>N1</v>
      </c>
      <c r="W396" s="117">
        <f t="shared" si="51"/>
        <v>1</v>
      </c>
      <c r="X396" s="58"/>
    </row>
    <row r="397" spans="1:24">
      <c r="A397" s="115">
        <v>395</v>
      </c>
      <c r="B397" s="116">
        <v>14</v>
      </c>
      <c r="C397" s="81" t="s">
        <v>132</v>
      </c>
      <c r="D397" s="111" t="s">
        <v>240</v>
      </c>
      <c r="E397" s="81" t="s">
        <v>108</v>
      </c>
      <c r="F397" s="61">
        <v>7.49</v>
      </c>
      <c r="G397" s="52">
        <f t="shared" si="45"/>
        <v>8.4600000000000009</v>
      </c>
      <c r="H397" s="110"/>
      <c r="I397" s="81">
        <v>9.61</v>
      </c>
      <c r="J397" s="81">
        <f>VLOOKUP(C397,Recipes!$A$2:$N$4,12,FALSE())</f>
        <v>6.1509461004819709E-2</v>
      </c>
      <c r="K397" s="81">
        <f t="shared" si="46"/>
        <v>9.3947168864831312</v>
      </c>
      <c r="L397" s="81">
        <f t="shared" si="47"/>
        <v>9.8252831135168677</v>
      </c>
      <c r="M397" s="81" t="str">
        <f t="shared" si="48"/>
        <v>NG</v>
      </c>
      <c r="N397" s="117">
        <f t="shared" si="49"/>
        <v>1</v>
      </c>
      <c r="O397" s="81">
        <f t="shared" si="50"/>
        <v>1.1499999999999986</v>
      </c>
      <c r="P397" s="81">
        <f>IF(G397="","",ABS(O397-Components!$C$2))</f>
        <v>1.6033333333333313</v>
      </c>
      <c r="Q397" s="81">
        <f>IF(G397="","",ABS(O397-Components!$C$3))</f>
        <v>2.886000000000001</v>
      </c>
      <c r="R397" s="81">
        <f>IF(G397="","",ABS(O397-Components!$C$4))</f>
        <v>0.15666666666666562</v>
      </c>
      <c r="S397" s="81">
        <f>IF(G397="","",ABS(O397-Components!$C$5))</f>
        <v>3.4126666666666718</v>
      </c>
      <c r="T397" s="81">
        <f>IF(G397="","",ABS(O397-Components!$C$6))</f>
        <v>5.6666666666713716E-3</v>
      </c>
      <c r="U397" s="81">
        <f>IF(G397="","",ABS(O397-Components!$C$7))</f>
        <v>0.2243333333333315</v>
      </c>
      <c r="V397" s="81" t="str">
        <f>IF(G397="","",IF(M397="OK","NONE",INDEX({"S1","S2","W1","W2","N1","N2"},MATCH(MIN(P397:U397),P397:U397,0))))</f>
        <v>N1</v>
      </c>
      <c r="W397" s="117">
        <f t="shared" si="51"/>
        <v>1</v>
      </c>
      <c r="X397" s="58"/>
    </row>
    <row r="398" spans="1:24">
      <c r="A398" s="115">
        <v>396</v>
      </c>
      <c r="B398" s="116">
        <v>14</v>
      </c>
      <c r="C398" s="81" t="s">
        <v>132</v>
      </c>
      <c r="D398" s="111" t="s">
        <v>240</v>
      </c>
      <c r="E398" s="81" t="s">
        <v>108</v>
      </c>
      <c r="F398" s="61">
        <v>7.48</v>
      </c>
      <c r="G398" s="52">
        <f t="shared" si="45"/>
        <v>8.4500000000000011</v>
      </c>
      <c r="H398" s="110"/>
      <c r="I398" s="81">
        <v>9.61</v>
      </c>
      <c r="J398" s="81">
        <f>VLOOKUP(C398,Recipes!$A$2:$N$4,12,FALSE())</f>
        <v>6.1509461004819709E-2</v>
      </c>
      <c r="K398" s="81">
        <f t="shared" si="46"/>
        <v>9.3947168864831312</v>
      </c>
      <c r="L398" s="81">
        <f t="shared" si="47"/>
        <v>9.8252831135168677</v>
      </c>
      <c r="M398" s="81" t="str">
        <f t="shared" si="48"/>
        <v>NG</v>
      </c>
      <c r="N398" s="117">
        <f t="shared" si="49"/>
        <v>1</v>
      </c>
      <c r="O398" s="81">
        <f t="shared" si="50"/>
        <v>1.1599999999999984</v>
      </c>
      <c r="P398" s="81">
        <f>IF(G398="","",ABS(O398-Components!$C$2))</f>
        <v>1.5933333333333315</v>
      </c>
      <c r="Q398" s="81">
        <f>IF(G398="","",ABS(O398-Components!$C$3))</f>
        <v>2.8760000000000012</v>
      </c>
      <c r="R398" s="81">
        <f>IF(G398="","",ABS(O398-Components!$C$4))</f>
        <v>0.16666666666666541</v>
      </c>
      <c r="S398" s="81">
        <f>IF(G398="","",ABS(O398-Components!$C$5))</f>
        <v>3.4026666666666721</v>
      </c>
      <c r="T398" s="81">
        <f>IF(G398="","",ABS(O398-Components!$C$6))</f>
        <v>4.3333333333284152E-3</v>
      </c>
      <c r="U398" s="81">
        <f>IF(G398="","",ABS(O398-Components!$C$7))</f>
        <v>0.21433333333333171</v>
      </c>
      <c r="V398" s="81" t="str">
        <f>IF(G398="","",IF(M398="OK","NONE",INDEX({"S1","S2","W1","W2","N1","N2"},MATCH(MIN(P398:U398),P398:U398,0))))</f>
        <v>N1</v>
      </c>
      <c r="W398" s="117">
        <f t="shared" si="51"/>
        <v>1</v>
      </c>
      <c r="X398" s="58"/>
    </row>
    <row r="399" spans="1:24">
      <c r="A399" s="115">
        <v>397</v>
      </c>
      <c r="B399" s="116">
        <v>14</v>
      </c>
      <c r="C399" s="81" t="s">
        <v>132</v>
      </c>
      <c r="D399" s="111" t="s">
        <v>240</v>
      </c>
      <c r="E399" s="81" t="s">
        <v>108</v>
      </c>
      <c r="F399" s="61">
        <v>7.46</v>
      </c>
      <c r="G399" s="52">
        <f t="shared" si="45"/>
        <v>8.43</v>
      </c>
      <c r="H399" s="110"/>
      <c r="I399" s="81">
        <v>9.61</v>
      </c>
      <c r="J399" s="81">
        <f>VLOOKUP(C399,Recipes!$A$2:$N$4,12,FALSE())</f>
        <v>6.1509461004819709E-2</v>
      </c>
      <c r="K399" s="81">
        <f t="shared" si="46"/>
        <v>9.3947168864831312</v>
      </c>
      <c r="L399" s="81">
        <f t="shared" si="47"/>
        <v>9.8252831135168677</v>
      </c>
      <c r="M399" s="81" t="str">
        <f t="shared" si="48"/>
        <v>NG</v>
      </c>
      <c r="N399" s="117">
        <f t="shared" si="49"/>
        <v>1</v>
      </c>
      <c r="O399" s="81">
        <f t="shared" si="50"/>
        <v>1.1799999999999997</v>
      </c>
      <c r="P399" s="81">
        <f>IF(G399="","",ABS(O399-Components!$C$2))</f>
        <v>1.5733333333333301</v>
      </c>
      <c r="Q399" s="81">
        <f>IF(G399="","",ABS(O399-Components!$C$3))</f>
        <v>2.8559999999999999</v>
      </c>
      <c r="R399" s="81">
        <f>IF(G399="","",ABS(O399-Components!$C$4))</f>
        <v>0.18666666666666676</v>
      </c>
      <c r="S399" s="81">
        <f>IF(G399="","",ABS(O399-Components!$C$5))</f>
        <v>3.3826666666666707</v>
      </c>
      <c r="T399" s="81">
        <f>IF(G399="","",ABS(O399-Components!$C$6))</f>
        <v>2.4333333333329765E-2</v>
      </c>
      <c r="U399" s="81">
        <f>IF(G399="","",ABS(O399-Components!$C$7))</f>
        <v>0.19433333333333036</v>
      </c>
      <c r="V399" s="81" t="str">
        <f>IF(G399="","",IF(M399="OK","NONE",INDEX({"S1","S2","W1","W2","N1","N2"},MATCH(MIN(P399:U399),P399:U399,0))))</f>
        <v>N1</v>
      </c>
      <c r="W399" s="117">
        <f t="shared" si="51"/>
        <v>1</v>
      </c>
      <c r="X399" s="58"/>
    </row>
    <row r="400" spans="1:24">
      <c r="A400" s="115">
        <v>398</v>
      </c>
      <c r="B400" s="116">
        <v>14</v>
      </c>
      <c r="C400" s="81" t="s">
        <v>132</v>
      </c>
      <c r="D400" s="111" t="s">
        <v>240</v>
      </c>
      <c r="E400" s="81" t="s">
        <v>108</v>
      </c>
      <c r="F400" s="61">
        <v>7.48</v>
      </c>
      <c r="G400" s="52">
        <f t="shared" si="45"/>
        <v>8.4500000000000011</v>
      </c>
      <c r="H400" s="110"/>
      <c r="I400" s="81">
        <v>9.61</v>
      </c>
      <c r="J400" s="81">
        <f>VLOOKUP(C400,Recipes!$A$2:$N$4,12,FALSE())</f>
        <v>6.1509461004819709E-2</v>
      </c>
      <c r="K400" s="81">
        <f t="shared" si="46"/>
        <v>9.3947168864831312</v>
      </c>
      <c r="L400" s="81">
        <f t="shared" si="47"/>
        <v>9.8252831135168677</v>
      </c>
      <c r="M400" s="81" t="str">
        <f t="shared" si="48"/>
        <v>NG</v>
      </c>
      <c r="N400" s="117">
        <f t="shared" si="49"/>
        <v>1</v>
      </c>
      <c r="O400" s="81">
        <f t="shared" si="50"/>
        <v>1.1599999999999984</v>
      </c>
      <c r="P400" s="81">
        <f>IF(G400="","",ABS(O400-Components!$C$2))</f>
        <v>1.5933333333333315</v>
      </c>
      <c r="Q400" s="81">
        <f>IF(G400="","",ABS(O400-Components!$C$3))</f>
        <v>2.8760000000000012</v>
      </c>
      <c r="R400" s="81">
        <f>IF(G400="","",ABS(O400-Components!$C$4))</f>
        <v>0.16666666666666541</v>
      </c>
      <c r="S400" s="81">
        <f>IF(G400="","",ABS(O400-Components!$C$5))</f>
        <v>3.4026666666666721</v>
      </c>
      <c r="T400" s="81">
        <f>IF(G400="","",ABS(O400-Components!$C$6))</f>
        <v>4.3333333333284152E-3</v>
      </c>
      <c r="U400" s="81">
        <f>IF(G400="","",ABS(O400-Components!$C$7))</f>
        <v>0.21433333333333171</v>
      </c>
      <c r="V400" s="81" t="str">
        <f>IF(G400="","",IF(M400="OK","NONE",INDEX({"S1","S2","W1","W2","N1","N2"},MATCH(MIN(P400:U400),P400:U400,0))))</f>
        <v>N1</v>
      </c>
      <c r="W400" s="117">
        <f t="shared" si="51"/>
        <v>1</v>
      </c>
      <c r="X400" s="58"/>
    </row>
    <row r="401" spans="1:24">
      <c r="A401" s="115">
        <v>399</v>
      </c>
      <c r="B401" s="116">
        <v>14</v>
      </c>
      <c r="C401" s="81" t="s">
        <v>132</v>
      </c>
      <c r="D401" s="111" t="s">
        <v>240</v>
      </c>
      <c r="E401" s="81" t="s">
        <v>108</v>
      </c>
      <c r="F401" s="61">
        <v>7.45</v>
      </c>
      <c r="G401" s="52">
        <f t="shared" si="45"/>
        <v>8.42</v>
      </c>
      <c r="H401" s="110"/>
      <c r="I401" s="81">
        <v>9.61</v>
      </c>
      <c r="J401" s="81">
        <f>VLOOKUP(C401,Recipes!$A$2:$N$4,12,FALSE())</f>
        <v>6.1509461004819709E-2</v>
      </c>
      <c r="K401" s="81">
        <f t="shared" si="46"/>
        <v>9.3947168864831312</v>
      </c>
      <c r="L401" s="81">
        <f t="shared" si="47"/>
        <v>9.8252831135168677</v>
      </c>
      <c r="M401" s="81" t="str">
        <f t="shared" si="48"/>
        <v>NG</v>
      </c>
      <c r="N401" s="117">
        <f t="shared" si="49"/>
        <v>1</v>
      </c>
      <c r="O401" s="81">
        <f t="shared" si="50"/>
        <v>1.1899999999999995</v>
      </c>
      <c r="P401" s="81">
        <f>IF(G401="","",ABS(O401-Components!$C$2))</f>
        <v>1.5633333333333304</v>
      </c>
      <c r="Q401" s="81">
        <f>IF(G401="","",ABS(O401-Components!$C$3))</f>
        <v>2.8460000000000001</v>
      </c>
      <c r="R401" s="81">
        <f>IF(G401="","",ABS(O401-Components!$C$4))</f>
        <v>0.19666666666666655</v>
      </c>
      <c r="S401" s="81">
        <f>IF(G401="","",ABS(O401-Components!$C$5))</f>
        <v>3.3726666666666709</v>
      </c>
      <c r="T401" s="81">
        <f>IF(G401="","",ABS(O401-Components!$C$6))</f>
        <v>3.4333333333329552E-2</v>
      </c>
      <c r="U401" s="81">
        <f>IF(G401="","",ABS(O401-Components!$C$7))</f>
        <v>0.18433333333333057</v>
      </c>
      <c r="V401" s="81" t="str">
        <f>IF(G401="","",IF(M401="OK","NONE",INDEX({"S1","S2","W1","W2","N1","N2"},MATCH(MIN(P401:U401),P401:U401,0))))</f>
        <v>N1</v>
      </c>
      <c r="W401" s="117">
        <f t="shared" si="51"/>
        <v>1</v>
      </c>
      <c r="X401" s="58"/>
    </row>
    <row r="402" spans="1:24">
      <c r="A402" s="115">
        <v>400</v>
      </c>
      <c r="B402" s="116">
        <v>14</v>
      </c>
      <c r="C402" s="81" t="s">
        <v>132</v>
      </c>
      <c r="D402" s="111" t="s">
        <v>240</v>
      </c>
      <c r="E402" s="81" t="s">
        <v>108</v>
      </c>
      <c r="F402" s="61">
        <v>7.43</v>
      </c>
      <c r="G402" s="52">
        <f t="shared" si="45"/>
        <v>8.4</v>
      </c>
      <c r="H402" s="110"/>
      <c r="I402" s="81">
        <v>9.61</v>
      </c>
      <c r="J402" s="81">
        <f>VLOOKUP(C402,Recipes!$A$2:$N$4,12,FALSE())</f>
        <v>6.1509461004819709E-2</v>
      </c>
      <c r="K402" s="81">
        <f t="shared" si="46"/>
        <v>9.3947168864831312</v>
      </c>
      <c r="L402" s="81">
        <f t="shared" si="47"/>
        <v>9.8252831135168677</v>
      </c>
      <c r="M402" s="81" t="str">
        <f t="shared" si="48"/>
        <v>NG</v>
      </c>
      <c r="N402" s="117">
        <f t="shared" si="49"/>
        <v>1</v>
      </c>
      <c r="O402" s="81">
        <f t="shared" si="50"/>
        <v>1.2099999999999991</v>
      </c>
      <c r="P402" s="81">
        <f>IF(G402="","",ABS(O402-Components!$C$2))</f>
        <v>1.5433333333333308</v>
      </c>
      <c r="Q402" s="81">
        <f>IF(G402="","",ABS(O402-Components!$C$3))</f>
        <v>2.8260000000000005</v>
      </c>
      <c r="R402" s="81">
        <f>IF(G402="","",ABS(O402-Components!$C$4))</f>
        <v>0.21666666666666612</v>
      </c>
      <c r="S402" s="81">
        <f>IF(G402="","",ABS(O402-Components!$C$5))</f>
        <v>3.3526666666666713</v>
      </c>
      <c r="T402" s="81">
        <f>IF(G402="","",ABS(O402-Components!$C$6))</f>
        <v>5.4333333333329126E-2</v>
      </c>
      <c r="U402" s="81">
        <f>IF(G402="","",ABS(O402-Components!$C$7))</f>
        <v>0.164333333333331</v>
      </c>
      <c r="V402" s="81" t="str">
        <f>IF(G402="","",IF(M402="OK","NONE",INDEX({"S1","S2","W1","W2","N1","N2"},MATCH(MIN(P402:U402),P402:U402,0))))</f>
        <v>N1</v>
      </c>
      <c r="W402" s="117">
        <f t="shared" si="51"/>
        <v>1</v>
      </c>
      <c r="X402" s="58"/>
    </row>
    <row r="403" spans="1:24">
      <c r="A403" s="115">
        <v>401</v>
      </c>
      <c r="B403" s="116">
        <v>14</v>
      </c>
      <c r="C403" s="81" t="s">
        <v>132</v>
      </c>
      <c r="D403" s="111" t="s">
        <v>240</v>
      </c>
      <c r="E403" s="81" t="s">
        <v>108</v>
      </c>
      <c r="F403" s="61">
        <v>7.48</v>
      </c>
      <c r="G403" s="52">
        <f t="shared" si="45"/>
        <v>8.4500000000000011</v>
      </c>
      <c r="H403" s="110"/>
      <c r="I403" s="81">
        <v>9.61</v>
      </c>
      <c r="J403" s="81">
        <f>VLOOKUP(C403,Recipes!$A$2:$N$4,12,FALSE())</f>
        <v>6.1509461004819709E-2</v>
      </c>
      <c r="K403" s="81">
        <f t="shared" si="46"/>
        <v>9.3947168864831312</v>
      </c>
      <c r="L403" s="81">
        <f t="shared" si="47"/>
        <v>9.8252831135168677</v>
      </c>
      <c r="M403" s="81" t="str">
        <f t="shared" si="48"/>
        <v>NG</v>
      </c>
      <c r="N403" s="117">
        <f t="shared" si="49"/>
        <v>1</v>
      </c>
      <c r="O403" s="81">
        <f t="shared" si="50"/>
        <v>1.1599999999999984</v>
      </c>
      <c r="P403" s="81">
        <f>IF(G403="","",ABS(O403-Components!$C$2))</f>
        <v>1.5933333333333315</v>
      </c>
      <c r="Q403" s="81">
        <f>IF(G403="","",ABS(O403-Components!$C$3))</f>
        <v>2.8760000000000012</v>
      </c>
      <c r="R403" s="81">
        <f>IF(G403="","",ABS(O403-Components!$C$4))</f>
        <v>0.16666666666666541</v>
      </c>
      <c r="S403" s="81">
        <f>IF(G403="","",ABS(O403-Components!$C$5))</f>
        <v>3.4026666666666721</v>
      </c>
      <c r="T403" s="81">
        <f>IF(G403="","",ABS(O403-Components!$C$6))</f>
        <v>4.3333333333284152E-3</v>
      </c>
      <c r="U403" s="81">
        <f>IF(G403="","",ABS(O403-Components!$C$7))</f>
        <v>0.21433333333333171</v>
      </c>
      <c r="V403" s="81" t="str">
        <f>IF(G403="","",IF(M403="OK","NONE",INDEX({"S1","S2","W1","W2","N1","N2"},MATCH(MIN(P403:U403),P403:U403,0))))</f>
        <v>N1</v>
      </c>
      <c r="W403" s="117">
        <f t="shared" si="51"/>
        <v>1</v>
      </c>
      <c r="X403" s="58"/>
    </row>
    <row r="404" spans="1:24">
      <c r="A404" s="115">
        <v>402</v>
      </c>
      <c r="B404" s="116">
        <v>14</v>
      </c>
      <c r="C404" s="81" t="s">
        <v>132</v>
      </c>
      <c r="D404" s="111" t="s">
        <v>240</v>
      </c>
      <c r="E404" s="81" t="s">
        <v>108</v>
      </c>
      <c r="F404" s="61">
        <v>7.46</v>
      </c>
      <c r="G404" s="52">
        <f t="shared" si="45"/>
        <v>8.43</v>
      </c>
      <c r="H404" s="110"/>
      <c r="I404" s="81">
        <v>9.61</v>
      </c>
      <c r="J404" s="81">
        <f>VLOOKUP(C404,Recipes!$A$2:$N$4,12,FALSE())</f>
        <v>6.1509461004819709E-2</v>
      </c>
      <c r="K404" s="81">
        <f t="shared" si="46"/>
        <v>9.3947168864831312</v>
      </c>
      <c r="L404" s="81">
        <f t="shared" si="47"/>
        <v>9.8252831135168677</v>
      </c>
      <c r="M404" s="81" t="str">
        <f t="shared" si="48"/>
        <v>NG</v>
      </c>
      <c r="N404" s="117">
        <f t="shared" si="49"/>
        <v>1</v>
      </c>
      <c r="O404" s="81">
        <f t="shared" si="50"/>
        <v>1.1799999999999997</v>
      </c>
      <c r="P404" s="81">
        <f>IF(G404="","",ABS(O404-Components!$C$2))</f>
        <v>1.5733333333333301</v>
      </c>
      <c r="Q404" s="81">
        <f>IF(G404="","",ABS(O404-Components!$C$3))</f>
        <v>2.8559999999999999</v>
      </c>
      <c r="R404" s="81">
        <f>IF(G404="","",ABS(O404-Components!$C$4))</f>
        <v>0.18666666666666676</v>
      </c>
      <c r="S404" s="81">
        <f>IF(G404="","",ABS(O404-Components!$C$5))</f>
        <v>3.3826666666666707</v>
      </c>
      <c r="T404" s="81">
        <f>IF(G404="","",ABS(O404-Components!$C$6))</f>
        <v>2.4333333333329765E-2</v>
      </c>
      <c r="U404" s="81">
        <f>IF(G404="","",ABS(O404-Components!$C$7))</f>
        <v>0.19433333333333036</v>
      </c>
      <c r="V404" s="81" t="str">
        <f>IF(G404="","",IF(M404="OK","NONE",INDEX({"S1","S2","W1","W2","N1","N2"},MATCH(MIN(P404:U404),P404:U404,0))))</f>
        <v>N1</v>
      </c>
      <c r="W404" s="117">
        <f t="shared" si="51"/>
        <v>1</v>
      </c>
      <c r="X404" s="58"/>
    </row>
    <row r="405" spans="1:24">
      <c r="A405" s="115">
        <v>403</v>
      </c>
      <c r="B405" s="116">
        <v>14</v>
      </c>
      <c r="C405" s="81" t="s">
        <v>132</v>
      </c>
      <c r="D405" s="111" t="s">
        <v>240</v>
      </c>
      <c r="E405" s="81" t="s">
        <v>108</v>
      </c>
      <c r="F405" s="61">
        <v>7.47</v>
      </c>
      <c r="G405" s="52">
        <f t="shared" si="45"/>
        <v>8.44</v>
      </c>
      <c r="H405" s="110"/>
      <c r="I405" s="81">
        <v>9.61</v>
      </c>
      <c r="J405" s="81">
        <f>VLOOKUP(C405,Recipes!$A$2:$N$4,12,FALSE())</f>
        <v>6.1509461004819709E-2</v>
      </c>
      <c r="K405" s="81">
        <f t="shared" si="46"/>
        <v>9.3947168864831312</v>
      </c>
      <c r="L405" s="81">
        <f t="shared" si="47"/>
        <v>9.8252831135168677</v>
      </c>
      <c r="M405" s="81" t="str">
        <f t="shared" si="48"/>
        <v>NG</v>
      </c>
      <c r="N405" s="117">
        <f t="shared" si="49"/>
        <v>1</v>
      </c>
      <c r="O405" s="81">
        <f t="shared" si="50"/>
        <v>1.17</v>
      </c>
      <c r="P405" s="81">
        <f>IF(G405="","",ABS(O405-Components!$C$2))</f>
        <v>1.5833333333333299</v>
      </c>
      <c r="Q405" s="81">
        <f>IF(G405="","",ABS(O405-Components!$C$3))</f>
        <v>2.8659999999999997</v>
      </c>
      <c r="R405" s="81">
        <f>IF(G405="","",ABS(O405-Components!$C$4))</f>
        <v>0.17666666666666697</v>
      </c>
      <c r="S405" s="81">
        <f>IF(G405="","",ABS(O405-Components!$C$5))</f>
        <v>3.3926666666666705</v>
      </c>
      <c r="T405" s="81">
        <f>IF(G405="","",ABS(O405-Components!$C$6))</f>
        <v>1.4333333333329978E-2</v>
      </c>
      <c r="U405" s="81">
        <f>IF(G405="","",ABS(O405-Components!$C$7))</f>
        <v>0.20433333333333015</v>
      </c>
      <c r="V405" s="81" t="str">
        <f>IF(G405="","",IF(M405="OK","NONE",INDEX({"S1","S2","W1","W2","N1","N2"},MATCH(MIN(P405:U405),P405:U405,0))))</f>
        <v>N1</v>
      </c>
      <c r="W405" s="117">
        <f t="shared" si="51"/>
        <v>1</v>
      </c>
      <c r="X405" s="58"/>
    </row>
    <row r="406" spans="1:24">
      <c r="A406" s="115">
        <v>404</v>
      </c>
      <c r="B406" s="116">
        <v>14</v>
      </c>
      <c r="C406" s="81" t="s">
        <v>132</v>
      </c>
      <c r="D406" s="111" t="s">
        <v>240</v>
      </c>
      <c r="E406" s="81" t="s">
        <v>108</v>
      </c>
      <c r="F406" s="61">
        <v>7.3</v>
      </c>
      <c r="G406" s="52">
        <f t="shared" si="45"/>
        <v>8.27</v>
      </c>
      <c r="H406" s="110"/>
      <c r="I406" s="81">
        <v>9.61</v>
      </c>
      <c r="J406" s="81">
        <f>VLOOKUP(C406,Recipes!$A$2:$N$4,12,FALSE())</f>
        <v>6.1509461004819709E-2</v>
      </c>
      <c r="K406" s="81">
        <f t="shared" si="46"/>
        <v>9.3947168864831312</v>
      </c>
      <c r="L406" s="81">
        <f t="shared" si="47"/>
        <v>9.8252831135168677</v>
      </c>
      <c r="M406" s="81" t="str">
        <f t="shared" si="48"/>
        <v>NG</v>
      </c>
      <c r="N406" s="117">
        <f t="shared" si="49"/>
        <v>1</v>
      </c>
      <c r="O406" s="81">
        <f t="shared" si="50"/>
        <v>1.3399999999999999</v>
      </c>
      <c r="P406" s="81">
        <f>IF(G406="","",ABS(O406-Components!$C$2))</f>
        <v>1.41333333333333</v>
      </c>
      <c r="Q406" s="81">
        <f>IF(G406="","",ABS(O406-Components!$C$3))</f>
        <v>2.6959999999999997</v>
      </c>
      <c r="R406" s="81">
        <f>IF(G406="","",ABS(O406-Components!$C$4))</f>
        <v>0.3466666666666669</v>
      </c>
      <c r="S406" s="81">
        <f>IF(G406="","",ABS(O406-Components!$C$5))</f>
        <v>3.2226666666666706</v>
      </c>
      <c r="T406" s="81">
        <f>IF(G406="","",ABS(O406-Components!$C$6))</f>
        <v>0.18433333333332991</v>
      </c>
      <c r="U406" s="81">
        <f>IF(G406="","",ABS(O406-Components!$C$7))</f>
        <v>3.4333333333330218E-2</v>
      </c>
      <c r="V406" s="81" t="str">
        <f>IF(G406="","",IF(M406="OK","NONE",INDEX({"S1","S2","W1","W2","N1","N2"},MATCH(MIN(P406:U406),P406:U406,0))))</f>
        <v>N2</v>
      </c>
      <c r="W406" s="122">
        <f t="shared" si="51"/>
        <v>0</v>
      </c>
      <c r="X406" s="58"/>
    </row>
    <row r="407" spans="1:24">
      <c r="A407" s="115">
        <v>405</v>
      </c>
      <c r="B407" s="116">
        <v>14</v>
      </c>
      <c r="C407" s="81" t="s">
        <v>132</v>
      </c>
      <c r="D407" s="111" t="s">
        <v>240</v>
      </c>
      <c r="E407" s="81" t="s">
        <v>108</v>
      </c>
      <c r="F407" s="61">
        <v>7.44</v>
      </c>
      <c r="G407" s="52">
        <f t="shared" si="45"/>
        <v>8.41</v>
      </c>
      <c r="H407" s="110"/>
      <c r="I407" s="81">
        <v>9.61</v>
      </c>
      <c r="J407" s="81">
        <f>VLOOKUP(C407,Recipes!$A$2:$N$4,12,FALSE())</f>
        <v>6.1509461004819709E-2</v>
      </c>
      <c r="K407" s="81">
        <f t="shared" si="46"/>
        <v>9.3947168864831312</v>
      </c>
      <c r="L407" s="81">
        <f t="shared" si="47"/>
        <v>9.8252831135168677</v>
      </c>
      <c r="M407" s="81" t="str">
        <f t="shared" si="48"/>
        <v>NG</v>
      </c>
      <c r="N407" s="117">
        <f t="shared" si="49"/>
        <v>1</v>
      </c>
      <c r="O407" s="81">
        <f t="shared" si="50"/>
        <v>1.1999999999999993</v>
      </c>
      <c r="P407" s="81">
        <f>IF(G407="","",ABS(O407-Components!$C$2))</f>
        <v>1.5533333333333306</v>
      </c>
      <c r="Q407" s="81">
        <f>IF(G407="","",ABS(O407-Components!$C$3))</f>
        <v>2.8360000000000003</v>
      </c>
      <c r="R407" s="81">
        <f>IF(G407="","",ABS(O407-Components!$C$4))</f>
        <v>0.20666666666666633</v>
      </c>
      <c r="S407" s="81">
        <f>IF(G407="","",ABS(O407-Components!$C$5))</f>
        <v>3.3626666666666711</v>
      </c>
      <c r="T407" s="81">
        <f>IF(G407="","",ABS(O407-Components!$C$6))</f>
        <v>4.4333333333329339E-2</v>
      </c>
      <c r="U407" s="81">
        <f>IF(G407="","",ABS(O407-Components!$C$7))</f>
        <v>0.17433333333333079</v>
      </c>
      <c r="V407" s="81" t="str">
        <f>IF(G407="","",IF(M407="OK","NONE",INDEX({"S1","S2","W1","W2","N1","N2"},MATCH(MIN(P407:U407),P407:U407,0))))</f>
        <v>N1</v>
      </c>
      <c r="W407" s="117">
        <f t="shared" si="51"/>
        <v>1</v>
      </c>
      <c r="X407" s="58"/>
    </row>
    <row r="408" spans="1:24">
      <c r="A408" s="115">
        <v>406</v>
      </c>
      <c r="B408" s="116">
        <v>14</v>
      </c>
      <c r="C408" s="81" t="s">
        <v>132</v>
      </c>
      <c r="D408" s="111" t="s">
        <v>240</v>
      </c>
      <c r="E408" s="81" t="s">
        <v>108</v>
      </c>
      <c r="F408" s="61">
        <v>7.45</v>
      </c>
      <c r="G408" s="52">
        <f t="shared" si="45"/>
        <v>8.42</v>
      </c>
      <c r="H408" s="110"/>
      <c r="I408" s="81">
        <v>9.61</v>
      </c>
      <c r="J408" s="81">
        <f>VLOOKUP(C408,Recipes!$A$2:$N$4,12,FALSE())</f>
        <v>6.1509461004819709E-2</v>
      </c>
      <c r="K408" s="81">
        <f t="shared" si="46"/>
        <v>9.3947168864831312</v>
      </c>
      <c r="L408" s="81">
        <f t="shared" si="47"/>
        <v>9.8252831135168677</v>
      </c>
      <c r="M408" s="81" t="str">
        <f t="shared" si="48"/>
        <v>NG</v>
      </c>
      <c r="N408" s="117">
        <f t="shared" si="49"/>
        <v>1</v>
      </c>
      <c r="O408" s="81">
        <f t="shared" si="50"/>
        <v>1.1899999999999995</v>
      </c>
      <c r="P408" s="81">
        <f>IF(G408="","",ABS(O408-Components!$C$2))</f>
        <v>1.5633333333333304</v>
      </c>
      <c r="Q408" s="81">
        <f>IF(G408="","",ABS(O408-Components!$C$3))</f>
        <v>2.8460000000000001</v>
      </c>
      <c r="R408" s="81">
        <f>IF(G408="","",ABS(O408-Components!$C$4))</f>
        <v>0.19666666666666655</v>
      </c>
      <c r="S408" s="81">
        <f>IF(G408="","",ABS(O408-Components!$C$5))</f>
        <v>3.3726666666666709</v>
      </c>
      <c r="T408" s="81">
        <f>IF(G408="","",ABS(O408-Components!$C$6))</f>
        <v>3.4333333333329552E-2</v>
      </c>
      <c r="U408" s="81">
        <f>IF(G408="","",ABS(O408-Components!$C$7))</f>
        <v>0.18433333333333057</v>
      </c>
      <c r="V408" s="81" t="str">
        <f>IF(G408="","",IF(M408="OK","NONE",INDEX({"S1","S2","W1","W2","N1","N2"},MATCH(MIN(P408:U408),P408:U408,0))))</f>
        <v>N1</v>
      </c>
      <c r="W408" s="117">
        <f t="shared" si="51"/>
        <v>1</v>
      </c>
      <c r="X408" s="58"/>
    </row>
    <row r="409" spans="1:24">
      <c r="A409" s="115">
        <v>407</v>
      </c>
      <c r="B409" s="116">
        <v>14</v>
      </c>
      <c r="C409" s="81" t="s">
        <v>132</v>
      </c>
      <c r="D409" s="111" t="s">
        <v>240</v>
      </c>
      <c r="E409" s="81" t="s">
        <v>108</v>
      </c>
      <c r="F409" s="61">
        <v>7.45</v>
      </c>
      <c r="G409" s="52">
        <f t="shared" si="45"/>
        <v>8.42</v>
      </c>
      <c r="H409" s="110"/>
      <c r="I409" s="81">
        <v>9.61</v>
      </c>
      <c r="J409" s="81">
        <f>VLOOKUP(C409,Recipes!$A$2:$N$4,12,FALSE())</f>
        <v>6.1509461004819709E-2</v>
      </c>
      <c r="K409" s="81">
        <f t="shared" si="46"/>
        <v>9.3947168864831312</v>
      </c>
      <c r="L409" s="81">
        <f t="shared" si="47"/>
        <v>9.8252831135168677</v>
      </c>
      <c r="M409" s="81" t="str">
        <f t="shared" si="48"/>
        <v>NG</v>
      </c>
      <c r="N409" s="117">
        <f t="shared" si="49"/>
        <v>1</v>
      </c>
      <c r="O409" s="81">
        <f t="shared" si="50"/>
        <v>1.1899999999999995</v>
      </c>
      <c r="P409" s="81">
        <f>IF(G409="","",ABS(O409-Components!$C$2))</f>
        <v>1.5633333333333304</v>
      </c>
      <c r="Q409" s="81">
        <f>IF(G409="","",ABS(O409-Components!$C$3))</f>
        <v>2.8460000000000001</v>
      </c>
      <c r="R409" s="81">
        <f>IF(G409="","",ABS(O409-Components!$C$4))</f>
        <v>0.19666666666666655</v>
      </c>
      <c r="S409" s="81">
        <f>IF(G409="","",ABS(O409-Components!$C$5))</f>
        <v>3.3726666666666709</v>
      </c>
      <c r="T409" s="81">
        <f>IF(G409="","",ABS(O409-Components!$C$6))</f>
        <v>3.4333333333329552E-2</v>
      </c>
      <c r="U409" s="81">
        <f>IF(G409="","",ABS(O409-Components!$C$7))</f>
        <v>0.18433333333333057</v>
      </c>
      <c r="V409" s="81" t="str">
        <f>IF(G409="","",IF(M409="OK","NONE",INDEX({"S1","S2","W1","W2","N1","N2"},MATCH(MIN(P409:U409),P409:U409,0))))</f>
        <v>N1</v>
      </c>
      <c r="W409" s="117">
        <f t="shared" si="51"/>
        <v>1</v>
      </c>
      <c r="X409" s="58"/>
    </row>
    <row r="410" spans="1:24">
      <c r="A410" s="115">
        <v>408</v>
      </c>
      <c r="B410" s="116">
        <v>14</v>
      </c>
      <c r="C410" s="81" t="s">
        <v>132</v>
      </c>
      <c r="D410" s="111" t="s">
        <v>240</v>
      </c>
      <c r="E410" s="81" t="s">
        <v>108</v>
      </c>
      <c r="F410" s="61">
        <v>7.44</v>
      </c>
      <c r="G410" s="52">
        <f t="shared" si="45"/>
        <v>8.41</v>
      </c>
      <c r="H410" s="110"/>
      <c r="I410" s="81">
        <v>9.61</v>
      </c>
      <c r="J410" s="81">
        <f>VLOOKUP(C410,Recipes!$A$2:$N$4,12,FALSE())</f>
        <v>6.1509461004819709E-2</v>
      </c>
      <c r="K410" s="81">
        <f t="shared" si="46"/>
        <v>9.3947168864831312</v>
      </c>
      <c r="L410" s="81">
        <f t="shared" si="47"/>
        <v>9.8252831135168677</v>
      </c>
      <c r="M410" s="81" t="str">
        <f t="shared" si="48"/>
        <v>NG</v>
      </c>
      <c r="N410" s="117">
        <f t="shared" si="49"/>
        <v>1</v>
      </c>
      <c r="O410" s="81">
        <f t="shared" si="50"/>
        <v>1.1999999999999993</v>
      </c>
      <c r="P410" s="81">
        <f>IF(G410="","",ABS(O410-Components!$C$2))</f>
        <v>1.5533333333333306</v>
      </c>
      <c r="Q410" s="81">
        <f>IF(G410="","",ABS(O410-Components!$C$3))</f>
        <v>2.8360000000000003</v>
      </c>
      <c r="R410" s="81">
        <f>IF(G410="","",ABS(O410-Components!$C$4))</f>
        <v>0.20666666666666633</v>
      </c>
      <c r="S410" s="81">
        <f>IF(G410="","",ABS(O410-Components!$C$5))</f>
        <v>3.3626666666666711</v>
      </c>
      <c r="T410" s="81">
        <f>IF(G410="","",ABS(O410-Components!$C$6))</f>
        <v>4.4333333333329339E-2</v>
      </c>
      <c r="U410" s="81">
        <f>IF(G410="","",ABS(O410-Components!$C$7))</f>
        <v>0.17433333333333079</v>
      </c>
      <c r="V410" s="81" t="str">
        <f>IF(G410="","",IF(M410="OK","NONE",INDEX({"S1","S2","W1","W2","N1","N2"},MATCH(MIN(P410:U410),P410:U410,0))))</f>
        <v>N1</v>
      </c>
      <c r="W410" s="117">
        <f t="shared" si="51"/>
        <v>1</v>
      </c>
      <c r="X410" s="58"/>
    </row>
    <row r="411" spans="1:24">
      <c r="A411" s="115">
        <v>409</v>
      </c>
      <c r="B411" s="116">
        <v>14</v>
      </c>
      <c r="C411" s="81" t="s">
        <v>132</v>
      </c>
      <c r="D411" s="111" t="s">
        <v>240</v>
      </c>
      <c r="E411" s="81" t="s">
        <v>108</v>
      </c>
      <c r="F411" s="61">
        <v>7.47</v>
      </c>
      <c r="G411" s="52">
        <f t="shared" si="45"/>
        <v>8.44</v>
      </c>
      <c r="H411" s="110"/>
      <c r="I411" s="81">
        <v>9.61</v>
      </c>
      <c r="J411" s="81">
        <f>VLOOKUP(C411,Recipes!$A$2:$N$4,12,FALSE())</f>
        <v>6.1509461004819709E-2</v>
      </c>
      <c r="K411" s="81">
        <f t="shared" si="46"/>
        <v>9.3947168864831312</v>
      </c>
      <c r="L411" s="81">
        <f t="shared" si="47"/>
        <v>9.8252831135168677</v>
      </c>
      <c r="M411" s="81" t="str">
        <f t="shared" si="48"/>
        <v>NG</v>
      </c>
      <c r="N411" s="117">
        <f t="shared" si="49"/>
        <v>1</v>
      </c>
      <c r="O411" s="81">
        <f t="shared" si="50"/>
        <v>1.17</v>
      </c>
      <c r="P411" s="81">
        <f>IF(G411="","",ABS(O411-Components!$C$2))</f>
        <v>1.5833333333333299</v>
      </c>
      <c r="Q411" s="81">
        <f>IF(G411="","",ABS(O411-Components!$C$3))</f>
        <v>2.8659999999999997</v>
      </c>
      <c r="R411" s="81">
        <f>IF(G411="","",ABS(O411-Components!$C$4))</f>
        <v>0.17666666666666697</v>
      </c>
      <c r="S411" s="81">
        <f>IF(G411="","",ABS(O411-Components!$C$5))</f>
        <v>3.3926666666666705</v>
      </c>
      <c r="T411" s="81">
        <f>IF(G411="","",ABS(O411-Components!$C$6))</f>
        <v>1.4333333333329978E-2</v>
      </c>
      <c r="U411" s="81">
        <f>IF(G411="","",ABS(O411-Components!$C$7))</f>
        <v>0.20433333333333015</v>
      </c>
      <c r="V411" s="81" t="str">
        <f>IF(G411="","",IF(M411="OK","NONE",INDEX({"S1","S2","W1","W2","N1","N2"},MATCH(MIN(P411:U411),P411:U411,0))))</f>
        <v>N1</v>
      </c>
      <c r="W411" s="117">
        <f t="shared" si="51"/>
        <v>1</v>
      </c>
      <c r="X411" s="58"/>
    </row>
    <row r="412" spans="1:24">
      <c r="A412" s="115">
        <v>410</v>
      </c>
      <c r="B412" s="116">
        <v>14</v>
      </c>
      <c r="C412" s="81" t="s">
        <v>132</v>
      </c>
      <c r="D412" s="111" t="s">
        <v>240</v>
      </c>
      <c r="E412" s="81" t="s">
        <v>108</v>
      </c>
      <c r="F412" s="61">
        <v>7.38</v>
      </c>
      <c r="G412" s="52">
        <f t="shared" si="45"/>
        <v>8.35</v>
      </c>
      <c r="H412" s="110"/>
      <c r="I412" s="81">
        <v>9.61</v>
      </c>
      <c r="J412" s="81">
        <f>VLOOKUP(C412,Recipes!$A$2:$N$4,12,FALSE())</f>
        <v>6.1509461004819709E-2</v>
      </c>
      <c r="K412" s="81">
        <f t="shared" si="46"/>
        <v>9.3947168864831312</v>
      </c>
      <c r="L412" s="81">
        <f t="shared" si="47"/>
        <v>9.8252831135168677</v>
      </c>
      <c r="M412" s="81" t="str">
        <f t="shared" si="48"/>
        <v>NG</v>
      </c>
      <c r="N412" s="117">
        <f t="shared" si="49"/>
        <v>1</v>
      </c>
      <c r="O412" s="81">
        <f t="shared" si="50"/>
        <v>1.2599999999999998</v>
      </c>
      <c r="P412" s="81">
        <f>IF(G412="","",ABS(O412-Components!$C$2))</f>
        <v>1.4933333333333301</v>
      </c>
      <c r="Q412" s="81">
        <f>IF(G412="","",ABS(O412-Components!$C$3))</f>
        <v>2.7759999999999998</v>
      </c>
      <c r="R412" s="81">
        <f>IF(G412="","",ABS(O412-Components!$C$4))</f>
        <v>0.26666666666666683</v>
      </c>
      <c r="S412" s="81">
        <f>IF(G412="","",ABS(O412-Components!$C$5))</f>
        <v>3.3026666666666706</v>
      </c>
      <c r="T412" s="81">
        <f>IF(G412="","",ABS(O412-Components!$C$6))</f>
        <v>0.10433333333332984</v>
      </c>
      <c r="U412" s="81">
        <f>IF(G412="","",ABS(O412-Components!$C$7))</f>
        <v>0.11433333333333029</v>
      </c>
      <c r="V412" s="81" t="str">
        <f>IF(G412="","",IF(M412="OK","NONE",INDEX({"S1","S2","W1","W2","N1","N2"},MATCH(MIN(P412:U412),P412:U412,0))))</f>
        <v>N1</v>
      </c>
      <c r="W412" s="117">
        <f t="shared" si="51"/>
        <v>1</v>
      </c>
      <c r="X412" s="58"/>
    </row>
    <row r="413" spans="1:24">
      <c r="A413" s="115">
        <v>411</v>
      </c>
      <c r="B413" s="116">
        <v>14</v>
      </c>
      <c r="C413" s="81" t="s">
        <v>132</v>
      </c>
      <c r="D413" s="111" t="s">
        <v>240</v>
      </c>
      <c r="E413" s="81" t="s">
        <v>108</v>
      </c>
      <c r="F413" s="61">
        <v>7.45</v>
      </c>
      <c r="G413" s="52">
        <f t="shared" si="45"/>
        <v>8.42</v>
      </c>
      <c r="H413" s="110"/>
      <c r="I413" s="81">
        <v>9.61</v>
      </c>
      <c r="J413" s="81">
        <f>VLOOKUP(C413,Recipes!$A$2:$N$4,12,FALSE())</f>
        <v>6.1509461004819709E-2</v>
      </c>
      <c r="K413" s="81">
        <f t="shared" si="46"/>
        <v>9.3947168864831312</v>
      </c>
      <c r="L413" s="81">
        <f t="shared" si="47"/>
        <v>9.8252831135168677</v>
      </c>
      <c r="M413" s="81" t="str">
        <f t="shared" si="48"/>
        <v>NG</v>
      </c>
      <c r="N413" s="117">
        <f t="shared" si="49"/>
        <v>1</v>
      </c>
      <c r="O413" s="81">
        <f t="shared" si="50"/>
        <v>1.1899999999999995</v>
      </c>
      <c r="P413" s="81">
        <f>IF(G413="","",ABS(O413-Components!$C$2))</f>
        <v>1.5633333333333304</v>
      </c>
      <c r="Q413" s="81">
        <f>IF(G413="","",ABS(O413-Components!$C$3))</f>
        <v>2.8460000000000001</v>
      </c>
      <c r="R413" s="81">
        <f>IF(G413="","",ABS(O413-Components!$C$4))</f>
        <v>0.19666666666666655</v>
      </c>
      <c r="S413" s="81">
        <f>IF(G413="","",ABS(O413-Components!$C$5))</f>
        <v>3.3726666666666709</v>
      </c>
      <c r="T413" s="81">
        <f>IF(G413="","",ABS(O413-Components!$C$6))</f>
        <v>3.4333333333329552E-2</v>
      </c>
      <c r="U413" s="81">
        <f>IF(G413="","",ABS(O413-Components!$C$7))</f>
        <v>0.18433333333333057</v>
      </c>
      <c r="V413" s="81" t="str">
        <f>IF(G413="","",IF(M413="OK","NONE",INDEX({"S1","S2","W1","W2","N1","N2"},MATCH(MIN(P413:U413),P413:U413,0))))</f>
        <v>N1</v>
      </c>
      <c r="W413" s="117">
        <f t="shared" si="51"/>
        <v>1</v>
      </c>
      <c r="X413" s="58"/>
    </row>
    <row r="414" spans="1:24">
      <c r="A414" s="115">
        <v>412</v>
      </c>
      <c r="B414" s="116">
        <v>14</v>
      </c>
      <c r="C414" s="81" t="s">
        <v>132</v>
      </c>
      <c r="D414" s="111" t="s">
        <v>240</v>
      </c>
      <c r="E414" s="81" t="s">
        <v>108</v>
      </c>
      <c r="F414" s="61">
        <v>7.45</v>
      </c>
      <c r="G414" s="52">
        <f t="shared" si="45"/>
        <v>8.42</v>
      </c>
      <c r="H414" s="110"/>
      <c r="I414" s="81">
        <v>9.61</v>
      </c>
      <c r="J414" s="81">
        <f>VLOOKUP(C414,Recipes!$A$2:$N$4,12,FALSE())</f>
        <v>6.1509461004819709E-2</v>
      </c>
      <c r="K414" s="81">
        <f t="shared" si="46"/>
        <v>9.3947168864831312</v>
      </c>
      <c r="L414" s="81">
        <f t="shared" si="47"/>
        <v>9.8252831135168677</v>
      </c>
      <c r="M414" s="81" t="str">
        <f t="shared" si="48"/>
        <v>NG</v>
      </c>
      <c r="N414" s="117">
        <f t="shared" si="49"/>
        <v>1</v>
      </c>
      <c r="O414" s="81">
        <f t="shared" si="50"/>
        <v>1.1899999999999995</v>
      </c>
      <c r="P414" s="81">
        <f>IF(G414="","",ABS(O414-Components!$C$2))</f>
        <v>1.5633333333333304</v>
      </c>
      <c r="Q414" s="81">
        <f>IF(G414="","",ABS(O414-Components!$C$3))</f>
        <v>2.8460000000000001</v>
      </c>
      <c r="R414" s="81">
        <f>IF(G414="","",ABS(O414-Components!$C$4))</f>
        <v>0.19666666666666655</v>
      </c>
      <c r="S414" s="81">
        <f>IF(G414="","",ABS(O414-Components!$C$5))</f>
        <v>3.3726666666666709</v>
      </c>
      <c r="T414" s="81">
        <f>IF(G414="","",ABS(O414-Components!$C$6))</f>
        <v>3.4333333333329552E-2</v>
      </c>
      <c r="U414" s="81">
        <f>IF(G414="","",ABS(O414-Components!$C$7))</f>
        <v>0.18433333333333057</v>
      </c>
      <c r="V414" s="81" t="str">
        <f>IF(G414="","",IF(M414="OK","NONE",INDEX({"S1","S2","W1","W2","N1","N2"},MATCH(MIN(P414:U414),P414:U414,0))))</f>
        <v>N1</v>
      </c>
      <c r="W414" s="117">
        <f t="shared" si="51"/>
        <v>1</v>
      </c>
      <c r="X414" s="58"/>
    </row>
    <row r="415" spans="1:24">
      <c r="A415" s="115">
        <v>413</v>
      </c>
      <c r="B415" s="116">
        <v>14</v>
      </c>
      <c r="C415" s="81" t="s">
        <v>132</v>
      </c>
      <c r="D415" s="111" t="s">
        <v>240</v>
      </c>
      <c r="E415" s="81" t="s">
        <v>108</v>
      </c>
      <c r="F415" s="61">
        <v>7.45</v>
      </c>
      <c r="G415" s="52">
        <f t="shared" si="45"/>
        <v>8.42</v>
      </c>
      <c r="H415" s="110"/>
      <c r="I415" s="81">
        <v>9.61</v>
      </c>
      <c r="J415" s="81">
        <f>VLOOKUP(C415,Recipes!$A$2:$N$4,12,FALSE())</f>
        <v>6.1509461004819709E-2</v>
      </c>
      <c r="K415" s="81">
        <f t="shared" si="46"/>
        <v>9.3947168864831312</v>
      </c>
      <c r="L415" s="81">
        <f t="shared" si="47"/>
        <v>9.8252831135168677</v>
      </c>
      <c r="M415" s="81" t="str">
        <f t="shared" si="48"/>
        <v>NG</v>
      </c>
      <c r="N415" s="117">
        <f t="shared" si="49"/>
        <v>1</v>
      </c>
      <c r="O415" s="81">
        <f t="shared" si="50"/>
        <v>1.1899999999999995</v>
      </c>
      <c r="P415" s="81">
        <f>IF(G415="","",ABS(O415-Components!$C$2))</f>
        <v>1.5633333333333304</v>
      </c>
      <c r="Q415" s="81">
        <f>IF(G415="","",ABS(O415-Components!$C$3))</f>
        <v>2.8460000000000001</v>
      </c>
      <c r="R415" s="81">
        <f>IF(G415="","",ABS(O415-Components!$C$4))</f>
        <v>0.19666666666666655</v>
      </c>
      <c r="S415" s="81">
        <f>IF(G415="","",ABS(O415-Components!$C$5))</f>
        <v>3.3726666666666709</v>
      </c>
      <c r="T415" s="81">
        <f>IF(G415="","",ABS(O415-Components!$C$6))</f>
        <v>3.4333333333329552E-2</v>
      </c>
      <c r="U415" s="81">
        <f>IF(G415="","",ABS(O415-Components!$C$7))</f>
        <v>0.18433333333333057</v>
      </c>
      <c r="V415" s="81" t="str">
        <f>IF(G415="","",IF(M415="OK","NONE",INDEX({"S1","S2","W1","W2","N1","N2"},MATCH(MIN(P415:U415),P415:U415,0))))</f>
        <v>N1</v>
      </c>
      <c r="W415" s="117">
        <f t="shared" si="51"/>
        <v>1</v>
      </c>
      <c r="X415" s="58"/>
    </row>
    <row r="416" spans="1:24">
      <c r="A416" s="115">
        <v>414</v>
      </c>
      <c r="B416" s="116">
        <v>14</v>
      </c>
      <c r="C416" s="81" t="s">
        <v>132</v>
      </c>
      <c r="D416" s="111" t="s">
        <v>240</v>
      </c>
      <c r="E416" s="81" t="s">
        <v>108</v>
      </c>
      <c r="F416" s="61">
        <v>7.44</v>
      </c>
      <c r="G416" s="52">
        <f t="shared" si="45"/>
        <v>8.41</v>
      </c>
      <c r="H416" s="110"/>
      <c r="I416" s="81">
        <v>9.61</v>
      </c>
      <c r="J416" s="81">
        <f>VLOOKUP(C416,Recipes!$A$2:$N$4,12,FALSE())</f>
        <v>6.1509461004819709E-2</v>
      </c>
      <c r="K416" s="81">
        <f t="shared" si="46"/>
        <v>9.3947168864831312</v>
      </c>
      <c r="L416" s="81">
        <f t="shared" si="47"/>
        <v>9.8252831135168677</v>
      </c>
      <c r="M416" s="81" t="str">
        <f t="shared" si="48"/>
        <v>NG</v>
      </c>
      <c r="N416" s="117">
        <f t="shared" si="49"/>
        <v>1</v>
      </c>
      <c r="O416" s="81">
        <f t="shared" si="50"/>
        <v>1.1999999999999993</v>
      </c>
      <c r="P416" s="81">
        <f>IF(G416="","",ABS(O416-Components!$C$2))</f>
        <v>1.5533333333333306</v>
      </c>
      <c r="Q416" s="81">
        <f>IF(G416="","",ABS(O416-Components!$C$3))</f>
        <v>2.8360000000000003</v>
      </c>
      <c r="R416" s="81">
        <f>IF(G416="","",ABS(O416-Components!$C$4))</f>
        <v>0.20666666666666633</v>
      </c>
      <c r="S416" s="81">
        <f>IF(G416="","",ABS(O416-Components!$C$5))</f>
        <v>3.3626666666666711</v>
      </c>
      <c r="T416" s="81">
        <f>IF(G416="","",ABS(O416-Components!$C$6))</f>
        <v>4.4333333333329339E-2</v>
      </c>
      <c r="U416" s="81">
        <f>IF(G416="","",ABS(O416-Components!$C$7))</f>
        <v>0.17433333333333079</v>
      </c>
      <c r="V416" s="81" t="str">
        <f>IF(G416="","",IF(M416="OK","NONE",INDEX({"S1","S2","W1","W2","N1","N2"},MATCH(MIN(P416:U416),P416:U416,0))))</f>
        <v>N1</v>
      </c>
      <c r="W416" s="117">
        <f t="shared" si="51"/>
        <v>1</v>
      </c>
      <c r="X416" s="58"/>
    </row>
    <row r="417" spans="1:24">
      <c r="A417" s="115">
        <v>415</v>
      </c>
      <c r="B417" s="116">
        <v>14</v>
      </c>
      <c r="C417" s="81" t="s">
        <v>132</v>
      </c>
      <c r="D417" s="111" t="s">
        <v>240</v>
      </c>
      <c r="E417" s="81" t="s">
        <v>108</v>
      </c>
      <c r="F417" s="52">
        <v>7.45</v>
      </c>
      <c r="G417" s="52">
        <f t="shared" si="45"/>
        <v>8.42</v>
      </c>
      <c r="H417" s="110"/>
      <c r="I417" s="81">
        <v>9.61</v>
      </c>
      <c r="J417" s="81">
        <f>VLOOKUP(C417,Recipes!$A$2:$N$4,12,FALSE())</f>
        <v>6.1509461004819709E-2</v>
      </c>
      <c r="K417" s="81">
        <f t="shared" si="46"/>
        <v>9.3947168864831312</v>
      </c>
      <c r="L417" s="81">
        <f t="shared" si="47"/>
        <v>9.8252831135168677</v>
      </c>
      <c r="M417" s="81" t="str">
        <f t="shared" si="48"/>
        <v>NG</v>
      </c>
      <c r="N417" s="117">
        <f t="shared" si="49"/>
        <v>1</v>
      </c>
      <c r="O417" s="81">
        <f t="shared" si="50"/>
        <v>1.1899999999999995</v>
      </c>
      <c r="P417" s="81">
        <f>IF(G417="","",ABS(O417-Components!$C$2))</f>
        <v>1.5633333333333304</v>
      </c>
      <c r="Q417" s="81">
        <f>IF(G417="","",ABS(O417-Components!$C$3))</f>
        <v>2.8460000000000001</v>
      </c>
      <c r="R417" s="81">
        <f>IF(G417="","",ABS(O417-Components!$C$4))</f>
        <v>0.19666666666666655</v>
      </c>
      <c r="S417" s="81">
        <f>IF(G417="","",ABS(O417-Components!$C$5))</f>
        <v>3.3726666666666709</v>
      </c>
      <c r="T417" s="81">
        <f>IF(G417="","",ABS(O417-Components!$C$6))</f>
        <v>3.4333333333329552E-2</v>
      </c>
      <c r="U417" s="81">
        <f>IF(G417="","",ABS(O417-Components!$C$7))</f>
        <v>0.18433333333333057</v>
      </c>
      <c r="V417" s="81" t="str">
        <f>IF(G417="","",IF(M417="OK","NONE",INDEX({"S1","S2","W1","W2","N1","N2"},MATCH(MIN(P417:U417),P417:U417,0))))</f>
        <v>N1</v>
      </c>
      <c r="W417" s="117">
        <f t="shared" si="51"/>
        <v>1</v>
      </c>
      <c r="X417" s="58"/>
    </row>
    <row r="418" spans="1:24">
      <c r="A418" s="115">
        <v>416</v>
      </c>
      <c r="B418" s="116">
        <v>14</v>
      </c>
      <c r="C418" s="81" t="s">
        <v>132</v>
      </c>
      <c r="D418" s="111" t="s">
        <v>240</v>
      </c>
      <c r="E418" s="81" t="s">
        <v>108</v>
      </c>
      <c r="F418" s="52">
        <v>7.45</v>
      </c>
      <c r="G418" s="52">
        <f t="shared" si="45"/>
        <v>8.42</v>
      </c>
      <c r="H418" s="110"/>
      <c r="I418" s="81">
        <v>9.61</v>
      </c>
      <c r="J418" s="81">
        <f>VLOOKUP(C418,Recipes!$A$2:$N$4,12,FALSE())</f>
        <v>6.1509461004819709E-2</v>
      </c>
      <c r="K418" s="81">
        <f t="shared" si="46"/>
        <v>9.3947168864831312</v>
      </c>
      <c r="L418" s="81">
        <f t="shared" si="47"/>
        <v>9.8252831135168677</v>
      </c>
      <c r="M418" s="81" t="str">
        <f t="shared" si="48"/>
        <v>NG</v>
      </c>
      <c r="N418" s="117">
        <f t="shared" si="49"/>
        <v>1</v>
      </c>
      <c r="O418" s="81">
        <f t="shared" si="50"/>
        <v>1.1899999999999995</v>
      </c>
      <c r="P418" s="81">
        <f>IF(G418="","",ABS(O418-Components!$C$2))</f>
        <v>1.5633333333333304</v>
      </c>
      <c r="Q418" s="81">
        <f>IF(G418="","",ABS(O418-Components!$C$3))</f>
        <v>2.8460000000000001</v>
      </c>
      <c r="R418" s="81">
        <f>IF(G418="","",ABS(O418-Components!$C$4))</f>
        <v>0.19666666666666655</v>
      </c>
      <c r="S418" s="81">
        <f>IF(G418="","",ABS(O418-Components!$C$5))</f>
        <v>3.3726666666666709</v>
      </c>
      <c r="T418" s="81">
        <f>IF(G418="","",ABS(O418-Components!$C$6))</f>
        <v>3.4333333333329552E-2</v>
      </c>
      <c r="U418" s="81">
        <f>IF(G418="","",ABS(O418-Components!$C$7))</f>
        <v>0.18433333333333057</v>
      </c>
      <c r="V418" s="81" t="str">
        <f>IF(G418="","",IF(M418="OK","NONE",INDEX({"S1","S2","W1","W2","N1","N2"},MATCH(MIN(P418:U418),P418:U418,0))))</f>
        <v>N1</v>
      </c>
      <c r="W418" s="117">
        <f t="shared" si="51"/>
        <v>1</v>
      </c>
      <c r="X418" s="58"/>
    </row>
    <row r="419" spans="1:24">
      <c r="A419" s="115">
        <v>417</v>
      </c>
      <c r="B419" s="116">
        <v>14</v>
      </c>
      <c r="C419" s="61" t="s">
        <v>132</v>
      </c>
      <c r="D419" s="61" t="s">
        <v>240</v>
      </c>
      <c r="E419" s="61" t="s">
        <v>108</v>
      </c>
      <c r="F419" s="61">
        <v>7.44</v>
      </c>
      <c r="G419" s="52">
        <f t="shared" si="45"/>
        <v>8.41</v>
      </c>
      <c r="H419" s="110"/>
      <c r="I419" s="81">
        <v>9.61</v>
      </c>
      <c r="J419" s="81">
        <f>VLOOKUP(C419,Recipes!$A$2:$N$4,12,FALSE())</f>
        <v>6.1509461004819709E-2</v>
      </c>
      <c r="K419" s="81">
        <f t="shared" si="46"/>
        <v>9.3947168864831312</v>
      </c>
      <c r="L419" s="81">
        <f t="shared" si="47"/>
        <v>9.8252831135168677</v>
      </c>
      <c r="M419" s="81" t="str">
        <f t="shared" si="48"/>
        <v>NG</v>
      </c>
      <c r="N419" s="117">
        <f t="shared" si="49"/>
        <v>1</v>
      </c>
      <c r="O419" s="81">
        <f t="shared" si="50"/>
        <v>1.1999999999999993</v>
      </c>
      <c r="P419" s="81">
        <f>IF(G419="","",ABS(O419-Components!$C$2))</f>
        <v>1.5533333333333306</v>
      </c>
      <c r="Q419" s="81">
        <f>IF(G419="","",ABS(O419-Components!$C$3))</f>
        <v>2.8360000000000003</v>
      </c>
      <c r="R419" s="81">
        <f>IF(G419="","",ABS(O419-Components!$C$4))</f>
        <v>0.20666666666666633</v>
      </c>
      <c r="S419" s="81">
        <f>IF(G419="","",ABS(O419-Components!$C$5))</f>
        <v>3.3626666666666711</v>
      </c>
      <c r="T419" s="81">
        <f>IF(G419="","",ABS(O419-Components!$C$6))</f>
        <v>4.4333333333329339E-2</v>
      </c>
      <c r="U419" s="81">
        <f>IF(G419="","",ABS(O419-Components!$C$7))</f>
        <v>0.17433333333333079</v>
      </c>
      <c r="V419" s="81" t="str">
        <f>IF(G419="","",IF(M419="OK","NONE",INDEX({"S1","S2","W1","W2","N1","N2"},MATCH(MIN(P419:U419),P419:U419,0))))</f>
        <v>N1</v>
      </c>
      <c r="W419" s="117">
        <f t="shared" si="51"/>
        <v>1</v>
      </c>
      <c r="X419" s="58"/>
    </row>
    <row r="420" spans="1:24">
      <c r="A420" s="115">
        <v>418</v>
      </c>
      <c r="B420" s="116">
        <v>14</v>
      </c>
      <c r="C420" s="61" t="s">
        <v>132</v>
      </c>
      <c r="D420" s="61" t="s">
        <v>240</v>
      </c>
      <c r="E420" s="61" t="s">
        <v>108</v>
      </c>
      <c r="F420" s="61">
        <v>7.46</v>
      </c>
      <c r="G420" s="52">
        <f t="shared" si="45"/>
        <v>8.43</v>
      </c>
      <c r="H420" s="110"/>
      <c r="I420" s="81">
        <v>9.61</v>
      </c>
      <c r="J420" s="81">
        <f>VLOOKUP(C420,Recipes!$A$2:$N$4,12,FALSE())</f>
        <v>6.1509461004819709E-2</v>
      </c>
      <c r="K420" s="81">
        <f t="shared" si="46"/>
        <v>9.3947168864831312</v>
      </c>
      <c r="L420" s="81">
        <f t="shared" si="47"/>
        <v>9.8252831135168677</v>
      </c>
      <c r="M420" s="81" t="str">
        <f t="shared" si="48"/>
        <v>NG</v>
      </c>
      <c r="N420" s="117">
        <f t="shared" si="49"/>
        <v>1</v>
      </c>
      <c r="O420" s="81">
        <f t="shared" si="50"/>
        <v>1.1799999999999997</v>
      </c>
      <c r="P420" s="81">
        <f>IF(G420="","",ABS(O420-Components!$C$2))</f>
        <v>1.5733333333333301</v>
      </c>
      <c r="Q420" s="81">
        <f>IF(G420="","",ABS(O420-Components!$C$3))</f>
        <v>2.8559999999999999</v>
      </c>
      <c r="R420" s="81">
        <f>IF(G420="","",ABS(O420-Components!$C$4))</f>
        <v>0.18666666666666676</v>
      </c>
      <c r="S420" s="81">
        <f>IF(G420="","",ABS(O420-Components!$C$5))</f>
        <v>3.3826666666666707</v>
      </c>
      <c r="T420" s="81">
        <f>IF(G420="","",ABS(O420-Components!$C$6))</f>
        <v>2.4333333333329765E-2</v>
      </c>
      <c r="U420" s="81">
        <f>IF(G420="","",ABS(O420-Components!$C$7))</f>
        <v>0.19433333333333036</v>
      </c>
      <c r="V420" s="81" t="str">
        <f>IF(G420="","",IF(M420="OK","NONE",INDEX({"S1","S2","W1","W2","N1","N2"},MATCH(MIN(P420:U420),P420:U420,0))))</f>
        <v>N1</v>
      </c>
      <c r="W420" s="117">
        <f t="shared" si="51"/>
        <v>1</v>
      </c>
      <c r="X420" s="58"/>
    </row>
    <row r="421" spans="1:24">
      <c r="A421" s="115">
        <v>419</v>
      </c>
      <c r="B421" s="116">
        <v>14</v>
      </c>
      <c r="C421" s="81" t="s">
        <v>132</v>
      </c>
      <c r="D421" s="111" t="s">
        <v>240</v>
      </c>
      <c r="E421" s="81" t="s">
        <v>108</v>
      </c>
      <c r="F421" s="61">
        <v>7.25</v>
      </c>
      <c r="G421" s="52">
        <f t="shared" si="45"/>
        <v>8.2200000000000006</v>
      </c>
      <c r="H421" s="110"/>
      <c r="I421" s="81">
        <v>9.61</v>
      </c>
      <c r="J421" s="81">
        <f>VLOOKUP(C421,Recipes!$A$2:$N$4,12,FALSE())</f>
        <v>6.1509461004819709E-2</v>
      </c>
      <c r="K421" s="81">
        <f t="shared" si="46"/>
        <v>9.3947168864831312</v>
      </c>
      <c r="L421" s="81">
        <f t="shared" si="47"/>
        <v>9.8252831135168677</v>
      </c>
      <c r="M421" s="81" t="str">
        <f t="shared" si="48"/>
        <v>NG</v>
      </c>
      <c r="N421" s="117">
        <f t="shared" si="49"/>
        <v>1</v>
      </c>
      <c r="O421" s="81">
        <f t="shared" si="50"/>
        <v>1.3899999999999988</v>
      </c>
      <c r="P421" s="81">
        <f>IF(G421="","",ABS(O421-Components!$C$2))</f>
        <v>1.3633333333333311</v>
      </c>
      <c r="Q421" s="81">
        <f>IF(G421="","",ABS(O421-Components!$C$3))</f>
        <v>2.6460000000000008</v>
      </c>
      <c r="R421" s="81">
        <f>IF(G421="","",ABS(O421-Components!$C$4))</f>
        <v>0.39666666666666583</v>
      </c>
      <c r="S421" s="81">
        <f>IF(G421="","",ABS(O421-Components!$C$5))</f>
        <v>3.1726666666666716</v>
      </c>
      <c r="T421" s="81">
        <f>IF(G421="","",ABS(O421-Components!$C$6))</f>
        <v>0.23433333333332884</v>
      </c>
      <c r="U421" s="81">
        <f>IF(G421="","",ABS(O421-Components!$C$7))</f>
        <v>1.5666666666668716E-2</v>
      </c>
      <c r="V421" s="81" t="str">
        <f>IF(G421="","",IF(M421="OK","NONE",INDEX({"S1","S2","W1","W2","N1","N2"},MATCH(MIN(P421:U421),P421:U421,0))))</f>
        <v>N2</v>
      </c>
      <c r="W421" s="122">
        <f t="shared" si="51"/>
        <v>0</v>
      </c>
      <c r="X421" s="58"/>
    </row>
    <row r="422" spans="1:24">
      <c r="A422" s="115">
        <v>420</v>
      </c>
      <c r="B422" s="116">
        <v>14</v>
      </c>
      <c r="C422" s="61" t="s">
        <v>132</v>
      </c>
      <c r="D422" s="61" t="s">
        <v>240</v>
      </c>
      <c r="E422" s="61" t="s">
        <v>108</v>
      </c>
      <c r="F422" s="61">
        <v>7.47</v>
      </c>
      <c r="G422" s="112">
        <f t="shared" si="45"/>
        <v>8.44</v>
      </c>
      <c r="H422" s="113"/>
      <c r="I422" s="81">
        <v>9.61</v>
      </c>
      <c r="J422" s="81">
        <f>VLOOKUP(C422,Recipes!$A$2:$N$4,12,FALSE())</f>
        <v>6.1509461004819709E-2</v>
      </c>
      <c r="K422" s="81">
        <f t="shared" si="46"/>
        <v>9.3947168864831312</v>
      </c>
      <c r="L422" s="81">
        <f t="shared" si="47"/>
        <v>9.8252831135168677</v>
      </c>
      <c r="M422" s="81" t="str">
        <f t="shared" si="48"/>
        <v>NG</v>
      </c>
      <c r="N422" s="117">
        <f t="shared" si="49"/>
        <v>1</v>
      </c>
      <c r="O422" s="81">
        <f t="shared" si="50"/>
        <v>1.17</v>
      </c>
      <c r="P422" s="81">
        <f>IF(G422="","",ABS(O422-Components!$C$2))</f>
        <v>1.5833333333333299</v>
      </c>
      <c r="Q422" s="81">
        <f>IF(G422="","",ABS(O422-Components!$C$3))</f>
        <v>2.8659999999999997</v>
      </c>
      <c r="R422" s="81">
        <f>IF(G422="","",ABS(O422-Components!$C$4))</f>
        <v>0.17666666666666697</v>
      </c>
      <c r="S422" s="81">
        <f>IF(G422="","",ABS(O422-Components!$C$5))</f>
        <v>3.3926666666666705</v>
      </c>
      <c r="T422" s="81">
        <f>IF(G422="","",ABS(O422-Components!$C$6))</f>
        <v>1.4333333333329978E-2</v>
      </c>
      <c r="U422" s="81">
        <f>IF(G422="","",ABS(O422-Components!$C$7))</f>
        <v>0.20433333333333015</v>
      </c>
      <c r="V422" s="81" t="str">
        <f>IF(G422="","",IF(M422="OK","NONE",INDEX({"S1","S2","W1","W2","N1","N2"},MATCH(MIN(P422:U422),P422:U422,0))))</f>
        <v>N1</v>
      </c>
      <c r="W422" s="117">
        <f t="shared" si="51"/>
        <v>1</v>
      </c>
      <c r="X422" s="58"/>
    </row>
    <row r="423" spans="1:24">
      <c r="A423" s="7"/>
      <c r="B423" s="66"/>
      <c r="C423" s="7"/>
      <c r="D423" s="7"/>
      <c r="E423" s="7"/>
      <c r="F423" s="67"/>
      <c r="G423" s="68"/>
      <c r="H423" s="69"/>
      <c r="I423" s="70"/>
      <c r="J423" s="70"/>
      <c r="K423" s="71"/>
      <c r="L423" s="71"/>
      <c r="M423" s="7"/>
      <c r="N423" s="7"/>
      <c r="O423" s="71"/>
      <c r="P423" s="72"/>
      <c r="Q423" s="72"/>
      <c r="R423" s="72"/>
      <c r="S423" s="72"/>
      <c r="T423" s="72"/>
      <c r="U423" s="72"/>
      <c r="V423" s="7"/>
      <c r="W423" s="7"/>
    </row>
    <row r="424" spans="1:24">
      <c r="A424" s="7"/>
      <c r="B424" s="66"/>
      <c r="C424" s="7"/>
      <c r="D424" s="7"/>
      <c r="E424" s="7"/>
      <c r="F424" s="67"/>
      <c r="G424" s="68"/>
      <c r="H424" s="69"/>
      <c r="I424" s="70"/>
      <c r="J424" s="70"/>
      <c r="K424" s="71"/>
      <c r="L424" s="71"/>
      <c r="M424" s="7"/>
      <c r="N424" s="7"/>
      <c r="O424" s="71"/>
      <c r="P424" s="72"/>
      <c r="Q424" s="72"/>
      <c r="R424" s="72"/>
      <c r="S424" s="72"/>
      <c r="T424" s="72"/>
      <c r="U424" s="72"/>
      <c r="V424" s="7"/>
      <c r="W424" s="7"/>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X424"/>
  <sheetViews>
    <sheetView zoomScale="118" zoomScaleNormal="118" workbookViewId="0">
      <pane ySplit="2" topLeftCell="A3" activePane="bottomLeft" state="frozen"/>
      <selection pane="bottomLeft" activeCell="G422" sqref="G422"/>
    </sheetView>
  </sheetViews>
  <sheetFormatPr defaultColWidth="8.7109375" defaultRowHeight="15"/>
  <cols>
    <col min="1" max="1" width="8" customWidth="1"/>
    <col min="2" max="2" width="17" customWidth="1"/>
    <col min="3" max="3" width="8" customWidth="1"/>
    <col min="4" max="4" width="11" customWidth="1"/>
    <col min="5" max="6" width="19" customWidth="1"/>
    <col min="7" max="7" width="22.28515625" customWidth="1"/>
    <col min="8" max="8" width="8" customWidth="1"/>
    <col min="9" max="9" width="17" customWidth="1"/>
    <col min="10" max="10" width="14" customWidth="1"/>
    <col min="11" max="12" width="13" customWidth="1"/>
    <col min="13" max="13" width="17" customWidth="1"/>
    <col min="14" max="14" width="12" customWidth="1"/>
    <col min="15" max="15" width="19" customWidth="1"/>
    <col min="16" max="21" width="10" customWidth="1"/>
    <col min="22" max="22" width="19" customWidth="1"/>
    <col min="23" max="24" width="12" customWidth="1"/>
  </cols>
  <sheetData>
    <row r="1" spans="1:24" ht="15.75" customHeight="1"/>
    <row r="2" spans="1:24" ht="30" customHeight="1">
      <c r="A2" s="48" t="s">
        <v>216</v>
      </c>
      <c r="B2" s="48" t="s">
        <v>217</v>
      </c>
      <c r="C2" s="48" t="s">
        <v>218</v>
      </c>
      <c r="D2" s="48" t="s">
        <v>219</v>
      </c>
      <c r="E2" s="48" t="s">
        <v>220</v>
      </c>
      <c r="F2" s="48" t="s">
        <v>221</v>
      </c>
      <c r="G2" s="48" t="s">
        <v>445</v>
      </c>
      <c r="H2" s="48" t="s">
        <v>98</v>
      </c>
      <c r="I2" s="48" t="s">
        <v>223</v>
      </c>
      <c r="J2" s="48" t="s">
        <v>224</v>
      </c>
      <c r="K2" s="48" t="s">
        <v>225</v>
      </c>
      <c r="L2" s="48" t="s">
        <v>226</v>
      </c>
      <c r="M2" s="48" t="s">
        <v>227</v>
      </c>
      <c r="N2" s="48" t="s">
        <v>228</v>
      </c>
      <c r="O2" s="48" t="s">
        <v>229</v>
      </c>
      <c r="P2" s="48" t="s">
        <v>230</v>
      </c>
      <c r="Q2" s="48" t="s">
        <v>231</v>
      </c>
      <c r="R2" s="48" t="s">
        <v>232</v>
      </c>
      <c r="S2" s="48" t="s">
        <v>233</v>
      </c>
      <c r="T2" s="48" t="s">
        <v>234</v>
      </c>
      <c r="U2" s="48" t="s">
        <v>235</v>
      </c>
      <c r="V2" s="48" t="s">
        <v>236</v>
      </c>
      <c r="W2" s="48" t="s">
        <v>237</v>
      </c>
      <c r="X2" s="121" t="s">
        <v>446</v>
      </c>
    </row>
    <row r="3" spans="1:24">
      <c r="A3" s="115">
        <v>1</v>
      </c>
      <c r="B3" s="116">
        <v>1</v>
      </c>
      <c r="C3" s="81" t="s">
        <v>128</v>
      </c>
      <c r="D3" s="109" t="s">
        <v>238</v>
      </c>
      <c r="E3" s="81" t="s">
        <v>239</v>
      </c>
      <c r="F3" s="52">
        <v>9.91</v>
      </c>
      <c r="G3" s="52">
        <f t="shared" ref="G3:G66" si="0">0.97+F3</f>
        <v>10.88</v>
      </c>
      <c r="H3" s="110"/>
      <c r="I3" s="81">
        <f>VLOOKUP(C3,Recipes!$A$2:$N$4,10,FALSE())</f>
        <v>10.940000000000001</v>
      </c>
      <c r="J3" s="81">
        <f>VLOOKUP(C3,Recipes!$A$2:$N$4,12,FALSE())</f>
        <v>5.2703573566378441E-2</v>
      </c>
      <c r="K3" s="81">
        <f t="shared" ref="K3:K66" si="1">I3-6*J3</f>
        <v>10.62377855860173</v>
      </c>
      <c r="L3" s="81">
        <f t="shared" ref="L3" si="2">I3+6*J3</f>
        <v>11.256221441398273</v>
      </c>
      <c r="M3" s="81" t="str">
        <f t="shared" ref="M3:M66" si="3">IF(G3="","",IF(AND(G3&gt;=K3,G3&lt;=L3),"OK","NG"))</f>
        <v>OK</v>
      </c>
      <c r="N3" s="117">
        <f t="shared" ref="N3" si="4">IF(M3="","",IF(M3=D3,1,0))</f>
        <v>1</v>
      </c>
      <c r="O3" s="81">
        <f t="shared" ref="O3:O66" si="5">IF(G3="","",I3-G3)</f>
        <v>6.0000000000000497E-2</v>
      </c>
      <c r="P3" s="81">
        <f>IF(G3="","",ABS(O3-Components!$C$2))</f>
        <v>2.6933333333333294</v>
      </c>
      <c r="Q3" s="81">
        <f>IF(G3="","",ABS(O3-Components!$C$3))</f>
        <v>3.9759999999999991</v>
      </c>
      <c r="R3" s="81">
        <f>IF(G3="","",ABS(O3-Components!$C$4))</f>
        <v>0.93333333333333246</v>
      </c>
      <c r="S3" s="81">
        <f>IF(G3="","",ABS(O3-Components!$C$5))</f>
        <v>4.5026666666666699</v>
      </c>
      <c r="T3" s="81">
        <f>IF(G3="","",ABS(O3-Components!$C$6))</f>
        <v>1.0956666666666695</v>
      </c>
      <c r="U3" s="81">
        <f>IF(G3="","",ABS(O3-Components!$C$7))</f>
        <v>1.3143333333333296</v>
      </c>
      <c r="V3" s="81" t="str">
        <f>IF(G3="","",IF(M3="OK","NONE",INDEX({"S1","S2","W1","W2","N1","N2"},MATCH(MIN(P3:U3),P3:U3,0))))</f>
        <v>NONE</v>
      </c>
      <c r="W3" s="117">
        <f>IF(G3="","",IF(V3=E3,1,0))</f>
        <v>1</v>
      </c>
      <c r="X3" s="119"/>
    </row>
    <row r="4" spans="1:24">
      <c r="A4" s="115">
        <v>2</v>
      </c>
      <c r="B4" s="116">
        <v>1</v>
      </c>
      <c r="C4" s="81" t="s">
        <v>128</v>
      </c>
      <c r="D4" s="109" t="s">
        <v>238</v>
      </c>
      <c r="E4" s="81" t="s">
        <v>239</v>
      </c>
      <c r="F4" s="52">
        <v>10</v>
      </c>
      <c r="G4" s="52">
        <f t="shared" si="0"/>
        <v>10.97</v>
      </c>
      <c r="H4" s="110"/>
      <c r="I4" s="81">
        <f>VLOOKUP(C4,Recipes!$A$2:$N$4,10,FALSE())</f>
        <v>10.940000000000001</v>
      </c>
      <c r="J4" s="81">
        <f>VLOOKUP(C4,Recipes!$A$2:$N$4,12,FALSE())</f>
        <v>5.2703573566378441E-2</v>
      </c>
      <c r="K4" s="81">
        <f t="shared" si="1"/>
        <v>10.62377855860173</v>
      </c>
      <c r="L4" s="81">
        <f t="shared" ref="L4:L67" si="6">I4+6*J4</f>
        <v>11.256221441398273</v>
      </c>
      <c r="M4" s="81" t="str">
        <f t="shared" si="3"/>
        <v>OK</v>
      </c>
      <c r="N4" s="117">
        <f t="shared" ref="N4:N67" si="7">IF(M4="","",IF(M4=D4,1,0))</f>
        <v>1</v>
      </c>
      <c r="O4" s="81">
        <f t="shared" si="5"/>
        <v>-2.9999999999999361E-2</v>
      </c>
      <c r="P4" s="81">
        <f>IF(G4="","",ABS(O4-Components!$C$2))</f>
        <v>2.7833333333333292</v>
      </c>
      <c r="Q4" s="81">
        <f>IF(G4="","",ABS(O4-Components!$C$3))</f>
        <v>4.0659999999999989</v>
      </c>
      <c r="R4" s="81">
        <f>IF(G4="","",ABS(O4-Components!$C$4))</f>
        <v>1.0233333333333323</v>
      </c>
      <c r="S4" s="81">
        <f>IF(G4="","",ABS(O4-Components!$C$5))</f>
        <v>4.5926666666666698</v>
      </c>
      <c r="T4" s="81">
        <f>IF(G4="","",ABS(O4-Components!$C$6))</f>
        <v>1.1856666666666693</v>
      </c>
      <c r="U4" s="81">
        <f>IF(G4="","",ABS(O4-Components!$C$7))</f>
        <v>1.4043333333333294</v>
      </c>
      <c r="V4" s="81" t="str">
        <f>IF(G4="","",IF(M4="OK","NONE",INDEX({"S1","S2","W1","W2","N1","N2"},MATCH(MIN(P4:U4),P4:U4,0))))</f>
        <v>NONE</v>
      </c>
      <c r="W4" s="117">
        <f t="shared" ref="W4:W67" si="8">IF(G4="","",IF(V4=E4,1,0))</f>
        <v>1</v>
      </c>
      <c r="X4" s="119"/>
    </row>
    <row r="5" spans="1:24">
      <c r="A5" s="115">
        <v>3</v>
      </c>
      <c r="B5" s="116">
        <v>1</v>
      </c>
      <c r="C5" s="81" t="s">
        <v>128</v>
      </c>
      <c r="D5" s="109" t="s">
        <v>238</v>
      </c>
      <c r="E5" s="81" t="s">
        <v>239</v>
      </c>
      <c r="F5" s="52">
        <v>10</v>
      </c>
      <c r="G5" s="52">
        <f t="shared" si="0"/>
        <v>10.97</v>
      </c>
      <c r="H5" s="110"/>
      <c r="I5" s="81">
        <f>VLOOKUP(C5,Recipes!$A$2:$N$4,10,FALSE())</f>
        <v>10.940000000000001</v>
      </c>
      <c r="J5" s="81">
        <f>VLOOKUP(C5,Recipes!$A$2:$N$4,12,FALSE())</f>
        <v>5.2703573566378441E-2</v>
      </c>
      <c r="K5" s="81">
        <f t="shared" si="1"/>
        <v>10.62377855860173</v>
      </c>
      <c r="L5" s="81">
        <f t="shared" si="6"/>
        <v>11.256221441398273</v>
      </c>
      <c r="M5" s="81" t="str">
        <f t="shared" si="3"/>
        <v>OK</v>
      </c>
      <c r="N5" s="117">
        <f t="shared" si="7"/>
        <v>1</v>
      </c>
      <c r="O5" s="81">
        <f t="shared" si="5"/>
        <v>-2.9999999999999361E-2</v>
      </c>
      <c r="P5" s="81">
        <f>IF(G5="","",ABS(O5-Components!$C$2))</f>
        <v>2.7833333333333292</v>
      </c>
      <c r="Q5" s="81">
        <f>IF(G5="","",ABS(O5-Components!$C$3))</f>
        <v>4.0659999999999989</v>
      </c>
      <c r="R5" s="81">
        <f>IF(G5="","",ABS(O5-Components!$C$4))</f>
        <v>1.0233333333333323</v>
      </c>
      <c r="S5" s="81">
        <f>IF(G5="","",ABS(O5-Components!$C$5))</f>
        <v>4.5926666666666698</v>
      </c>
      <c r="T5" s="81">
        <f>IF(G5="","",ABS(O5-Components!$C$6))</f>
        <v>1.1856666666666693</v>
      </c>
      <c r="U5" s="81">
        <f>IF(G5="","",ABS(O5-Components!$C$7))</f>
        <v>1.4043333333333294</v>
      </c>
      <c r="V5" s="81" t="str">
        <f>IF(G5="","",IF(M5="OK","NONE",INDEX({"S1","S2","W1","W2","N1","N2"},MATCH(MIN(P5:U5),P5:U5,0))))</f>
        <v>NONE</v>
      </c>
      <c r="W5" s="117">
        <f t="shared" si="8"/>
        <v>1</v>
      </c>
      <c r="X5" s="119"/>
    </row>
    <row r="6" spans="1:24">
      <c r="A6" s="115">
        <v>4</v>
      </c>
      <c r="B6" s="116">
        <v>1</v>
      </c>
      <c r="C6" s="81" t="s">
        <v>128</v>
      </c>
      <c r="D6" s="109" t="s">
        <v>238</v>
      </c>
      <c r="E6" s="81" t="s">
        <v>239</v>
      </c>
      <c r="F6" s="52">
        <v>9.91</v>
      </c>
      <c r="G6" s="52">
        <f t="shared" si="0"/>
        <v>10.88</v>
      </c>
      <c r="H6" s="110"/>
      <c r="I6" s="81">
        <f>VLOOKUP(C6,Recipes!$A$2:$N$4,10,FALSE())</f>
        <v>10.940000000000001</v>
      </c>
      <c r="J6" s="81">
        <f>VLOOKUP(C6,Recipes!$A$2:$N$4,12,FALSE())</f>
        <v>5.2703573566378441E-2</v>
      </c>
      <c r="K6" s="81">
        <f t="shared" si="1"/>
        <v>10.62377855860173</v>
      </c>
      <c r="L6" s="81">
        <f t="shared" si="6"/>
        <v>11.256221441398273</v>
      </c>
      <c r="M6" s="81" t="str">
        <f t="shared" si="3"/>
        <v>OK</v>
      </c>
      <c r="N6" s="117">
        <f t="shared" si="7"/>
        <v>1</v>
      </c>
      <c r="O6" s="81">
        <f t="shared" si="5"/>
        <v>6.0000000000000497E-2</v>
      </c>
      <c r="P6" s="81">
        <f>IF(G6="","",ABS(O6-Components!$C$2))</f>
        <v>2.6933333333333294</v>
      </c>
      <c r="Q6" s="81">
        <f>IF(G6="","",ABS(O6-Components!$C$3))</f>
        <v>3.9759999999999991</v>
      </c>
      <c r="R6" s="81">
        <f>IF(G6="","",ABS(O6-Components!$C$4))</f>
        <v>0.93333333333333246</v>
      </c>
      <c r="S6" s="81">
        <f>IF(G6="","",ABS(O6-Components!$C$5))</f>
        <v>4.5026666666666699</v>
      </c>
      <c r="T6" s="81">
        <f>IF(G6="","",ABS(O6-Components!$C$6))</f>
        <v>1.0956666666666695</v>
      </c>
      <c r="U6" s="81">
        <f>IF(G6="","",ABS(O6-Components!$C$7))</f>
        <v>1.3143333333333296</v>
      </c>
      <c r="V6" s="81" t="str">
        <f>IF(G6="","",IF(M6="OK","NONE",INDEX({"S1","S2","W1","W2","N1","N2"},MATCH(MIN(P6:U6),P6:U6,0))))</f>
        <v>NONE</v>
      </c>
      <c r="W6" s="117">
        <f t="shared" si="8"/>
        <v>1</v>
      </c>
      <c r="X6" s="119"/>
    </row>
    <row r="7" spans="1:24">
      <c r="A7" s="115">
        <v>5</v>
      </c>
      <c r="B7" s="116">
        <v>1</v>
      </c>
      <c r="C7" s="81" t="s">
        <v>128</v>
      </c>
      <c r="D7" s="109" t="s">
        <v>238</v>
      </c>
      <c r="E7" s="81" t="s">
        <v>239</v>
      </c>
      <c r="F7" s="52">
        <v>10.039999999999999</v>
      </c>
      <c r="G7" s="52">
        <f t="shared" si="0"/>
        <v>11.01</v>
      </c>
      <c r="H7" s="110"/>
      <c r="I7" s="81">
        <f>VLOOKUP(C7,Recipes!$A$2:$N$4,10,FALSE())</f>
        <v>10.940000000000001</v>
      </c>
      <c r="J7" s="81">
        <f>VLOOKUP(C7,Recipes!$A$2:$N$4,12,FALSE())</f>
        <v>5.2703573566378441E-2</v>
      </c>
      <c r="K7" s="81">
        <f t="shared" si="1"/>
        <v>10.62377855860173</v>
      </c>
      <c r="L7" s="81">
        <f t="shared" si="6"/>
        <v>11.256221441398273</v>
      </c>
      <c r="M7" s="81" t="str">
        <f t="shared" si="3"/>
        <v>OK</v>
      </c>
      <c r="N7" s="117">
        <f t="shared" si="7"/>
        <v>1</v>
      </c>
      <c r="O7" s="81">
        <f t="shared" si="5"/>
        <v>-6.9999999999998508E-2</v>
      </c>
      <c r="P7" s="81">
        <f>IF(G7="","",ABS(O7-Components!$C$2))</f>
        <v>2.8233333333333284</v>
      </c>
      <c r="Q7" s="81">
        <f>IF(G7="","",ABS(O7-Components!$C$3))</f>
        <v>4.1059999999999981</v>
      </c>
      <c r="R7" s="81">
        <f>IF(G7="","",ABS(O7-Components!$C$4))</f>
        <v>1.0633333333333315</v>
      </c>
      <c r="S7" s="81">
        <f>IF(G7="","",ABS(O7-Components!$C$5))</f>
        <v>4.6326666666666689</v>
      </c>
      <c r="T7" s="81">
        <f>IF(G7="","",ABS(O7-Components!$C$6))</f>
        <v>1.2256666666666685</v>
      </c>
      <c r="U7" s="81">
        <f>IF(G7="","",ABS(O7-Components!$C$7))</f>
        <v>1.4443333333333286</v>
      </c>
      <c r="V7" s="81" t="str">
        <f>IF(G7="","",IF(M7="OK","NONE",INDEX({"S1","S2","W1","W2","N1","N2"},MATCH(MIN(P7:U7),P7:U7,0))))</f>
        <v>NONE</v>
      </c>
      <c r="W7" s="117">
        <f t="shared" si="8"/>
        <v>1</v>
      </c>
      <c r="X7" s="119"/>
    </row>
    <row r="8" spans="1:24">
      <c r="A8" s="115">
        <v>6</v>
      </c>
      <c r="B8" s="116">
        <v>1</v>
      </c>
      <c r="C8" s="81" t="s">
        <v>128</v>
      </c>
      <c r="D8" s="109" t="s">
        <v>238</v>
      </c>
      <c r="E8" s="81" t="s">
        <v>239</v>
      </c>
      <c r="F8" s="52">
        <v>9.84</v>
      </c>
      <c r="G8" s="52">
        <f t="shared" si="0"/>
        <v>10.81</v>
      </c>
      <c r="H8" s="110"/>
      <c r="I8" s="81">
        <f>VLOOKUP(C8,Recipes!$A$2:$N$4,10,FALSE())</f>
        <v>10.940000000000001</v>
      </c>
      <c r="J8" s="81">
        <f>VLOOKUP(C8,Recipes!$A$2:$N$4,12,FALSE())</f>
        <v>5.2703573566378441E-2</v>
      </c>
      <c r="K8" s="81">
        <f t="shared" si="1"/>
        <v>10.62377855860173</v>
      </c>
      <c r="L8" s="81">
        <f t="shared" si="6"/>
        <v>11.256221441398273</v>
      </c>
      <c r="M8" s="81" t="str">
        <f t="shared" si="3"/>
        <v>OK</v>
      </c>
      <c r="N8" s="117">
        <f t="shared" si="7"/>
        <v>1</v>
      </c>
      <c r="O8" s="81">
        <f t="shared" si="5"/>
        <v>0.13000000000000078</v>
      </c>
      <c r="P8" s="81">
        <f>IF(G8="","",ABS(O8-Components!$C$2))</f>
        <v>2.6233333333333291</v>
      </c>
      <c r="Q8" s="81">
        <f>IF(G8="","",ABS(O8-Components!$C$3))</f>
        <v>3.9059999999999988</v>
      </c>
      <c r="R8" s="81">
        <f>IF(G8="","",ABS(O8-Components!$C$4))</f>
        <v>0.86333333333333218</v>
      </c>
      <c r="S8" s="81">
        <f>IF(G8="","",ABS(O8-Components!$C$5))</f>
        <v>4.4326666666666696</v>
      </c>
      <c r="T8" s="81">
        <f>IF(G8="","",ABS(O8-Components!$C$6))</f>
        <v>1.0256666666666692</v>
      </c>
      <c r="U8" s="81">
        <f>IF(G8="","",ABS(O8-Components!$C$7))</f>
        <v>1.2443333333333293</v>
      </c>
      <c r="V8" s="81" t="str">
        <f>IF(G8="","",IF(M8="OK","NONE",INDEX({"S1","S2","W1","W2","N1","N2"},MATCH(MIN(P8:U8),P8:U8,0))))</f>
        <v>NONE</v>
      </c>
      <c r="W8" s="117">
        <f t="shared" si="8"/>
        <v>1</v>
      </c>
      <c r="X8" s="119"/>
    </row>
    <row r="9" spans="1:24">
      <c r="A9" s="115">
        <v>7</v>
      </c>
      <c r="B9" s="116">
        <v>1</v>
      </c>
      <c r="C9" s="81" t="s">
        <v>128</v>
      </c>
      <c r="D9" s="109" t="s">
        <v>238</v>
      </c>
      <c r="E9" s="81" t="s">
        <v>239</v>
      </c>
      <c r="F9" s="52">
        <v>9.9</v>
      </c>
      <c r="G9" s="52">
        <f t="shared" si="0"/>
        <v>10.870000000000001</v>
      </c>
      <c r="H9" s="110"/>
      <c r="I9" s="81">
        <f>VLOOKUP(C9,Recipes!$A$2:$N$4,10,FALSE())</f>
        <v>10.940000000000001</v>
      </c>
      <c r="J9" s="81">
        <f>VLOOKUP(C9,Recipes!$A$2:$N$4,12,FALSE())</f>
        <v>5.2703573566378441E-2</v>
      </c>
      <c r="K9" s="81">
        <f t="shared" si="1"/>
        <v>10.62377855860173</v>
      </c>
      <c r="L9" s="81">
        <f t="shared" si="6"/>
        <v>11.256221441398273</v>
      </c>
      <c r="M9" s="81" t="str">
        <f t="shared" si="3"/>
        <v>OK</v>
      </c>
      <c r="N9" s="117">
        <f t="shared" si="7"/>
        <v>1</v>
      </c>
      <c r="O9" s="81">
        <f t="shared" si="5"/>
        <v>7.0000000000000284E-2</v>
      </c>
      <c r="P9" s="81">
        <f>IF(G9="","",ABS(O9-Components!$C$2))</f>
        <v>2.6833333333333296</v>
      </c>
      <c r="Q9" s="81">
        <f>IF(G9="","",ABS(O9-Components!$C$3))</f>
        <v>3.9659999999999993</v>
      </c>
      <c r="R9" s="81">
        <f>IF(G9="","",ABS(O9-Components!$C$4))</f>
        <v>0.92333333333333267</v>
      </c>
      <c r="S9" s="81">
        <f>IF(G9="","",ABS(O9-Components!$C$5))</f>
        <v>4.4926666666666701</v>
      </c>
      <c r="T9" s="81">
        <f>IF(G9="","",ABS(O9-Components!$C$6))</f>
        <v>1.0856666666666697</v>
      </c>
      <c r="U9" s="81">
        <f>IF(G9="","",ABS(O9-Components!$C$7))</f>
        <v>1.3043333333333298</v>
      </c>
      <c r="V9" s="81" t="str">
        <f>IF(G9="","",IF(M9="OK","NONE",INDEX({"S1","S2","W1","W2","N1","N2"},MATCH(MIN(P9:U9),P9:U9,0))))</f>
        <v>NONE</v>
      </c>
      <c r="W9" s="117">
        <f t="shared" si="8"/>
        <v>1</v>
      </c>
      <c r="X9" s="119"/>
    </row>
    <row r="10" spans="1:24">
      <c r="A10" s="115">
        <v>8</v>
      </c>
      <c r="B10" s="116">
        <v>1</v>
      </c>
      <c r="C10" s="81" t="s">
        <v>128</v>
      </c>
      <c r="D10" s="109" t="s">
        <v>238</v>
      </c>
      <c r="E10" s="81" t="s">
        <v>239</v>
      </c>
      <c r="F10" s="52">
        <v>9.92</v>
      </c>
      <c r="G10" s="52">
        <f t="shared" si="0"/>
        <v>10.89</v>
      </c>
      <c r="H10" s="110"/>
      <c r="I10" s="81">
        <f>VLOOKUP(C10,Recipes!$A$2:$N$4,10,FALSE())</f>
        <v>10.940000000000001</v>
      </c>
      <c r="J10" s="81">
        <f>VLOOKUP(C10,Recipes!$A$2:$N$4,12,FALSE())</f>
        <v>5.2703573566378441E-2</v>
      </c>
      <c r="K10" s="81">
        <f t="shared" si="1"/>
        <v>10.62377855860173</v>
      </c>
      <c r="L10" s="81">
        <f t="shared" si="6"/>
        <v>11.256221441398273</v>
      </c>
      <c r="M10" s="81" t="str">
        <f t="shared" si="3"/>
        <v>OK</v>
      </c>
      <c r="N10" s="117">
        <f t="shared" si="7"/>
        <v>1</v>
      </c>
      <c r="O10" s="81">
        <f t="shared" si="5"/>
        <v>5.0000000000000711E-2</v>
      </c>
      <c r="P10" s="81">
        <f>IF(G10="","",ABS(O10-Components!$C$2))</f>
        <v>2.7033333333333291</v>
      </c>
      <c r="Q10" s="81">
        <f>IF(G10="","",ABS(O10-Components!$C$3))</f>
        <v>3.9859999999999989</v>
      </c>
      <c r="R10" s="81">
        <f>IF(G10="","",ABS(O10-Components!$C$4))</f>
        <v>0.94333333333333225</v>
      </c>
      <c r="S10" s="81">
        <f>IF(G10="","",ABS(O10-Components!$C$5))</f>
        <v>4.5126666666666697</v>
      </c>
      <c r="T10" s="81">
        <f>IF(G10="","",ABS(O10-Components!$C$6))</f>
        <v>1.1056666666666692</v>
      </c>
      <c r="U10" s="81">
        <f>IF(G10="","",ABS(O10-Components!$C$7))</f>
        <v>1.3243333333333294</v>
      </c>
      <c r="V10" s="81" t="str">
        <f>IF(G10="","",IF(M10="OK","NONE",INDEX({"S1","S2","W1","W2","N1","N2"},MATCH(MIN(P10:U10),P10:U10,0))))</f>
        <v>NONE</v>
      </c>
      <c r="W10" s="117">
        <f t="shared" si="8"/>
        <v>1</v>
      </c>
      <c r="X10" s="119"/>
    </row>
    <row r="11" spans="1:24">
      <c r="A11" s="115">
        <v>9</v>
      </c>
      <c r="B11" s="116">
        <v>1</v>
      </c>
      <c r="C11" s="81" t="s">
        <v>128</v>
      </c>
      <c r="D11" s="109" t="s">
        <v>238</v>
      </c>
      <c r="E11" s="81" t="s">
        <v>239</v>
      </c>
      <c r="F11" s="52">
        <v>9.9499999999999993</v>
      </c>
      <c r="G11" s="52">
        <f t="shared" si="0"/>
        <v>10.92</v>
      </c>
      <c r="H11" s="110"/>
      <c r="I11" s="81">
        <f>VLOOKUP(C11,Recipes!$A$2:$N$4,10,FALSE())</f>
        <v>10.940000000000001</v>
      </c>
      <c r="J11" s="81">
        <f>VLOOKUP(C11,Recipes!$A$2:$N$4,12,FALSE())</f>
        <v>5.2703573566378441E-2</v>
      </c>
      <c r="K11" s="81">
        <f t="shared" si="1"/>
        <v>10.62377855860173</v>
      </c>
      <c r="L11" s="81">
        <f t="shared" si="6"/>
        <v>11.256221441398273</v>
      </c>
      <c r="M11" s="81" t="str">
        <f t="shared" si="3"/>
        <v>OK</v>
      </c>
      <c r="N11" s="117">
        <f t="shared" si="7"/>
        <v>1</v>
      </c>
      <c r="O11" s="81">
        <f t="shared" si="5"/>
        <v>2.000000000000135E-2</v>
      </c>
      <c r="P11" s="81">
        <f>IF(G11="","",ABS(O11-Components!$C$2))</f>
        <v>2.7333333333333285</v>
      </c>
      <c r="Q11" s="81">
        <f>IF(G11="","",ABS(O11-Components!$C$3))</f>
        <v>4.0159999999999982</v>
      </c>
      <c r="R11" s="81">
        <f>IF(G11="","",ABS(O11-Components!$C$4))</f>
        <v>0.97333333333333161</v>
      </c>
      <c r="S11" s="81">
        <f>IF(G11="","",ABS(O11-Components!$C$5))</f>
        <v>4.5426666666666691</v>
      </c>
      <c r="T11" s="81">
        <f>IF(G11="","",ABS(O11-Components!$C$6))</f>
        <v>1.1356666666666686</v>
      </c>
      <c r="U11" s="81">
        <f>IF(G11="","",ABS(O11-Components!$C$7))</f>
        <v>1.3543333333333287</v>
      </c>
      <c r="V11" s="81" t="str">
        <f>IF(G11="","",IF(M11="OK","NONE",INDEX({"S1","S2","W1","W2","N1","N2"},MATCH(MIN(P11:U11),P11:U11,0))))</f>
        <v>NONE</v>
      </c>
      <c r="W11" s="117">
        <f t="shared" si="8"/>
        <v>1</v>
      </c>
      <c r="X11" s="119"/>
    </row>
    <row r="12" spans="1:24">
      <c r="A12" s="115">
        <v>10</v>
      </c>
      <c r="B12" s="116">
        <v>1</v>
      </c>
      <c r="C12" s="81" t="s">
        <v>128</v>
      </c>
      <c r="D12" s="109" t="s">
        <v>238</v>
      </c>
      <c r="E12" s="81" t="s">
        <v>239</v>
      </c>
      <c r="F12" s="52">
        <v>9.8699999999999992</v>
      </c>
      <c r="G12" s="52">
        <f t="shared" si="0"/>
        <v>10.84</v>
      </c>
      <c r="H12" s="110"/>
      <c r="I12" s="81">
        <f>VLOOKUP(C12,Recipes!$A$2:$N$4,10,FALSE())</f>
        <v>10.940000000000001</v>
      </c>
      <c r="J12" s="81">
        <f>VLOOKUP(C12,Recipes!$A$2:$N$4,12,FALSE())</f>
        <v>5.2703573566378441E-2</v>
      </c>
      <c r="K12" s="81">
        <f t="shared" si="1"/>
        <v>10.62377855860173</v>
      </c>
      <c r="L12" s="81">
        <f t="shared" si="6"/>
        <v>11.256221441398273</v>
      </c>
      <c r="M12" s="81" t="str">
        <f t="shared" si="3"/>
        <v>OK</v>
      </c>
      <c r="N12" s="117">
        <f t="shared" si="7"/>
        <v>1</v>
      </c>
      <c r="O12" s="81">
        <f t="shared" si="5"/>
        <v>0.10000000000000142</v>
      </c>
      <c r="P12" s="81">
        <f>IF(G12="","",ABS(O12-Components!$C$2))</f>
        <v>2.6533333333333284</v>
      </c>
      <c r="Q12" s="81">
        <f>IF(G12="","",ABS(O12-Components!$C$3))</f>
        <v>3.9359999999999982</v>
      </c>
      <c r="R12" s="81">
        <f>IF(G12="","",ABS(O12-Components!$C$4))</f>
        <v>0.89333333333333154</v>
      </c>
      <c r="S12" s="81">
        <f>IF(G12="","",ABS(O12-Components!$C$5))</f>
        <v>4.462666666666669</v>
      </c>
      <c r="T12" s="81">
        <f>IF(G12="","",ABS(O12-Components!$C$6))</f>
        <v>1.0556666666666685</v>
      </c>
      <c r="U12" s="81">
        <f>IF(G12="","",ABS(O12-Components!$C$7))</f>
        <v>1.2743333333333287</v>
      </c>
      <c r="V12" s="81" t="str">
        <f>IF(G12="","",IF(M12="OK","NONE",INDEX({"S1","S2","W1","W2","N1","N2"},MATCH(MIN(P12:U12),P12:U12,0))))</f>
        <v>NONE</v>
      </c>
      <c r="W12" s="117">
        <f t="shared" si="8"/>
        <v>1</v>
      </c>
      <c r="X12" s="119"/>
    </row>
    <row r="13" spans="1:24">
      <c r="A13" s="115">
        <v>11</v>
      </c>
      <c r="B13" s="116">
        <v>1</v>
      </c>
      <c r="C13" s="81" t="s">
        <v>128</v>
      </c>
      <c r="D13" s="109" t="s">
        <v>238</v>
      </c>
      <c r="E13" s="81" t="s">
        <v>239</v>
      </c>
      <c r="F13" s="52">
        <v>9.8800000000000008</v>
      </c>
      <c r="G13" s="52">
        <f t="shared" si="0"/>
        <v>10.850000000000001</v>
      </c>
      <c r="H13" s="110"/>
      <c r="I13" s="81">
        <f>VLOOKUP(C13,Recipes!$A$2:$N$4,10,FALSE())</f>
        <v>10.940000000000001</v>
      </c>
      <c r="J13" s="81">
        <f>VLOOKUP(C13,Recipes!$A$2:$N$4,12,FALSE())</f>
        <v>5.2703573566378441E-2</v>
      </c>
      <c r="K13" s="81">
        <f t="shared" si="1"/>
        <v>10.62377855860173</v>
      </c>
      <c r="L13" s="81">
        <f t="shared" si="6"/>
        <v>11.256221441398273</v>
      </c>
      <c r="M13" s="81" t="str">
        <f t="shared" si="3"/>
        <v>OK</v>
      </c>
      <c r="N13" s="117">
        <f t="shared" si="7"/>
        <v>1</v>
      </c>
      <c r="O13" s="81">
        <f t="shared" si="5"/>
        <v>8.9999999999999858E-2</v>
      </c>
      <c r="P13" s="81">
        <f>IF(G13="","",ABS(O13-Components!$C$2))</f>
        <v>2.66333333333333</v>
      </c>
      <c r="Q13" s="81">
        <f>IF(G13="","",ABS(O13-Components!$C$3))</f>
        <v>3.9459999999999997</v>
      </c>
      <c r="R13" s="81">
        <f>IF(G13="","",ABS(O13-Components!$C$4))</f>
        <v>0.9033333333333331</v>
      </c>
      <c r="S13" s="81">
        <f>IF(G13="","",ABS(O13-Components!$C$5))</f>
        <v>4.4726666666666706</v>
      </c>
      <c r="T13" s="81">
        <f>IF(G13="","",ABS(O13-Components!$C$6))</f>
        <v>1.0656666666666701</v>
      </c>
      <c r="U13" s="81">
        <f>IF(G13="","",ABS(O13-Components!$C$7))</f>
        <v>1.2843333333333302</v>
      </c>
      <c r="V13" s="81" t="str">
        <f>IF(G13="","",IF(M13="OK","NONE",INDEX({"S1","S2","W1","W2","N1","N2"},MATCH(MIN(P13:U13),P13:U13,0))))</f>
        <v>NONE</v>
      </c>
      <c r="W13" s="117">
        <f t="shared" si="8"/>
        <v>1</v>
      </c>
      <c r="X13" s="119"/>
    </row>
    <row r="14" spans="1:24">
      <c r="A14" s="115">
        <v>12</v>
      </c>
      <c r="B14" s="116">
        <v>1</v>
      </c>
      <c r="C14" s="81" t="s">
        <v>128</v>
      </c>
      <c r="D14" s="109" t="s">
        <v>238</v>
      </c>
      <c r="E14" s="81" t="s">
        <v>239</v>
      </c>
      <c r="F14" s="52">
        <v>9.91</v>
      </c>
      <c r="G14" s="52">
        <f t="shared" si="0"/>
        <v>10.88</v>
      </c>
      <c r="H14" s="110"/>
      <c r="I14" s="81">
        <f>VLOOKUP(C14,Recipes!$A$2:$N$4,10,FALSE())</f>
        <v>10.940000000000001</v>
      </c>
      <c r="J14" s="81">
        <f>VLOOKUP(C14,Recipes!$A$2:$N$4,12,FALSE())</f>
        <v>5.2703573566378441E-2</v>
      </c>
      <c r="K14" s="81">
        <f t="shared" si="1"/>
        <v>10.62377855860173</v>
      </c>
      <c r="L14" s="81">
        <f t="shared" si="6"/>
        <v>11.256221441398273</v>
      </c>
      <c r="M14" s="81" t="str">
        <f t="shared" si="3"/>
        <v>OK</v>
      </c>
      <c r="N14" s="117">
        <f t="shared" si="7"/>
        <v>1</v>
      </c>
      <c r="O14" s="81">
        <f t="shared" si="5"/>
        <v>6.0000000000000497E-2</v>
      </c>
      <c r="P14" s="81">
        <f>IF(G14="","",ABS(O14-Components!$C$2))</f>
        <v>2.6933333333333294</v>
      </c>
      <c r="Q14" s="81">
        <f>IF(G14="","",ABS(O14-Components!$C$3))</f>
        <v>3.9759999999999991</v>
      </c>
      <c r="R14" s="81">
        <f>IF(G14="","",ABS(O14-Components!$C$4))</f>
        <v>0.93333333333333246</v>
      </c>
      <c r="S14" s="81">
        <f>IF(G14="","",ABS(O14-Components!$C$5))</f>
        <v>4.5026666666666699</v>
      </c>
      <c r="T14" s="81">
        <f>IF(G14="","",ABS(O14-Components!$C$6))</f>
        <v>1.0956666666666695</v>
      </c>
      <c r="U14" s="81">
        <f>IF(G14="","",ABS(O14-Components!$C$7))</f>
        <v>1.3143333333333296</v>
      </c>
      <c r="V14" s="81" t="str">
        <f>IF(G14="","",IF(M14="OK","NONE",INDEX({"S1","S2","W1","W2","N1","N2"},MATCH(MIN(P14:U14),P14:U14,0))))</f>
        <v>NONE</v>
      </c>
      <c r="W14" s="117">
        <f t="shared" si="8"/>
        <v>1</v>
      </c>
      <c r="X14" s="119"/>
    </row>
    <row r="15" spans="1:24">
      <c r="A15" s="115">
        <v>13</v>
      </c>
      <c r="B15" s="116">
        <v>1</v>
      </c>
      <c r="C15" s="81" t="s">
        <v>128</v>
      </c>
      <c r="D15" s="109" t="s">
        <v>238</v>
      </c>
      <c r="E15" s="81" t="s">
        <v>239</v>
      </c>
      <c r="F15" s="52">
        <v>9.9</v>
      </c>
      <c r="G15" s="52">
        <f t="shared" si="0"/>
        <v>10.870000000000001</v>
      </c>
      <c r="H15" s="110"/>
      <c r="I15" s="81">
        <f>VLOOKUP(C15,Recipes!$A$2:$N$4,10,FALSE())</f>
        <v>10.940000000000001</v>
      </c>
      <c r="J15" s="81">
        <f>VLOOKUP(C15,Recipes!$A$2:$N$4,12,FALSE())</f>
        <v>5.2703573566378441E-2</v>
      </c>
      <c r="K15" s="81">
        <f t="shared" si="1"/>
        <v>10.62377855860173</v>
      </c>
      <c r="L15" s="81">
        <f t="shared" si="6"/>
        <v>11.256221441398273</v>
      </c>
      <c r="M15" s="81" t="str">
        <f t="shared" si="3"/>
        <v>OK</v>
      </c>
      <c r="N15" s="117">
        <f t="shared" si="7"/>
        <v>1</v>
      </c>
      <c r="O15" s="81">
        <f t="shared" si="5"/>
        <v>7.0000000000000284E-2</v>
      </c>
      <c r="P15" s="81">
        <f>IF(G15="","",ABS(O15-Components!$C$2))</f>
        <v>2.6833333333333296</v>
      </c>
      <c r="Q15" s="81">
        <f>IF(G15="","",ABS(O15-Components!$C$3))</f>
        <v>3.9659999999999993</v>
      </c>
      <c r="R15" s="81">
        <f>IF(G15="","",ABS(O15-Components!$C$4))</f>
        <v>0.92333333333333267</v>
      </c>
      <c r="S15" s="81">
        <f>IF(G15="","",ABS(O15-Components!$C$5))</f>
        <v>4.4926666666666701</v>
      </c>
      <c r="T15" s="81">
        <f>IF(G15="","",ABS(O15-Components!$C$6))</f>
        <v>1.0856666666666697</v>
      </c>
      <c r="U15" s="81">
        <f>IF(G15="","",ABS(O15-Components!$C$7))</f>
        <v>1.3043333333333298</v>
      </c>
      <c r="V15" s="81" t="str">
        <f>IF(G15="","",IF(M15="OK","NONE",INDEX({"S1","S2","W1","W2","N1","N2"},MATCH(MIN(P15:U15),P15:U15,0))))</f>
        <v>NONE</v>
      </c>
      <c r="W15" s="117">
        <f t="shared" si="8"/>
        <v>1</v>
      </c>
      <c r="X15" s="119"/>
    </row>
    <row r="16" spans="1:24">
      <c r="A16" s="115">
        <v>14</v>
      </c>
      <c r="B16" s="116">
        <v>1</v>
      </c>
      <c r="C16" s="81" t="s">
        <v>128</v>
      </c>
      <c r="D16" s="109" t="s">
        <v>238</v>
      </c>
      <c r="E16" s="81" t="s">
        <v>239</v>
      </c>
      <c r="F16" s="52">
        <v>9.92</v>
      </c>
      <c r="G16" s="52">
        <f t="shared" si="0"/>
        <v>10.89</v>
      </c>
      <c r="H16" s="110"/>
      <c r="I16" s="81">
        <f>VLOOKUP(C16,Recipes!$A$2:$N$4,10,FALSE())</f>
        <v>10.940000000000001</v>
      </c>
      <c r="J16" s="81">
        <f>VLOOKUP(C16,Recipes!$A$2:$N$4,12,FALSE())</f>
        <v>5.2703573566378441E-2</v>
      </c>
      <c r="K16" s="81">
        <f t="shared" si="1"/>
        <v>10.62377855860173</v>
      </c>
      <c r="L16" s="81">
        <f t="shared" si="6"/>
        <v>11.256221441398273</v>
      </c>
      <c r="M16" s="81" t="str">
        <f t="shared" si="3"/>
        <v>OK</v>
      </c>
      <c r="N16" s="117">
        <f t="shared" si="7"/>
        <v>1</v>
      </c>
      <c r="O16" s="81">
        <f t="shared" si="5"/>
        <v>5.0000000000000711E-2</v>
      </c>
      <c r="P16" s="81">
        <f>IF(G16="","",ABS(O16-Components!$C$2))</f>
        <v>2.7033333333333291</v>
      </c>
      <c r="Q16" s="81">
        <f>IF(G16="","",ABS(O16-Components!$C$3))</f>
        <v>3.9859999999999989</v>
      </c>
      <c r="R16" s="81">
        <f>IF(G16="","",ABS(O16-Components!$C$4))</f>
        <v>0.94333333333333225</v>
      </c>
      <c r="S16" s="81">
        <f>IF(G16="","",ABS(O16-Components!$C$5))</f>
        <v>4.5126666666666697</v>
      </c>
      <c r="T16" s="81">
        <f>IF(G16="","",ABS(O16-Components!$C$6))</f>
        <v>1.1056666666666692</v>
      </c>
      <c r="U16" s="81">
        <f>IF(G16="","",ABS(O16-Components!$C$7))</f>
        <v>1.3243333333333294</v>
      </c>
      <c r="V16" s="81" t="str">
        <f>IF(G16="","",IF(M16="OK","NONE",INDEX({"S1","S2","W1","W2","N1","N2"},MATCH(MIN(P16:U16),P16:U16,0))))</f>
        <v>NONE</v>
      </c>
      <c r="W16" s="117">
        <f t="shared" si="8"/>
        <v>1</v>
      </c>
      <c r="X16" s="119"/>
    </row>
    <row r="17" spans="1:24">
      <c r="A17" s="115">
        <v>15</v>
      </c>
      <c r="B17" s="116">
        <v>1</v>
      </c>
      <c r="C17" s="81" t="s">
        <v>128</v>
      </c>
      <c r="D17" s="109" t="s">
        <v>238</v>
      </c>
      <c r="E17" s="81" t="s">
        <v>239</v>
      </c>
      <c r="F17" s="52">
        <v>9.94</v>
      </c>
      <c r="G17" s="52">
        <f t="shared" si="0"/>
        <v>10.91</v>
      </c>
      <c r="H17" s="110"/>
      <c r="I17" s="81">
        <f>VLOOKUP(C17,Recipes!$A$2:$N$4,10,FALSE())</f>
        <v>10.940000000000001</v>
      </c>
      <c r="J17" s="81">
        <f>VLOOKUP(C17,Recipes!$A$2:$N$4,12,FALSE())</f>
        <v>5.2703573566378441E-2</v>
      </c>
      <c r="K17" s="81">
        <f t="shared" si="1"/>
        <v>10.62377855860173</v>
      </c>
      <c r="L17" s="81">
        <f t="shared" si="6"/>
        <v>11.256221441398273</v>
      </c>
      <c r="M17" s="81" t="str">
        <f t="shared" si="3"/>
        <v>OK</v>
      </c>
      <c r="N17" s="117">
        <f t="shared" si="7"/>
        <v>1</v>
      </c>
      <c r="O17" s="81">
        <f t="shared" si="5"/>
        <v>3.0000000000001137E-2</v>
      </c>
      <c r="P17" s="81">
        <f>IF(G17="","",ABS(O17-Components!$C$2))</f>
        <v>2.7233333333333287</v>
      </c>
      <c r="Q17" s="81">
        <f>IF(G17="","",ABS(O17-Components!$C$3))</f>
        <v>4.0059999999999985</v>
      </c>
      <c r="R17" s="81">
        <f>IF(G17="","",ABS(O17-Components!$C$4))</f>
        <v>0.96333333333333182</v>
      </c>
      <c r="S17" s="81">
        <f>IF(G17="","",ABS(O17-Components!$C$5))</f>
        <v>4.5326666666666693</v>
      </c>
      <c r="T17" s="81">
        <f>IF(G17="","",ABS(O17-Components!$C$6))</f>
        <v>1.1256666666666688</v>
      </c>
      <c r="U17" s="81">
        <f>IF(G17="","",ABS(O17-Components!$C$7))</f>
        <v>1.3443333333333289</v>
      </c>
      <c r="V17" s="81" t="str">
        <f>IF(G17="","",IF(M17="OK","NONE",INDEX({"S1","S2","W1","W2","N1","N2"},MATCH(MIN(P17:U17),P17:U17,0))))</f>
        <v>NONE</v>
      </c>
      <c r="W17" s="117">
        <f t="shared" si="8"/>
        <v>1</v>
      </c>
      <c r="X17" s="119"/>
    </row>
    <row r="18" spans="1:24">
      <c r="A18" s="115">
        <v>16</v>
      </c>
      <c r="B18" s="116">
        <v>1</v>
      </c>
      <c r="C18" s="81" t="s">
        <v>128</v>
      </c>
      <c r="D18" s="109" t="s">
        <v>238</v>
      </c>
      <c r="E18" s="81" t="s">
        <v>239</v>
      </c>
      <c r="F18" s="52">
        <v>9.92</v>
      </c>
      <c r="G18" s="52">
        <f t="shared" si="0"/>
        <v>10.89</v>
      </c>
      <c r="H18" s="110"/>
      <c r="I18" s="81">
        <f>VLOOKUP(C18,Recipes!$A$2:$N$4,10,FALSE())</f>
        <v>10.940000000000001</v>
      </c>
      <c r="J18" s="81">
        <f>VLOOKUP(C18,Recipes!$A$2:$N$4,12,FALSE())</f>
        <v>5.2703573566378441E-2</v>
      </c>
      <c r="K18" s="81">
        <f t="shared" si="1"/>
        <v>10.62377855860173</v>
      </c>
      <c r="L18" s="81">
        <f t="shared" si="6"/>
        <v>11.256221441398273</v>
      </c>
      <c r="M18" s="81" t="str">
        <f t="shared" si="3"/>
        <v>OK</v>
      </c>
      <c r="N18" s="117">
        <f t="shared" si="7"/>
        <v>1</v>
      </c>
      <c r="O18" s="81">
        <f t="shared" si="5"/>
        <v>5.0000000000000711E-2</v>
      </c>
      <c r="P18" s="81">
        <f>IF(G18="","",ABS(O18-Components!$C$2))</f>
        <v>2.7033333333333291</v>
      </c>
      <c r="Q18" s="81">
        <f>IF(G18="","",ABS(O18-Components!$C$3))</f>
        <v>3.9859999999999989</v>
      </c>
      <c r="R18" s="81">
        <f>IF(G18="","",ABS(O18-Components!$C$4))</f>
        <v>0.94333333333333225</v>
      </c>
      <c r="S18" s="81">
        <f>IF(G18="","",ABS(O18-Components!$C$5))</f>
        <v>4.5126666666666697</v>
      </c>
      <c r="T18" s="81">
        <f>IF(G18="","",ABS(O18-Components!$C$6))</f>
        <v>1.1056666666666692</v>
      </c>
      <c r="U18" s="81">
        <f>IF(G18="","",ABS(O18-Components!$C$7))</f>
        <v>1.3243333333333294</v>
      </c>
      <c r="V18" s="81" t="str">
        <f>IF(G18="","",IF(M18="OK","NONE",INDEX({"S1","S2","W1","W2","N1","N2"},MATCH(MIN(P18:U18),P18:U18,0))))</f>
        <v>NONE</v>
      </c>
      <c r="W18" s="117">
        <f t="shared" si="8"/>
        <v>1</v>
      </c>
      <c r="X18" s="119"/>
    </row>
    <row r="19" spans="1:24">
      <c r="A19" s="115">
        <v>17</v>
      </c>
      <c r="B19" s="116">
        <v>1</v>
      </c>
      <c r="C19" s="81" t="s">
        <v>128</v>
      </c>
      <c r="D19" s="109" t="s">
        <v>238</v>
      </c>
      <c r="E19" s="81" t="s">
        <v>239</v>
      </c>
      <c r="F19" s="52">
        <v>9.89</v>
      </c>
      <c r="G19" s="52">
        <f t="shared" si="0"/>
        <v>10.860000000000001</v>
      </c>
      <c r="H19" s="110"/>
      <c r="I19" s="81">
        <f>VLOOKUP(C19,Recipes!$A$2:$N$4,10,FALSE())</f>
        <v>10.940000000000001</v>
      </c>
      <c r="J19" s="81">
        <f>VLOOKUP(C19,Recipes!$A$2:$N$4,12,FALSE())</f>
        <v>5.2703573566378441E-2</v>
      </c>
      <c r="K19" s="81">
        <f t="shared" si="1"/>
        <v>10.62377855860173</v>
      </c>
      <c r="L19" s="81">
        <f t="shared" si="6"/>
        <v>11.256221441398273</v>
      </c>
      <c r="M19" s="81" t="str">
        <f t="shared" si="3"/>
        <v>OK</v>
      </c>
      <c r="N19" s="117">
        <f t="shared" si="7"/>
        <v>1</v>
      </c>
      <c r="O19" s="81">
        <f t="shared" si="5"/>
        <v>8.0000000000000071E-2</v>
      </c>
      <c r="P19" s="81">
        <f>IF(G19="","",ABS(O19-Components!$C$2))</f>
        <v>2.6733333333333298</v>
      </c>
      <c r="Q19" s="81">
        <f>IF(G19="","",ABS(O19-Components!$C$3))</f>
        <v>3.9559999999999995</v>
      </c>
      <c r="R19" s="81">
        <f>IF(G19="","",ABS(O19-Components!$C$4))</f>
        <v>0.91333333333333289</v>
      </c>
      <c r="S19" s="81">
        <f>IF(G19="","",ABS(O19-Components!$C$5))</f>
        <v>4.4826666666666704</v>
      </c>
      <c r="T19" s="81">
        <f>IF(G19="","",ABS(O19-Components!$C$6))</f>
        <v>1.0756666666666699</v>
      </c>
      <c r="U19" s="81">
        <f>IF(G19="","",ABS(O19-Components!$C$7))</f>
        <v>1.29433333333333</v>
      </c>
      <c r="V19" s="81" t="str">
        <f>IF(G19="","",IF(M19="OK","NONE",INDEX({"S1","S2","W1","W2","N1","N2"},MATCH(MIN(P19:U19),P19:U19,0))))</f>
        <v>NONE</v>
      </c>
      <c r="W19" s="117">
        <f t="shared" si="8"/>
        <v>1</v>
      </c>
      <c r="X19" s="119"/>
    </row>
    <row r="20" spans="1:24">
      <c r="A20" s="115">
        <v>18</v>
      </c>
      <c r="B20" s="116">
        <v>1</v>
      </c>
      <c r="C20" s="81" t="s">
        <v>128</v>
      </c>
      <c r="D20" s="109" t="s">
        <v>238</v>
      </c>
      <c r="E20" s="81" t="s">
        <v>239</v>
      </c>
      <c r="F20" s="52">
        <v>9.92</v>
      </c>
      <c r="G20" s="52">
        <f t="shared" si="0"/>
        <v>10.89</v>
      </c>
      <c r="H20" s="110"/>
      <c r="I20" s="81">
        <f>VLOOKUP(C20,Recipes!$A$2:$N$4,10,FALSE())</f>
        <v>10.940000000000001</v>
      </c>
      <c r="J20" s="81">
        <f>VLOOKUP(C20,Recipes!$A$2:$N$4,12,FALSE())</f>
        <v>5.2703573566378441E-2</v>
      </c>
      <c r="K20" s="81">
        <f t="shared" si="1"/>
        <v>10.62377855860173</v>
      </c>
      <c r="L20" s="81">
        <f t="shared" si="6"/>
        <v>11.256221441398273</v>
      </c>
      <c r="M20" s="81" t="str">
        <f t="shared" si="3"/>
        <v>OK</v>
      </c>
      <c r="N20" s="117">
        <f t="shared" si="7"/>
        <v>1</v>
      </c>
      <c r="O20" s="81">
        <f t="shared" si="5"/>
        <v>5.0000000000000711E-2</v>
      </c>
      <c r="P20" s="81">
        <f>IF(G20="","",ABS(O20-Components!$C$2))</f>
        <v>2.7033333333333291</v>
      </c>
      <c r="Q20" s="81">
        <f>IF(G20="","",ABS(O20-Components!$C$3))</f>
        <v>3.9859999999999989</v>
      </c>
      <c r="R20" s="81">
        <f>IF(G20="","",ABS(O20-Components!$C$4))</f>
        <v>0.94333333333333225</v>
      </c>
      <c r="S20" s="81">
        <f>IF(G20="","",ABS(O20-Components!$C$5))</f>
        <v>4.5126666666666697</v>
      </c>
      <c r="T20" s="81">
        <f>IF(G20="","",ABS(O20-Components!$C$6))</f>
        <v>1.1056666666666692</v>
      </c>
      <c r="U20" s="81">
        <f>IF(G20="","",ABS(O20-Components!$C$7))</f>
        <v>1.3243333333333294</v>
      </c>
      <c r="V20" s="81" t="str">
        <f>IF(G20="","",IF(M20="OK","NONE",INDEX({"S1","S2","W1","W2","N1","N2"},MATCH(MIN(P20:U20),P20:U20,0))))</f>
        <v>NONE</v>
      </c>
      <c r="W20" s="117">
        <f t="shared" si="8"/>
        <v>1</v>
      </c>
      <c r="X20" s="119"/>
    </row>
    <row r="21" spans="1:24">
      <c r="A21" s="115">
        <v>19</v>
      </c>
      <c r="B21" s="116">
        <v>1</v>
      </c>
      <c r="C21" s="81" t="s">
        <v>128</v>
      </c>
      <c r="D21" s="109" t="s">
        <v>238</v>
      </c>
      <c r="E21" s="81" t="s">
        <v>239</v>
      </c>
      <c r="F21" s="52">
        <v>9.9499999999999993</v>
      </c>
      <c r="G21" s="52">
        <f t="shared" si="0"/>
        <v>10.92</v>
      </c>
      <c r="H21" s="110"/>
      <c r="I21" s="81">
        <f>VLOOKUP(C21,Recipes!$A$2:$N$4,10,FALSE())</f>
        <v>10.940000000000001</v>
      </c>
      <c r="J21" s="81">
        <f>VLOOKUP(C21,Recipes!$A$2:$N$4,12,FALSE())</f>
        <v>5.2703573566378441E-2</v>
      </c>
      <c r="K21" s="81">
        <f t="shared" si="1"/>
        <v>10.62377855860173</v>
      </c>
      <c r="L21" s="81">
        <f t="shared" si="6"/>
        <v>11.256221441398273</v>
      </c>
      <c r="M21" s="81" t="str">
        <f t="shared" si="3"/>
        <v>OK</v>
      </c>
      <c r="N21" s="117">
        <f t="shared" si="7"/>
        <v>1</v>
      </c>
      <c r="O21" s="81">
        <f t="shared" si="5"/>
        <v>2.000000000000135E-2</v>
      </c>
      <c r="P21" s="81">
        <f>IF(G21="","",ABS(O21-Components!$C$2))</f>
        <v>2.7333333333333285</v>
      </c>
      <c r="Q21" s="81">
        <f>IF(G21="","",ABS(O21-Components!$C$3))</f>
        <v>4.0159999999999982</v>
      </c>
      <c r="R21" s="81">
        <f>IF(G21="","",ABS(O21-Components!$C$4))</f>
        <v>0.97333333333333161</v>
      </c>
      <c r="S21" s="81">
        <f>IF(G21="","",ABS(O21-Components!$C$5))</f>
        <v>4.5426666666666691</v>
      </c>
      <c r="T21" s="81">
        <f>IF(G21="","",ABS(O21-Components!$C$6))</f>
        <v>1.1356666666666686</v>
      </c>
      <c r="U21" s="81">
        <f>IF(G21="","",ABS(O21-Components!$C$7))</f>
        <v>1.3543333333333287</v>
      </c>
      <c r="V21" s="81" t="str">
        <f>IF(G21="","",IF(M21="OK","NONE",INDEX({"S1","S2","W1","W2","N1","N2"},MATCH(MIN(P21:U21),P21:U21,0))))</f>
        <v>NONE</v>
      </c>
      <c r="W21" s="117">
        <f t="shared" si="8"/>
        <v>1</v>
      </c>
      <c r="X21" s="119"/>
    </row>
    <row r="22" spans="1:24">
      <c r="A22" s="115">
        <v>20</v>
      </c>
      <c r="B22" s="116">
        <v>1</v>
      </c>
      <c r="C22" s="81" t="s">
        <v>128</v>
      </c>
      <c r="D22" s="109" t="s">
        <v>238</v>
      </c>
      <c r="E22" s="81" t="s">
        <v>239</v>
      </c>
      <c r="F22" s="52">
        <v>9.98</v>
      </c>
      <c r="G22" s="52">
        <f t="shared" si="0"/>
        <v>10.950000000000001</v>
      </c>
      <c r="H22" s="110"/>
      <c r="I22" s="81">
        <f>VLOOKUP(C22,Recipes!$A$2:$N$4,10,FALSE())</f>
        <v>10.940000000000001</v>
      </c>
      <c r="J22" s="81">
        <f>VLOOKUP(C22,Recipes!$A$2:$N$4,12,FALSE())</f>
        <v>5.2703573566378441E-2</v>
      </c>
      <c r="K22" s="81">
        <f t="shared" si="1"/>
        <v>10.62377855860173</v>
      </c>
      <c r="L22" s="81">
        <f t="shared" si="6"/>
        <v>11.256221441398273</v>
      </c>
      <c r="M22" s="81" t="str">
        <f t="shared" si="3"/>
        <v>OK</v>
      </c>
      <c r="N22" s="117">
        <f t="shared" si="7"/>
        <v>1</v>
      </c>
      <c r="O22" s="81">
        <f t="shared" si="5"/>
        <v>-9.9999999999997868E-3</v>
      </c>
      <c r="P22" s="81">
        <f>IF(G22="","",ABS(O22-Components!$C$2))</f>
        <v>2.7633333333333296</v>
      </c>
      <c r="Q22" s="81">
        <f>IF(G22="","",ABS(O22-Components!$C$3))</f>
        <v>4.0459999999999994</v>
      </c>
      <c r="R22" s="81">
        <f>IF(G22="","",ABS(O22-Components!$C$4))</f>
        <v>1.0033333333333327</v>
      </c>
      <c r="S22" s="81">
        <f>IF(G22="","",ABS(O22-Components!$C$5))</f>
        <v>4.5726666666666702</v>
      </c>
      <c r="T22" s="81">
        <f>IF(G22="","",ABS(O22-Components!$C$6))</f>
        <v>1.1656666666666697</v>
      </c>
      <c r="U22" s="81">
        <f>IF(G22="","",ABS(O22-Components!$C$7))</f>
        <v>1.3843333333333299</v>
      </c>
      <c r="V22" s="81" t="str">
        <f>IF(G22="","",IF(M22="OK","NONE",INDEX({"S1","S2","W1","W2","N1","N2"},MATCH(MIN(P22:U22),P22:U22,0))))</f>
        <v>NONE</v>
      </c>
      <c r="W22" s="117">
        <f t="shared" si="8"/>
        <v>1</v>
      </c>
      <c r="X22" s="119"/>
    </row>
    <row r="23" spans="1:24">
      <c r="A23" s="115">
        <v>21</v>
      </c>
      <c r="B23" s="116">
        <v>1</v>
      </c>
      <c r="C23" s="81" t="s">
        <v>128</v>
      </c>
      <c r="D23" s="109" t="s">
        <v>238</v>
      </c>
      <c r="E23" s="81" t="s">
        <v>239</v>
      </c>
      <c r="F23" s="52">
        <v>9.99</v>
      </c>
      <c r="G23" s="52">
        <f t="shared" si="0"/>
        <v>10.96</v>
      </c>
      <c r="H23" s="110"/>
      <c r="I23" s="81">
        <f>VLOOKUP(C23,Recipes!$A$2:$N$4,10,FALSE())</f>
        <v>10.940000000000001</v>
      </c>
      <c r="J23" s="81">
        <f>VLOOKUP(C23,Recipes!$A$2:$N$4,12,FALSE())</f>
        <v>5.2703573566378441E-2</v>
      </c>
      <c r="K23" s="81">
        <f t="shared" si="1"/>
        <v>10.62377855860173</v>
      </c>
      <c r="L23" s="81">
        <f t="shared" si="6"/>
        <v>11.256221441398273</v>
      </c>
      <c r="M23" s="81" t="str">
        <f t="shared" si="3"/>
        <v>OK</v>
      </c>
      <c r="N23" s="117">
        <f t="shared" si="7"/>
        <v>1</v>
      </c>
      <c r="O23" s="81">
        <f t="shared" si="5"/>
        <v>-1.9999999999999574E-2</v>
      </c>
      <c r="P23" s="81">
        <f>IF(G23="","",ABS(O23-Components!$C$2))</f>
        <v>2.7733333333333294</v>
      </c>
      <c r="Q23" s="81">
        <f>IF(G23="","",ABS(O23-Components!$C$3))</f>
        <v>4.0559999999999992</v>
      </c>
      <c r="R23" s="81">
        <f>IF(G23="","",ABS(O23-Components!$C$4))</f>
        <v>1.0133333333333325</v>
      </c>
      <c r="S23" s="81">
        <f>IF(G23="","",ABS(O23-Components!$C$5))</f>
        <v>4.58266666666667</v>
      </c>
      <c r="T23" s="81">
        <f>IF(G23="","",ABS(O23-Components!$C$6))</f>
        <v>1.1756666666666695</v>
      </c>
      <c r="U23" s="81">
        <f>IF(G23="","",ABS(O23-Components!$C$7))</f>
        <v>1.3943333333333296</v>
      </c>
      <c r="V23" s="81" t="str">
        <f>IF(G23="","",IF(M23="OK","NONE",INDEX({"S1","S2","W1","W2","N1","N2"},MATCH(MIN(P23:U23),P23:U23,0))))</f>
        <v>NONE</v>
      </c>
      <c r="W23" s="117">
        <f t="shared" si="8"/>
        <v>1</v>
      </c>
      <c r="X23" s="119"/>
    </row>
    <row r="24" spans="1:24">
      <c r="A24" s="115">
        <v>22</v>
      </c>
      <c r="B24" s="116">
        <v>1</v>
      </c>
      <c r="C24" s="81" t="s">
        <v>128</v>
      </c>
      <c r="D24" s="109" t="s">
        <v>238</v>
      </c>
      <c r="E24" s="81" t="s">
        <v>239</v>
      </c>
      <c r="F24" s="52">
        <v>9.9</v>
      </c>
      <c r="G24" s="52">
        <f t="shared" si="0"/>
        <v>10.870000000000001</v>
      </c>
      <c r="H24" s="110"/>
      <c r="I24" s="81">
        <f>VLOOKUP(C24,Recipes!$A$2:$N$4,10,FALSE())</f>
        <v>10.940000000000001</v>
      </c>
      <c r="J24" s="81">
        <f>VLOOKUP(C24,Recipes!$A$2:$N$4,12,FALSE())</f>
        <v>5.2703573566378441E-2</v>
      </c>
      <c r="K24" s="81">
        <f t="shared" si="1"/>
        <v>10.62377855860173</v>
      </c>
      <c r="L24" s="81">
        <f t="shared" si="6"/>
        <v>11.256221441398273</v>
      </c>
      <c r="M24" s="81" t="str">
        <f t="shared" si="3"/>
        <v>OK</v>
      </c>
      <c r="N24" s="117">
        <f t="shared" si="7"/>
        <v>1</v>
      </c>
      <c r="O24" s="81">
        <f t="shared" si="5"/>
        <v>7.0000000000000284E-2</v>
      </c>
      <c r="P24" s="81">
        <f>IF(G24="","",ABS(O24-Components!$C$2))</f>
        <v>2.6833333333333296</v>
      </c>
      <c r="Q24" s="81">
        <f>IF(G24="","",ABS(O24-Components!$C$3))</f>
        <v>3.9659999999999993</v>
      </c>
      <c r="R24" s="81">
        <f>IF(G24="","",ABS(O24-Components!$C$4))</f>
        <v>0.92333333333333267</v>
      </c>
      <c r="S24" s="81">
        <f>IF(G24="","",ABS(O24-Components!$C$5))</f>
        <v>4.4926666666666701</v>
      </c>
      <c r="T24" s="81">
        <f>IF(G24="","",ABS(O24-Components!$C$6))</f>
        <v>1.0856666666666697</v>
      </c>
      <c r="U24" s="81">
        <f>IF(G24="","",ABS(O24-Components!$C$7))</f>
        <v>1.3043333333333298</v>
      </c>
      <c r="V24" s="81" t="str">
        <f>IF(G24="","",IF(M24="OK","NONE",INDEX({"S1","S2","W1","W2","N1","N2"},MATCH(MIN(P24:U24),P24:U24,0))))</f>
        <v>NONE</v>
      </c>
      <c r="W24" s="117">
        <f t="shared" si="8"/>
        <v>1</v>
      </c>
      <c r="X24" s="119"/>
    </row>
    <row r="25" spans="1:24">
      <c r="A25" s="115">
        <v>23</v>
      </c>
      <c r="B25" s="116">
        <v>1</v>
      </c>
      <c r="C25" s="81" t="s">
        <v>128</v>
      </c>
      <c r="D25" s="109" t="s">
        <v>238</v>
      </c>
      <c r="E25" s="81" t="s">
        <v>239</v>
      </c>
      <c r="F25" s="52">
        <v>9.9700000000000006</v>
      </c>
      <c r="G25" s="52">
        <f t="shared" si="0"/>
        <v>10.940000000000001</v>
      </c>
      <c r="H25" s="110"/>
      <c r="I25" s="81">
        <f>VLOOKUP(C25,Recipes!$A$2:$N$4,10,FALSE())</f>
        <v>10.940000000000001</v>
      </c>
      <c r="J25" s="81">
        <f>VLOOKUP(C25,Recipes!$A$2:$N$4,12,FALSE())</f>
        <v>5.2703573566378441E-2</v>
      </c>
      <c r="K25" s="81">
        <f t="shared" si="1"/>
        <v>10.62377855860173</v>
      </c>
      <c r="L25" s="81">
        <f t="shared" si="6"/>
        <v>11.256221441398273</v>
      </c>
      <c r="M25" s="81" t="str">
        <f t="shared" si="3"/>
        <v>OK</v>
      </c>
      <c r="N25" s="117">
        <f t="shared" si="7"/>
        <v>1</v>
      </c>
      <c r="O25" s="81">
        <f t="shared" si="5"/>
        <v>0</v>
      </c>
      <c r="P25" s="81">
        <f>IF(G25="","",ABS(O25-Components!$C$2))</f>
        <v>2.7533333333333299</v>
      </c>
      <c r="Q25" s="81">
        <f>IF(G25="","",ABS(O25-Components!$C$3))</f>
        <v>4.0359999999999996</v>
      </c>
      <c r="R25" s="81">
        <f>IF(G25="","",ABS(O25-Components!$C$4))</f>
        <v>0.99333333333333296</v>
      </c>
      <c r="S25" s="81">
        <f>IF(G25="","",ABS(O25-Components!$C$5))</f>
        <v>4.5626666666666704</v>
      </c>
      <c r="T25" s="81">
        <f>IF(G25="","",ABS(O25-Components!$C$6))</f>
        <v>1.15566666666667</v>
      </c>
      <c r="U25" s="81">
        <f>IF(G25="","",ABS(O25-Components!$C$7))</f>
        <v>1.3743333333333301</v>
      </c>
      <c r="V25" s="81" t="str">
        <f>IF(G25="","",IF(M25="OK","NONE",INDEX({"S1","S2","W1","W2","N1","N2"},MATCH(MIN(P25:U25),P25:U25,0))))</f>
        <v>NONE</v>
      </c>
      <c r="W25" s="117">
        <f t="shared" si="8"/>
        <v>1</v>
      </c>
      <c r="X25" s="119"/>
    </row>
    <row r="26" spans="1:24">
      <c r="A26" s="115">
        <v>24</v>
      </c>
      <c r="B26" s="116">
        <v>1</v>
      </c>
      <c r="C26" s="81" t="s">
        <v>128</v>
      </c>
      <c r="D26" s="109" t="s">
        <v>238</v>
      </c>
      <c r="E26" s="81" t="s">
        <v>239</v>
      </c>
      <c r="F26" s="52">
        <v>10.02</v>
      </c>
      <c r="G26" s="52">
        <f t="shared" si="0"/>
        <v>10.99</v>
      </c>
      <c r="H26" s="110"/>
      <c r="I26" s="81">
        <f>VLOOKUP(C26,Recipes!$A$2:$N$4,10,FALSE())</f>
        <v>10.940000000000001</v>
      </c>
      <c r="J26" s="81">
        <f>VLOOKUP(C26,Recipes!$A$2:$N$4,12,FALSE())</f>
        <v>5.2703573566378441E-2</v>
      </c>
      <c r="K26" s="81">
        <f t="shared" si="1"/>
        <v>10.62377855860173</v>
      </c>
      <c r="L26" s="81">
        <f t="shared" si="6"/>
        <v>11.256221441398273</v>
      </c>
      <c r="M26" s="81" t="str">
        <f t="shared" si="3"/>
        <v>OK</v>
      </c>
      <c r="N26" s="117">
        <f t="shared" si="7"/>
        <v>1</v>
      </c>
      <c r="O26" s="81">
        <f t="shared" si="5"/>
        <v>-4.9999999999998934E-2</v>
      </c>
      <c r="P26" s="81">
        <f>IF(G26="","",ABS(O26-Components!$C$2))</f>
        <v>2.8033333333333288</v>
      </c>
      <c r="Q26" s="81">
        <f>IF(G26="","",ABS(O26-Components!$C$3))</f>
        <v>4.0859999999999985</v>
      </c>
      <c r="R26" s="81">
        <f>IF(G26="","",ABS(O26-Components!$C$4))</f>
        <v>1.0433333333333319</v>
      </c>
      <c r="S26" s="81">
        <f>IF(G26="","",ABS(O26-Components!$C$5))</f>
        <v>4.6126666666666694</v>
      </c>
      <c r="T26" s="81">
        <f>IF(G26="","",ABS(O26-Components!$C$6))</f>
        <v>1.2056666666666689</v>
      </c>
      <c r="U26" s="81">
        <f>IF(G26="","",ABS(O26-Components!$C$7))</f>
        <v>1.424333333333329</v>
      </c>
      <c r="V26" s="81" t="str">
        <f>IF(G26="","",IF(M26="OK","NONE",INDEX({"S1","S2","W1","W2","N1","N2"},MATCH(MIN(P26:U26),P26:U26,0))))</f>
        <v>NONE</v>
      </c>
      <c r="W26" s="117">
        <f t="shared" si="8"/>
        <v>1</v>
      </c>
      <c r="X26" s="119"/>
    </row>
    <row r="27" spans="1:24">
      <c r="A27" s="115">
        <v>25</v>
      </c>
      <c r="B27" s="116">
        <v>1</v>
      </c>
      <c r="C27" s="81" t="s">
        <v>128</v>
      </c>
      <c r="D27" s="109" t="s">
        <v>238</v>
      </c>
      <c r="E27" s="81" t="s">
        <v>239</v>
      </c>
      <c r="F27" s="52">
        <v>10</v>
      </c>
      <c r="G27" s="52">
        <f t="shared" si="0"/>
        <v>10.97</v>
      </c>
      <c r="H27" s="110"/>
      <c r="I27" s="81">
        <f>VLOOKUP(C27,Recipes!$A$2:$N$4,10,FALSE())</f>
        <v>10.940000000000001</v>
      </c>
      <c r="J27" s="81">
        <f>VLOOKUP(C27,Recipes!$A$2:$N$4,12,FALSE())</f>
        <v>5.2703573566378441E-2</v>
      </c>
      <c r="K27" s="81">
        <f t="shared" si="1"/>
        <v>10.62377855860173</v>
      </c>
      <c r="L27" s="81">
        <f t="shared" si="6"/>
        <v>11.256221441398273</v>
      </c>
      <c r="M27" s="81" t="str">
        <f t="shared" si="3"/>
        <v>OK</v>
      </c>
      <c r="N27" s="117">
        <f t="shared" si="7"/>
        <v>1</v>
      </c>
      <c r="O27" s="81">
        <f t="shared" si="5"/>
        <v>-2.9999999999999361E-2</v>
      </c>
      <c r="P27" s="81">
        <f>IF(G27="","",ABS(O27-Components!$C$2))</f>
        <v>2.7833333333333292</v>
      </c>
      <c r="Q27" s="81">
        <f>IF(G27="","",ABS(O27-Components!$C$3))</f>
        <v>4.0659999999999989</v>
      </c>
      <c r="R27" s="81">
        <f>IF(G27="","",ABS(O27-Components!$C$4))</f>
        <v>1.0233333333333323</v>
      </c>
      <c r="S27" s="81">
        <f>IF(G27="","",ABS(O27-Components!$C$5))</f>
        <v>4.5926666666666698</v>
      </c>
      <c r="T27" s="81">
        <f>IF(G27="","",ABS(O27-Components!$C$6))</f>
        <v>1.1856666666666693</v>
      </c>
      <c r="U27" s="81">
        <f>IF(G27="","",ABS(O27-Components!$C$7))</f>
        <v>1.4043333333333294</v>
      </c>
      <c r="V27" s="81" t="str">
        <f>IF(G27="","",IF(M27="OK","NONE",INDEX({"S1","S2","W1","W2","N1","N2"},MATCH(MIN(P27:U27),P27:U27,0))))</f>
        <v>NONE</v>
      </c>
      <c r="W27" s="117">
        <f t="shared" si="8"/>
        <v>1</v>
      </c>
      <c r="X27" s="119"/>
    </row>
    <row r="28" spans="1:24">
      <c r="A28" s="115">
        <v>26</v>
      </c>
      <c r="B28" s="116">
        <v>1</v>
      </c>
      <c r="C28" s="81" t="s">
        <v>128</v>
      </c>
      <c r="D28" s="109" t="s">
        <v>238</v>
      </c>
      <c r="E28" s="81" t="s">
        <v>239</v>
      </c>
      <c r="F28" s="52">
        <v>9.93</v>
      </c>
      <c r="G28" s="52">
        <f t="shared" si="0"/>
        <v>10.9</v>
      </c>
      <c r="H28" s="110"/>
      <c r="I28" s="81">
        <f>VLOOKUP(C28,Recipes!$A$2:$N$4,10,FALSE())</f>
        <v>10.940000000000001</v>
      </c>
      <c r="J28" s="81">
        <f>VLOOKUP(C28,Recipes!$A$2:$N$4,12,FALSE())</f>
        <v>5.2703573566378441E-2</v>
      </c>
      <c r="K28" s="81">
        <f t="shared" si="1"/>
        <v>10.62377855860173</v>
      </c>
      <c r="L28" s="81">
        <f t="shared" si="6"/>
        <v>11.256221441398273</v>
      </c>
      <c r="M28" s="81" t="str">
        <f t="shared" si="3"/>
        <v>OK</v>
      </c>
      <c r="N28" s="117">
        <f t="shared" si="7"/>
        <v>1</v>
      </c>
      <c r="O28" s="81">
        <f t="shared" si="5"/>
        <v>4.0000000000000924E-2</v>
      </c>
      <c r="P28" s="81">
        <f>IF(G28="","",ABS(O28-Components!$C$2))</f>
        <v>2.7133333333333289</v>
      </c>
      <c r="Q28" s="81">
        <f>IF(G28="","",ABS(O28-Components!$C$3))</f>
        <v>3.9959999999999987</v>
      </c>
      <c r="R28" s="81">
        <f>IF(G28="","",ABS(O28-Components!$C$4))</f>
        <v>0.95333333333333203</v>
      </c>
      <c r="S28" s="81">
        <f>IF(G28="","",ABS(O28-Components!$C$5))</f>
        <v>4.5226666666666695</v>
      </c>
      <c r="T28" s="81">
        <f>IF(G28="","",ABS(O28-Components!$C$6))</f>
        <v>1.115666666666669</v>
      </c>
      <c r="U28" s="81">
        <f>IF(G28="","",ABS(O28-Components!$C$7))</f>
        <v>1.3343333333333292</v>
      </c>
      <c r="V28" s="81" t="str">
        <f>IF(G28="","",IF(M28="OK","NONE",INDEX({"S1","S2","W1","W2","N1","N2"},MATCH(MIN(P28:U28),P28:U28,0))))</f>
        <v>NONE</v>
      </c>
      <c r="W28" s="117">
        <f t="shared" si="8"/>
        <v>1</v>
      </c>
      <c r="X28" s="119"/>
    </row>
    <row r="29" spans="1:24">
      <c r="A29" s="115">
        <v>27</v>
      </c>
      <c r="B29" s="116">
        <v>1</v>
      </c>
      <c r="C29" s="81" t="s">
        <v>128</v>
      </c>
      <c r="D29" s="109" t="s">
        <v>238</v>
      </c>
      <c r="E29" s="81" t="s">
        <v>239</v>
      </c>
      <c r="F29" s="52">
        <v>9.9700000000000006</v>
      </c>
      <c r="G29" s="52">
        <f t="shared" si="0"/>
        <v>10.940000000000001</v>
      </c>
      <c r="H29" s="110"/>
      <c r="I29" s="81">
        <f>VLOOKUP(C29,Recipes!$A$2:$N$4,10,FALSE())</f>
        <v>10.940000000000001</v>
      </c>
      <c r="J29" s="81">
        <f>VLOOKUP(C29,Recipes!$A$2:$N$4,12,FALSE())</f>
        <v>5.2703573566378441E-2</v>
      </c>
      <c r="K29" s="81">
        <f t="shared" si="1"/>
        <v>10.62377855860173</v>
      </c>
      <c r="L29" s="81">
        <f t="shared" si="6"/>
        <v>11.256221441398273</v>
      </c>
      <c r="M29" s="81" t="str">
        <f t="shared" si="3"/>
        <v>OK</v>
      </c>
      <c r="N29" s="117">
        <f t="shared" si="7"/>
        <v>1</v>
      </c>
      <c r="O29" s="81">
        <f t="shared" si="5"/>
        <v>0</v>
      </c>
      <c r="P29" s="81">
        <f>IF(G29="","",ABS(O29-Components!$C$2))</f>
        <v>2.7533333333333299</v>
      </c>
      <c r="Q29" s="81">
        <f>IF(G29="","",ABS(O29-Components!$C$3))</f>
        <v>4.0359999999999996</v>
      </c>
      <c r="R29" s="81">
        <f>IF(G29="","",ABS(O29-Components!$C$4))</f>
        <v>0.99333333333333296</v>
      </c>
      <c r="S29" s="81">
        <f>IF(G29="","",ABS(O29-Components!$C$5))</f>
        <v>4.5626666666666704</v>
      </c>
      <c r="T29" s="81">
        <f>IF(G29="","",ABS(O29-Components!$C$6))</f>
        <v>1.15566666666667</v>
      </c>
      <c r="U29" s="81">
        <f>IF(G29="","",ABS(O29-Components!$C$7))</f>
        <v>1.3743333333333301</v>
      </c>
      <c r="V29" s="81" t="str">
        <f>IF(G29="","",IF(M29="OK","NONE",INDEX({"S1","S2","W1","W2","N1","N2"},MATCH(MIN(P29:U29),P29:U29,0))))</f>
        <v>NONE</v>
      </c>
      <c r="W29" s="117">
        <f t="shared" si="8"/>
        <v>1</v>
      </c>
      <c r="X29" s="119"/>
    </row>
    <row r="30" spans="1:24">
      <c r="A30" s="115">
        <v>28</v>
      </c>
      <c r="B30" s="116">
        <v>1</v>
      </c>
      <c r="C30" s="81" t="s">
        <v>128</v>
      </c>
      <c r="D30" s="109" t="s">
        <v>238</v>
      </c>
      <c r="E30" s="81" t="s">
        <v>239</v>
      </c>
      <c r="F30" s="52">
        <v>9.94</v>
      </c>
      <c r="G30" s="52">
        <f t="shared" si="0"/>
        <v>10.91</v>
      </c>
      <c r="H30" s="110"/>
      <c r="I30" s="81">
        <f>VLOOKUP(C30,Recipes!$A$2:$N$4,10,FALSE())</f>
        <v>10.940000000000001</v>
      </c>
      <c r="J30" s="81">
        <f>VLOOKUP(C30,Recipes!$A$2:$N$4,12,FALSE())</f>
        <v>5.2703573566378441E-2</v>
      </c>
      <c r="K30" s="81">
        <f t="shared" si="1"/>
        <v>10.62377855860173</v>
      </c>
      <c r="L30" s="81">
        <f t="shared" si="6"/>
        <v>11.256221441398273</v>
      </c>
      <c r="M30" s="81" t="str">
        <f t="shared" si="3"/>
        <v>OK</v>
      </c>
      <c r="N30" s="117">
        <f t="shared" si="7"/>
        <v>1</v>
      </c>
      <c r="O30" s="81">
        <f t="shared" si="5"/>
        <v>3.0000000000001137E-2</v>
      </c>
      <c r="P30" s="81">
        <f>IF(G30="","",ABS(O30-Components!$C$2))</f>
        <v>2.7233333333333287</v>
      </c>
      <c r="Q30" s="81">
        <f>IF(G30="","",ABS(O30-Components!$C$3))</f>
        <v>4.0059999999999985</v>
      </c>
      <c r="R30" s="81">
        <f>IF(G30="","",ABS(O30-Components!$C$4))</f>
        <v>0.96333333333333182</v>
      </c>
      <c r="S30" s="81">
        <f>IF(G30="","",ABS(O30-Components!$C$5))</f>
        <v>4.5326666666666693</v>
      </c>
      <c r="T30" s="81">
        <f>IF(G30="","",ABS(O30-Components!$C$6))</f>
        <v>1.1256666666666688</v>
      </c>
      <c r="U30" s="81">
        <f>IF(G30="","",ABS(O30-Components!$C$7))</f>
        <v>1.3443333333333289</v>
      </c>
      <c r="V30" s="81" t="str">
        <f>IF(G30="","",IF(M30="OK","NONE",INDEX({"S1","S2","W1","W2","N1","N2"},MATCH(MIN(P30:U30),P30:U30,0))))</f>
        <v>NONE</v>
      </c>
      <c r="W30" s="117">
        <f t="shared" si="8"/>
        <v>1</v>
      </c>
      <c r="X30" s="119"/>
    </row>
    <row r="31" spans="1:24">
      <c r="A31" s="115">
        <v>29</v>
      </c>
      <c r="B31" s="116">
        <v>1</v>
      </c>
      <c r="C31" s="81" t="s">
        <v>128</v>
      </c>
      <c r="D31" s="109" t="s">
        <v>238</v>
      </c>
      <c r="E31" s="81" t="s">
        <v>239</v>
      </c>
      <c r="F31" s="52">
        <v>9.99</v>
      </c>
      <c r="G31" s="52">
        <f t="shared" si="0"/>
        <v>10.96</v>
      </c>
      <c r="H31" s="110"/>
      <c r="I31" s="81">
        <f>VLOOKUP(C31,Recipes!$A$2:$N$4,10,FALSE())</f>
        <v>10.940000000000001</v>
      </c>
      <c r="J31" s="81">
        <f>VLOOKUP(C31,Recipes!$A$2:$N$4,12,FALSE())</f>
        <v>5.2703573566378441E-2</v>
      </c>
      <c r="K31" s="81">
        <f t="shared" si="1"/>
        <v>10.62377855860173</v>
      </c>
      <c r="L31" s="81">
        <f t="shared" si="6"/>
        <v>11.256221441398273</v>
      </c>
      <c r="M31" s="81" t="str">
        <f t="shared" si="3"/>
        <v>OK</v>
      </c>
      <c r="N31" s="117">
        <f t="shared" si="7"/>
        <v>1</v>
      </c>
      <c r="O31" s="81">
        <f t="shared" si="5"/>
        <v>-1.9999999999999574E-2</v>
      </c>
      <c r="P31" s="81">
        <f>IF(G31="","",ABS(O31-Components!$C$2))</f>
        <v>2.7733333333333294</v>
      </c>
      <c r="Q31" s="81">
        <f>IF(G31="","",ABS(O31-Components!$C$3))</f>
        <v>4.0559999999999992</v>
      </c>
      <c r="R31" s="81">
        <f>IF(G31="","",ABS(O31-Components!$C$4))</f>
        <v>1.0133333333333325</v>
      </c>
      <c r="S31" s="81">
        <f>IF(G31="","",ABS(O31-Components!$C$5))</f>
        <v>4.58266666666667</v>
      </c>
      <c r="T31" s="81">
        <f>IF(G31="","",ABS(O31-Components!$C$6))</f>
        <v>1.1756666666666695</v>
      </c>
      <c r="U31" s="81">
        <f>IF(G31="","",ABS(O31-Components!$C$7))</f>
        <v>1.3943333333333296</v>
      </c>
      <c r="V31" s="81" t="str">
        <f>IF(G31="","",IF(M31="OK","NONE",INDEX({"S1","S2","W1","W2","N1","N2"},MATCH(MIN(P31:U31),P31:U31,0))))</f>
        <v>NONE</v>
      </c>
      <c r="W31" s="117">
        <f t="shared" si="8"/>
        <v>1</v>
      </c>
      <c r="X31" s="119"/>
    </row>
    <row r="32" spans="1:24">
      <c r="A32" s="115">
        <v>30</v>
      </c>
      <c r="B32" s="116">
        <v>1</v>
      </c>
      <c r="C32" s="81" t="s">
        <v>128</v>
      </c>
      <c r="D32" s="109" t="s">
        <v>238</v>
      </c>
      <c r="E32" s="81" t="s">
        <v>239</v>
      </c>
      <c r="F32" s="61">
        <v>9.48</v>
      </c>
      <c r="G32" s="52">
        <f t="shared" si="0"/>
        <v>10.450000000000001</v>
      </c>
      <c r="H32" s="110"/>
      <c r="I32" s="81">
        <f>VLOOKUP(C32,Recipes!$A$2:$N$4,10,FALSE())</f>
        <v>10.940000000000001</v>
      </c>
      <c r="J32" s="81">
        <f>VLOOKUP(C32,Recipes!$A$2:$N$4,12,FALSE())</f>
        <v>5.2703573566378441E-2</v>
      </c>
      <c r="K32" s="81">
        <f t="shared" si="1"/>
        <v>10.62377855860173</v>
      </c>
      <c r="L32" s="81">
        <f t="shared" si="6"/>
        <v>11.256221441398273</v>
      </c>
      <c r="M32" s="81" t="str">
        <f t="shared" si="3"/>
        <v>NG</v>
      </c>
      <c r="N32" s="122">
        <f t="shared" si="7"/>
        <v>0</v>
      </c>
      <c r="O32" s="81">
        <f t="shared" si="5"/>
        <v>0.49000000000000021</v>
      </c>
      <c r="P32" s="81">
        <f>IF(G32="","",ABS(O32-Components!$C$2))</f>
        <v>2.2633333333333296</v>
      </c>
      <c r="Q32" s="81">
        <f>IF(G32="","",ABS(O32-Components!$C$3))</f>
        <v>3.5459999999999994</v>
      </c>
      <c r="R32" s="81">
        <f>IF(G32="","",ABS(O32-Components!$C$4))</f>
        <v>0.50333333333333274</v>
      </c>
      <c r="S32" s="81">
        <f>IF(G32="","",ABS(O32-Components!$C$5))</f>
        <v>4.0726666666666702</v>
      </c>
      <c r="T32" s="81">
        <f>IF(G32="","",ABS(O32-Components!$C$6))</f>
        <v>0.66566666666666974</v>
      </c>
      <c r="U32" s="81">
        <f>IF(G32="","",ABS(O32-Components!$C$7))</f>
        <v>0.88433333333332986</v>
      </c>
      <c r="V32" s="81" t="str">
        <f>IF(G32="","",IF(M32="OK","NONE",INDEX({"S1","S2","W1","W2","N1","N2"},MATCH(MIN(P32:U32),P32:U32,0))))</f>
        <v>W1</v>
      </c>
      <c r="W32" s="118">
        <f t="shared" si="8"/>
        <v>0</v>
      </c>
      <c r="X32" s="119"/>
    </row>
    <row r="33" spans="1:24">
      <c r="A33" s="115">
        <v>31</v>
      </c>
      <c r="B33" s="116">
        <v>2</v>
      </c>
      <c r="C33" s="81" t="s">
        <v>128</v>
      </c>
      <c r="D33" s="111" t="s">
        <v>240</v>
      </c>
      <c r="E33" s="81" t="s">
        <v>102</v>
      </c>
      <c r="F33" s="52">
        <v>5.91</v>
      </c>
      <c r="G33" s="52">
        <f t="shared" si="0"/>
        <v>6.88</v>
      </c>
      <c r="H33" s="110"/>
      <c r="I33" s="81">
        <f>VLOOKUP(C33,Recipes!$A$2:$N$4,10,FALSE())</f>
        <v>10.940000000000001</v>
      </c>
      <c r="J33" s="81">
        <f>VLOOKUP(C33,Recipes!$A$2:$N$4,12,FALSE())</f>
        <v>5.2703573566378441E-2</v>
      </c>
      <c r="K33" s="81">
        <f t="shared" si="1"/>
        <v>10.62377855860173</v>
      </c>
      <c r="L33" s="81">
        <f t="shared" si="6"/>
        <v>11.256221441398273</v>
      </c>
      <c r="M33" s="81" t="str">
        <f t="shared" si="3"/>
        <v>NG</v>
      </c>
      <c r="N33" s="117">
        <f t="shared" si="7"/>
        <v>1</v>
      </c>
      <c r="O33" s="81">
        <f t="shared" si="5"/>
        <v>4.0600000000000014</v>
      </c>
      <c r="P33" s="81">
        <f>IF(G33="","",ABS(O33-Components!$C$2))</f>
        <v>1.3066666666666715</v>
      </c>
      <c r="Q33" s="81">
        <f>IF(G33="","",ABS(O33-Components!$C$3))</f>
        <v>2.4000000000001798E-2</v>
      </c>
      <c r="R33" s="81">
        <f>IF(G33="","",ABS(O33-Components!$C$4))</f>
        <v>3.0666666666666682</v>
      </c>
      <c r="S33" s="81">
        <f>IF(G33="","",ABS(O33-Components!$C$5))</f>
        <v>0.50266666666666904</v>
      </c>
      <c r="T33" s="81">
        <f>IF(G33="","",ABS(O33-Components!$C$6))</f>
        <v>2.9043333333333314</v>
      </c>
      <c r="U33" s="81">
        <f>IF(G33="","",ABS(O33-Components!$C$7))</f>
        <v>2.6856666666666715</v>
      </c>
      <c r="V33" s="81" t="str">
        <f>IF(G33="","",IF(M33="OK","NONE",INDEX({"S1","S2","W1","W2","N1","N2"},MATCH(MIN(P33:U33),P33:U33,0))))</f>
        <v>S2</v>
      </c>
      <c r="W33" s="117">
        <f t="shared" si="8"/>
        <v>1</v>
      </c>
      <c r="X33" s="119"/>
    </row>
    <row r="34" spans="1:24">
      <c r="A34" s="115">
        <v>32</v>
      </c>
      <c r="B34" s="116">
        <v>2</v>
      </c>
      <c r="C34" s="81" t="s">
        <v>128</v>
      </c>
      <c r="D34" s="111" t="s">
        <v>240</v>
      </c>
      <c r="E34" s="81" t="s">
        <v>102</v>
      </c>
      <c r="F34" s="52">
        <v>5.93</v>
      </c>
      <c r="G34" s="52">
        <f t="shared" si="0"/>
        <v>6.8999999999999995</v>
      </c>
      <c r="H34" s="110"/>
      <c r="I34" s="81">
        <f>VLOOKUP(C34,Recipes!$A$2:$N$4,10,FALSE())</f>
        <v>10.940000000000001</v>
      </c>
      <c r="J34" s="81">
        <f>VLOOKUP(C34,Recipes!$A$2:$N$4,12,FALSE())</f>
        <v>5.2703573566378441E-2</v>
      </c>
      <c r="K34" s="81">
        <f t="shared" si="1"/>
        <v>10.62377855860173</v>
      </c>
      <c r="L34" s="81">
        <f t="shared" si="6"/>
        <v>11.256221441398273</v>
      </c>
      <c r="M34" s="81" t="str">
        <f t="shared" si="3"/>
        <v>NG</v>
      </c>
      <c r="N34" s="117">
        <f t="shared" si="7"/>
        <v>1</v>
      </c>
      <c r="O34" s="81">
        <f t="shared" si="5"/>
        <v>4.0400000000000018</v>
      </c>
      <c r="P34" s="81">
        <f>IF(G34="","",ABS(O34-Components!$C$2))</f>
        <v>1.286666666666672</v>
      </c>
      <c r="Q34" s="81">
        <f>IF(G34="","",ABS(O34-Components!$C$3))</f>
        <v>4.000000000002224E-3</v>
      </c>
      <c r="R34" s="81">
        <f>IF(G34="","",ABS(O34-Components!$C$4))</f>
        <v>3.0466666666666686</v>
      </c>
      <c r="S34" s="81">
        <f>IF(G34="","",ABS(O34-Components!$C$5))</f>
        <v>0.52266666666666861</v>
      </c>
      <c r="T34" s="81">
        <f>IF(G34="","",ABS(O34-Components!$C$6))</f>
        <v>2.8843333333333319</v>
      </c>
      <c r="U34" s="81">
        <f>IF(G34="","",ABS(O34-Components!$C$7))</f>
        <v>2.665666666666672</v>
      </c>
      <c r="V34" s="81" t="str">
        <f>IF(G34="","",IF(M34="OK","NONE",INDEX({"S1","S2","W1","W2","N1","N2"},MATCH(MIN(P34:U34),P34:U34,0))))</f>
        <v>S2</v>
      </c>
      <c r="W34" s="117">
        <f t="shared" si="8"/>
        <v>1</v>
      </c>
      <c r="X34" s="119"/>
    </row>
    <row r="35" spans="1:24">
      <c r="A35" s="115">
        <v>33</v>
      </c>
      <c r="B35" s="116">
        <v>2</v>
      </c>
      <c r="C35" s="81" t="s">
        <v>128</v>
      </c>
      <c r="D35" s="111" t="s">
        <v>240</v>
      </c>
      <c r="E35" s="81" t="s">
        <v>102</v>
      </c>
      <c r="F35" s="52">
        <v>5.86</v>
      </c>
      <c r="G35" s="52">
        <f t="shared" si="0"/>
        <v>6.83</v>
      </c>
      <c r="H35" s="110"/>
      <c r="I35" s="81">
        <f>VLOOKUP(C35,Recipes!$A$2:$N$4,10,FALSE())</f>
        <v>10.940000000000001</v>
      </c>
      <c r="J35" s="81">
        <f>VLOOKUP(C35,Recipes!$A$2:$N$4,12,FALSE())</f>
        <v>5.2703573566378441E-2</v>
      </c>
      <c r="K35" s="81">
        <f t="shared" si="1"/>
        <v>10.62377855860173</v>
      </c>
      <c r="L35" s="81">
        <f t="shared" si="6"/>
        <v>11.256221441398273</v>
      </c>
      <c r="M35" s="81" t="str">
        <f t="shared" si="3"/>
        <v>NG</v>
      </c>
      <c r="N35" s="117">
        <f t="shared" si="7"/>
        <v>1</v>
      </c>
      <c r="O35" s="81">
        <f t="shared" si="5"/>
        <v>4.1100000000000012</v>
      </c>
      <c r="P35" s="81">
        <f>IF(G35="","",ABS(O35-Components!$C$2))</f>
        <v>1.3566666666666714</v>
      </c>
      <c r="Q35" s="81">
        <f>IF(G35="","",ABS(O35-Components!$C$3))</f>
        <v>7.400000000000162E-2</v>
      </c>
      <c r="R35" s="81">
        <f>IF(G35="","",ABS(O35-Components!$C$4))</f>
        <v>3.116666666666668</v>
      </c>
      <c r="S35" s="81">
        <f>IF(G35="","",ABS(O35-Components!$C$5))</f>
        <v>0.45266666666666922</v>
      </c>
      <c r="T35" s="81">
        <f>IF(G35="","",ABS(O35-Components!$C$6))</f>
        <v>2.9543333333333313</v>
      </c>
      <c r="U35" s="81">
        <f>IF(G35="","",ABS(O35-Components!$C$7))</f>
        <v>2.7356666666666714</v>
      </c>
      <c r="V35" s="81" t="str">
        <f>IF(G35="","",IF(M35="OK","NONE",INDEX({"S1","S2","W1","W2","N1","N2"},MATCH(MIN(P35:U35),P35:U35,0))))</f>
        <v>S2</v>
      </c>
      <c r="W35" s="117">
        <f t="shared" si="8"/>
        <v>1</v>
      </c>
      <c r="X35" s="119"/>
    </row>
    <row r="36" spans="1:24">
      <c r="A36" s="115">
        <v>34</v>
      </c>
      <c r="B36" s="116">
        <v>2</v>
      </c>
      <c r="C36" s="81" t="s">
        <v>128</v>
      </c>
      <c r="D36" s="111" t="s">
        <v>240</v>
      </c>
      <c r="E36" s="81" t="s">
        <v>102</v>
      </c>
      <c r="F36" s="52">
        <v>5.94</v>
      </c>
      <c r="G36" s="52">
        <f t="shared" si="0"/>
        <v>6.91</v>
      </c>
      <c r="H36" s="110"/>
      <c r="I36" s="81">
        <f>VLOOKUP(C36,Recipes!$A$2:$N$4,10,FALSE())</f>
        <v>10.940000000000001</v>
      </c>
      <c r="J36" s="81">
        <f>VLOOKUP(C36,Recipes!$A$2:$N$4,12,FALSE())</f>
        <v>5.2703573566378441E-2</v>
      </c>
      <c r="K36" s="81">
        <f t="shared" si="1"/>
        <v>10.62377855860173</v>
      </c>
      <c r="L36" s="81">
        <f t="shared" si="6"/>
        <v>11.256221441398273</v>
      </c>
      <c r="M36" s="81" t="str">
        <f t="shared" si="3"/>
        <v>NG</v>
      </c>
      <c r="N36" s="117">
        <f t="shared" si="7"/>
        <v>1</v>
      </c>
      <c r="O36" s="81">
        <f t="shared" si="5"/>
        <v>4.0300000000000011</v>
      </c>
      <c r="P36" s="81">
        <f>IF(G36="","",ABS(O36-Components!$C$2))</f>
        <v>1.2766666666666713</v>
      </c>
      <c r="Q36" s="81">
        <f>IF(G36="","",ABS(O36-Components!$C$3))</f>
        <v>5.999999999998451E-3</v>
      </c>
      <c r="R36" s="81">
        <f>IF(G36="","",ABS(O36-Components!$C$4))</f>
        <v>3.036666666666668</v>
      </c>
      <c r="S36" s="81">
        <f>IF(G36="","",ABS(O36-Components!$C$5))</f>
        <v>0.53266666666666929</v>
      </c>
      <c r="T36" s="81">
        <f>IF(G36="","",ABS(O36-Components!$C$6))</f>
        <v>2.8743333333333312</v>
      </c>
      <c r="U36" s="81">
        <f>IF(G36="","",ABS(O36-Components!$C$7))</f>
        <v>2.6556666666666713</v>
      </c>
      <c r="V36" s="81" t="str">
        <f>IF(G36="","",IF(M36="OK","NONE",INDEX({"S1","S2","W1","W2","N1","N2"},MATCH(MIN(P36:U36),P36:U36,0))))</f>
        <v>S2</v>
      </c>
      <c r="W36" s="117">
        <f t="shared" si="8"/>
        <v>1</v>
      </c>
      <c r="X36" s="119"/>
    </row>
    <row r="37" spans="1:24">
      <c r="A37" s="115">
        <v>35</v>
      </c>
      <c r="B37" s="116">
        <v>2</v>
      </c>
      <c r="C37" s="81" t="s">
        <v>128</v>
      </c>
      <c r="D37" s="111" t="s">
        <v>240</v>
      </c>
      <c r="E37" s="81" t="s">
        <v>102</v>
      </c>
      <c r="F37" s="52">
        <v>5.9</v>
      </c>
      <c r="G37" s="52">
        <f t="shared" si="0"/>
        <v>6.87</v>
      </c>
      <c r="H37" s="110"/>
      <c r="I37" s="81">
        <f>VLOOKUP(C37,Recipes!$A$2:$N$4,10,FALSE())</f>
        <v>10.940000000000001</v>
      </c>
      <c r="J37" s="81">
        <f>VLOOKUP(C37,Recipes!$A$2:$N$4,12,FALSE())</f>
        <v>5.2703573566378441E-2</v>
      </c>
      <c r="K37" s="81">
        <f t="shared" si="1"/>
        <v>10.62377855860173</v>
      </c>
      <c r="L37" s="81">
        <f t="shared" si="6"/>
        <v>11.256221441398273</v>
      </c>
      <c r="M37" s="81" t="str">
        <f t="shared" si="3"/>
        <v>NG</v>
      </c>
      <c r="N37" s="117">
        <f t="shared" si="7"/>
        <v>1</v>
      </c>
      <c r="O37" s="81">
        <f t="shared" si="5"/>
        <v>4.0700000000000012</v>
      </c>
      <c r="P37" s="81">
        <f>IF(G37="","",ABS(O37-Components!$C$2))</f>
        <v>1.3166666666666713</v>
      </c>
      <c r="Q37" s="81">
        <f>IF(G37="","",ABS(O37-Components!$C$3))</f>
        <v>3.4000000000001585E-2</v>
      </c>
      <c r="R37" s="81">
        <f>IF(G37="","",ABS(O37-Components!$C$4))</f>
        <v>3.076666666666668</v>
      </c>
      <c r="S37" s="81">
        <f>IF(G37="","",ABS(O37-Components!$C$5))</f>
        <v>0.49266666666666925</v>
      </c>
      <c r="T37" s="81">
        <f>IF(G37="","",ABS(O37-Components!$C$6))</f>
        <v>2.9143333333333312</v>
      </c>
      <c r="U37" s="81">
        <f>IF(G37="","",ABS(O37-Components!$C$7))</f>
        <v>2.6956666666666713</v>
      </c>
      <c r="V37" s="81" t="str">
        <f>IF(G37="","",IF(M37="OK","NONE",INDEX({"S1","S2","W1","W2","N1","N2"},MATCH(MIN(P37:U37),P37:U37,0))))</f>
        <v>S2</v>
      </c>
      <c r="W37" s="117">
        <f t="shared" si="8"/>
        <v>1</v>
      </c>
      <c r="X37" s="119"/>
    </row>
    <row r="38" spans="1:24">
      <c r="A38" s="115">
        <v>36</v>
      </c>
      <c r="B38" s="116">
        <v>2</v>
      </c>
      <c r="C38" s="81" t="s">
        <v>128</v>
      </c>
      <c r="D38" s="111" t="s">
        <v>240</v>
      </c>
      <c r="E38" s="81" t="s">
        <v>102</v>
      </c>
      <c r="F38" s="52">
        <v>5.82</v>
      </c>
      <c r="G38" s="52">
        <f t="shared" si="0"/>
        <v>6.79</v>
      </c>
      <c r="H38" s="110"/>
      <c r="I38" s="81">
        <f>VLOOKUP(C38,Recipes!$A$2:$N$4,10,FALSE())</f>
        <v>10.940000000000001</v>
      </c>
      <c r="J38" s="81">
        <f>VLOOKUP(C38,Recipes!$A$2:$N$4,12,FALSE())</f>
        <v>5.2703573566378441E-2</v>
      </c>
      <c r="K38" s="81">
        <f t="shared" si="1"/>
        <v>10.62377855860173</v>
      </c>
      <c r="L38" s="81">
        <f t="shared" si="6"/>
        <v>11.256221441398273</v>
      </c>
      <c r="M38" s="81" t="str">
        <f t="shared" si="3"/>
        <v>NG</v>
      </c>
      <c r="N38" s="117">
        <f t="shared" si="7"/>
        <v>1</v>
      </c>
      <c r="O38" s="81">
        <f t="shared" si="5"/>
        <v>4.1500000000000012</v>
      </c>
      <c r="P38" s="81">
        <f>IF(G38="","",ABS(O38-Components!$C$2))</f>
        <v>1.3966666666666714</v>
      </c>
      <c r="Q38" s="81">
        <f>IF(G38="","",ABS(O38-Components!$C$3))</f>
        <v>0.11400000000000166</v>
      </c>
      <c r="R38" s="81">
        <f>IF(G38="","",ABS(O38-Components!$C$4))</f>
        <v>3.1566666666666681</v>
      </c>
      <c r="S38" s="81">
        <f>IF(G38="","",ABS(O38-Components!$C$5))</f>
        <v>0.41266666666666918</v>
      </c>
      <c r="T38" s="81">
        <f>IF(G38="","",ABS(O38-Components!$C$6))</f>
        <v>2.9943333333333313</v>
      </c>
      <c r="U38" s="81">
        <f>IF(G38="","",ABS(O38-Components!$C$7))</f>
        <v>2.7756666666666714</v>
      </c>
      <c r="V38" s="81" t="str">
        <f>IF(G38="","",IF(M38="OK","NONE",INDEX({"S1","S2","W1","W2","N1","N2"},MATCH(MIN(P38:U38),P38:U38,0))))</f>
        <v>S2</v>
      </c>
      <c r="W38" s="117">
        <f t="shared" si="8"/>
        <v>1</v>
      </c>
      <c r="X38" s="119"/>
    </row>
    <row r="39" spans="1:24">
      <c r="A39" s="115">
        <v>37</v>
      </c>
      <c r="B39" s="116">
        <v>2</v>
      </c>
      <c r="C39" s="81" t="s">
        <v>128</v>
      </c>
      <c r="D39" s="111" t="s">
        <v>240</v>
      </c>
      <c r="E39" s="81" t="s">
        <v>102</v>
      </c>
      <c r="F39" s="52">
        <v>5.87</v>
      </c>
      <c r="G39" s="52">
        <f t="shared" si="0"/>
        <v>6.84</v>
      </c>
      <c r="H39" s="110"/>
      <c r="I39" s="81">
        <f>VLOOKUP(C39,Recipes!$A$2:$N$4,10,FALSE())</f>
        <v>10.940000000000001</v>
      </c>
      <c r="J39" s="81">
        <f>VLOOKUP(C39,Recipes!$A$2:$N$4,12,FALSE())</f>
        <v>5.2703573566378441E-2</v>
      </c>
      <c r="K39" s="81">
        <f t="shared" si="1"/>
        <v>10.62377855860173</v>
      </c>
      <c r="L39" s="81">
        <f t="shared" si="6"/>
        <v>11.256221441398273</v>
      </c>
      <c r="M39" s="81" t="str">
        <f t="shared" si="3"/>
        <v>NG</v>
      </c>
      <c r="N39" s="117">
        <f t="shared" si="7"/>
        <v>1</v>
      </c>
      <c r="O39" s="81">
        <f t="shared" si="5"/>
        <v>4.1000000000000014</v>
      </c>
      <c r="P39" s="81">
        <f>IF(G39="","",ABS(O39-Components!$C$2))</f>
        <v>1.3466666666666716</v>
      </c>
      <c r="Q39" s="81">
        <f>IF(G39="","",ABS(O39-Components!$C$3))</f>
        <v>6.4000000000001833E-2</v>
      </c>
      <c r="R39" s="81">
        <f>IF(G39="","",ABS(O39-Components!$C$4))</f>
        <v>3.1066666666666682</v>
      </c>
      <c r="S39" s="81">
        <f>IF(G39="","",ABS(O39-Components!$C$5))</f>
        <v>0.462666666666669</v>
      </c>
      <c r="T39" s="81">
        <f>IF(G39="","",ABS(O39-Components!$C$6))</f>
        <v>2.9443333333333315</v>
      </c>
      <c r="U39" s="81">
        <f>IF(G39="","",ABS(O39-Components!$C$7))</f>
        <v>2.7256666666666716</v>
      </c>
      <c r="V39" s="81" t="str">
        <f>IF(G39="","",IF(M39="OK","NONE",INDEX({"S1","S2","W1","W2","N1","N2"},MATCH(MIN(P39:U39),P39:U39,0))))</f>
        <v>S2</v>
      </c>
      <c r="W39" s="117">
        <f t="shared" si="8"/>
        <v>1</v>
      </c>
      <c r="X39" s="119"/>
    </row>
    <row r="40" spans="1:24">
      <c r="A40" s="115">
        <v>38</v>
      </c>
      <c r="B40" s="116">
        <v>2</v>
      </c>
      <c r="C40" s="81" t="s">
        <v>128</v>
      </c>
      <c r="D40" s="111" t="s">
        <v>240</v>
      </c>
      <c r="E40" s="81" t="s">
        <v>102</v>
      </c>
      <c r="F40" s="52">
        <v>5.89</v>
      </c>
      <c r="G40" s="52">
        <f t="shared" si="0"/>
        <v>6.8599999999999994</v>
      </c>
      <c r="H40" s="110"/>
      <c r="I40" s="81">
        <f>VLOOKUP(C40,Recipes!$A$2:$N$4,10,FALSE())</f>
        <v>10.940000000000001</v>
      </c>
      <c r="J40" s="81">
        <f>VLOOKUP(C40,Recipes!$A$2:$N$4,12,FALSE())</f>
        <v>5.2703573566378441E-2</v>
      </c>
      <c r="K40" s="81">
        <f t="shared" si="1"/>
        <v>10.62377855860173</v>
      </c>
      <c r="L40" s="81">
        <f t="shared" si="6"/>
        <v>11.256221441398273</v>
      </c>
      <c r="M40" s="81" t="str">
        <f t="shared" si="3"/>
        <v>NG</v>
      </c>
      <c r="N40" s="117">
        <f t="shared" si="7"/>
        <v>1</v>
      </c>
      <c r="O40" s="81">
        <f t="shared" si="5"/>
        <v>4.0800000000000018</v>
      </c>
      <c r="P40" s="81">
        <f>IF(G40="","",ABS(O40-Components!$C$2))</f>
        <v>1.326666666666672</v>
      </c>
      <c r="Q40" s="81">
        <f>IF(G40="","",ABS(O40-Components!$C$3))</f>
        <v>4.400000000000226E-2</v>
      </c>
      <c r="R40" s="81">
        <f>IF(G40="","",ABS(O40-Components!$C$4))</f>
        <v>3.0866666666666687</v>
      </c>
      <c r="S40" s="81">
        <f>IF(G40="","",ABS(O40-Components!$C$5))</f>
        <v>0.48266666666666858</v>
      </c>
      <c r="T40" s="81">
        <f>IF(G40="","",ABS(O40-Components!$C$6))</f>
        <v>2.9243333333333319</v>
      </c>
      <c r="U40" s="81">
        <f>IF(G40="","",ABS(O40-Components!$C$7))</f>
        <v>2.705666666666672</v>
      </c>
      <c r="V40" s="81" t="str">
        <f>IF(G40="","",IF(M40="OK","NONE",INDEX({"S1","S2","W1","W2","N1","N2"},MATCH(MIN(P40:U40),P40:U40,0))))</f>
        <v>S2</v>
      </c>
      <c r="W40" s="117">
        <f t="shared" si="8"/>
        <v>1</v>
      </c>
      <c r="X40" s="119"/>
    </row>
    <row r="41" spans="1:24">
      <c r="A41" s="115">
        <v>39</v>
      </c>
      <c r="B41" s="116">
        <v>2</v>
      </c>
      <c r="C41" s="81" t="s">
        <v>128</v>
      </c>
      <c r="D41" s="111" t="s">
        <v>240</v>
      </c>
      <c r="E41" s="81" t="s">
        <v>102</v>
      </c>
      <c r="F41" s="52">
        <v>5.91</v>
      </c>
      <c r="G41" s="52">
        <f t="shared" si="0"/>
        <v>6.88</v>
      </c>
      <c r="H41" s="110"/>
      <c r="I41" s="81">
        <f>VLOOKUP(C41,Recipes!$A$2:$N$4,10,FALSE())</f>
        <v>10.940000000000001</v>
      </c>
      <c r="J41" s="81">
        <f>VLOOKUP(C41,Recipes!$A$2:$N$4,12,FALSE())</f>
        <v>5.2703573566378441E-2</v>
      </c>
      <c r="K41" s="81">
        <f t="shared" si="1"/>
        <v>10.62377855860173</v>
      </c>
      <c r="L41" s="81">
        <f t="shared" si="6"/>
        <v>11.256221441398273</v>
      </c>
      <c r="M41" s="81" t="str">
        <f t="shared" si="3"/>
        <v>NG</v>
      </c>
      <c r="N41" s="117">
        <f t="shared" si="7"/>
        <v>1</v>
      </c>
      <c r="O41" s="81">
        <f t="shared" si="5"/>
        <v>4.0600000000000014</v>
      </c>
      <c r="P41" s="81">
        <f>IF(G41="","",ABS(O41-Components!$C$2))</f>
        <v>1.3066666666666715</v>
      </c>
      <c r="Q41" s="81">
        <f>IF(G41="","",ABS(O41-Components!$C$3))</f>
        <v>2.4000000000001798E-2</v>
      </c>
      <c r="R41" s="81">
        <f>IF(G41="","",ABS(O41-Components!$C$4))</f>
        <v>3.0666666666666682</v>
      </c>
      <c r="S41" s="81">
        <f>IF(G41="","",ABS(O41-Components!$C$5))</f>
        <v>0.50266666666666904</v>
      </c>
      <c r="T41" s="81">
        <f>IF(G41="","",ABS(O41-Components!$C$6))</f>
        <v>2.9043333333333314</v>
      </c>
      <c r="U41" s="81">
        <f>IF(G41="","",ABS(O41-Components!$C$7))</f>
        <v>2.6856666666666715</v>
      </c>
      <c r="V41" s="81" t="str">
        <f>IF(G41="","",IF(M41="OK","NONE",INDEX({"S1","S2","W1","W2","N1","N2"},MATCH(MIN(P41:U41),P41:U41,0))))</f>
        <v>S2</v>
      </c>
      <c r="W41" s="117">
        <f t="shared" si="8"/>
        <v>1</v>
      </c>
      <c r="X41" s="119"/>
    </row>
    <row r="42" spans="1:24">
      <c r="A42" s="115">
        <v>40</v>
      </c>
      <c r="B42" s="116">
        <v>2</v>
      </c>
      <c r="C42" s="81" t="s">
        <v>128</v>
      </c>
      <c r="D42" s="111" t="s">
        <v>240</v>
      </c>
      <c r="E42" s="81" t="s">
        <v>102</v>
      </c>
      <c r="F42" s="52">
        <v>5.94</v>
      </c>
      <c r="G42" s="52">
        <f t="shared" si="0"/>
        <v>6.91</v>
      </c>
      <c r="H42" s="110"/>
      <c r="I42" s="81">
        <f>VLOOKUP(C42,Recipes!$A$2:$N$4,10,FALSE())</f>
        <v>10.940000000000001</v>
      </c>
      <c r="J42" s="81">
        <f>VLOOKUP(C42,Recipes!$A$2:$N$4,12,FALSE())</f>
        <v>5.2703573566378441E-2</v>
      </c>
      <c r="K42" s="81">
        <f t="shared" si="1"/>
        <v>10.62377855860173</v>
      </c>
      <c r="L42" s="81">
        <f t="shared" si="6"/>
        <v>11.256221441398273</v>
      </c>
      <c r="M42" s="81" t="str">
        <f t="shared" si="3"/>
        <v>NG</v>
      </c>
      <c r="N42" s="117">
        <f t="shared" si="7"/>
        <v>1</v>
      </c>
      <c r="O42" s="81">
        <f t="shared" si="5"/>
        <v>4.0300000000000011</v>
      </c>
      <c r="P42" s="81">
        <f>IF(G42="","",ABS(O42-Components!$C$2))</f>
        <v>1.2766666666666713</v>
      </c>
      <c r="Q42" s="81">
        <f>IF(G42="","",ABS(O42-Components!$C$3))</f>
        <v>5.999999999998451E-3</v>
      </c>
      <c r="R42" s="81">
        <f>IF(G42="","",ABS(O42-Components!$C$4))</f>
        <v>3.036666666666668</v>
      </c>
      <c r="S42" s="81">
        <f>IF(G42="","",ABS(O42-Components!$C$5))</f>
        <v>0.53266666666666929</v>
      </c>
      <c r="T42" s="81">
        <f>IF(G42="","",ABS(O42-Components!$C$6))</f>
        <v>2.8743333333333312</v>
      </c>
      <c r="U42" s="81">
        <f>IF(G42="","",ABS(O42-Components!$C$7))</f>
        <v>2.6556666666666713</v>
      </c>
      <c r="V42" s="81" t="str">
        <f>IF(G42="","",IF(M42="OK","NONE",INDEX({"S1","S2","W1","W2","N1","N2"},MATCH(MIN(P42:U42),P42:U42,0))))</f>
        <v>S2</v>
      </c>
      <c r="W42" s="117">
        <f t="shared" si="8"/>
        <v>1</v>
      </c>
      <c r="X42" s="119"/>
    </row>
    <row r="43" spans="1:24">
      <c r="A43" s="115">
        <v>41</v>
      </c>
      <c r="B43" s="116">
        <v>2</v>
      </c>
      <c r="C43" s="81" t="s">
        <v>128</v>
      </c>
      <c r="D43" s="111" t="s">
        <v>240</v>
      </c>
      <c r="E43" s="81" t="s">
        <v>102</v>
      </c>
      <c r="F43" s="52">
        <v>5.91</v>
      </c>
      <c r="G43" s="52">
        <f t="shared" si="0"/>
        <v>6.88</v>
      </c>
      <c r="H43" s="110"/>
      <c r="I43" s="81">
        <f>VLOOKUP(C43,Recipes!$A$2:$N$4,10,FALSE())</f>
        <v>10.940000000000001</v>
      </c>
      <c r="J43" s="81">
        <f>VLOOKUP(C43,Recipes!$A$2:$N$4,12,FALSE())</f>
        <v>5.2703573566378441E-2</v>
      </c>
      <c r="K43" s="81">
        <f t="shared" si="1"/>
        <v>10.62377855860173</v>
      </c>
      <c r="L43" s="81">
        <f t="shared" si="6"/>
        <v>11.256221441398273</v>
      </c>
      <c r="M43" s="81" t="str">
        <f t="shared" si="3"/>
        <v>NG</v>
      </c>
      <c r="N43" s="117">
        <f t="shared" si="7"/>
        <v>1</v>
      </c>
      <c r="O43" s="81">
        <f t="shared" si="5"/>
        <v>4.0600000000000014</v>
      </c>
      <c r="P43" s="81">
        <f>IF(G43="","",ABS(O43-Components!$C$2))</f>
        <v>1.3066666666666715</v>
      </c>
      <c r="Q43" s="81">
        <f>IF(G43="","",ABS(O43-Components!$C$3))</f>
        <v>2.4000000000001798E-2</v>
      </c>
      <c r="R43" s="81">
        <f>IF(G43="","",ABS(O43-Components!$C$4))</f>
        <v>3.0666666666666682</v>
      </c>
      <c r="S43" s="81">
        <f>IF(G43="","",ABS(O43-Components!$C$5))</f>
        <v>0.50266666666666904</v>
      </c>
      <c r="T43" s="81">
        <f>IF(G43="","",ABS(O43-Components!$C$6))</f>
        <v>2.9043333333333314</v>
      </c>
      <c r="U43" s="81">
        <f>IF(G43="","",ABS(O43-Components!$C$7))</f>
        <v>2.6856666666666715</v>
      </c>
      <c r="V43" s="81" t="str">
        <f>IF(G43="","",IF(M43="OK","NONE",INDEX({"S1","S2","W1","W2","N1","N2"},MATCH(MIN(P43:U43),P43:U43,0))))</f>
        <v>S2</v>
      </c>
      <c r="W43" s="117">
        <f t="shared" si="8"/>
        <v>1</v>
      </c>
      <c r="X43" s="119"/>
    </row>
    <row r="44" spans="1:24">
      <c r="A44" s="115">
        <v>42</v>
      </c>
      <c r="B44" s="116">
        <v>2</v>
      </c>
      <c r="C44" s="81" t="s">
        <v>128</v>
      </c>
      <c r="D44" s="111" t="s">
        <v>240</v>
      </c>
      <c r="E44" s="81" t="s">
        <v>102</v>
      </c>
      <c r="F44" s="52">
        <v>5.96</v>
      </c>
      <c r="G44" s="52">
        <f t="shared" si="0"/>
        <v>6.93</v>
      </c>
      <c r="H44" s="110"/>
      <c r="I44" s="81">
        <f>VLOOKUP(C44,Recipes!$A$2:$N$4,10,FALSE())</f>
        <v>10.940000000000001</v>
      </c>
      <c r="J44" s="81">
        <f>VLOOKUP(C44,Recipes!$A$2:$N$4,12,FALSE())</f>
        <v>5.2703573566378441E-2</v>
      </c>
      <c r="K44" s="81">
        <f t="shared" si="1"/>
        <v>10.62377855860173</v>
      </c>
      <c r="L44" s="81">
        <f t="shared" si="6"/>
        <v>11.256221441398273</v>
      </c>
      <c r="M44" s="81" t="str">
        <f t="shared" si="3"/>
        <v>NG</v>
      </c>
      <c r="N44" s="117">
        <f t="shared" si="7"/>
        <v>1</v>
      </c>
      <c r="O44" s="81">
        <f t="shared" si="5"/>
        <v>4.0100000000000016</v>
      </c>
      <c r="P44" s="81">
        <f>IF(G44="","",ABS(O44-Components!$C$2))</f>
        <v>1.2566666666666717</v>
      </c>
      <c r="Q44" s="81">
        <f>IF(G44="","",ABS(O44-Components!$C$3))</f>
        <v>2.5999999999998025E-2</v>
      </c>
      <c r="R44" s="81">
        <f>IF(G44="","",ABS(O44-Components!$C$4))</f>
        <v>3.0166666666666684</v>
      </c>
      <c r="S44" s="81">
        <f>IF(G44="","",ABS(O44-Components!$C$5))</f>
        <v>0.55266666666666886</v>
      </c>
      <c r="T44" s="81">
        <f>IF(G44="","",ABS(O44-Components!$C$6))</f>
        <v>2.8543333333333316</v>
      </c>
      <c r="U44" s="81">
        <f>IF(G44="","",ABS(O44-Components!$C$7))</f>
        <v>2.6356666666666717</v>
      </c>
      <c r="V44" s="81" t="str">
        <f>IF(G44="","",IF(M44="OK","NONE",INDEX({"S1","S2","W1","W2","N1","N2"},MATCH(MIN(P44:U44),P44:U44,0))))</f>
        <v>S2</v>
      </c>
      <c r="W44" s="117">
        <f t="shared" si="8"/>
        <v>1</v>
      </c>
      <c r="X44" s="119"/>
    </row>
    <row r="45" spans="1:24">
      <c r="A45" s="115">
        <v>43</v>
      </c>
      <c r="B45" s="116">
        <v>2</v>
      </c>
      <c r="C45" s="81" t="s">
        <v>128</v>
      </c>
      <c r="D45" s="111" t="s">
        <v>240</v>
      </c>
      <c r="E45" s="81" t="s">
        <v>102</v>
      </c>
      <c r="F45" s="52">
        <v>5.98</v>
      </c>
      <c r="G45" s="52">
        <f t="shared" si="0"/>
        <v>6.95</v>
      </c>
      <c r="H45" s="110"/>
      <c r="I45" s="81">
        <f>VLOOKUP(C45,Recipes!$A$2:$N$4,10,FALSE())</f>
        <v>10.940000000000001</v>
      </c>
      <c r="J45" s="81">
        <f>VLOOKUP(C45,Recipes!$A$2:$N$4,12,FALSE())</f>
        <v>5.2703573566378441E-2</v>
      </c>
      <c r="K45" s="81">
        <f t="shared" si="1"/>
        <v>10.62377855860173</v>
      </c>
      <c r="L45" s="81">
        <f t="shared" si="6"/>
        <v>11.256221441398273</v>
      </c>
      <c r="M45" s="81" t="str">
        <f t="shared" si="3"/>
        <v>NG</v>
      </c>
      <c r="N45" s="117">
        <f t="shared" si="7"/>
        <v>1</v>
      </c>
      <c r="O45" s="81">
        <f t="shared" si="5"/>
        <v>3.9900000000000011</v>
      </c>
      <c r="P45" s="81">
        <f>IF(G45="","",ABS(O45-Components!$C$2))</f>
        <v>1.2366666666666712</v>
      </c>
      <c r="Q45" s="81">
        <f>IF(G45="","",ABS(O45-Components!$C$3))</f>
        <v>4.5999999999998487E-2</v>
      </c>
      <c r="R45" s="81">
        <f>IF(G45="","",ABS(O45-Components!$C$4))</f>
        <v>2.9966666666666679</v>
      </c>
      <c r="S45" s="81">
        <f>IF(G45="","",ABS(O45-Components!$C$5))</f>
        <v>0.57266666666666932</v>
      </c>
      <c r="T45" s="81">
        <f>IF(G45="","",ABS(O45-Components!$C$6))</f>
        <v>2.8343333333333312</v>
      </c>
      <c r="U45" s="81">
        <f>IF(G45="","",ABS(O45-Components!$C$7))</f>
        <v>2.6156666666666712</v>
      </c>
      <c r="V45" s="81" t="str">
        <f>IF(G45="","",IF(M45="OK","NONE",INDEX({"S1","S2","W1","W2","N1","N2"},MATCH(MIN(P45:U45),P45:U45,0))))</f>
        <v>S2</v>
      </c>
      <c r="W45" s="117">
        <f t="shared" si="8"/>
        <v>1</v>
      </c>
      <c r="X45" s="119"/>
    </row>
    <row r="46" spans="1:24">
      <c r="A46" s="115">
        <v>44</v>
      </c>
      <c r="B46" s="116">
        <v>2</v>
      </c>
      <c r="C46" s="81" t="s">
        <v>128</v>
      </c>
      <c r="D46" s="111" t="s">
        <v>240</v>
      </c>
      <c r="E46" s="81" t="s">
        <v>102</v>
      </c>
      <c r="F46" s="52">
        <v>5.94</v>
      </c>
      <c r="G46" s="52">
        <f t="shared" si="0"/>
        <v>6.91</v>
      </c>
      <c r="H46" s="110"/>
      <c r="I46" s="81">
        <f>VLOOKUP(C46,Recipes!$A$2:$N$4,10,FALSE())</f>
        <v>10.940000000000001</v>
      </c>
      <c r="J46" s="81">
        <f>VLOOKUP(C46,Recipes!$A$2:$N$4,12,FALSE())</f>
        <v>5.2703573566378441E-2</v>
      </c>
      <c r="K46" s="81">
        <f t="shared" si="1"/>
        <v>10.62377855860173</v>
      </c>
      <c r="L46" s="81">
        <f t="shared" si="6"/>
        <v>11.256221441398273</v>
      </c>
      <c r="M46" s="81" t="str">
        <f t="shared" si="3"/>
        <v>NG</v>
      </c>
      <c r="N46" s="117">
        <f t="shared" si="7"/>
        <v>1</v>
      </c>
      <c r="O46" s="81">
        <f t="shared" si="5"/>
        <v>4.0300000000000011</v>
      </c>
      <c r="P46" s="81">
        <f>IF(G46="","",ABS(O46-Components!$C$2))</f>
        <v>1.2766666666666713</v>
      </c>
      <c r="Q46" s="81">
        <f>IF(G46="","",ABS(O46-Components!$C$3))</f>
        <v>5.999999999998451E-3</v>
      </c>
      <c r="R46" s="81">
        <f>IF(G46="","",ABS(O46-Components!$C$4))</f>
        <v>3.036666666666668</v>
      </c>
      <c r="S46" s="81">
        <f>IF(G46="","",ABS(O46-Components!$C$5))</f>
        <v>0.53266666666666929</v>
      </c>
      <c r="T46" s="81">
        <f>IF(G46="","",ABS(O46-Components!$C$6))</f>
        <v>2.8743333333333312</v>
      </c>
      <c r="U46" s="81">
        <f>IF(G46="","",ABS(O46-Components!$C$7))</f>
        <v>2.6556666666666713</v>
      </c>
      <c r="V46" s="81" t="str">
        <f>IF(G46="","",IF(M46="OK","NONE",INDEX({"S1","S2","W1","W2","N1","N2"},MATCH(MIN(P46:U46),P46:U46,0))))</f>
        <v>S2</v>
      </c>
      <c r="W46" s="117">
        <f t="shared" si="8"/>
        <v>1</v>
      </c>
      <c r="X46" s="119"/>
    </row>
    <row r="47" spans="1:24">
      <c r="A47" s="115">
        <v>45</v>
      </c>
      <c r="B47" s="116">
        <v>2</v>
      </c>
      <c r="C47" s="81" t="s">
        <v>128</v>
      </c>
      <c r="D47" s="111" t="s">
        <v>240</v>
      </c>
      <c r="E47" s="81" t="s">
        <v>102</v>
      </c>
      <c r="F47" s="52">
        <v>5.87</v>
      </c>
      <c r="G47" s="52">
        <f t="shared" si="0"/>
        <v>6.84</v>
      </c>
      <c r="H47" s="110"/>
      <c r="I47" s="81">
        <f>VLOOKUP(C47,Recipes!$A$2:$N$4,10,FALSE())</f>
        <v>10.940000000000001</v>
      </c>
      <c r="J47" s="81">
        <f>VLOOKUP(C47,Recipes!$A$2:$N$4,12,FALSE())</f>
        <v>5.2703573566378441E-2</v>
      </c>
      <c r="K47" s="81">
        <f t="shared" si="1"/>
        <v>10.62377855860173</v>
      </c>
      <c r="L47" s="81">
        <f t="shared" si="6"/>
        <v>11.256221441398273</v>
      </c>
      <c r="M47" s="81" t="str">
        <f t="shared" si="3"/>
        <v>NG</v>
      </c>
      <c r="N47" s="117">
        <f t="shared" si="7"/>
        <v>1</v>
      </c>
      <c r="O47" s="81">
        <f t="shared" si="5"/>
        <v>4.1000000000000014</v>
      </c>
      <c r="P47" s="81">
        <f>IF(G47="","",ABS(O47-Components!$C$2))</f>
        <v>1.3466666666666716</v>
      </c>
      <c r="Q47" s="81">
        <f>IF(G47="","",ABS(O47-Components!$C$3))</f>
        <v>6.4000000000001833E-2</v>
      </c>
      <c r="R47" s="81">
        <f>IF(G47="","",ABS(O47-Components!$C$4))</f>
        <v>3.1066666666666682</v>
      </c>
      <c r="S47" s="81">
        <f>IF(G47="","",ABS(O47-Components!$C$5))</f>
        <v>0.462666666666669</v>
      </c>
      <c r="T47" s="81">
        <f>IF(G47="","",ABS(O47-Components!$C$6))</f>
        <v>2.9443333333333315</v>
      </c>
      <c r="U47" s="81">
        <f>IF(G47="","",ABS(O47-Components!$C$7))</f>
        <v>2.7256666666666716</v>
      </c>
      <c r="V47" s="81" t="str">
        <f>IF(G47="","",IF(M47="OK","NONE",INDEX({"S1","S2","W1","W2","N1","N2"},MATCH(MIN(P47:U47),P47:U47,0))))</f>
        <v>S2</v>
      </c>
      <c r="W47" s="117">
        <f t="shared" si="8"/>
        <v>1</v>
      </c>
      <c r="X47" s="119"/>
    </row>
    <row r="48" spans="1:24">
      <c r="A48" s="115">
        <v>46</v>
      </c>
      <c r="B48" s="116">
        <v>2</v>
      </c>
      <c r="C48" s="81" t="s">
        <v>128</v>
      </c>
      <c r="D48" s="111" t="s">
        <v>240</v>
      </c>
      <c r="E48" s="81" t="s">
        <v>102</v>
      </c>
      <c r="F48" s="52">
        <v>5.95</v>
      </c>
      <c r="G48" s="52">
        <f t="shared" si="0"/>
        <v>6.92</v>
      </c>
      <c r="H48" s="110"/>
      <c r="I48" s="81">
        <f>VLOOKUP(C48,Recipes!$A$2:$N$4,10,FALSE())</f>
        <v>10.940000000000001</v>
      </c>
      <c r="J48" s="81">
        <f>VLOOKUP(C48,Recipes!$A$2:$N$4,12,FALSE())</f>
        <v>5.2703573566378441E-2</v>
      </c>
      <c r="K48" s="81">
        <f t="shared" si="1"/>
        <v>10.62377855860173</v>
      </c>
      <c r="L48" s="81">
        <f t="shared" si="6"/>
        <v>11.256221441398273</v>
      </c>
      <c r="M48" s="81" t="str">
        <f t="shared" si="3"/>
        <v>NG</v>
      </c>
      <c r="N48" s="117">
        <f t="shared" si="7"/>
        <v>1</v>
      </c>
      <c r="O48" s="81">
        <f t="shared" si="5"/>
        <v>4.0200000000000014</v>
      </c>
      <c r="P48" s="81">
        <f>IF(G48="","",ABS(O48-Components!$C$2))</f>
        <v>1.2666666666666715</v>
      </c>
      <c r="Q48" s="81">
        <f>IF(G48="","",ABS(O48-Components!$C$3))</f>
        <v>1.5999999999998238E-2</v>
      </c>
      <c r="R48" s="81">
        <f>IF(G48="","",ABS(O48-Components!$C$4))</f>
        <v>3.0266666666666682</v>
      </c>
      <c r="S48" s="81">
        <f>IF(G48="","",ABS(O48-Components!$C$5))</f>
        <v>0.54266666666666907</v>
      </c>
      <c r="T48" s="81">
        <f>IF(G48="","",ABS(O48-Components!$C$6))</f>
        <v>2.8643333333333314</v>
      </c>
      <c r="U48" s="81">
        <f>IF(G48="","",ABS(O48-Components!$C$7))</f>
        <v>2.6456666666666715</v>
      </c>
      <c r="V48" s="81" t="str">
        <f>IF(G48="","",IF(M48="OK","NONE",INDEX({"S1","S2","W1","W2","N1","N2"},MATCH(MIN(P48:U48),P48:U48,0))))</f>
        <v>S2</v>
      </c>
      <c r="W48" s="117">
        <f t="shared" si="8"/>
        <v>1</v>
      </c>
      <c r="X48" s="119"/>
    </row>
    <row r="49" spans="1:24">
      <c r="A49" s="115">
        <v>47</v>
      </c>
      <c r="B49" s="116">
        <v>2</v>
      </c>
      <c r="C49" s="81" t="s">
        <v>128</v>
      </c>
      <c r="D49" s="111" t="s">
        <v>240</v>
      </c>
      <c r="E49" s="81" t="s">
        <v>102</v>
      </c>
      <c r="F49" s="52">
        <v>5.89</v>
      </c>
      <c r="G49" s="52">
        <f t="shared" si="0"/>
        <v>6.8599999999999994</v>
      </c>
      <c r="H49" s="110"/>
      <c r="I49" s="81">
        <f>VLOOKUP(C49,Recipes!$A$2:$N$4,10,FALSE())</f>
        <v>10.940000000000001</v>
      </c>
      <c r="J49" s="81">
        <f>VLOOKUP(C49,Recipes!$A$2:$N$4,12,FALSE())</f>
        <v>5.2703573566378441E-2</v>
      </c>
      <c r="K49" s="81">
        <f t="shared" si="1"/>
        <v>10.62377855860173</v>
      </c>
      <c r="L49" s="81">
        <f t="shared" si="6"/>
        <v>11.256221441398273</v>
      </c>
      <c r="M49" s="81" t="str">
        <f t="shared" si="3"/>
        <v>NG</v>
      </c>
      <c r="N49" s="117">
        <f t="shared" si="7"/>
        <v>1</v>
      </c>
      <c r="O49" s="81">
        <f t="shared" si="5"/>
        <v>4.0800000000000018</v>
      </c>
      <c r="P49" s="81">
        <f>IF(G49="","",ABS(O49-Components!$C$2))</f>
        <v>1.326666666666672</v>
      </c>
      <c r="Q49" s="81">
        <f>IF(G49="","",ABS(O49-Components!$C$3))</f>
        <v>4.400000000000226E-2</v>
      </c>
      <c r="R49" s="81">
        <f>IF(G49="","",ABS(O49-Components!$C$4))</f>
        <v>3.0866666666666687</v>
      </c>
      <c r="S49" s="81">
        <f>IF(G49="","",ABS(O49-Components!$C$5))</f>
        <v>0.48266666666666858</v>
      </c>
      <c r="T49" s="81">
        <f>IF(G49="","",ABS(O49-Components!$C$6))</f>
        <v>2.9243333333333319</v>
      </c>
      <c r="U49" s="81">
        <f>IF(G49="","",ABS(O49-Components!$C$7))</f>
        <v>2.705666666666672</v>
      </c>
      <c r="V49" s="81" t="str">
        <f>IF(G49="","",IF(M49="OK","NONE",INDEX({"S1","S2","W1","W2","N1","N2"},MATCH(MIN(P49:U49),P49:U49,0))))</f>
        <v>S2</v>
      </c>
      <c r="W49" s="117">
        <f t="shared" si="8"/>
        <v>1</v>
      </c>
      <c r="X49" s="119"/>
    </row>
    <row r="50" spans="1:24">
      <c r="A50" s="115">
        <v>48</v>
      </c>
      <c r="B50" s="116">
        <v>2</v>
      </c>
      <c r="C50" s="81" t="s">
        <v>128</v>
      </c>
      <c r="D50" s="111" t="s">
        <v>240</v>
      </c>
      <c r="E50" s="81" t="s">
        <v>102</v>
      </c>
      <c r="F50" s="52">
        <v>5.88</v>
      </c>
      <c r="G50" s="52">
        <f t="shared" si="0"/>
        <v>6.85</v>
      </c>
      <c r="H50" s="110"/>
      <c r="I50" s="81">
        <f>VLOOKUP(C50,Recipes!$A$2:$N$4,10,FALSE())</f>
        <v>10.940000000000001</v>
      </c>
      <c r="J50" s="81">
        <f>VLOOKUP(C50,Recipes!$A$2:$N$4,12,FALSE())</f>
        <v>5.2703573566378441E-2</v>
      </c>
      <c r="K50" s="81">
        <f t="shared" si="1"/>
        <v>10.62377855860173</v>
      </c>
      <c r="L50" s="81">
        <f t="shared" si="6"/>
        <v>11.256221441398273</v>
      </c>
      <c r="M50" s="81" t="str">
        <f t="shared" si="3"/>
        <v>NG</v>
      </c>
      <c r="N50" s="117">
        <f t="shared" si="7"/>
        <v>1</v>
      </c>
      <c r="O50" s="81">
        <f t="shared" si="5"/>
        <v>4.0900000000000016</v>
      </c>
      <c r="P50" s="81">
        <f>IF(G50="","",ABS(O50-Components!$C$2))</f>
        <v>1.3366666666666718</v>
      </c>
      <c r="Q50" s="81">
        <f>IF(G50="","",ABS(O50-Components!$C$3))</f>
        <v>5.4000000000002046E-2</v>
      </c>
      <c r="R50" s="81">
        <f>IF(G50="","",ABS(O50-Components!$C$4))</f>
        <v>3.0966666666666685</v>
      </c>
      <c r="S50" s="81">
        <f>IF(G50="","",ABS(O50-Components!$C$5))</f>
        <v>0.47266666666666879</v>
      </c>
      <c r="T50" s="81">
        <f>IF(G50="","",ABS(O50-Components!$C$6))</f>
        <v>2.9343333333333317</v>
      </c>
      <c r="U50" s="81">
        <f>IF(G50="","",ABS(O50-Components!$C$7))</f>
        <v>2.7156666666666718</v>
      </c>
      <c r="V50" s="81" t="str">
        <f>IF(G50="","",IF(M50="OK","NONE",INDEX({"S1","S2","W1","W2","N1","N2"},MATCH(MIN(P50:U50),P50:U50,0))))</f>
        <v>S2</v>
      </c>
      <c r="W50" s="117">
        <f t="shared" si="8"/>
        <v>1</v>
      </c>
      <c r="X50" s="119"/>
    </row>
    <row r="51" spans="1:24">
      <c r="A51" s="115">
        <v>49</v>
      </c>
      <c r="B51" s="116">
        <v>2</v>
      </c>
      <c r="C51" s="81" t="s">
        <v>128</v>
      </c>
      <c r="D51" s="111" t="s">
        <v>240</v>
      </c>
      <c r="E51" s="81" t="s">
        <v>102</v>
      </c>
      <c r="F51" s="52">
        <v>5.94</v>
      </c>
      <c r="G51" s="52">
        <f t="shared" si="0"/>
        <v>6.91</v>
      </c>
      <c r="H51" s="110"/>
      <c r="I51" s="81">
        <f>VLOOKUP(C51,Recipes!$A$2:$N$4,10,FALSE())</f>
        <v>10.940000000000001</v>
      </c>
      <c r="J51" s="81">
        <f>VLOOKUP(C51,Recipes!$A$2:$N$4,12,FALSE())</f>
        <v>5.2703573566378441E-2</v>
      </c>
      <c r="K51" s="81">
        <f t="shared" si="1"/>
        <v>10.62377855860173</v>
      </c>
      <c r="L51" s="81">
        <f t="shared" si="6"/>
        <v>11.256221441398273</v>
      </c>
      <c r="M51" s="81" t="str">
        <f t="shared" si="3"/>
        <v>NG</v>
      </c>
      <c r="N51" s="117">
        <f t="shared" si="7"/>
        <v>1</v>
      </c>
      <c r="O51" s="81">
        <f t="shared" si="5"/>
        <v>4.0300000000000011</v>
      </c>
      <c r="P51" s="81">
        <f>IF(G51="","",ABS(O51-Components!$C$2))</f>
        <v>1.2766666666666713</v>
      </c>
      <c r="Q51" s="81">
        <f>IF(G51="","",ABS(O51-Components!$C$3))</f>
        <v>5.999999999998451E-3</v>
      </c>
      <c r="R51" s="81">
        <f>IF(G51="","",ABS(O51-Components!$C$4))</f>
        <v>3.036666666666668</v>
      </c>
      <c r="S51" s="81">
        <f>IF(G51="","",ABS(O51-Components!$C$5))</f>
        <v>0.53266666666666929</v>
      </c>
      <c r="T51" s="81">
        <f>IF(G51="","",ABS(O51-Components!$C$6))</f>
        <v>2.8743333333333312</v>
      </c>
      <c r="U51" s="81">
        <f>IF(G51="","",ABS(O51-Components!$C$7))</f>
        <v>2.6556666666666713</v>
      </c>
      <c r="V51" s="81" t="str">
        <f>IF(G51="","",IF(M51="OK","NONE",INDEX({"S1","S2","W1","W2","N1","N2"},MATCH(MIN(P51:U51),P51:U51,0))))</f>
        <v>S2</v>
      </c>
      <c r="W51" s="117">
        <f t="shared" si="8"/>
        <v>1</v>
      </c>
      <c r="X51" s="119"/>
    </row>
    <row r="52" spans="1:24">
      <c r="A52" s="115">
        <v>50</v>
      </c>
      <c r="B52" s="116">
        <v>2</v>
      </c>
      <c r="C52" s="81" t="s">
        <v>128</v>
      </c>
      <c r="D52" s="111" t="s">
        <v>240</v>
      </c>
      <c r="E52" s="81" t="s">
        <v>102</v>
      </c>
      <c r="F52" s="52">
        <v>5.93</v>
      </c>
      <c r="G52" s="52">
        <f t="shared" si="0"/>
        <v>6.8999999999999995</v>
      </c>
      <c r="H52" s="110"/>
      <c r="I52" s="81">
        <f>VLOOKUP(C52,Recipes!$A$2:$N$4,10,FALSE())</f>
        <v>10.940000000000001</v>
      </c>
      <c r="J52" s="81">
        <f>VLOOKUP(C52,Recipes!$A$2:$N$4,12,FALSE())</f>
        <v>5.2703573566378441E-2</v>
      </c>
      <c r="K52" s="81">
        <f t="shared" si="1"/>
        <v>10.62377855860173</v>
      </c>
      <c r="L52" s="81">
        <f t="shared" si="6"/>
        <v>11.256221441398273</v>
      </c>
      <c r="M52" s="81" t="str">
        <f t="shared" si="3"/>
        <v>NG</v>
      </c>
      <c r="N52" s="117">
        <f t="shared" si="7"/>
        <v>1</v>
      </c>
      <c r="O52" s="81">
        <f t="shared" si="5"/>
        <v>4.0400000000000018</v>
      </c>
      <c r="P52" s="81">
        <f>IF(G52="","",ABS(O52-Components!$C$2))</f>
        <v>1.286666666666672</v>
      </c>
      <c r="Q52" s="81">
        <f>IF(G52="","",ABS(O52-Components!$C$3))</f>
        <v>4.000000000002224E-3</v>
      </c>
      <c r="R52" s="81">
        <f>IF(G52="","",ABS(O52-Components!$C$4))</f>
        <v>3.0466666666666686</v>
      </c>
      <c r="S52" s="81">
        <f>IF(G52="","",ABS(O52-Components!$C$5))</f>
        <v>0.52266666666666861</v>
      </c>
      <c r="T52" s="81">
        <f>IF(G52="","",ABS(O52-Components!$C$6))</f>
        <v>2.8843333333333319</v>
      </c>
      <c r="U52" s="81">
        <f>IF(G52="","",ABS(O52-Components!$C$7))</f>
        <v>2.665666666666672</v>
      </c>
      <c r="V52" s="81" t="str">
        <f>IF(G52="","",IF(M52="OK","NONE",INDEX({"S1","S2","W1","W2","N1","N2"},MATCH(MIN(P52:U52),P52:U52,0))))</f>
        <v>S2</v>
      </c>
      <c r="W52" s="117">
        <f t="shared" si="8"/>
        <v>1</v>
      </c>
      <c r="X52" s="119"/>
    </row>
    <row r="53" spans="1:24">
      <c r="A53" s="115">
        <v>51</v>
      </c>
      <c r="B53" s="116">
        <v>2</v>
      </c>
      <c r="C53" s="81" t="s">
        <v>128</v>
      </c>
      <c r="D53" s="111" t="s">
        <v>240</v>
      </c>
      <c r="E53" s="81" t="s">
        <v>102</v>
      </c>
      <c r="F53" s="52">
        <v>5.99</v>
      </c>
      <c r="G53" s="52">
        <f t="shared" si="0"/>
        <v>6.96</v>
      </c>
      <c r="H53" s="110"/>
      <c r="I53" s="81">
        <f>VLOOKUP(C53,Recipes!$A$2:$N$4,10,FALSE())</f>
        <v>10.940000000000001</v>
      </c>
      <c r="J53" s="81">
        <f>VLOOKUP(C53,Recipes!$A$2:$N$4,12,FALSE())</f>
        <v>5.2703573566378441E-2</v>
      </c>
      <c r="K53" s="81">
        <f t="shared" si="1"/>
        <v>10.62377855860173</v>
      </c>
      <c r="L53" s="81">
        <f t="shared" si="6"/>
        <v>11.256221441398273</v>
      </c>
      <c r="M53" s="81" t="str">
        <f t="shared" si="3"/>
        <v>NG</v>
      </c>
      <c r="N53" s="117">
        <f t="shared" si="7"/>
        <v>1</v>
      </c>
      <c r="O53" s="81">
        <f t="shared" si="5"/>
        <v>3.9800000000000013</v>
      </c>
      <c r="P53" s="81">
        <f>IF(G53="","",ABS(O53-Components!$C$2))</f>
        <v>1.2266666666666715</v>
      </c>
      <c r="Q53" s="81">
        <f>IF(G53="","",ABS(O53-Components!$C$3))</f>
        <v>5.5999999999998273E-2</v>
      </c>
      <c r="R53" s="81">
        <f>IF(G53="","",ABS(O53-Components!$C$4))</f>
        <v>2.9866666666666681</v>
      </c>
      <c r="S53" s="81">
        <f>IF(G53="","",ABS(O53-Components!$C$5))</f>
        <v>0.58266666666666911</v>
      </c>
      <c r="T53" s="81">
        <f>IF(G53="","",ABS(O53-Components!$C$6))</f>
        <v>2.8243333333333314</v>
      </c>
      <c r="U53" s="81">
        <f>IF(G53="","",ABS(O53-Components!$C$7))</f>
        <v>2.6056666666666715</v>
      </c>
      <c r="V53" s="81" t="str">
        <f>IF(G53="","",IF(M53="OK","NONE",INDEX({"S1","S2","W1","W2","N1","N2"},MATCH(MIN(P53:U53),P53:U53,0))))</f>
        <v>S2</v>
      </c>
      <c r="W53" s="117">
        <f t="shared" si="8"/>
        <v>1</v>
      </c>
      <c r="X53" s="119"/>
    </row>
    <row r="54" spans="1:24">
      <c r="A54" s="115">
        <v>52</v>
      </c>
      <c r="B54" s="116">
        <v>2</v>
      </c>
      <c r="C54" s="81" t="s">
        <v>128</v>
      </c>
      <c r="D54" s="111" t="s">
        <v>240</v>
      </c>
      <c r="E54" s="81" t="s">
        <v>102</v>
      </c>
      <c r="F54" s="52">
        <v>5.92</v>
      </c>
      <c r="G54" s="52">
        <f t="shared" si="0"/>
        <v>6.89</v>
      </c>
      <c r="H54" s="110"/>
      <c r="I54" s="81">
        <f>VLOOKUP(C54,Recipes!$A$2:$N$4,10,FALSE())</f>
        <v>10.940000000000001</v>
      </c>
      <c r="J54" s="81">
        <f>VLOOKUP(C54,Recipes!$A$2:$N$4,12,FALSE())</f>
        <v>5.2703573566378441E-2</v>
      </c>
      <c r="K54" s="81">
        <f t="shared" si="1"/>
        <v>10.62377855860173</v>
      </c>
      <c r="L54" s="81">
        <f t="shared" si="6"/>
        <v>11.256221441398273</v>
      </c>
      <c r="M54" s="81" t="str">
        <f t="shared" si="3"/>
        <v>NG</v>
      </c>
      <c r="N54" s="117">
        <f t="shared" si="7"/>
        <v>1</v>
      </c>
      <c r="O54" s="81">
        <f t="shared" si="5"/>
        <v>4.0500000000000016</v>
      </c>
      <c r="P54" s="81">
        <f>IF(G54="","",ABS(O54-Components!$C$2))</f>
        <v>1.2966666666666717</v>
      </c>
      <c r="Q54" s="81">
        <f>IF(G54="","",ABS(O54-Components!$C$3))</f>
        <v>1.4000000000002011E-2</v>
      </c>
      <c r="R54" s="81">
        <f>IF(G54="","",ABS(O54-Components!$C$4))</f>
        <v>3.0566666666666684</v>
      </c>
      <c r="S54" s="81">
        <f>IF(G54="","",ABS(O54-Components!$C$5))</f>
        <v>0.51266666666666882</v>
      </c>
      <c r="T54" s="81">
        <f>IF(G54="","",ABS(O54-Components!$C$6))</f>
        <v>2.8943333333333316</v>
      </c>
      <c r="U54" s="81">
        <f>IF(G54="","",ABS(O54-Components!$C$7))</f>
        <v>2.6756666666666717</v>
      </c>
      <c r="V54" s="81" t="str">
        <f>IF(G54="","",IF(M54="OK","NONE",INDEX({"S1","S2","W1","W2","N1","N2"},MATCH(MIN(P54:U54),P54:U54,0))))</f>
        <v>S2</v>
      </c>
      <c r="W54" s="117">
        <f t="shared" si="8"/>
        <v>1</v>
      </c>
      <c r="X54" s="119"/>
    </row>
    <row r="55" spans="1:24">
      <c r="A55" s="115">
        <v>53</v>
      </c>
      <c r="B55" s="116">
        <v>2</v>
      </c>
      <c r="C55" s="81" t="s">
        <v>128</v>
      </c>
      <c r="D55" s="111" t="s">
        <v>240</v>
      </c>
      <c r="E55" s="81" t="s">
        <v>102</v>
      </c>
      <c r="F55" s="52">
        <v>5.78</v>
      </c>
      <c r="G55" s="52">
        <f t="shared" si="0"/>
        <v>6.75</v>
      </c>
      <c r="H55" s="110"/>
      <c r="I55" s="81">
        <f>VLOOKUP(C55,Recipes!$A$2:$N$4,10,FALSE())</f>
        <v>10.940000000000001</v>
      </c>
      <c r="J55" s="81">
        <f>VLOOKUP(C55,Recipes!$A$2:$N$4,12,FALSE())</f>
        <v>5.2703573566378441E-2</v>
      </c>
      <c r="K55" s="81">
        <f t="shared" si="1"/>
        <v>10.62377855860173</v>
      </c>
      <c r="L55" s="81">
        <f t="shared" si="6"/>
        <v>11.256221441398273</v>
      </c>
      <c r="M55" s="81" t="str">
        <f t="shared" si="3"/>
        <v>NG</v>
      </c>
      <c r="N55" s="117">
        <f t="shared" si="7"/>
        <v>1</v>
      </c>
      <c r="O55" s="81">
        <f t="shared" si="5"/>
        <v>4.1900000000000013</v>
      </c>
      <c r="P55" s="81">
        <f>IF(G55="","",ABS(O55-Components!$C$2))</f>
        <v>1.4366666666666714</v>
      </c>
      <c r="Q55" s="81">
        <f>IF(G55="","",ABS(O55-Components!$C$3))</f>
        <v>0.15400000000000169</v>
      </c>
      <c r="R55" s="81">
        <f>IF(G55="","",ABS(O55-Components!$C$4))</f>
        <v>3.1966666666666681</v>
      </c>
      <c r="S55" s="81">
        <f>IF(G55="","",ABS(O55-Components!$C$5))</f>
        <v>0.37266666666666914</v>
      </c>
      <c r="T55" s="81">
        <f>IF(G55="","",ABS(O55-Components!$C$6))</f>
        <v>3.0343333333333313</v>
      </c>
      <c r="U55" s="81">
        <f>IF(G55="","",ABS(O55-Components!$C$7))</f>
        <v>2.8156666666666714</v>
      </c>
      <c r="V55" s="81" t="str">
        <f>IF(G55="","",IF(M55="OK","NONE",INDEX({"S1","S2","W1","W2","N1","N2"},MATCH(MIN(P55:U55),P55:U55,0))))</f>
        <v>S2</v>
      </c>
      <c r="W55" s="117">
        <f t="shared" si="8"/>
        <v>1</v>
      </c>
      <c r="X55" s="119"/>
    </row>
    <row r="56" spans="1:24">
      <c r="A56" s="115">
        <v>54</v>
      </c>
      <c r="B56" s="116">
        <v>2</v>
      </c>
      <c r="C56" s="81" t="s">
        <v>128</v>
      </c>
      <c r="D56" s="111" t="s">
        <v>240</v>
      </c>
      <c r="E56" s="81" t="s">
        <v>102</v>
      </c>
      <c r="F56" s="52">
        <v>5.95</v>
      </c>
      <c r="G56" s="52">
        <f t="shared" si="0"/>
        <v>6.92</v>
      </c>
      <c r="H56" s="110"/>
      <c r="I56" s="81">
        <f>VLOOKUP(C56,Recipes!$A$2:$N$4,10,FALSE())</f>
        <v>10.940000000000001</v>
      </c>
      <c r="J56" s="81">
        <f>VLOOKUP(C56,Recipes!$A$2:$N$4,12,FALSE())</f>
        <v>5.2703573566378441E-2</v>
      </c>
      <c r="K56" s="81">
        <f t="shared" si="1"/>
        <v>10.62377855860173</v>
      </c>
      <c r="L56" s="81">
        <f t="shared" si="6"/>
        <v>11.256221441398273</v>
      </c>
      <c r="M56" s="81" t="str">
        <f t="shared" si="3"/>
        <v>NG</v>
      </c>
      <c r="N56" s="117">
        <f t="shared" si="7"/>
        <v>1</v>
      </c>
      <c r="O56" s="81">
        <f t="shared" si="5"/>
        <v>4.0200000000000014</v>
      </c>
      <c r="P56" s="81">
        <f>IF(G56="","",ABS(O56-Components!$C$2))</f>
        <v>1.2666666666666715</v>
      </c>
      <c r="Q56" s="81">
        <f>IF(G56="","",ABS(O56-Components!$C$3))</f>
        <v>1.5999999999998238E-2</v>
      </c>
      <c r="R56" s="81">
        <f>IF(G56="","",ABS(O56-Components!$C$4))</f>
        <v>3.0266666666666682</v>
      </c>
      <c r="S56" s="81">
        <f>IF(G56="","",ABS(O56-Components!$C$5))</f>
        <v>0.54266666666666907</v>
      </c>
      <c r="T56" s="81">
        <f>IF(G56="","",ABS(O56-Components!$C$6))</f>
        <v>2.8643333333333314</v>
      </c>
      <c r="U56" s="81">
        <f>IF(G56="","",ABS(O56-Components!$C$7))</f>
        <v>2.6456666666666715</v>
      </c>
      <c r="V56" s="81" t="str">
        <f>IF(G56="","",IF(M56="OK","NONE",INDEX({"S1","S2","W1","W2","N1","N2"},MATCH(MIN(P56:U56),P56:U56,0))))</f>
        <v>S2</v>
      </c>
      <c r="W56" s="117">
        <f t="shared" si="8"/>
        <v>1</v>
      </c>
      <c r="X56" s="119"/>
    </row>
    <row r="57" spans="1:24">
      <c r="A57" s="115">
        <v>55</v>
      </c>
      <c r="B57" s="116">
        <v>2</v>
      </c>
      <c r="C57" s="81" t="s">
        <v>128</v>
      </c>
      <c r="D57" s="111" t="s">
        <v>240</v>
      </c>
      <c r="E57" s="81" t="s">
        <v>102</v>
      </c>
      <c r="F57" s="52">
        <v>5.92</v>
      </c>
      <c r="G57" s="52">
        <f t="shared" si="0"/>
        <v>6.89</v>
      </c>
      <c r="H57" s="110"/>
      <c r="I57" s="81">
        <f>VLOOKUP(C57,Recipes!$A$2:$N$4,10,FALSE())</f>
        <v>10.940000000000001</v>
      </c>
      <c r="J57" s="81">
        <f>VLOOKUP(C57,Recipes!$A$2:$N$4,12,FALSE())</f>
        <v>5.2703573566378441E-2</v>
      </c>
      <c r="K57" s="81">
        <f t="shared" si="1"/>
        <v>10.62377855860173</v>
      </c>
      <c r="L57" s="81">
        <f t="shared" si="6"/>
        <v>11.256221441398273</v>
      </c>
      <c r="M57" s="81" t="str">
        <f t="shared" si="3"/>
        <v>NG</v>
      </c>
      <c r="N57" s="117">
        <f t="shared" si="7"/>
        <v>1</v>
      </c>
      <c r="O57" s="81">
        <f t="shared" si="5"/>
        <v>4.0500000000000016</v>
      </c>
      <c r="P57" s="81">
        <f>IF(G57="","",ABS(O57-Components!$C$2))</f>
        <v>1.2966666666666717</v>
      </c>
      <c r="Q57" s="81">
        <f>IF(G57="","",ABS(O57-Components!$C$3))</f>
        <v>1.4000000000002011E-2</v>
      </c>
      <c r="R57" s="81">
        <f>IF(G57="","",ABS(O57-Components!$C$4))</f>
        <v>3.0566666666666684</v>
      </c>
      <c r="S57" s="81">
        <f>IF(G57="","",ABS(O57-Components!$C$5))</f>
        <v>0.51266666666666882</v>
      </c>
      <c r="T57" s="81">
        <f>IF(G57="","",ABS(O57-Components!$C$6))</f>
        <v>2.8943333333333316</v>
      </c>
      <c r="U57" s="81">
        <f>IF(G57="","",ABS(O57-Components!$C$7))</f>
        <v>2.6756666666666717</v>
      </c>
      <c r="V57" s="81" t="str">
        <f>IF(G57="","",IF(M57="OK","NONE",INDEX({"S1","S2","W1","W2","N1","N2"},MATCH(MIN(P57:U57),P57:U57,0))))</f>
        <v>S2</v>
      </c>
      <c r="W57" s="117">
        <f t="shared" si="8"/>
        <v>1</v>
      </c>
      <c r="X57" s="119"/>
    </row>
    <row r="58" spans="1:24">
      <c r="A58" s="115">
        <v>56</v>
      </c>
      <c r="B58" s="116">
        <v>2</v>
      </c>
      <c r="C58" s="81" t="s">
        <v>128</v>
      </c>
      <c r="D58" s="111" t="s">
        <v>240</v>
      </c>
      <c r="E58" s="81" t="s">
        <v>102</v>
      </c>
      <c r="F58" s="52">
        <v>5.94</v>
      </c>
      <c r="G58" s="52">
        <f t="shared" si="0"/>
        <v>6.91</v>
      </c>
      <c r="H58" s="110"/>
      <c r="I58" s="81">
        <f>VLOOKUP(C58,Recipes!$A$2:$N$4,10,FALSE())</f>
        <v>10.940000000000001</v>
      </c>
      <c r="J58" s="81">
        <f>VLOOKUP(C58,Recipes!$A$2:$N$4,12,FALSE())</f>
        <v>5.2703573566378441E-2</v>
      </c>
      <c r="K58" s="81">
        <f t="shared" si="1"/>
        <v>10.62377855860173</v>
      </c>
      <c r="L58" s="81">
        <f t="shared" si="6"/>
        <v>11.256221441398273</v>
      </c>
      <c r="M58" s="81" t="str">
        <f t="shared" si="3"/>
        <v>NG</v>
      </c>
      <c r="N58" s="117">
        <f t="shared" si="7"/>
        <v>1</v>
      </c>
      <c r="O58" s="81">
        <f t="shared" si="5"/>
        <v>4.0300000000000011</v>
      </c>
      <c r="P58" s="81">
        <f>IF(G58="","",ABS(O58-Components!$C$2))</f>
        <v>1.2766666666666713</v>
      </c>
      <c r="Q58" s="81">
        <f>IF(G58="","",ABS(O58-Components!$C$3))</f>
        <v>5.999999999998451E-3</v>
      </c>
      <c r="R58" s="81">
        <f>IF(G58="","",ABS(O58-Components!$C$4))</f>
        <v>3.036666666666668</v>
      </c>
      <c r="S58" s="81">
        <f>IF(G58="","",ABS(O58-Components!$C$5))</f>
        <v>0.53266666666666929</v>
      </c>
      <c r="T58" s="81">
        <f>IF(G58="","",ABS(O58-Components!$C$6))</f>
        <v>2.8743333333333312</v>
      </c>
      <c r="U58" s="81">
        <f>IF(G58="","",ABS(O58-Components!$C$7))</f>
        <v>2.6556666666666713</v>
      </c>
      <c r="V58" s="81" t="str">
        <f>IF(G58="","",IF(M58="OK","NONE",INDEX({"S1","S2","W1","W2","N1","N2"},MATCH(MIN(P58:U58),P58:U58,0))))</f>
        <v>S2</v>
      </c>
      <c r="W58" s="117">
        <f t="shared" si="8"/>
        <v>1</v>
      </c>
      <c r="X58" s="119"/>
    </row>
    <row r="59" spans="1:24">
      <c r="A59" s="115">
        <v>57</v>
      </c>
      <c r="B59" s="116">
        <v>2</v>
      </c>
      <c r="C59" s="81" t="s">
        <v>128</v>
      </c>
      <c r="D59" s="111" t="s">
        <v>240</v>
      </c>
      <c r="E59" s="81" t="s">
        <v>102</v>
      </c>
      <c r="F59" s="52">
        <v>5.9</v>
      </c>
      <c r="G59" s="52">
        <f t="shared" si="0"/>
        <v>6.87</v>
      </c>
      <c r="H59" s="110"/>
      <c r="I59" s="81">
        <f>VLOOKUP(C59,Recipes!$A$2:$N$4,10,FALSE())</f>
        <v>10.940000000000001</v>
      </c>
      <c r="J59" s="81">
        <f>VLOOKUP(C59,Recipes!$A$2:$N$4,12,FALSE())</f>
        <v>5.2703573566378441E-2</v>
      </c>
      <c r="K59" s="81">
        <f t="shared" si="1"/>
        <v>10.62377855860173</v>
      </c>
      <c r="L59" s="81">
        <f t="shared" si="6"/>
        <v>11.256221441398273</v>
      </c>
      <c r="M59" s="81" t="str">
        <f t="shared" si="3"/>
        <v>NG</v>
      </c>
      <c r="N59" s="117">
        <f t="shared" si="7"/>
        <v>1</v>
      </c>
      <c r="O59" s="81">
        <f t="shared" si="5"/>
        <v>4.0700000000000012</v>
      </c>
      <c r="P59" s="81">
        <f>IF(G59="","",ABS(O59-Components!$C$2))</f>
        <v>1.3166666666666713</v>
      </c>
      <c r="Q59" s="81">
        <f>IF(G59="","",ABS(O59-Components!$C$3))</f>
        <v>3.4000000000001585E-2</v>
      </c>
      <c r="R59" s="81">
        <f>IF(G59="","",ABS(O59-Components!$C$4))</f>
        <v>3.076666666666668</v>
      </c>
      <c r="S59" s="81">
        <f>IF(G59="","",ABS(O59-Components!$C$5))</f>
        <v>0.49266666666666925</v>
      </c>
      <c r="T59" s="81">
        <f>IF(G59="","",ABS(O59-Components!$C$6))</f>
        <v>2.9143333333333312</v>
      </c>
      <c r="U59" s="81">
        <f>IF(G59="","",ABS(O59-Components!$C$7))</f>
        <v>2.6956666666666713</v>
      </c>
      <c r="V59" s="81" t="str">
        <f>IF(G59="","",IF(M59="OK","NONE",INDEX({"S1","S2","W1","W2","N1","N2"},MATCH(MIN(P59:U59),P59:U59,0))))</f>
        <v>S2</v>
      </c>
      <c r="W59" s="117">
        <f t="shared" si="8"/>
        <v>1</v>
      </c>
      <c r="X59" s="119"/>
    </row>
    <row r="60" spans="1:24">
      <c r="A60" s="115">
        <v>58</v>
      </c>
      <c r="B60" s="116">
        <v>2</v>
      </c>
      <c r="C60" s="81" t="s">
        <v>128</v>
      </c>
      <c r="D60" s="111" t="s">
        <v>240</v>
      </c>
      <c r="E60" s="81" t="s">
        <v>102</v>
      </c>
      <c r="F60" s="52">
        <v>5.92</v>
      </c>
      <c r="G60" s="52">
        <f t="shared" si="0"/>
        <v>6.89</v>
      </c>
      <c r="H60" s="110"/>
      <c r="I60" s="81">
        <f>VLOOKUP(C60,Recipes!$A$2:$N$4,10,FALSE())</f>
        <v>10.940000000000001</v>
      </c>
      <c r="J60" s="81">
        <f>VLOOKUP(C60,Recipes!$A$2:$N$4,12,FALSE())</f>
        <v>5.2703573566378441E-2</v>
      </c>
      <c r="K60" s="81">
        <f t="shared" si="1"/>
        <v>10.62377855860173</v>
      </c>
      <c r="L60" s="81">
        <f t="shared" si="6"/>
        <v>11.256221441398273</v>
      </c>
      <c r="M60" s="81" t="str">
        <f t="shared" si="3"/>
        <v>NG</v>
      </c>
      <c r="N60" s="117">
        <f t="shared" si="7"/>
        <v>1</v>
      </c>
      <c r="O60" s="81">
        <f t="shared" si="5"/>
        <v>4.0500000000000016</v>
      </c>
      <c r="P60" s="81">
        <f>IF(G60="","",ABS(O60-Components!$C$2))</f>
        <v>1.2966666666666717</v>
      </c>
      <c r="Q60" s="81">
        <f>IF(G60="","",ABS(O60-Components!$C$3))</f>
        <v>1.4000000000002011E-2</v>
      </c>
      <c r="R60" s="81">
        <f>IF(G60="","",ABS(O60-Components!$C$4))</f>
        <v>3.0566666666666684</v>
      </c>
      <c r="S60" s="81">
        <f>IF(G60="","",ABS(O60-Components!$C$5))</f>
        <v>0.51266666666666882</v>
      </c>
      <c r="T60" s="81">
        <f>IF(G60="","",ABS(O60-Components!$C$6))</f>
        <v>2.8943333333333316</v>
      </c>
      <c r="U60" s="81">
        <f>IF(G60="","",ABS(O60-Components!$C$7))</f>
        <v>2.6756666666666717</v>
      </c>
      <c r="V60" s="81" t="str">
        <f>IF(G60="","",IF(M60="OK","NONE",INDEX({"S1","S2","W1","W2","N1","N2"},MATCH(MIN(P60:U60),P60:U60,0))))</f>
        <v>S2</v>
      </c>
      <c r="W60" s="117">
        <f t="shared" si="8"/>
        <v>1</v>
      </c>
      <c r="X60" s="119"/>
    </row>
    <row r="61" spans="1:24">
      <c r="A61" s="115">
        <v>59</v>
      </c>
      <c r="B61" s="116">
        <v>2</v>
      </c>
      <c r="C61" s="81" t="s">
        <v>128</v>
      </c>
      <c r="D61" s="111" t="s">
        <v>240</v>
      </c>
      <c r="E61" s="81" t="s">
        <v>102</v>
      </c>
      <c r="F61" s="52">
        <v>5.4</v>
      </c>
      <c r="G61" s="52">
        <f t="shared" si="0"/>
        <v>6.37</v>
      </c>
      <c r="H61" s="110"/>
      <c r="I61" s="81">
        <f>VLOOKUP(C61,Recipes!$A$2:$N$4,10,FALSE())</f>
        <v>10.940000000000001</v>
      </c>
      <c r="J61" s="81">
        <f>VLOOKUP(C61,Recipes!$A$2:$N$4,12,FALSE())</f>
        <v>5.2703573566378441E-2</v>
      </c>
      <c r="K61" s="81">
        <f t="shared" si="1"/>
        <v>10.62377855860173</v>
      </c>
      <c r="L61" s="81">
        <f t="shared" si="6"/>
        <v>11.256221441398273</v>
      </c>
      <c r="M61" s="81" t="str">
        <f t="shared" si="3"/>
        <v>NG</v>
      </c>
      <c r="N61" s="117">
        <f t="shared" si="7"/>
        <v>1</v>
      </c>
      <c r="O61" s="81">
        <f t="shared" si="5"/>
        <v>4.5700000000000012</v>
      </c>
      <c r="P61" s="81">
        <f>IF(G61="","",ABS(O61-Components!$C$2))</f>
        <v>1.8166666666666713</v>
      </c>
      <c r="Q61" s="81">
        <f>IF(G61="","",ABS(O61-Components!$C$3))</f>
        <v>0.53400000000000158</v>
      </c>
      <c r="R61" s="81">
        <f>IF(G61="","",ABS(O61-Components!$C$4))</f>
        <v>3.576666666666668</v>
      </c>
      <c r="S61" s="81">
        <f>IF(G61="","",ABS(O61-Components!$C$5))</f>
        <v>7.3333333333307493E-3</v>
      </c>
      <c r="T61" s="81">
        <f>IF(G61="","",ABS(O61-Components!$C$6))</f>
        <v>3.4143333333333312</v>
      </c>
      <c r="U61" s="81">
        <f>IF(G61="","",ABS(O61-Components!$C$7))</f>
        <v>3.1956666666666713</v>
      </c>
      <c r="V61" s="81" t="str">
        <f>IF(G61="","",IF(M61="OK","NONE",INDEX({"S1","S2","W1","W2","N1","N2"},MATCH(MIN(P61:U61),P61:U61,0))))</f>
        <v>W2</v>
      </c>
      <c r="W61" s="118">
        <f t="shared" si="8"/>
        <v>0</v>
      </c>
      <c r="X61" s="119"/>
    </row>
    <row r="62" spans="1:24">
      <c r="A62" s="115">
        <v>60</v>
      </c>
      <c r="B62" s="116">
        <v>2</v>
      </c>
      <c r="C62" s="81" t="s">
        <v>128</v>
      </c>
      <c r="D62" s="111" t="s">
        <v>240</v>
      </c>
      <c r="E62" s="81" t="s">
        <v>102</v>
      </c>
      <c r="F62" s="52">
        <v>5.8</v>
      </c>
      <c r="G62" s="52">
        <f t="shared" si="0"/>
        <v>6.77</v>
      </c>
      <c r="H62" s="110"/>
      <c r="I62" s="81">
        <f>VLOOKUP(C62,Recipes!$A$2:$N$4,10,FALSE())</f>
        <v>10.940000000000001</v>
      </c>
      <c r="J62" s="81">
        <f>VLOOKUP(C62,Recipes!$A$2:$N$4,12,FALSE())</f>
        <v>5.2703573566378441E-2</v>
      </c>
      <c r="K62" s="81">
        <f t="shared" si="1"/>
        <v>10.62377855860173</v>
      </c>
      <c r="L62" s="81">
        <f t="shared" si="6"/>
        <v>11.256221441398273</v>
      </c>
      <c r="M62" s="81" t="str">
        <f t="shared" si="3"/>
        <v>NG</v>
      </c>
      <c r="N62" s="117">
        <f t="shared" si="7"/>
        <v>1</v>
      </c>
      <c r="O62" s="81">
        <f t="shared" si="5"/>
        <v>4.1700000000000017</v>
      </c>
      <c r="P62" s="81">
        <f>IF(G62="","",ABS(O62-Components!$C$2))</f>
        <v>1.4166666666666718</v>
      </c>
      <c r="Q62" s="81">
        <f>IF(G62="","",ABS(O62-Components!$C$3))</f>
        <v>0.13400000000000212</v>
      </c>
      <c r="R62" s="81">
        <f>IF(G62="","",ABS(O62-Components!$C$4))</f>
        <v>3.1766666666666685</v>
      </c>
      <c r="S62" s="81">
        <f>IF(G62="","",ABS(O62-Components!$C$5))</f>
        <v>0.39266666666666872</v>
      </c>
      <c r="T62" s="81">
        <f>IF(G62="","",ABS(O62-Components!$C$6))</f>
        <v>3.0143333333333318</v>
      </c>
      <c r="U62" s="81">
        <f>IF(G62="","",ABS(O62-Components!$C$7))</f>
        <v>2.7956666666666719</v>
      </c>
      <c r="V62" s="81" t="str">
        <f>IF(G62="","",IF(M62="OK","NONE",INDEX({"S1","S2","W1","W2","N1","N2"},MATCH(MIN(P62:U62),P62:U62,0))))</f>
        <v>S2</v>
      </c>
      <c r="W62" s="117">
        <f t="shared" si="8"/>
        <v>1</v>
      </c>
      <c r="X62" s="119"/>
    </row>
    <row r="63" spans="1:24">
      <c r="A63" s="115">
        <v>61</v>
      </c>
      <c r="B63" s="116">
        <v>3</v>
      </c>
      <c r="C63" s="81" t="s">
        <v>128</v>
      </c>
      <c r="D63" s="111" t="s">
        <v>240</v>
      </c>
      <c r="E63" s="81" t="s">
        <v>106</v>
      </c>
      <c r="F63" s="52">
        <v>5.4</v>
      </c>
      <c r="G63" s="52">
        <f t="shared" si="0"/>
        <v>6.37</v>
      </c>
      <c r="H63" s="110"/>
      <c r="I63" s="81">
        <f>VLOOKUP(C63,Recipes!$A$2:$N$4,10,FALSE())</f>
        <v>10.940000000000001</v>
      </c>
      <c r="J63" s="81">
        <f>VLOOKUP(C63,Recipes!$A$2:$N$4,12,FALSE())</f>
        <v>5.2703573566378441E-2</v>
      </c>
      <c r="K63" s="81">
        <f t="shared" si="1"/>
        <v>10.62377855860173</v>
      </c>
      <c r="L63" s="81">
        <f t="shared" si="6"/>
        <v>11.256221441398273</v>
      </c>
      <c r="M63" s="81" t="str">
        <f t="shared" si="3"/>
        <v>NG</v>
      </c>
      <c r="N63" s="117">
        <f t="shared" si="7"/>
        <v>1</v>
      </c>
      <c r="O63" s="81">
        <f t="shared" si="5"/>
        <v>4.5700000000000012</v>
      </c>
      <c r="P63" s="81">
        <f>IF(G63="","",ABS(O63-Components!$C$2))</f>
        <v>1.8166666666666713</v>
      </c>
      <c r="Q63" s="81">
        <f>IF(G63="","",ABS(O63-Components!$C$3))</f>
        <v>0.53400000000000158</v>
      </c>
      <c r="R63" s="81">
        <f>IF(G63="","",ABS(O63-Components!$C$4))</f>
        <v>3.576666666666668</v>
      </c>
      <c r="S63" s="81">
        <f>IF(G63="","",ABS(O63-Components!$C$5))</f>
        <v>7.3333333333307493E-3</v>
      </c>
      <c r="T63" s="81">
        <f>IF(G63="","",ABS(O63-Components!$C$6))</f>
        <v>3.4143333333333312</v>
      </c>
      <c r="U63" s="81">
        <f>IF(G63="","",ABS(O63-Components!$C$7))</f>
        <v>3.1956666666666713</v>
      </c>
      <c r="V63" s="81" t="str">
        <f>IF(G63="","",IF(M63="OK","NONE",INDEX({"S1","S2","W1","W2","N1","N2"},MATCH(MIN(P63:U63),P63:U63,0))))</f>
        <v>W2</v>
      </c>
      <c r="W63" s="117">
        <f t="shared" si="8"/>
        <v>1</v>
      </c>
      <c r="X63" s="119"/>
    </row>
    <row r="64" spans="1:24">
      <c r="A64" s="115">
        <v>62</v>
      </c>
      <c r="B64" s="116">
        <v>3</v>
      </c>
      <c r="C64" s="81" t="s">
        <v>128</v>
      </c>
      <c r="D64" s="111" t="s">
        <v>240</v>
      </c>
      <c r="E64" s="81" t="s">
        <v>106</v>
      </c>
      <c r="F64" s="52">
        <v>5.45</v>
      </c>
      <c r="G64" s="52">
        <f t="shared" si="0"/>
        <v>6.42</v>
      </c>
      <c r="H64" s="110"/>
      <c r="I64" s="81">
        <f>VLOOKUP(C64,Recipes!$A$2:$N$4,10,FALSE())</f>
        <v>10.940000000000001</v>
      </c>
      <c r="J64" s="81">
        <f>VLOOKUP(C64,Recipes!$A$2:$N$4,12,FALSE())</f>
        <v>5.2703573566378441E-2</v>
      </c>
      <c r="K64" s="81">
        <f t="shared" si="1"/>
        <v>10.62377855860173</v>
      </c>
      <c r="L64" s="81">
        <f t="shared" si="6"/>
        <v>11.256221441398273</v>
      </c>
      <c r="M64" s="81" t="str">
        <f t="shared" si="3"/>
        <v>NG</v>
      </c>
      <c r="N64" s="117">
        <f t="shared" si="7"/>
        <v>1</v>
      </c>
      <c r="O64" s="81">
        <f t="shared" si="5"/>
        <v>4.5200000000000014</v>
      </c>
      <c r="P64" s="81">
        <f>IF(G64="","",ABS(O64-Components!$C$2))</f>
        <v>1.7666666666666715</v>
      </c>
      <c r="Q64" s="81">
        <f>IF(G64="","",ABS(O64-Components!$C$3))</f>
        <v>0.48400000000000176</v>
      </c>
      <c r="R64" s="81">
        <f>IF(G64="","",ABS(O64-Components!$C$4))</f>
        <v>3.5266666666666682</v>
      </c>
      <c r="S64" s="81">
        <f>IF(G64="","",ABS(O64-Components!$C$5))</f>
        <v>4.2666666666669073E-2</v>
      </c>
      <c r="T64" s="81">
        <f>IF(G64="","",ABS(O64-Components!$C$6))</f>
        <v>3.3643333333333314</v>
      </c>
      <c r="U64" s="81">
        <f>IF(G64="","",ABS(O64-Components!$C$7))</f>
        <v>3.1456666666666715</v>
      </c>
      <c r="V64" s="81" t="str">
        <f>IF(G64="","",IF(M64="OK","NONE",INDEX({"S1","S2","W1","W2","N1","N2"},MATCH(MIN(P64:U64),P64:U64,0))))</f>
        <v>W2</v>
      </c>
      <c r="W64" s="117">
        <f t="shared" si="8"/>
        <v>1</v>
      </c>
      <c r="X64" s="119"/>
    </row>
    <row r="65" spans="1:24">
      <c r="A65" s="115">
        <v>63</v>
      </c>
      <c r="B65" s="116">
        <v>3</v>
      </c>
      <c r="C65" s="81" t="s">
        <v>128</v>
      </c>
      <c r="D65" s="111" t="s">
        <v>240</v>
      </c>
      <c r="E65" s="81" t="s">
        <v>106</v>
      </c>
      <c r="F65" s="52">
        <v>5.42</v>
      </c>
      <c r="G65" s="52">
        <f t="shared" si="0"/>
        <v>6.39</v>
      </c>
      <c r="H65" s="110"/>
      <c r="I65" s="81">
        <f>VLOOKUP(C65,Recipes!$A$2:$N$4,10,FALSE())</f>
        <v>10.940000000000001</v>
      </c>
      <c r="J65" s="81">
        <f>VLOOKUP(C65,Recipes!$A$2:$N$4,12,FALSE())</f>
        <v>5.2703573566378441E-2</v>
      </c>
      <c r="K65" s="81">
        <f t="shared" si="1"/>
        <v>10.62377855860173</v>
      </c>
      <c r="L65" s="81">
        <f t="shared" si="6"/>
        <v>11.256221441398273</v>
      </c>
      <c r="M65" s="81" t="str">
        <f t="shared" si="3"/>
        <v>NG</v>
      </c>
      <c r="N65" s="117">
        <f t="shared" si="7"/>
        <v>1</v>
      </c>
      <c r="O65" s="81">
        <f t="shared" si="5"/>
        <v>4.5500000000000016</v>
      </c>
      <c r="P65" s="81">
        <f>IF(G65="","",ABS(O65-Components!$C$2))</f>
        <v>1.7966666666666717</v>
      </c>
      <c r="Q65" s="81">
        <f>IF(G65="","",ABS(O65-Components!$C$3))</f>
        <v>0.51400000000000201</v>
      </c>
      <c r="R65" s="81">
        <f>IF(G65="","",ABS(O65-Components!$C$4))</f>
        <v>3.5566666666666684</v>
      </c>
      <c r="S65" s="81">
        <f>IF(G65="","",ABS(O65-Components!$C$5))</f>
        <v>1.2666666666668824E-2</v>
      </c>
      <c r="T65" s="81">
        <f>IF(G65="","",ABS(O65-Components!$C$6))</f>
        <v>3.3943333333333316</v>
      </c>
      <c r="U65" s="81">
        <f>IF(G65="","",ABS(O65-Components!$C$7))</f>
        <v>3.1756666666666717</v>
      </c>
      <c r="V65" s="81" t="str">
        <f>IF(G65="","",IF(M65="OK","NONE",INDEX({"S1","S2","W1","W2","N1","N2"},MATCH(MIN(P65:U65),P65:U65,0))))</f>
        <v>W2</v>
      </c>
      <c r="W65" s="117">
        <f t="shared" si="8"/>
        <v>1</v>
      </c>
      <c r="X65" s="119"/>
    </row>
    <row r="66" spans="1:24">
      <c r="A66" s="115">
        <v>64</v>
      </c>
      <c r="B66" s="116">
        <v>3</v>
      </c>
      <c r="C66" s="81" t="s">
        <v>128</v>
      </c>
      <c r="D66" s="111" t="s">
        <v>240</v>
      </c>
      <c r="E66" s="81" t="s">
        <v>106</v>
      </c>
      <c r="F66" s="52">
        <v>5.42</v>
      </c>
      <c r="G66" s="52">
        <f t="shared" si="0"/>
        <v>6.39</v>
      </c>
      <c r="H66" s="110"/>
      <c r="I66" s="81">
        <f>VLOOKUP(C66,Recipes!$A$2:$N$4,10,FALSE())</f>
        <v>10.940000000000001</v>
      </c>
      <c r="J66" s="81">
        <f>VLOOKUP(C66,Recipes!$A$2:$N$4,12,FALSE())</f>
        <v>5.2703573566378441E-2</v>
      </c>
      <c r="K66" s="81">
        <f t="shared" si="1"/>
        <v>10.62377855860173</v>
      </c>
      <c r="L66" s="81">
        <f t="shared" si="6"/>
        <v>11.256221441398273</v>
      </c>
      <c r="M66" s="81" t="str">
        <f t="shared" si="3"/>
        <v>NG</v>
      </c>
      <c r="N66" s="117">
        <f t="shared" si="7"/>
        <v>1</v>
      </c>
      <c r="O66" s="81">
        <f t="shared" si="5"/>
        <v>4.5500000000000016</v>
      </c>
      <c r="P66" s="81">
        <f>IF(G66="","",ABS(O66-Components!$C$2))</f>
        <v>1.7966666666666717</v>
      </c>
      <c r="Q66" s="81">
        <f>IF(G66="","",ABS(O66-Components!$C$3))</f>
        <v>0.51400000000000201</v>
      </c>
      <c r="R66" s="81">
        <f>IF(G66="","",ABS(O66-Components!$C$4))</f>
        <v>3.5566666666666684</v>
      </c>
      <c r="S66" s="81">
        <f>IF(G66="","",ABS(O66-Components!$C$5))</f>
        <v>1.2666666666668824E-2</v>
      </c>
      <c r="T66" s="81">
        <f>IF(G66="","",ABS(O66-Components!$C$6))</f>
        <v>3.3943333333333316</v>
      </c>
      <c r="U66" s="81">
        <f>IF(G66="","",ABS(O66-Components!$C$7))</f>
        <v>3.1756666666666717</v>
      </c>
      <c r="V66" s="81" t="str">
        <f>IF(G66="","",IF(M66="OK","NONE",INDEX({"S1","S2","W1","W2","N1","N2"},MATCH(MIN(P66:U66),P66:U66,0))))</f>
        <v>W2</v>
      </c>
      <c r="W66" s="117">
        <f t="shared" si="8"/>
        <v>1</v>
      </c>
      <c r="X66" s="119"/>
    </row>
    <row r="67" spans="1:24">
      <c r="A67" s="115">
        <v>65</v>
      </c>
      <c r="B67" s="116">
        <v>3</v>
      </c>
      <c r="C67" s="81" t="s">
        <v>128</v>
      </c>
      <c r="D67" s="111" t="s">
        <v>240</v>
      </c>
      <c r="E67" s="81" t="s">
        <v>106</v>
      </c>
      <c r="F67" s="52">
        <v>5.42</v>
      </c>
      <c r="G67" s="52">
        <f t="shared" ref="G67:G130" si="9">0.97+F67</f>
        <v>6.39</v>
      </c>
      <c r="H67" s="110"/>
      <c r="I67" s="81">
        <f>VLOOKUP(C67,Recipes!$A$2:$N$4,10,FALSE())</f>
        <v>10.940000000000001</v>
      </c>
      <c r="J67" s="81">
        <f>VLOOKUP(C67,Recipes!$A$2:$N$4,12,FALSE())</f>
        <v>5.2703573566378441E-2</v>
      </c>
      <c r="K67" s="81">
        <f t="shared" ref="K67:K130" si="10">I67-6*J67</f>
        <v>10.62377855860173</v>
      </c>
      <c r="L67" s="81">
        <f t="shared" si="6"/>
        <v>11.256221441398273</v>
      </c>
      <c r="M67" s="81" t="str">
        <f t="shared" ref="M67:M130" si="11">IF(G67="","",IF(AND(G67&gt;=K67,G67&lt;=L67),"OK","NG"))</f>
        <v>NG</v>
      </c>
      <c r="N67" s="117">
        <f t="shared" si="7"/>
        <v>1</v>
      </c>
      <c r="O67" s="81">
        <f t="shared" ref="O67:O130" si="12">IF(G67="","",I67-G67)</f>
        <v>4.5500000000000016</v>
      </c>
      <c r="P67" s="81">
        <f>IF(G67="","",ABS(O67-Components!$C$2))</f>
        <v>1.7966666666666717</v>
      </c>
      <c r="Q67" s="81">
        <f>IF(G67="","",ABS(O67-Components!$C$3))</f>
        <v>0.51400000000000201</v>
      </c>
      <c r="R67" s="81">
        <f>IF(G67="","",ABS(O67-Components!$C$4))</f>
        <v>3.5566666666666684</v>
      </c>
      <c r="S67" s="81">
        <f>IF(G67="","",ABS(O67-Components!$C$5))</f>
        <v>1.2666666666668824E-2</v>
      </c>
      <c r="T67" s="81">
        <f>IF(G67="","",ABS(O67-Components!$C$6))</f>
        <v>3.3943333333333316</v>
      </c>
      <c r="U67" s="81">
        <f>IF(G67="","",ABS(O67-Components!$C$7))</f>
        <v>3.1756666666666717</v>
      </c>
      <c r="V67" s="81" t="str">
        <f>IF(G67="","",IF(M67="OK","NONE",INDEX({"S1","S2","W1","W2","N1","N2"},MATCH(MIN(P67:U67),P67:U67,0))))</f>
        <v>W2</v>
      </c>
      <c r="W67" s="117">
        <f t="shared" si="8"/>
        <v>1</v>
      </c>
      <c r="X67" s="119"/>
    </row>
    <row r="68" spans="1:24">
      <c r="A68" s="115">
        <v>66</v>
      </c>
      <c r="B68" s="116">
        <v>3</v>
      </c>
      <c r="C68" s="81" t="s">
        <v>128</v>
      </c>
      <c r="D68" s="111" t="s">
        <v>240</v>
      </c>
      <c r="E68" s="81" t="s">
        <v>106</v>
      </c>
      <c r="F68" s="52">
        <v>5.42</v>
      </c>
      <c r="G68" s="52">
        <f t="shared" si="9"/>
        <v>6.39</v>
      </c>
      <c r="H68" s="110"/>
      <c r="I68" s="81">
        <f>VLOOKUP(C68,Recipes!$A$2:$N$4,10,FALSE())</f>
        <v>10.940000000000001</v>
      </c>
      <c r="J68" s="81">
        <f>VLOOKUP(C68,Recipes!$A$2:$N$4,12,FALSE())</f>
        <v>5.2703573566378441E-2</v>
      </c>
      <c r="K68" s="81">
        <f t="shared" si="10"/>
        <v>10.62377855860173</v>
      </c>
      <c r="L68" s="81">
        <f t="shared" ref="L68:L131" si="13">I68+6*J68</f>
        <v>11.256221441398273</v>
      </c>
      <c r="M68" s="81" t="str">
        <f t="shared" si="11"/>
        <v>NG</v>
      </c>
      <c r="N68" s="117">
        <f t="shared" ref="N68:N131" si="14">IF(M68="","",IF(M68=D68,1,0))</f>
        <v>1</v>
      </c>
      <c r="O68" s="81">
        <f t="shared" si="12"/>
        <v>4.5500000000000016</v>
      </c>
      <c r="P68" s="81">
        <f>IF(G68="","",ABS(O68-Components!$C$2))</f>
        <v>1.7966666666666717</v>
      </c>
      <c r="Q68" s="81">
        <f>IF(G68="","",ABS(O68-Components!$C$3))</f>
        <v>0.51400000000000201</v>
      </c>
      <c r="R68" s="81">
        <f>IF(G68="","",ABS(O68-Components!$C$4))</f>
        <v>3.5566666666666684</v>
      </c>
      <c r="S68" s="81">
        <f>IF(G68="","",ABS(O68-Components!$C$5))</f>
        <v>1.2666666666668824E-2</v>
      </c>
      <c r="T68" s="81">
        <f>IF(G68="","",ABS(O68-Components!$C$6))</f>
        <v>3.3943333333333316</v>
      </c>
      <c r="U68" s="81">
        <f>IF(G68="","",ABS(O68-Components!$C$7))</f>
        <v>3.1756666666666717</v>
      </c>
      <c r="V68" s="81" t="str">
        <f>IF(G68="","",IF(M68="OK","NONE",INDEX({"S1","S2","W1","W2","N1","N2"},MATCH(MIN(P68:U68),P68:U68,0))))</f>
        <v>W2</v>
      </c>
      <c r="W68" s="117">
        <f t="shared" ref="W68:W131" si="15">IF(G68="","",IF(V68=E68,1,0))</f>
        <v>1</v>
      </c>
      <c r="X68" s="119"/>
    </row>
    <row r="69" spans="1:24">
      <c r="A69" s="115">
        <v>67</v>
      </c>
      <c r="B69" s="116">
        <v>3</v>
      </c>
      <c r="C69" s="81" t="s">
        <v>128</v>
      </c>
      <c r="D69" s="111" t="s">
        <v>240</v>
      </c>
      <c r="E69" s="81" t="s">
        <v>106</v>
      </c>
      <c r="F69" s="52">
        <v>5.45</v>
      </c>
      <c r="G69" s="52">
        <f t="shared" si="9"/>
        <v>6.42</v>
      </c>
      <c r="H69" s="110"/>
      <c r="I69" s="81">
        <f>VLOOKUP(C69,Recipes!$A$2:$N$4,10,FALSE())</f>
        <v>10.940000000000001</v>
      </c>
      <c r="J69" s="81">
        <f>VLOOKUP(C69,Recipes!$A$2:$N$4,12,FALSE())</f>
        <v>5.2703573566378441E-2</v>
      </c>
      <c r="K69" s="81">
        <f t="shared" si="10"/>
        <v>10.62377855860173</v>
      </c>
      <c r="L69" s="81">
        <f t="shared" si="13"/>
        <v>11.256221441398273</v>
      </c>
      <c r="M69" s="81" t="str">
        <f t="shared" si="11"/>
        <v>NG</v>
      </c>
      <c r="N69" s="117">
        <f t="shared" si="14"/>
        <v>1</v>
      </c>
      <c r="O69" s="81">
        <f t="shared" si="12"/>
        <v>4.5200000000000014</v>
      </c>
      <c r="P69" s="81">
        <f>IF(G69="","",ABS(O69-Components!$C$2))</f>
        <v>1.7666666666666715</v>
      </c>
      <c r="Q69" s="81">
        <f>IF(G69="","",ABS(O69-Components!$C$3))</f>
        <v>0.48400000000000176</v>
      </c>
      <c r="R69" s="81">
        <f>IF(G69="","",ABS(O69-Components!$C$4))</f>
        <v>3.5266666666666682</v>
      </c>
      <c r="S69" s="81">
        <f>IF(G69="","",ABS(O69-Components!$C$5))</f>
        <v>4.2666666666669073E-2</v>
      </c>
      <c r="T69" s="81">
        <f>IF(G69="","",ABS(O69-Components!$C$6))</f>
        <v>3.3643333333333314</v>
      </c>
      <c r="U69" s="81">
        <f>IF(G69="","",ABS(O69-Components!$C$7))</f>
        <v>3.1456666666666715</v>
      </c>
      <c r="V69" s="81" t="str">
        <f>IF(G69="","",IF(M69="OK","NONE",INDEX({"S1","S2","W1","W2","N1","N2"},MATCH(MIN(P69:U69),P69:U69,0))))</f>
        <v>W2</v>
      </c>
      <c r="W69" s="117">
        <f t="shared" si="15"/>
        <v>1</v>
      </c>
      <c r="X69" s="119"/>
    </row>
    <row r="70" spans="1:24">
      <c r="A70" s="115">
        <v>68</v>
      </c>
      <c r="B70" s="116">
        <v>3</v>
      </c>
      <c r="C70" s="81" t="s">
        <v>128</v>
      </c>
      <c r="D70" s="111" t="s">
        <v>240</v>
      </c>
      <c r="E70" s="81" t="s">
        <v>106</v>
      </c>
      <c r="F70" s="52">
        <v>5.41</v>
      </c>
      <c r="G70" s="52">
        <f t="shared" si="9"/>
        <v>6.38</v>
      </c>
      <c r="H70" s="110"/>
      <c r="I70" s="81">
        <f>VLOOKUP(C70,Recipes!$A$2:$N$4,10,FALSE())</f>
        <v>10.940000000000001</v>
      </c>
      <c r="J70" s="81">
        <f>VLOOKUP(C70,Recipes!$A$2:$N$4,12,FALSE())</f>
        <v>5.2703573566378441E-2</v>
      </c>
      <c r="K70" s="81">
        <f t="shared" si="10"/>
        <v>10.62377855860173</v>
      </c>
      <c r="L70" s="81">
        <f t="shared" si="13"/>
        <v>11.256221441398273</v>
      </c>
      <c r="M70" s="81" t="str">
        <f t="shared" si="11"/>
        <v>NG</v>
      </c>
      <c r="N70" s="117">
        <f t="shared" si="14"/>
        <v>1</v>
      </c>
      <c r="O70" s="81">
        <f t="shared" si="12"/>
        <v>4.5600000000000014</v>
      </c>
      <c r="P70" s="81">
        <f>IF(G70="","",ABS(O70-Components!$C$2))</f>
        <v>1.8066666666666715</v>
      </c>
      <c r="Q70" s="81">
        <f>IF(G70="","",ABS(O70-Components!$C$3))</f>
        <v>0.5240000000000018</v>
      </c>
      <c r="R70" s="81">
        <f>IF(G70="","",ABS(O70-Components!$C$4))</f>
        <v>3.5666666666666682</v>
      </c>
      <c r="S70" s="81">
        <f>IF(G70="","",ABS(O70-Components!$C$5))</f>
        <v>2.6666666666690375E-3</v>
      </c>
      <c r="T70" s="81">
        <f>IF(G70="","",ABS(O70-Components!$C$6))</f>
        <v>3.4043333333333314</v>
      </c>
      <c r="U70" s="81">
        <f>IF(G70="","",ABS(O70-Components!$C$7))</f>
        <v>3.1856666666666715</v>
      </c>
      <c r="V70" s="81" t="str">
        <f>IF(G70="","",IF(M70="OK","NONE",INDEX({"S1","S2","W1","W2","N1","N2"},MATCH(MIN(P70:U70),P70:U70,0))))</f>
        <v>W2</v>
      </c>
      <c r="W70" s="117">
        <f t="shared" si="15"/>
        <v>1</v>
      </c>
      <c r="X70" s="119"/>
    </row>
    <row r="71" spans="1:24">
      <c r="A71" s="115">
        <v>69</v>
      </c>
      <c r="B71" s="116">
        <v>3</v>
      </c>
      <c r="C71" s="81" t="s">
        <v>128</v>
      </c>
      <c r="D71" s="111" t="s">
        <v>240</v>
      </c>
      <c r="E71" s="81" t="s">
        <v>106</v>
      </c>
      <c r="F71" s="52">
        <v>5.38</v>
      </c>
      <c r="G71" s="52">
        <f t="shared" si="9"/>
        <v>6.35</v>
      </c>
      <c r="H71" s="110"/>
      <c r="I71" s="81">
        <f>VLOOKUP(C71,Recipes!$A$2:$N$4,10,FALSE())</f>
        <v>10.940000000000001</v>
      </c>
      <c r="J71" s="81">
        <f>VLOOKUP(C71,Recipes!$A$2:$N$4,12,FALSE())</f>
        <v>5.2703573566378441E-2</v>
      </c>
      <c r="K71" s="81">
        <f t="shared" si="10"/>
        <v>10.62377855860173</v>
      </c>
      <c r="L71" s="81">
        <f t="shared" si="13"/>
        <v>11.256221441398273</v>
      </c>
      <c r="M71" s="81" t="str">
        <f t="shared" si="11"/>
        <v>NG</v>
      </c>
      <c r="N71" s="117">
        <f t="shared" si="14"/>
        <v>1</v>
      </c>
      <c r="O71" s="81">
        <f t="shared" si="12"/>
        <v>4.5900000000000016</v>
      </c>
      <c r="P71" s="81">
        <f>IF(G71="","",ABS(O71-Components!$C$2))</f>
        <v>1.8366666666666718</v>
      </c>
      <c r="Q71" s="81">
        <f>IF(G71="","",ABS(O71-Components!$C$3))</f>
        <v>0.55400000000000205</v>
      </c>
      <c r="R71" s="81">
        <f>IF(G71="","",ABS(O71-Components!$C$4))</f>
        <v>3.5966666666666685</v>
      </c>
      <c r="S71" s="81">
        <f>IF(G71="","",ABS(O71-Components!$C$5))</f>
        <v>2.7333333333331211E-2</v>
      </c>
      <c r="T71" s="81">
        <f>IF(G71="","",ABS(O71-Components!$C$6))</f>
        <v>3.4343333333333317</v>
      </c>
      <c r="U71" s="81">
        <f>IF(G71="","",ABS(O71-Components!$C$7))</f>
        <v>3.2156666666666718</v>
      </c>
      <c r="V71" s="81" t="str">
        <f>IF(G71="","",IF(M71="OK","NONE",INDEX({"S1","S2","W1","W2","N1","N2"},MATCH(MIN(P71:U71),P71:U71,0))))</f>
        <v>W2</v>
      </c>
      <c r="W71" s="117">
        <f t="shared" si="15"/>
        <v>1</v>
      </c>
      <c r="X71" s="119"/>
    </row>
    <row r="72" spans="1:24">
      <c r="A72" s="115">
        <v>70</v>
      </c>
      <c r="B72" s="116">
        <v>3</v>
      </c>
      <c r="C72" s="81" t="s">
        <v>128</v>
      </c>
      <c r="D72" s="111" t="s">
        <v>240</v>
      </c>
      <c r="E72" s="81" t="s">
        <v>106</v>
      </c>
      <c r="F72" s="52">
        <v>5.37</v>
      </c>
      <c r="G72" s="52">
        <f t="shared" si="9"/>
        <v>6.34</v>
      </c>
      <c r="H72" s="110"/>
      <c r="I72" s="81">
        <f>VLOOKUP(C72,Recipes!$A$2:$N$4,10,FALSE())</f>
        <v>10.940000000000001</v>
      </c>
      <c r="J72" s="81">
        <f>VLOOKUP(C72,Recipes!$A$2:$N$4,12,FALSE())</f>
        <v>5.2703573566378441E-2</v>
      </c>
      <c r="K72" s="81">
        <f t="shared" si="10"/>
        <v>10.62377855860173</v>
      </c>
      <c r="L72" s="81">
        <f t="shared" si="13"/>
        <v>11.256221441398273</v>
      </c>
      <c r="M72" s="81" t="str">
        <f t="shared" si="11"/>
        <v>NG</v>
      </c>
      <c r="N72" s="117">
        <f t="shared" si="14"/>
        <v>1</v>
      </c>
      <c r="O72" s="81">
        <f t="shared" si="12"/>
        <v>4.6000000000000014</v>
      </c>
      <c r="P72" s="81">
        <f>IF(G72="","",ABS(O72-Components!$C$2))</f>
        <v>1.8466666666666716</v>
      </c>
      <c r="Q72" s="81">
        <f>IF(G72="","",ABS(O72-Components!$C$3))</f>
        <v>0.56400000000000183</v>
      </c>
      <c r="R72" s="81">
        <f>IF(G72="","",ABS(O72-Components!$C$4))</f>
        <v>3.6066666666666682</v>
      </c>
      <c r="S72" s="81">
        <f>IF(G72="","",ABS(O72-Components!$C$5))</f>
        <v>3.7333333333330998E-2</v>
      </c>
      <c r="T72" s="81">
        <f>IF(G72="","",ABS(O72-Components!$C$6))</f>
        <v>3.4443333333333315</v>
      </c>
      <c r="U72" s="81">
        <f>IF(G72="","",ABS(O72-Components!$C$7))</f>
        <v>3.2256666666666716</v>
      </c>
      <c r="V72" s="81" t="str">
        <f>IF(G72="","",IF(M72="OK","NONE",INDEX({"S1","S2","W1","W2","N1","N2"},MATCH(MIN(P72:U72),P72:U72,0))))</f>
        <v>W2</v>
      </c>
      <c r="W72" s="117">
        <f t="shared" si="15"/>
        <v>1</v>
      </c>
      <c r="X72" s="119"/>
    </row>
    <row r="73" spans="1:24">
      <c r="A73" s="115">
        <v>71</v>
      </c>
      <c r="B73" s="116">
        <v>3</v>
      </c>
      <c r="C73" s="81" t="s">
        <v>128</v>
      </c>
      <c r="D73" s="111" t="s">
        <v>240</v>
      </c>
      <c r="E73" s="81" t="s">
        <v>106</v>
      </c>
      <c r="F73" s="52">
        <v>5.36</v>
      </c>
      <c r="G73" s="52">
        <f t="shared" si="9"/>
        <v>6.33</v>
      </c>
      <c r="H73" s="110"/>
      <c r="I73" s="81">
        <f>VLOOKUP(C73,Recipes!$A$2:$N$4,10,FALSE())</f>
        <v>10.940000000000001</v>
      </c>
      <c r="J73" s="81">
        <f>VLOOKUP(C73,Recipes!$A$2:$N$4,12,FALSE())</f>
        <v>5.2703573566378441E-2</v>
      </c>
      <c r="K73" s="81">
        <f t="shared" si="10"/>
        <v>10.62377855860173</v>
      </c>
      <c r="L73" s="81">
        <f t="shared" si="13"/>
        <v>11.256221441398273</v>
      </c>
      <c r="M73" s="81" t="str">
        <f t="shared" si="11"/>
        <v>NG</v>
      </c>
      <c r="N73" s="117">
        <f t="shared" si="14"/>
        <v>1</v>
      </c>
      <c r="O73" s="81">
        <f t="shared" si="12"/>
        <v>4.6100000000000012</v>
      </c>
      <c r="P73" s="81">
        <f>IF(G73="","",ABS(O73-Components!$C$2))</f>
        <v>1.8566666666666714</v>
      </c>
      <c r="Q73" s="81">
        <f>IF(G73="","",ABS(O73-Components!$C$3))</f>
        <v>0.57400000000000162</v>
      </c>
      <c r="R73" s="81">
        <f>IF(G73="","",ABS(O73-Components!$C$4))</f>
        <v>3.616666666666668</v>
      </c>
      <c r="S73" s="81">
        <f>IF(G73="","",ABS(O73-Components!$C$5))</f>
        <v>4.7333333333330785E-2</v>
      </c>
      <c r="T73" s="81">
        <f>IF(G73="","",ABS(O73-Components!$C$6))</f>
        <v>3.4543333333333313</v>
      </c>
      <c r="U73" s="81">
        <f>IF(G73="","",ABS(O73-Components!$C$7))</f>
        <v>3.2356666666666714</v>
      </c>
      <c r="V73" s="81" t="str">
        <f>IF(G73="","",IF(M73="OK","NONE",INDEX({"S1","S2","W1","W2","N1","N2"},MATCH(MIN(P73:U73),P73:U73,0))))</f>
        <v>W2</v>
      </c>
      <c r="W73" s="117">
        <f t="shared" si="15"/>
        <v>1</v>
      </c>
      <c r="X73" s="119"/>
    </row>
    <row r="74" spans="1:24">
      <c r="A74" s="115">
        <v>72</v>
      </c>
      <c r="B74" s="116">
        <v>3</v>
      </c>
      <c r="C74" s="81" t="s">
        <v>128</v>
      </c>
      <c r="D74" s="111" t="s">
        <v>240</v>
      </c>
      <c r="E74" s="81" t="s">
        <v>106</v>
      </c>
      <c r="F74" s="52">
        <v>5.41</v>
      </c>
      <c r="G74" s="52">
        <f t="shared" si="9"/>
        <v>6.38</v>
      </c>
      <c r="H74" s="110"/>
      <c r="I74" s="81">
        <f>VLOOKUP(C74,Recipes!$A$2:$N$4,10,FALSE())</f>
        <v>10.940000000000001</v>
      </c>
      <c r="J74" s="81">
        <f>VLOOKUP(C74,Recipes!$A$2:$N$4,12,FALSE())</f>
        <v>5.2703573566378441E-2</v>
      </c>
      <c r="K74" s="81">
        <f t="shared" si="10"/>
        <v>10.62377855860173</v>
      </c>
      <c r="L74" s="81">
        <f t="shared" si="13"/>
        <v>11.256221441398273</v>
      </c>
      <c r="M74" s="81" t="str">
        <f t="shared" si="11"/>
        <v>NG</v>
      </c>
      <c r="N74" s="117">
        <f t="shared" si="14"/>
        <v>1</v>
      </c>
      <c r="O74" s="81">
        <f t="shared" si="12"/>
        <v>4.5600000000000014</v>
      </c>
      <c r="P74" s="81">
        <f>IF(G74="","",ABS(O74-Components!$C$2))</f>
        <v>1.8066666666666715</v>
      </c>
      <c r="Q74" s="81">
        <f>IF(G74="","",ABS(O74-Components!$C$3))</f>
        <v>0.5240000000000018</v>
      </c>
      <c r="R74" s="81">
        <f>IF(G74="","",ABS(O74-Components!$C$4))</f>
        <v>3.5666666666666682</v>
      </c>
      <c r="S74" s="81">
        <f>IF(G74="","",ABS(O74-Components!$C$5))</f>
        <v>2.6666666666690375E-3</v>
      </c>
      <c r="T74" s="81">
        <f>IF(G74="","",ABS(O74-Components!$C$6))</f>
        <v>3.4043333333333314</v>
      </c>
      <c r="U74" s="81">
        <f>IF(G74="","",ABS(O74-Components!$C$7))</f>
        <v>3.1856666666666715</v>
      </c>
      <c r="V74" s="81" t="str">
        <f>IF(G74="","",IF(M74="OK","NONE",INDEX({"S1","S2","W1","W2","N1","N2"},MATCH(MIN(P74:U74),P74:U74,0))))</f>
        <v>W2</v>
      </c>
      <c r="W74" s="117">
        <f t="shared" si="15"/>
        <v>1</v>
      </c>
      <c r="X74" s="119"/>
    </row>
    <row r="75" spans="1:24">
      <c r="A75" s="115">
        <v>73</v>
      </c>
      <c r="B75" s="116">
        <v>3</v>
      </c>
      <c r="C75" s="81" t="s">
        <v>128</v>
      </c>
      <c r="D75" s="111" t="s">
        <v>240</v>
      </c>
      <c r="E75" s="81" t="s">
        <v>106</v>
      </c>
      <c r="F75" s="52">
        <v>5.37</v>
      </c>
      <c r="G75" s="52">
        <f t="shared" si="9"/>
        <v>6.34</v>
      </c>
      <c r="H75" s="110"/>
      <c r="I75" s="81">
        <f>VLOOKUP(C75,Recipes!$A$2:$N$4,10,FALSE())</f>
        <v>10.940000000000001</v>
      </c>
      <c r="J75" s="81">
        <f>VLOOKUP(C75,Recipes!$A$2:$N$4,12,FALSE())</f>
        <v>5.2703573566378441E-2</v>
      </c>
      <c r="K75" s="81">
        <f t="shared" si="10"/>
        <v>10.62377855860173</v>
      </c>
      <c r="L75" s="81">
        <f t="shared" si="13"/>
        <v>11.256221441398273</v>
      </c>
      <c r="M75" s="81" t="str">
        <f t="shared" si="11"/>
        <v>NG</v>
      </c>
      <c r="N75" s="117">
        <f t="shared" si="14"/>
        <v>1</v>
      </c>
      <c r="O75" s="81">
        <f t="shared" si="12"/>
        <v>4.6000000000000014</v>
      </c>
      <c r="P75" s="81">
        <f>IF(G75="","",ABS(O75-Components!$C$2))</f>
        <v>1.8466666666666716</v>
      </c>
      <c r="Q75" s="81">
        <f>IF(G75="","",ABS(O75-Components!$C$3))</f>
        <v>0.56400000000000183</v>
      </c>
      <c r="R75" s="81">
        <f>IF(G75="","",ABS(O75-Components!$C$4))</f>
        <v>3.6066666666666682</v>
      </c>
      <c r="S75" s="81">
        <f>IF(G75="","",ABS(O75-Components!$C$5))</f>
        <v>3.7333333333330998E-2</v>
      </c>
      <c r="T75" s="81">
        <f>IF(G75="","",ABS(O75-Components!$C$6))</f>
        <v>3.4443333333333315</v>
      </c>
      <c r="U75" s="81">
        <f>IF(G75="","",ABS(O75-Components!$C$7))</f>
        <v>3.2256666666666716</v>
      </c>
      <c r="V75" s="81" t="str">
        <f>IF(G75="","",IF(M75="OK","NONE",INDEX({"S1","S2","W1","W2","N1","N2"},MATCH(MIN(P75:U75),P75:U75,0))))</f>
        <v>W2</v>
      </c>
      <c r="W75" s="117">
        <f t="shared" si="15"/>
        <v>1</v>
      </c>
      <c r="X75" s="119"/>
    </row>
    <row r="76" spans="1:24">
      <c r="A76" s="115">
        <v>74</v>
      </c>
      <c r="B76" s="116">
        <v>3</v>
      </c>
      <c r="C76" s="81" t="s">
        <v>128</v>
      </c>
      <c r="D76" s="111" t="s">
        <v>240</v>
      </c>
      <c r="E76" s="81" t="s">
        <v>106</v>
      </c>
      <c r="F76" s="52">
        <v>5.36</v>
      </c>
      <c r="G76" s="52">
        <f t="shared" si="9"/>
        <v>6.33</v>
      </c>
      <c r="H76" s="110"/>
      <c r="I76" s="81">
        <f>VLOOKUP(C76,Recipes!$A$2:$N$4,10,FALSE())</f>
        <v>10.940000000000001</v>
      </c>
      <c r="J76" s="81">
        <f>VLOOKUP(C76,Recipes!$A$2:$N$4,12,FALSE())</f>
        <v>5.2703573566378441E-2</v>
      </c>
      <c r="K76" s="81">
        <f t="shared" si="10"/>
        <v>10.62377855860173</v>
      </c>
      <c r="L76" s="81">
        <f t="shared" si="13"/>
        <v>11.256221441398273</v>
      </c>
      <c r="M76" s="81" t="str">
        <f t="shared" si="11"/>
        <v>NG</v>
      </c>
      <c r="N76" s="117">
        <f t="shared" si="14"/>
        <v>1</v>
      </c>
      <c r="O76" s="81">
        <f t="shared" si="12"/>
        <v>4.6100000000000012</v>
      </c>
      <c r="P76" s="81">
        <f>IF(G76="","",ABS(O76-Components!$C$2))</f>
        <v>1.8566666666666714</v>
      </c>
      <c r="Q76" s="81">
        <f>IF(G76="","",ABS(O76-Components!$C$3))</f>
        <v>0.57400000000000162</v>
      </c>
      <c r="R76" s="81">
        <f>IF(G76="","",ABS(O76-Components!$C$4))</f>
        <v>3.616666666666668</v>
      </c>
      <c r="S76" s="81">
        <f>IF(G76="","",ABS(O76-Components!$C$5))</f>
        <v>4.7333333333330785E-2</v>
      </c>
      <c r="T76" s="81">
        <f>IF(G76="","",ABS(O76-Components!$C$6))</f>
        <v>3.4543333333333313</v>
      </c>
      <c r="U76" s="81">
        <f>IF(G76="","",ABS(O76-Components!$C$7))</f>
        <v>3.2356666666666714</v>
      </c>
      <c r="V76" s="81" t="str">
        <f>IF(G76="","",IF(M76="OK","NONE",INDEX({"S1","S2","W1","W2","N1","N2"},MATCH(MIN(P76:U76),P76:U76,0))))</f>
        <v>W2</v>
      </c>
      <c r="W76" s="117">
        <f t="shared" si="15"/>
        <v>1</v>
      </c>
      <c r="X76" s="119"/>
    </row>
    <row r="77" spans="1:24">
      <c r="A77" s="115">
        <v>75</v>
      </c>
      <c r="B77" s="116">
        <v>3</v>
      </c>
      <c r="C77" s="81" t="s">
        <v>128</v>
      </c>
      <c r="D77" s="111" t="s">
        <v>240</v>
      </c>
      <c r="E77" s="81" t="s">
        <v>106</v>
      </c>
      <c r="F77" s="52">
        <v>5.38</v>
      </c>
      <c r="G77" s="52">
        <f t="shared" si="9"/>
        <v>6.35</v>
      </c>
      <c r="H77" s="110"/>
      <c r="I77" s="81">
        <f>VLOOKUP(C77,Recipes!$A$2:$N$4,10,FALSE())</f>
        <v>10.940000000000001</v>
      </c>
      <c r="J77" s="81">
        <f>VLOOKUP(C77,Recipes!$A$2:$N$4,12,FALSE())</f>
        <v>5.2703573566378441E-2</v>
      </c>
      <c r="K77" s="81">
        <f t="shared" si="10"/>
        <v>10.62377855860173</v>
      </c>
      <c r="L77" s="81">
        <f t="shared" si="13"/>
        <v>11.256221441398273</v>
      </c>
      <c r="M77" s="81" t="str">
        <f t="shared" si="11"/>
        <v>NG</v>
      </c>
      <c r="N77" s="117">
        <f t="shared" si="14"/>
        <v>1</v>
      </c>
      <c r="O77" s="81">
        <f t="shared" si="12"/>
        <v>4.5900000000000016</v>
      </c>
      <c r="P77" s="81">
        <f>IF(G77="","",ABS(O77-Components!$C$2))</f>
        <v>1.8366666666666718</v>
      </c>
      <c r="Q77" s="81">
        <f>IF(G77="","",ABS(O77-Components!$C$3))</f>
        <v>0.55400000000000205</v>
      </c>
      <c r="R77" s="81">
        <f>IF(G77="","",ABS(O77-Components!$C$4))</f>
        <v>3.5966666666666685</v>
      </c>
      <c r="S77" s="81">
        <f>IF(G77="","",ABS(O77-Components!$C$5))</f>
        <v>2.7333333333331211E-2</v>
      </c>
      <c r="T77" s="81">
        <f>IF(G77="","",ABS(O77-Components!$C$6))</f>
        <v>3.4343333333333317</v>
      </c>
      <c r="U77" s="81">
        <f>IF(G77="","",ABS(O77-Components!$C$7))</f>
        <v>3.2156666666666718</v>
      </c>
      <c r="V77" s="81" t="str">
        <f>IF(G77="","",IF(M77="OK","NONE",INDEX({"S1","S2","W1","W2","N1","N2"},MATCH(MIN(P77:U77),P77:U77,0))))</f>
        <v>W2</v>
      </c>
      <c r="W77" s="117">
        <f t="shared" si="15"/>
        <v>1</v>
      </c>
      <c r="X77" s="119"/>
    </row>
    <row r="78" spans="1:24">
      <c r="A78" s="115">
        <v>76</v>
      </c>
      <c r="B78" s="116">
        <v>3</v>
      </c>
      <c r="C78" s="81" t="s">
        <v>128</v>
      </c>
      <c r="D78" s="111" t="s">
        <v>240</v>
      </c>
      <c r="E78" s="81" t="s">
        <v>106</v>
      </c>
      <c r="F78" s="52">
        <v>5.38</v>
      </c>
      <c r="G78" s="52">
        <f t="shared" si="9"/>
        <v>6.35</v>
      </c>
      <c r="H78" s="110"/>
      <c r="I78" s="81">
        <f>VLOOKUP(C78,Recipes!$A$2:$N$4,10,FALSE())</f>
        <v>10.940000000000001</v>
      </c>
      <c r="J78" s="81">
        <f>VLOOKUP(C78,Recipes!$A$2:$N$4,12,FALSE())</f>
        <v>5.2703573566378441E-2</v>
      </c>
      <c r="K78" s="81">
        <f t="shared" si="10"/>
        <v>10.62377855860173</v>
      </c>
      <c r="L78" s="81">
        <f t="shared" si="13"/>
        <v>11.256221441398273</v>
      </c>
      <c r="M78" s="81" t="str">
        <f t="shared" si="11"/>
        <v>NG</v>
      </c>
      <c r="N78" s="117">
        <f t="shared" si="14"/>
        <v>1</v>
      </c>
      <c r="O78" s="81">
        <f t="shared" si="12"/>
        <v>4.5900000000000016</v>
      </c>
      <c r="P78" s="81">
        <f>IF(G78="","",ABS(O78-Components!$C$2))</f>
        <v>1.8366666666666718</v>
      </c>
      <c r="Q78" s="81">
        <f>IF(G78="","",ABS(O78-Components!$C$3))</f>
        <v>0.55400000000000205</v>
      </c>
      <c r="R78" s="81">
        <f>IF(G78="","",ABS(O78-Components!$C$4))</f>
        <v>3.5966666666666685</v>
      </c>
      <c r="S78" s="81">
        <f>IF(G78="","",ABS(O78-Components!$C$5))</f>
        <v>2.7333333333331211E-2</v>
      </c>
      <c r="T78" s="81">
        <f>IF(G78="","",ABS(O78-Components!$C$6))</f>
        <v>3.4343333333333317</v>
      </c>
      <c r="U78" s="81">
        <f>IF(G78="","",ABS(O78-Components!$C$7))</f>
        <v>3.2156666666666718</v>
      </c>
      <c r="V78" s="81" t="str">
        <f>IF(G78="","",IF(M78="OK","NONE",INDEX({"S1","S2","W1","W2","N1","N2"},MATCH(MIN(P78:U78),P78:U78,0))))</f>
        <v>W2</v>
      </c>
      <c r="W78" s="117">
        <f t="shared" si="15"/>
        <v>1</v>
      </c>
      <c r="X78" s="119"/>
    </row>
    <row r="79" spans="1:24">
      <c r="A79" s="115">
        <v>77</v>
      </c>
      <c r="B79" s="116">
        <v>3</v>
      </c>
      <c r="C79" s="81" t="s">
        <v>128</v>
      </c>
      <c r="D79" s="111" t="s">
        <v>240</v>
      </c>
      <c r="E79" s="81" t="s">
        <v>106</v>
      </c>
      <c r="F79" s="52">
        <v>5.42</v>
      </c>
      <c r="G79" s="52">
        <f t="shared" si="9"/>
        <v>6.39</v>
      </c>
      <c r="H79" s="110"/>
      <c r="I79" s="81">
        <f>VLOOKUP(C79,Recipes!$A$2:$N$4,10,FALSE())</f>
        <v>10.940000000000001</v>
      </c>
      <c r="J79" s="81">
        <f>VLOOKUP(C79,Recipes!$A$2:$N$4,12,FALSE())</f>
        <v>5.2703573566378441E-2</v>
      </c>
      <c r="K79" s="81">
        <f t="shared" si="10"/>
        <v>10.62377855860173</v>
      </c>
      <c r="L79" s="81">
        <f t="shared" si="13"/>
        <v>11.256221441398273</v>
      </c>
      <c r="M79" s="81" t="str">
        <f t="shared" si="11"/>
        <v>NG</v>
      </c>
      <c r="N79" s="117">
        <f t="shared" si="14"/>
        <v>1</v>
      </c>
      <c r="O79" s="81">
        <f t="shared" si="12"/>
        <v>4.5500000000000016</v>
      </c>
      <c r="P79" s="81">
        <f>IF(G79="","",ABS(O79-Components!$C$2))</f>
        <v>1.7966666666666717</v>
      </c>
      <c r="Q79" s="81">
        <f>IF(G79="","",ABS(O79-Components!$C$3))</f>
        <v>0.51400000000000201</v>
      </c>
      <c r="R79" s="81">
        <f>IF(G79="","",ABS(O79-Components!$C$4))</f>
        <v>3.5566666666666684</v>
      </c>
      <c r="S79" s="81">
        <f>IF(G79="","",ABS(O79-Components!$C$5))</f>
        <v>1.2666666666668824E-2</v>
      </c>
      <c r="T79" s="81">
        <f>IF(G79="","",ABS(O79-Components!$C$6))</f>
        <v>3.3943333333333316</v>
      </c>
      <c r="U79" s="81">
        <f>IF(G79="","",ABS(O79-Components!$C$7))</f>
        <v>3.1756666666666717</v>
      </c>
      <c r="V79" s="81" t="str">
        <f>IF(G79="","",IF(M79="OK","NONE",INDEX({"S1","S2","W1","W2","N1","N2"},MATCH(MIN(P79:U79),P79:U79,0))))</f>
        <v>W2</v>
      </c>
      <c r="W79" s="117">
        <f t="shared" si="15"/>
        <v>1</v>
      </c>
      <c r="X79" s="119"/>
    </row>
    <row r="80" spans="1:24">
      <c r="A80" s="115">
        <v>78</v>
      </c>
      <c r="B80" s="116">
        <v>3</v>
      </c>
      <c r="C80" s="81" t="s">
        <v>128</v>
      </c>
      <c r="D80" s="111" t="s">
        <v>240</v>
      </c>
      <c r="E80" s="81" t="s">
        <v>106</v>
      </c>
      <c r="F80" s="52">
        <v>5.39</v>
      </c>
      <c r="G80" s="52">
        <f t="shared" si="9"/>
        <v>6.3599999999999994</v>
      </c>
      <c r="H80" s="110"/>
      <c r="I80" s="81">
        <f>VLOOKUP(C80,Recipes!$A$2:$N$4,10,FALSE())</f>
        <v>10.940000000000001</v>
      </c>
      <c r="J80" s="81">
        <f>VLOOKUP(C80,Recipes!$A$2:$N$4,12,FALSE())</f>
        <v>5.2703573566378441E-2</v>
      </c>
      <c r="K80" s="81">
        <f t="shared" si="10"/>
        <v>10.62377855860173</v>
      </c>
      <c r="L80" s="81">
        <f t="shared" si="13"/>
        <v>11.256221441398273</v>
      </c>
      <c r="M80" s="81" t="str">
        <f t="shared" si="11"/>
        <v>NG</v>
      </c>
      <c r="N80" s="117">
        <f t="shared" si="14"/>
        <v>1</v>
      </c>
      <c r="O80" s="81">
        <f t="shared" si="12"/>
        <v>4.5800000000000018</v>
      </c>
      <c r="P80" s="81">
        <f>IF(G80="","",ABS(O80-Components!$C$2))</f>
        <v>1.826666666666672</v>
      </c>
      <c r="Q80" s="81">
        <f>IF(G80="","",ABS(O80-Components!$C$3))</f>
        <v>0.54400000000000226</v>
      </c>
      <c r="R80" s="81">
        <f>IF(G80="","",ABS(O80-Components!$C$4))</f>
        <v>3.5866666666666687</v>
      </c>
      <c r="S80" s="81">
        <f>IF(G80="","",ABS(O80-Components!$C$5))</f>
        <v>1.7333333333331424E-2</v>
      </c>
      <c r="T80" s="81">
        <f>IF(G80="","",ABS(O80-Components!$C$6))</f>
        <v>3.4243333333333319</v>
      </c>
      <c r="U80" s="81">
        <f>IF(G80="","",ABS(O80-Components!$C$7))</f>
        <v>3.205666666666672</v>
      </c>
      <c r="V80" s="81" t="str">
        <f>IF(G80="","",IF(M80="OK","NONE",INDEX({"S1","S2","W1","W2","N1","N2"},MATCH(MIN(P80:U80),P80:U80,0))))</f>
        <v>W2</v>
      </c>
      <c r="W80" s="117">
        <f t="shared" si="15"/>
        <v>1</v>
      </c>
      <c r="X80" s="119"/>
    </row>
    <row r="81" spans="1:24">
      <c r="A81" s="115">
        <v>79</v>
      </c>
      <c r="B81" s="116">
        <v>3</v>
      </c>
      <c r="C81" s="81" t="s">
        <v>128</v>
      </c>
      <c r="D81" s="111" t="s">
        <v>240</v>
      </c>
      <c r="E81" s="81" t="s">
        <v>106</v>
      </c>
      <c r="F81" s="52">
        <v>5.41</v>
      </c>
      <c r="G81" s="52">
        <f t="shared" si="9"/>
        <v>6.38</v>
      </c>
      <c r="H81" s="110"/>
      <c r="I81" s="81">
        <f>VLOOKUP(C81,Recipes!$A$2:$N$4,10,FALSE())</f>
        <v>10.940000000000001</v>
      </c>
      <c r="J81" s="81">
        <f>VLOOKUP(C81,Recipes!$A$2:$N$4,12,FALSE())</f>
        <v>5.2703573566378441E-2</v>
      </c>
      <c r="K81" s="81">
        <f t="shared" si="10"/>
        <v>10.62377855860173</v>
      </c>
      <c r="L81" s="81">
        <f t="shared" si="13"/>
        <v>11.256221441398273</v>
      </c>
      <c r="M81" s="81" t="str">
        <f t="shared" si="11"/>
        <v>NG</v>
      </c>
      <c r="N81" s="117">
        <f t="shared" si="14"/>
        <v>1</v>
      </c>
      <c r="O81" s="81">
        <f t="shared" si="12"/>
        <v>4.5600000000000014</v>
      </c>
      <c r="P81" s="81">
        <f>IF(G81="","",ABS(O81-Components!$C$2))</f>
        <v>1.8066666666666715</v>
      </c>
      <c r="Q81" s="81">
        <f>IF(G81="","",ABS(O81-Components!$C$3))</f>
        <v>0.5240000000000018</v>
      </c>
      <c r="R81" s="81">
        <f>IF(G81="","",ABS(O81-Components!$C$4))</f>
        <v>3.5666666666666682</v>
      </c>
      <c r="S81" s="81">
        <f>IF(G81="","",ABS(O81-Components!$C$5))</f>
        <v>2.6666666666690375E-3</v>
      </c>
      <c r="T81" s="81">
        <f>IF(G81="","",ABS(O81-Components!$C$6))</f>
        <v>3.4043333333333314</v>
      </c>
      <c r="U81" s="81">
        <f>IF(G81="","",ABS(O81-Components!$C$7))</f>
        <v>3.1856666666666715</v>
      </c>
      <c r="V81" s="81" t="str">
        <f>IF(G81="","",IF(M81="OK","NONE",INDEX({"S1","S2","W1","W2","N1","N2"},MATCH(MIN(P81:U81),P81:U81,0))))</f>
        <v>W2</v>
      </c>
      <c r="W81" s="117">
        <f t="shared" si="15"/>
        <v>1</v>
      </c>
      <c r="X81" s="119"/>
    </row>
    <row r="82" spans="1:24">
      <c r="A82" s="115">
        <v>80</v>
      </c>
      <c r="B82" s="116">
        <v>3</v>
      </c>
      <c r="C82" s="81" t="s">
        <v>128</v>
      </c>
      <c r="D82" s="111" t="s">
        <v>240</v>
      </c>
      <c r="E82" s="81" t="s">
        <v>106</v>
      </c>
      <c r="F82" s="52">
        <v>5.32</v>
      </c>
      <c r="G82" s="52">
        <f t="shared" si="9"/>
        <v>6.29</v>
      </c>
      <c r="H82" s="110"/>
      <c r="I82" s="81">
        <f>VLOOKUP(C82,Recipes!$A$2:$N$4,10,FALSE())</f>
        <v>10.940000000000001</v>
      </c>
      <c r="J82" s="81">
        <f>VLOOKUP(C82,Recipes!$A$2:$N$4,12,FALSE())</f>
        <v>5.2703573566378441E-2</v>
      </c>
      <c r="K82" s="81">
        <f t="shared" si="10"/>
        <v>10.62377855860173</v>
      </c>
      <c r="L82" s="81">
        <f t="shared" si="13"/>
        <v>11.256221441398273</v>
      </c>
      <c r="M82" s="81" t="str">
        <f t="shared" si="11"/>
        <v>NG</v>
      </c>
      <c r="N82" s="117">
        <f t="shared" si="14"/>
        <v>1</v>
      </c>
      <c r="O82" s="81">
        <f t="shared" si="12"/>
        <v>4.6500000000000012</v>
      </c>
      <c r="P82" s="81">
        <f>IF(G82="","",ABS(O82-Components!$C$2))</f>
        <v>1.8966666666666714</v>
      </c>
      <c r="Q82" s="81">
        <f>IF(G82="","",ABS(O82-Components!$C$3))</f>
        <v>0.61400000000000166</v>
      </c>
      <c r="R82" s="81">
        <f>IF(G82="","",ABS(O82-Components!$C$4))</f>
        <v>3.6566666666666681</v>
      </c>
      <c r="S82" s="81">
        <f>IF(G82="","",ABS(O82-Components!$C$5))</f>
        <v>8.733333333333082E-2</v>
      </c>
      <c r="T82" s="81">
        <f>IF(G82="","",ABS(O82-Components!$C$6))</f>
        <v>3.4943333333333313</v>
      </c>
      <c r="U82" s="81">
        <f>IF(G82="","",ABS(O82-Components!$C$7))</f>
        <v>3.2756666666666714</v>
      </c>
      <c r="V82" s="81" t="str">
        <f>IF(G82="","",IF(M82="OK","NONE",INDEX({"S1","S2","W1","W2","N1","N2"},MATCH(MIN(P82:U82),P82:U82,0))))</f>
        <v>W2</v>
      </c>
      <c r="W82" s="117">
        <f t="shared" si="15"/>
        <v>1</v>
      </c>
      <c r="X82" s="119"/>
    </row>
    <row r="83" spans="1:24">
      <c r="A83" s="115">
        <v>81</v>
      </c>
      <c r="B83" s="116">
        <v>3</v>
      </c>
      <c r="C83" s="81" t="s">
        <v>128</v>
      </c>
      <c r="D83" s="111" t="s">
        <v>240</v>
      </c>
      <c r="E83" s="81" t="s">
        <v>106</v>
      </c>
      <c r="F83" s="52">
        <v>5.36</v>
      </c>
      <c r="G83" s="52">
        <f t="shared" si="9"/>
        <v>6.33</v>
      </c>
      <c r="H83" s="110"/>
      <c r="I83" s="81">
        <f>VLOOKUP(C83,Recipes!$A$2:$N$4,10,FALSE())</f>
        <v>10.940000000000001</v>
      </c>
      <c r="J83" s="81">
        <f>VLOOKUP(C83,Recipes!$A$2:$N$4,12,FALSE())</f>
        <v>5.2703573566378441E-2</v>
      </c>
      <c r="K83" s="81">
        <f t="shared" si="10"/>
        <v>10.62377855860173</v>
      </c>
      <c r="L83" s="81">
        <f t="shared" si="13"/>
        <v>11.256221441398273</v>
      </c>
      <c r="M83" s="81" t="str">
        <f t="shared" si="11"/>
        <v>NG</v>
      </c>
      <c r="N83" s="117">
        <f t="shared" si="14"/>
        <v>1</v>
      </c>
      <c r="O83" s="81">
        <f t="shared" si="12"/>
        <v>4.6100000000000012</v>
      </c>
      <c r="P83" s="81">
        <f>IF(G83="","",ABS(O83-Components!$C$2))</f>
        <v>1.8566666666666714</v>
      </c>
      <c r="Q83" s="81">
        <f>IF(G83="","",ABS(O83-Components!$C$3))</f>
        <v>0.57400000000000162</v>
      </c>
      <c r="R83" s="81">
        <f>IF(G83="","",ABS(O83-Components!$C$4))</f>
        <v>3.616666666666668</v>
      </c>
      <c r="S83" s="81">
        <f>IF(G83="","",ABS(O83-Components!$C$5))</f>
        <v>4.7333333333330785E-2</v>
      </c>
      <c r="T83" s="81">
        <f>IF(G83="","",ABS(O83-Components!$C$6))</f>
        <v>3.4543333333333313</v>
      </c>
      <c r="U83" s="81">
        <f>IF(G83="","",ABS(O83-Components!$C$7))</f>
        <v>3.2356666666666714</v>
      </c>
      <c r="V83" s="81" t="str">
        <f>IF(G83="","",IF(M83="OK","NONE",INDEX({"S1","S2","W1","W2","N1","N2"},MATCH(MIN(P83:U83),P83:U83,0))))</f>
        <v>W2</v>
      </c>
      <c r="W83" s="117">
        <f t="shared" si="15"/>
        <v>1</v>
      </c>
      <c r="X83" s="119"/>
    </row>
    <row r="84" spans="1:24">
      <c r="A84" s="115">
        <v>82</v>
      </c>
      <c r="B84" s="116">
        <v>3</v>
      </c>
      <c r="C84" s="81" t="s">
        <v>128</v>
      </c>
      <c r="D84" s="111" t="s">
        <v>240</v>
      </c>
      <c r="E84" s="81" t="s">
        <v>106</v>
      </c>
      <c r="F84" s="52">
        <v>5.42</v>
      </c>
      <c r="G84" s="52">
        <f t="shared" si="9"/>
        <v>6.39</v>
      </c>
      <c r="H84" s="110"/>
      <c r="I84" s="81">
        <f>VLOOKUP(C84,Recipes!$A$2:$N$4,10,FALSE())</f>
        <v>10.940000000000001</v>
      </c>
      <c r="J84" s="81">
        <f>VLOOKUP(C84,Recipes!$A$2:$N$4,12,FALSE())</f>
        <v>5.2703573566378441E-2</v>
      </c>
      <c r="K84" s="81">
        <f t="shared" si="10"/>
        <v>10.62377855860173</v>
      </c>
      <c r="L84" s="81">
        <f t="shared" si="13"/>
        <v>11.256221441398273</v>
      </c>
      <c r="M84" s="81" t="str">
        <f t="shared" si="11"/>
        <v>NG</v>
      </c>
      <c r="N84" s="117">
        <f t="shared" si="14"/>
        <v>1</v>
      </c>
      <c r="O84" s="81">
        <f t="shared" si="12"/>
        <v>4.5500000000000016</v>
      </c>
      <c r="P84" s="81">
        <f>IF(G84="","",ABS(O84-Components!$C$2))</f>
        <v>1.7966666666666717</v>
      </c>
      <c r="Q84" s="81">
        <f>IF(G84="","",ABS(O84-Components!$C$3))</f>
        <v>0.51400000000000201</v>
      </c>
      <c r="R84" s="81">
        <f>IF(G84="","",ABS(O84-Components!$C$4))</f>
        <v>3.5566666666666684</v>
      </c>
      <c r="S84" s="81">
        <f>IF(G84="","",ABS(O84-Components!$C$5))</f>
        <v>1.2666666666668824E-2</v>
      </c>
      <c r="T84" s="81">
        <f>IF(G84="","",ABS(O84-Components!$C$6))</f>
        <v>3.3943333333333316</v>
      </c>
      <c r="U84" s="81">
        <f>IF(G84="","",ABS(O84-Components!$C$7))</f>
        <v>3.1756666666666717</v>
      </c>
      <c r="V84" s="81" t="str">
        <f>IF(G84="","",IF(M84="OK","NONE",INDEX({"S1","S2","W1","W2","N1","N2"},MATCH(MIN(P84:U84),P84:U84,0))))</f>
        <v>W2</v>
      </c>
      <c r="W84" s="117">
        <f t="shared" si="15"/>
        <v>1</v>
      </c>
      <c r="X84" s="119"/>
    </row>
    <row r="85" spans="1:24">
      <c r="A85" s="115">
        <v>83</v>
      </c>
      <c r="B85" s="116">
        <v>3</v>
      </c>
      <c r="C85" s="81" t="s">
        <v>128</v>
      </c>
      <c r="D85" s="111" t="s">
        <v>240</v>
      </c>
      <c r="E85" s="81" t="s">
        <v>106</v>
      </c>
      <c r="F85" s="52">
        <v>5.37</v>
      </c>
      <c r="G85" s="52">
        <f t="shared" si="9"/>
        <v>6.34</v>
      </c>
      <c r="H85" s="110"/>
      <c r="I85" s="81">
        <f>VLOOKUP(C85,Recipes!$A$2:$N$4,10,FALSE())</f>
        <v>10.940000000000001</v>
      </c>
      <c r="J85" s="81">
        <f>VLOOKUP(C85,Recipes!$A$2:$N$4,12,FALSE())</f>
        <v>5.2703573566378441E-2</v>
      </c>
      <c r="K85" s="81">
        <f t="shared" si="10"/>
        <v>10.62377855860173</v>
      </c>
      <c r="L85" s="81">
        <f t="shared" si="13"/>
        <v>11.256221441398273</v>
      </c>
      <c r="M85" s="81" t="str">
        <f t="shared" si="11"/>
        <v>NG</v>
      </c>
      <c r="N85" s="117">
        <f t="shared" si="14"/>
        <v>1</v>
      </c>
      <c r="O85" s="81">
        <f t="shared" si="12"/>
        <v>4.6000000000000014</v>
      </c>
      <c r="P85" s="81">
        <f>IF(G85="","",ABS(O85-Components!$C$2))</f>
        <v>1.8466666666666716</v>
      </c>
      <c r="Q85" s="81">
        <f>IF(G85="","",ABS(O85-Components!$C$3))</f>
        <v>0.56400000000000183</v>
      </c>
      <c r="R85" s="81">
        <f>IF(G85="","",ABS(O85-Components!$C$4))</f>
        <v>3.6066666666666682</v>
      </c>
      <c r="S85" s="81">
        <f>IF(G85="","",ABS(O85-Components!$C$5))</f>
        <v>3.7333333333330998E-2</v>
      </c>
      <c r="T85" s="81">
        <f>IF(G85="","",ABS(O85-Components!$C$6))</f>
        <v>3.4443333333333315</v>
      </c>
      <c r="U85" s="81">
        <f>IF(G85="","",ABS(O85-Components!$C$7))</f>
        <v>3.2256666666666716</v>
      </c>
      <c r="V85" s="81" t="str">
        <f>IF(G85="","",IF(M85="OK","NONE",INDEX({"S1","S2","W1","W2","N1","N2"},MATCH(MIN(P85:U85),P85:U85,0))))</f>
        <v>W2</v>
      </c>
      <c r="W85" s="117">
        <f t="shared" si="15"/>
        <v>1</v>
      </c>
      <c r="X85" s="119"/>
    </row>
    <row r="86" spans="1:24">
      <c r="A86" s="115">
        <v>84</v>
      </c>
      <c r="B86" s="116">
        <v>3</v>
      </c>
      <c r="C86" s="81" t="s">
        <v>128</v>
      </c>
      <c r="D86" s="111" t="s">
        <v>240</v>
      </c>
      <c r="E86" s="81" t="s">
        <v>106</v>
      </c>
      <c r="F86" s="52">
        <v>5.4</v>
      </c>
      <c r="G86" s="52">
        <f t="shared" si="9"/>
        <v>6.37</v>
      </c>
      <c r="H86" s="110"/>
      <c r="I86" s="81">
        <f>VLOOKUP(C86,Recipes!$A$2:$N$4,10,FALSE())</f>
        <v>10.940000000000001</v>
      </c>
      <c r="J86" s="81">
        <f>VLOOKUP(C86,Recipes!$A$2:$N$4,12,FALSE())</f>
        <v>5.2703573566378441E-2</v>
      </c>
      <c r="K86" s="81">
        <f t="shared" si="10"/>
        <v>10.62377855860173</v>
      </c>
      <c r="L86" s="81">
        <f t="shared" si="13"/>
        <v>11.256221441398273</v>
      </c>
      <c r="M86" s="81" t="str">
        <f t="shared" si="11"/>
        <v>NG</v>
      </c>
      <c r="N86" s="117">
        <f t="shared" si="14"/>
        <v>1</v>
      </c>
      <c r="O86" s="81">
        <f t="shared" si="12"/>
        <v>4.5700000000000012</v>
      </c>
      <c r="P86" s="81">
        <f>IF(G86="","",ABS(O86-Components!$C$2))</f>
        <v>1.8166666666666713</v>
      </c>
      <c r="Q86" s="81">
        <f>IF(G86="","",ABS(O86-Components!$C$3))</f>
        <v>0.53400000000000158</v>
      </c>
      <c r="R86" s="81">
        <f>IF(G86="","",ABS(O86-Components!$C$4))</f>
        <v>3.576666666666668</v>
      </c>
      <c r="S86" s="81">
        <f>IF(G86="","",ABS(O86-Components!$C$5))</f>
        <v>7.3333333333307493E-3</v>
      </c>
      <c r="T86" s="81">
        <f>IF(G86="","",ABS(O86-Components!$C$6))</f>
        <v>3.4143333333333312</v>
      </c>
      <c r="U86" s="81">
        <f>IF(G86="","",ABS(O86-Components!$C$7))</f>
        <v>3.1956666666666713</v>
      </c>
      <c r="V86" s="81" t="str">
        <f>IF(G86="","",IF(M86="OK","NONE",INDEX({"S1","S2","W1","W2","N1","N2"},MATCH(MIN(P86:U86),P86:U86,0))))</f>
        <v>W2</v>
      </c>
      <c r="W86" s="117">
        <f t="shared" si="15"/>
        <v>1</v>
      </c>
      <c r="X86" s="119"/>
    </row>
    <row r="87" spans="1:24">
      <c r="A87" s="115">
        <v>85</v>
      </c>
      <c r="B87" s="116">
        <v>3</v>
      </c>
      <c r="C87" s="81" t="s">
        <v>128</v>
      </c>
      <c r="D87" s="111" t="s">
        <v>240</v>
      </c>
      <c r="E87" s="81" t="s">
        <v>106</v>
      </c>
      <c r="F87" s="52">
        <v>5.35</v>
      </c>
      <c r="G87" s="52">
        <f t="shared" si="9"/>
        <v>6.3199999999999994</v>
      </c>
      <c r="H87" s="110"/>
      <c r="I87" s="81">
        <f>VLOOKUP(C87,Recipes!$A$2:$N$4,10,FALSE())</f>
        <v>10.940000000000001</v>
      </c>
      <c r="J87" s="81">
        <f>VLOOKUP(C87,Recipes!$A$2:$N$4,12,FALSE())</f>
        <v>5.2703573566378441E-2</v>
      </c>
      <c r="K87" s="81">
        <f t="shared" si="10"/>
        <v>10.62377855860173</v>
      </c>
      <c r="L87" s="81">
        <f t="shared" si="13"/>
        <v>11.256221441398273</v>
      </c>
      <c r="M87" s="81" t="str">
        <f t="shared" si="11"/>
        <v>NG</v>
      </c>
      <c r="N87" s="117">
        <f t="shared" si="14"/>
        <v>1</v>
      </c>
      <c r="O87" s="81">
        <f t="shared" si="12"/>
        <v>4.6200000000000019</v>
      </c>
      <c r="P87" s="81">
        <f>IF(G87="","",ABS(O87-Components!$C$2))</f>
        <v>1.866666666666672</v>
      </c>
      <c r="Q87" s="81">
        <f>IF(G87="","",ABS(O87-Components!$C$3))</f>
        <v>0.5840000000000023</v>
      </c>
      <c r="R87" s="81">
        <f>IF(G87="","",ABS(O87-Components!$C$4))</f>
        <v>3.6266666666666687</v>
      </c>
      <c r="S87" s="81">
        <f>IF(G87="","",ABS(O87-Components!$C$5))</f>
        <v>5.733333333333146E-2</v>
      </c>
      <c r="T87" s="81">
        <f>IF(G87="","",ABS(O87-Components!$C$6))</f>
        <v>3.4643333333333319</v>
      </c>
      <c r="U87" s="81">
        <f>IF(G87="","",ABS(O87-Components!$C$7))</f>
        <v>3.245666666666672</v>
      </c>
      <c r="V87" s="81" t="str">
        <f>IF(G87="","",IF(M87="OK","NONE",INDEX({"S1","S2","W1","W2","N1","N2"},MATCH(MIN(P87:U87),P87:U87,0))))</f>
        <v>W2</v>
      </c>
      <c r="W87" s="117">
        <f t="shared" si="15"/>
        <v>1</v>
      </c>
      <c r="X87" s="119"/>
    </row>
    <row r="88" spans="1:24">
      <c r="A88" s="115">
        <v>86</v>
      </c>
      <c r="B88" s="116">
        <v>3</v>
      </c>
      <c r="C88" s="81" t="s">
        <v>128</v>
      </c>
      <c r="D88" s="111" t="s">
        <v>240</v>
      </c>
      <c r="E88" s="81" t="s">
        <v>106</v>
      </c>
      <c r="F88" s="52">
        <v>5.38</v>
      </c>
      <c r="G88" s="52">
        <f t="shared" si="9"/>
        <v>6.35</v>
      </c>
      <c r="H88" s="110"/>
      <c r="I88" s="81">
        <f>VLOOKUP(C88,Recipes!$A$2:$N$4,10,FALSE())</f>
        <v>10.940000000000001</v>
      </c>
      <c r="J88" s="81">
        <f>VLOOKUP(C88,Recipes!$A$2:$N$4,12,FALSE())</f>
        <v>5.2703573566378441E-2</v>
      </c>
      <c r="K88" s="81">
        <f t="shared" si="10"/>
        <v>10.62377855860173</v>
      </c>
      <c r="L88" s="81">
        <f t="shared" si="13"/>
        <v>11.256221441398273</v>
      </c>
      <c r="M88" s="81" t="str">
        <f t="shared" si="11"/>
        <v>NG</v>
      </c>
      <c r="N88" s="117">
        <f t="shared" si="14"/>
        <v>1</v>
      </c>
      <c r="O88" s="81">
        <f t="shared" si="12"/>
        <v>4.5900000000000016</v>
      </c>
      <c r="P88" s="81">
        <f>IF(G88="","",ABS(O88-Components!$C$2))</f>
        <v>1.8366666666666718</v>
      </c>
      <c r="Q88" s="81">
        <f>IF(G88="","",ABS(O88-Components!$C$3))</f>
        <v>0.55400000000000205</v>
      </c>
      <c r="R88" s="81">
        <f>IF(G88="","",ABS(O88-Components!$C$4))</f>
        <v>3.5966666666666685</v>
      </c>
      <c r="S88" s="81">
        <f>IF(G88="","",ABS(O88-Components!$C$5))</f>
        <v>2.7333333333331211E-2</v>
      </c>
      <c r="T88" s="81">
        <f>IF(G88="","",ABS(O88-Components!$C$6))</f>
        <v>3.4343333333333317</v>
      </c>
      <c r="U88" s="81">
        <f>IF(G88="","",ABS(O88-Components!$C$7))</f>
        <v>3.2156666666666718</v>
      </c>
      <c r="V88" s="81" t="str">
        <f>IF(G88="","",IF(M88="OK","NONE",INDEX({"S1","S2","W1","W2","N1","N2"},MATCH(MIN(P88:U88),P88:U88,0))))</f>
        <v>W2</v>
      </c>
      <c r="W88" s="117">
        <f t="shared" si="15"/>
        <v>1</v>
      </c>
      <c r="X88" s="119"/>
    </row>
    <row r="89" spans="1:24">
      <c r="A89" s="115">
        <v>87</v>
      </c>
      <c r="B89" s="116">
        <v>3</v>
      </c>
      <c r="C89" s="81" t="s">
        <v>128</v>
      </c>
      <c r="D89" s="111" t="s">
        <v>240</v>
      </c>
      <c r="E89" s="81" t="s">
        <v>106</v>
      </c>
      <c r="F89" s="52">
        <v>5.34</v>
      </c>
      <c r="G89" s="52">
        <f t="shared" si="9"/>
        <v>6.31</v>
      </c>
      <c r="H89" s="110"/>
      <c r="I89" s="81">
        <f>VLOOKUP(C89,Recipes!$A$2:$N$4,10,FALSE())</f>
        <v>10.940000000000001</v>
      </c>
      <c r="J89" s="81">
        <f>VLOOKUP(C89,Recipes!$A$2:$N$4,12,FALSE())</f>
        <v>5.2703573566378441E-2</v>
      </c>
      <c r="K89" s="81">
        <f t="shared" si="10"/>
        <v>10.62377855860173</v>
      </c>
      <c r="L89" s="81">
        <f t="shared" si="13"/>
        <v>11.256221441398273</v>
      </c>
      <c r="M89" s="81" t="str">
        <f t="shared" si="11"/>
        <v>NG</v>
      </c>
      <c r="N89" s="117">
        <f t="shared" si="14"/>
        <v>1</v>
      </c>
      <c r="O89" s="81">
        <f t="shared" si="12"/>
        <v>4.6300000000000017</v>
      </c>
      <c r="P89" s="81">
        <f>IF(G89="","",ABS(O89-Components!$C$2))</f>
        <v>1.8766666666666718</v>
      </c>
      <c r="Q89" s="81">
        <f>IF(G89="","",ABS(O89-Components!$C$3))</f>
        <v>0.59400000000000208</v>
      </c>
      <c r="R89" s="81">
        <f>IF(G89="","",ABS(O89-Components!$C$4))</f>
        <v>3.6366666666666685</v>
      </c>
      <c r="S89" s="81">
        <f>IF(G89="","",ABS(O89-Components!$C$5))</f>
        <v>6.7333333333331247E-2</v>
      </c>
      <c r="T89" s="81">
        <f>IF(G89="","",ABS(O89-Components!$C$6))</f>
        <v>3.4743333333333317</v>
      </c>
      <c r="U89" s="81">
        <f>IF(G89="","",ABS(O89-Components!$C$7))</f>
        <v>3.2556666666666718</v>
      </c>
      <c r="V89" s="81" t="str">
        <f>IF(G89="","",IF(M89="OK","NONE",INDEX({"S1","S2","W1","W2","N1","N2"},MATCH(MIN(P89:U89),P89:U89,0))))</f>
        <v>W2</v>
      </c>
      <c r="W89" s="117">
        <f t="shared" si="15"/>
        <v>1</v>
      </c>
      <c r="X89" s="119"/>
    </row>
    <row r="90" spans="1:24">
      <c r="A90" s="115">
        <v>88</v>
      </c>
      <c r="B90" s="116">
        <v>3</v>
      </c>
      <c r="C90" s="81" t="s">
        <v>128</v>
      </c>
      <c r="D90" s="111" t="s">
        <v>240</v>
      </c>
      <c r="E90" s="81" t="s">
        <v>106</v>
      </c>
      <c r="F90" s="52">
        <v>5.42</v>
      </c>
      <c r="G90" s="52">
        <f t="shared" si="9"/>
        <v>6.39</v>
      </c>
      <c r="H90" s="110"/>
      <c r="I90" s="81">
        <f>VLOOKUP(C90,Recipes!$A$2:$N$4,10,FALSE())</f>
        <v>10.940000000000001</v>
      </c>
      <c r="J90" s="81">
        <f>VLOOKUP(C90,Recipes!$A$2:$N$4,12,FALSE())</f>
        <v>5.2703573566378441E-2</v>
      </c>
      <c r="K90" s="81">
        <f t="shared" si="10"/>
        <v>10.62377855860173</v>
      </c>
      <c r="L90" s="81">
        <f t="shared" si="13"/>
        <v>11.256221441398273</v>
      </c>
      <c r="M90" s="81" t="str">
        <f t="shared" si="11"/>
        <v>NG</v>
      </c>
      <c r="N90" s="117">
        <f t="shared" si="14"/>
        <v>1</v>
      </c>
      <c r="O90" s="81">
        <f t="shared" si="12"/>
        <v>4.5500000000000016</v>
      </c>
      <c r="P90" s="81">
        <f>IF(G90="","",ABS(O90-Components!$C$2))</f>
        <v>1.7966666666666717</v>
      </c>
      <c r="Q90" s="81">
        <f>IF(G90="","",ABS(O90-Components!$C$3))</f>
        <v>0.51400000000000201</v>
      </c>
      <c r="R90" s="81">
        <f>IF(G90="","",ABS(O90-Components!$C$4))</f>
        <v>3.5566666666666684</v>
      </c>
      <c r="S90" s="81">
        <f>IF(G90="","",ABS(O90-Components!$C$5))</f>
        <v>1.2666666666668824E-2</v>
      </c>
      <c r="T90" s="81">
        <f>IF(G90="","",ABS(O90-Components!$C$6))</f>
        <v>3.3943333333333316</v>
      </c>
      <c r="U90" s="81">
        <f>IF(G90="","",ABS(O90-Components!$C$7))</f>
        <v>3.1756666666666717</v>
      </c>
      <c r="V90" s="81" t="str">
        <f>IF(G90="","",IF(M90="OK","NONE",INDEX({"S1","S2","W1","W2","N1","N2"},MATCH(MIN(P90:U90),P90:U90,0))))</f>
        <v>W2</v>
      </c>
      <c r="W90" s="117">
        <f t="shared" si="15"/>
        <v>1</v>
      </c>
      <c r="X90" s="119"/>
    </row>
    <row r="91" spans="1:24">
      <c r="A91" s="115">
        <v>89</v>
      </c>
      <c r="B91" s="116">
        <v>3</v>
      </c>
      <c r="C91" s="81" t="s">
        <v>128</v>
      </c>
      <c r="D91" s="111" t="s">
        <v>240</v>
      </c>
      <c r="E91" s="81" t="s">
        <v>106</v>
      </c>
      <c r="F91" s="52">
        <v>5.4</v>
      </c>
      <c r="G91" s="52">
        <f t="shared" si="9"/>
        <v>6.37</v>
      </c>
      <c r="H91" s="110"/>
      <c r="I91" s="81">
        <f>VLOOKUP(C91,Recipes!$A$2:$N$4,10,FALSE())</f>
        <v>10.940000000000001</v>
      </c>
      <c r="J91" s="81">
        <f>VLOOKUP(C91,Recipes!$A$2:$N$4,12,FALSE())</f>
        <v>5.2703573566378441E-2</v>
      </c>
      <c r="K91" s="81">
        <f t="shared" si="10"/>
        <v>10.62377855860173</v>
      </c>
      <c r="L91" s="81">
        <f t="shared" si="13"/>
        <v>11.256221441398273</v>
      </c>
      <c r="M91" s="81" t="str">
        <f t="shared" si="11"/>
        <v>NG</v>
      </c>
      <c r="N91" s="117">
        <f t="shared" si="14"/>
        <v>1</v>
      </c>
      <c r="O91" s="81">
        <f t="shared" si="12"/>
        <v>4.5700000000000012</v>
      </c>
      <c r="P91" s="81">
        <f>IF(G91="","",ABS(O91-Components!$C$2))</f>
        <v>1.8166666666666713</v>
      </c>
      <c r="Q91" s="81">
        <f>IF(G91="","",ABS(O91-Components!$C$3))</f>
        <v>0.53400000000000158</v>
      </c>
      <c r="R91" s="81">
        <f>IF(G91="","",ABS(O91-Components!$C$4))</f>
        <v>3.576666666666668</v>
      </c>
      <c r="S91" s="81">
        <f>IF(G91="","",ABS(O91-Components!$C$5))</f>
        <v>7.3333333333307493E-3</v>
      </c>
      <c r="T91" s="81">
        <f>IF(G91="","",ABS(O91-Components!$C$6))</f>
        <v>3.4143333333333312</v>
      </c>
      <c r="U91" s="81">
        <f>IF(G91="","",ABS(O91-Components!$C$7))</f>
        <v>3.1956666666666713</v>
      </c>
      <c r="V91" s="81" t="str">
        <f>IF(G91="","",IF(M91="OK","NONE",INDEX({"S1","S2","W1","W2","N1","N2"},MATCH(MIN(P91:U91),P91:U91,0))))</f>
        <v>W2</v>
      </c>
      <c r="W91" s="117">
        <f t="shared" si="15"/>
        <v>1</v>
      </c>
      <c r="X91" s="119"/>
    </row>
    <row r="92" spans="1:24">
      <c r="A92" s="115">
        <v>90</v>
      </c>
      <c r="B92" s="116">
        <v>3</v>
      </c>
      <c r="C92" s="81" t="s">
        <v>128</v>
      </c>
      <c r="D92" s="111" t="s">
        <v>240</v>
      </c>
      <c r="E92" s="81" t="s">
        <v>106</v>
      </c>
      <c r="F92" s="52">
        <v>5.42</v>
      </c>
      <c r="G92" s="52">
        <f t="shared" si="9"/>
        <v>6.39</v>
      </c>
      <c r="H92" s="110"/>
      <c r="I92" s="81">
        <f>VLOOKUP(C92,Recipes!$A$2:$N$4,10,FALSE())</f>
        <v>10.940000000000001</v>
      </c>
      <c r="J92" s="81">
        <f>VLOOKUP(C92,Recipes!$A$2:$N$4,12,FALSE())</f>
        <v>5.2703573566378441E-2</v>
      </c>
      <c r="K92" s="81">
        <f t="shared" si="10"/>
        <v>10.62377855860173</v>
      </c>
      <c r="L92" s="81">
        <f t="shared" si="13"/>
        <v>11.256221441398273</v>
      </c>
      <c r="M92" s="81" t="str">
        <f t="shared" si="11"/>
        <v>NG</v>
      </c>
      <c r="N92" s="117">
        <f t="shared" si="14"/>
        <v>1</v>
      </c>
      <c r="O92" s="81">
        <f t="shared" si="12"/>
        <v>4.5500000000000016</v>
      </c>
      <c r="P92" s="81">
        <f>IF(G92="","",ABS(O92-Components!$C$2))</f>
        <v>1.7966666666666717</v>
      </c>
      <c r="Q92" s="81">
        <f>IF(G92="","",ABS(O92-Components!$C$3))</f>
        <v>0.51400000000000201</v>
      </c>
      <c r="R92" s="81">
        <f>IF(G92="","",ABS(O92-Components!$C$4))</f>
        <v>3.5566666666666684</v>
      </c>
      <c r="S92" s="81">
        <f>IF(G92="","",ABS(O92-Components!$C$5))</f>
        <v>1.2666666666668824E-2</v>
      </c>
      <c r="T92" s="81">
        <f>IF(G92="","",ABS(O92-Components!$C$6))</f>
        <v>3.3943333333333316</v>
      </c>
      <c r="U92" s="81">
        <f>IF(G92="","",ABS(O92-Components!$C$7))</f>
        <v>3.1756666666666717</v>
      </c>
      <c r="V92" s="81" t="str">
        <f>IF(G92="","",IF(M92="OK","NONE",INDEX({"S1","S2","W1","W2","N1","N2"},MATCH(MIN(P92:U92),P92:U92,0))))</f>
        <v>W2</v>
      </c>
      <c r="W92" s="117">
        <f t="shared" si="15"/>
        <v>1</v>
      </c>
      <c r="X92" s="119"/>
    </row>
    <row r="93" spans="1:24">
      <c r="A93" s="115">
        <v>91</v>
      </c>
      <c r="B93" s="116">
        <v>4</v>
      </c>
      <c r="C93" s="81" t="s">
        <v>128</v>
      </c>
      <c r="D93" s="111" t="s">
        <v>240</v>
      </c>
      <c r="E93" s="81" t="s">
        <v>110</v>
      </c>
      <c r="F93" s="52">
        <v>8.61</v>
      </c>
      <c r="G93" s="52">
        <f t="shared" si="9"/>
        <v>9.58</v>
      </c>
      <c r="H93" s="110"/>
      <c r="I93" s="81">
        <f>VLOOKUP(C93,Recipes!$A$2:$N$4,10,FALSE())</f>
        <v>10.940000000000001</v>
      </c>
      <c r="J93" s="81">
        <f>VLOOKUP(C93,Recipes!$A$2:$N$4,12,FALSE())</f>
        <v>5.2703573566378441E-2</v>
      </c>
      <c r="K93" s="81">
        <f t="shared" si="10"/>
        <v>10.62377855860173</v>
      </c>
      <c r="L93" s="81">
        <f t="shared" si="13"/>
        <v>11.256221441398273</v>
      </c>
      <c r="M93" s="81" t="str">
        <f t="shared" si="11"/>
        <v>NG</v>
      </c>
      <c r="N93" s="117">
        <f t="shared" si="14"/>
        <v>1</v>
      </c>
      <c r="O93" s="81">
        <f t="shared" si="12"/>
        <v>1.3600000000000012</v>
      </c>
      <c r="P93" s="81">
        <f>IF(G93="","",ABS(O93-Components!$C$2))</f>
        <v>1.3933333333333286</v>
      </c>
      <c r="Q93" s="81">
        <f>IF(G93="","",ABS(O93-Components!$C$3))</f>
        <v>2.6759999999999984</v>
      </c>
      <c r="R93" s="81">
        <f>IF(G93="","",ABS(O93-Components!$C$4))</f>
        <v>0.36666666666666825</v>
      </c>
      <c r="S93" s="81">
        <f>IF(G93="","",ABS(O93-Components!$C$5))</f>
        <v>3.2026666666666692</v>
      </c>
      <c r="T93" s="81">
        <f>IF(G93="","",ABS(O93-Components!$C$6))</f>
        <v>0.20433333333333126</v>
      </c>
      <c r="U93" s="81">
        <f>IF(G93="","",ABS(O93-Components!$C$7))</f>
        <v>1.4333333333328868E-2</v>
      </c>
      <c r="V93" s="81" t="str">
        <f>IF(G93="","",IF(M93="OK","NONE",INDEX({"S1","S2","W1","W2","N1","N2"},MATCH(MIN(P93:U93),P93:U93,0))))</f>
        <v>N2</v>
      </c>
      <c r="W93" s="117">
        <f t="shared" si="15"/>
        <v>1</v>
      </c>
      <c r="X93" s="119"/>
    </row>
    <row r="94" spans="1:24">
      <c r="A94" s="115">
        <v>92</v>
      </c>
      <c r="B94" s="116">
        <v>4</v>
      </c>
      <c r="C94" s="81" t="s">
        <v>128</v>
      </c>
      <c r="D94" s="111" t="s">
        <v>240</v>
      </c>
      <c r="E94" s="81" t="s">
        <v>110</v>
      </c>
      <c r="F94" s="52">
        <v>8.6199999999999992</v>
      </c>
      <c r="G94" s="52">
        <f t="shared" si="9"/>
        <v>9.59</v>
      </c>
      <c r="H94" s="110"/>
      <c r="I94" s="81">
        <f>VLOOKUP(C94,Recipes!$A$2:$N$4,10,FALSE())</f>
        <v>10.940000000000001</v>
      </c>
      <c r="J94" s="81">
        <f>VLOOKUP(C94,Recipes!$A$2:$N$4,12,FALSE())</f>
        <v>5.2703573566378441E-2</v>
      </c>
      <c r="K94" s="81">
        <f t="shared" si="10"/>
        <v>10.62377855860173</v>
      </c>
      <c r="L94" s="81">
        <f t="shared" si="13"/>
        <v>11.256221441398273</v>
      </c>
      <c r="M94" s="81" t="str">
        <f t="shared" si="11"/>
        <v>NG</v>
      </c>
      <c r="N94" s="117">
        <f t="shared" si="14"/>
        <v>1</v>
      </c>
      <c r="O94" s="81">
        <f t="shared" si="12"/>
        <v>1.3500000000000014</v>
      </c>
      <c r="P94" s="81">
        <f>IF(G94="","",ABS(O94-Components!$C$2))</f>
        <v>1.4033333333333284</v>
      </c>
      <c r="Q94" s="81">
        <f>IF(G94="","",ABS(O94-Components!$C$3))</f>
        <v>2.6859999999999982</v>
      </c>
      <c r="R94" s="81">
        <f>IF(G94="","",ABS(O94-Components!$C$4))</f>
        <v>0.35666666666666846</v>
      </c>
      <c r="S94" s="81">
        <f>IF(G94="","",ABS(O94-Components!$C$5))</f>
        <v>3.212666666666669</v>
      </c>
      <c r="T94" s="81">
        <f>IF(G94="","",ABS(O94-Components!$C$6))</f>
        <v>0.19433333333333147</v>
      </c>
      <c r="U94" s="81">
        <f>IF(G94="","",ABS(O94-Components!$C$7))</f>
        <v>2.4333333333328655E-2</v>
      </c>
      <c r="V94" s="81" t="str">
        <f>IF(G94="","",IF(M94="OK","NONE",INDEX({"S1","S2","W1","W2","N1","N2"},MATCH(MIN(P94:U94),P94:U94,0))))</f>
        <v>N2</v>
      </c>
      <c r="W94" s="117">
        <f t="shared" si="15"/>
        <v>1</v>
      </c>
      <c r="X94" s="119"/>
    </row>
    <row r="95" spans="1:24">
      <c r="A95" s="115">
        <v>93</v>
      </c>
      <c r="B95" s="116">
        <v>4</v>
      </c>
      <c r="C95" s="81" t="s">
        <v>128</v>
      </c>
      <c r="D95" s="111" t="s">
        <v>240</v>
      </c>
      <c r="E95" s="81" t="s">
        <v>110</v>
      </c>
      <c r="F95" s="52">
        <v>8.6300000000000008</v>
      </c>
      <c r="G95" s="52">
        <f t="shared" si="9"/>
        <v>9.6000000000000014</v>
      </c>
      <c r="H95" s="110"/>
      <c r="I95" s="81">
        <f>VLOOKUP(C95,Recipes!$A$2:$N$4,10,FALSE())</f>
        <v>10.940000000000001</v>
      </c>
      <c r="J95" s="81">
        <f>VLOOKUP(C95,Recipes!$A$2:$N$4,12,FALSE())</f>
        <v>5.2703573566378441E-2</v>
      </c>
      <c r="K95" s="81">
        <f t="shared" si="10"/>
        <v>10.62377855860173</v>
      </c>
      <c r="L95" s="81">
        <f t="shared" si="13"/>
        <v>11.256221441398273</v>
      </c>
      <c r="M95" s="81" t="str">
        <f t="shared" si="11"/>
        <v>NG</v>
      </c>
      <c r="N95" s="117">
        <f t="shared" si="14"/>
        <v>1</v>
      </c>
      <c r="O95" s="81">
        <f t="shared" si="12"/>
        <v>1.3399999999999999</v>
      </c>
      <c r="P95" s="81">
        <f>IF(G95="","",ABS(O95-Components!$C$2))</f>
        <v>1.41333333333333</v>
      </c>
      <c r="Q95" s="81">
        <f>IF(G95="","",ABS(O95-Components!$C$3))</f>
        <v>2.6959999999999997</v>
      </c>
      <c r="R95" s="81">
        <f>IF(G95="","",ABS(O95-Components!$C$4))</f>
        <v>0.3466666666666669</v>
      </c>
      <c r="S95" s="81">
        <f>IF(G95="","",ABS(O95-Components!$C$5))</f>
        <v>3.2226666666666706</v>
      </c>
      <c r="T95" s="81">
        <f>IF(G95="","",ABS(O95-Components!$C$6))</f>
        <v>0.18433333333332991</v>
      </c>
      <c r="U95" s="81">
        <f>IF(G95="","",ABS(O95-Components!$C$7))</f>
        <v>3.4333333333330218E-2</v>
      </c>
      <c r="V95" s="81" t="str">
        <f>IF(G95="","",IF(M95="OK","NONE",INDEX({"S1","S2","W1","W2","N1","N2"},MATCH(MIN(P95:U95),P95:U95,0))))</f>
        <v>N2</v>
      </c>
      <c r="W95" s="117">
        <f t="shared" si="15"/>
        <v>1</v>
      </c>
      <c r="X95" s="119"/>
    </row>
    <row r="96" spans="1:24">
      <c r="A96" s="115">
        <v>94</v>
      </c>
      <c r="B96" s="116">
        <v>4</v>
      </c>
      <c r="C96" s="81" t="s">
        <v>128</v>
      </c>
      <c r="D96" s="111" t="s">
        <v>240</v>
      </c>
      <c r="E96" s="81" t="s">
        <v>110</v>
      </c>
      <c r="F96" s="52">
        <v>8.6199999999999992</v>
      </c>
      <c r="G96" s="52">
        <f t="shared" si="9"/>
        <v>9.59</v>
      </c>
      <c r="H96" s="110"/>
      <c r="I96" s="81">
        <f>VLOOKUP(C96,Recipes!$A$2:$N$4,10,FALSE())</f>
        <v>10.940000000000001</v>
      </c>
      <c r="J96" s="81">
        <f>VLOOKUP(C96,Recipes!$A$2:$N$4,12,FALSE())</f>
        <v>5.2703573566378441E-2</v>
      </c>
      <c r="K96" s="81">
        <f t="shared" si="10"/>
        <v>10.62377855860173</v>
      </c>
      <c r="L96" s="81">
        <f t="shared" si="13"/>
        <v>11.256221441398273</v>
      </c>
      <c r="M96" s="81" t="str">
        <f t="shared" si="11"/>
        <v>NG</v>
      </c>
      <c r="N96" s="117">
        <f t="shared" si="14"/>
        <v>1</v>
      </c>
      <c r="O96" s="81">
        <f t="shared" si="12"/>
        <v>1.3500000000000014</v>
      </c>
      <c r="P96" s="81">
        <f>IF(G96="","",ABS(O96-Components!$C$2))</f>
        <v>1.4033333333333284</v>
      </c>
      <c r="Q96" s="81">
        <f>IF(G96="","",ABS(O96-Components!$C$3))</f>
        <v>2.6859999999999982</v>
      </c>
      <c r="R96" s="81">
        <f>IF(G96="","",ABS(O96-Components!$C$4))</f>
        <v>0.35666666666666846</v>
      </c>
      <c r="S96" s="81">
        <f>IF(G96="","",ABS(O96-Components!$C$5))</f>
        <v>3.212666666666669</v>
      </c>
      <c r="T96" s="81">
        <f>IF(G96="","",ABS(O96-Components!$C$6))</f>
        <v>0.19433333333333147</v>
      </c>
      <c r="U96" s="81">
        <f>IF(G96="","",ABS(O96-Components!$C$7))</f>
        <v>2.4333333333328655E-2</v>
      </c>
      <c r="V96" s="81" t="str">
        <f>IF(G96="","",IF(M96="OK","NONE",INDEX({"S1","S2","W1","W2","N1","N2"},MATCH(MIN(P96:U96),P96:U96,0))))</f>
        <v>N2</v>
      </c>
      <c r="W96" s="117">
        <f t="shared" si="15"/>
        <v>1</v>
      </c>
      <c r="X96" s="119"/>
    </row>
    <row r="97" spans="1:24">
      <c r="A97" s="115">
        <v>95</v>
      </c>
      <c r="B97" s="116">
        <v>4</v>
      </c>
      <c r="C97" s="81" t="s">
        <v>128</v>
      </c>
      <c r="D97" s="111" t="s">
        <v>240</v>
      </c>
      <c r="E97" s="81" t="s">
        <v>110</v>
      </c>
      <c r="F97" s="52">
        <v>8.5399999999999991</v>
      </c>
      <c r="G97" s="52">
        <f t="shared" si="9"/>
        <v>9.51</v>
      </c>
      <c r="H97" s="110"/>
      <c r="I97" s="81">
        <f>VLOOKUP(C97,Recipes!$A$2:$N$4,10,FALSE())</f>
        <v>10.940000000000001</v>
      </c>
      <c r="J97" s="81">
        <f>VLOOKUP(C97,Recipes!$A$2:$N$4,12,FALSE())</f>
        <v>5.2703573566378441E-2</v>
      </c>
      <c r="K97" s="81">
        <f t="shared" si="10"/>
        <v>10.62377855860173</v>
      </c>
      <c r="L97" s="81">
        <f t="shared" si="13"/>
        <v>11.256221441398273</v>
      </c>
      <c r="M97" s="81" t="str">
        <f t="shared" si="11"/>
        <v>NG</v>
      </c>
      <c r="N97" s="117">
        <f t="shared" si="14"/>
        <v>1</v>
      </c>
      <c r="O97" s="81">
        <f t="shared" si="12"/>
        <v>1.4300000000000015</v>
      </c>
      <c r="P97" s="81">
        <f>IF(G97="","",ABS(O97-Components!$C$2))</f>
        <v>1.3233333333333284</v>
      </c>
      <c r="Q97" s="81">
        <f>IF(G97="","",ABS(O97-Components!$C$3))</f>
        <v>2.6059999999999981</v>
      </c>
      <c r="R97" s="81">
        <f>IF(G97="","",ABS(O97-Components!$C$4))</f>
        <v>0.43666666666666853</v>
      </c>
      <c r="S97" s="81">
        <f>IF(G97="","",ABS(O97-Components!$C$5))</f>
        <v>3.1326666666666689</v>
      </c>
      <c r="T97" s="81">
        <f>IF(G97="","",ABS(O97-Components!$C$6))</f>
        <v>0.27433333333333154</v>
      </c>
      <c r="U97" s="81">
        <f>IF(G97="","",ABS(O97-Components!$C$7))</f>
        <v>5.5666666666671416E-2</v>
      </c>
      <c r="V97" s="81" t="str">
        <f>IF(G97="","",IF(M97="OK","NONE",INDEX({"S1","S2","W1","W2","N1","N2"},MATCH(MIN(P97:U97),P97:U97,0))))</f>
        <v>N2</v>
      </c>
      <c r="W97" s="117">
        <f t="shared" si="15"/>
        <v>1</v>
      </c>
      <c r="X97" s="119"/>
    </row>
    <row r="98" spans="1:24">
      <c r="A98" s="115">
        <v>96</v>
      </c>
      <c r="B98" s="116">
        <v>4</v>
      </c>
      <c r="C98" s="81" t="s">
        <v>128</v>
      </c>
      <c r="D98" s="111" t="s">
        <v>240</v>
      </c>
      <c r="E98" s="81" t="s">
        <v>110</v>
      </c>
      <c r="F98" s="52">
        <v>8.48</v>
      </c>
      <c r="G98" s="52">
        <f t="shared" si="9"/>
        <v>9.4500000000000011</v>
      </c>
      <c r="H98" s="110"/>
      <c r="I98" s="81">
        <f>VLOOKUP(C98,Recipes!$A$2:$N$4,10,FALSE())</f>
        <v>10.940000000000001</v>
      </c>
      <c r="J98" s="81">
        <f>VLOOKUP(C98,Recipes!$A$2:$N$4,12,FALSE())</f>
        <v>5.2703573566378441E-2</v>
      </c>
      <c r="K98" s="81">
        <f t="shared" si="10"/>
        <v>10.62377855860173</v>
      </c>
      <c r="L98" s="81">
        <f t="shared" si="13"/>
        <v>11.256221441398273</v>
      </c>
      <c r="M98" s="81" t="str">
        <f t="shared" si="11"/>
        <v>NG</v>
      </c>
      <c r="N98" s="117">
        <f t="shared" si="14"/>
        <v>1</v>
      </c>
      <c r="O98" s="81">
        <f t="shared" si="12"/>
        <v>1.4900000000000002</v>
      </c>
      <c r="P98" s="81">
        <f>IF(G98="","",ABS(O98-Components!$C$2))</f>
        <v>1.2633333333333296</v>
      </c>
      <c r="Q98" s="81">
        <f>IF(G98="","",ABS(O98-Components!$C$3))</f>
        <v>2.5459999999999994</v>
      </c>
      <c r="R98" s="81">
        <f>IF(G98="","",ABS(O98-Components!$C$4))</f>
        <v>0.49666666666666726</v>
      </c>
      <c r="S98" s="81">
        <f>IF(G98="","",ABS(O98-Components!$C$5))</f>
        <v>3.0726666666666702</v>
      </c>
      <c r="T98" s="81">
        <f>IF(G98="","",ABS(O98-Components!$C$6))</f>
        <v>0.33433333333333026</v>
      </c>
      <c r="U98" s="81">
        <f>IF(G98="","",ABS(O98-Components!$C$7))</f>
        <v>0.11566666666667014</v>
      </c>
      <c r="V98" s="81" t="str">
        <f>IF(G98="","",IF(M98="OK","NONE",INDEX({"S1","S2","W1","W2","N1","N2"},MATCH(MIN(P98:U98),P98:U98,0))))</f>
        <v>N2</v>
      </c>
      <c r="W98" s="117">
        <f t="shared" si="15"/>
        <v>1</v>
      </c>
      <c r="X98" s="119"/>
    </row>
    <row r="99" spans="1:24">
      <c r="A99" s="115">
        <v>97</v>
      </c>
      <c r="B99" s="116">
        <v>4</v>
      </c>
      <c r="C99" s="81" t="s">
        <v>128</v>
      </c>
      <c r="D99" s="111" t="s">
        <v>240</v>
      </c>
      <c r="E99" s="81" t="s">
        <v>110</v>
      </c>
      <c r="F99" s="52">
        <v>8.6</v>
      </c>
      <c r="G99" s="52">
        <f t="shared" si="9"/>
        <v>9.57</v>
      </c>
      <c r="H99" s="110"/>
      <c r="I99" s="81">
        <f>VLOOKUP(C99,Recipes!$A$2:$N$4,10,FALSE())</f>
        <v>10.940000000000001</v>
      </c>
      <c r="J99" s="81">
        <f>VLOOKUP(C99,Recipes!$A$2:$N$4,12,FALSE())</f>
        <v>5.2703573566378441E-2</v>
      </c>
      <c r="K99" s="81">
        <f t="shared" si="10"/>
        <v>10.62377855860173</v>
      </c>
      <c r="L99" s="81">
        <f t="shared" si="13"/>
        <v>11.256221441398273</v>
      </c>
      <c r="M99" s="81" t="str">
        <f t="shared" si="11"/>
        <v>NG</v>
      </c>
      <c r="N99" s="117">
        <f t="shared" si="14"/>
        <v>1</v>
      </c>
      <c r="O99" s="81">
        <f t="shared" si="12"/>
        <v>1.370000000000001</v>
      </c>
      <c r="P99" s="81">
        <f>IF(G99="","",ABS(O99-Components!$C$2))</f>
        <v>1.3833333333333289</v>
      </c>
      <c r="Q99" s="81">
        <f>IF(G99="","",ABS(O99-Components!$C$3))</f>
        <v>2.6659999999999986</v>
      </c>
      <c r="R99" s="81">
        <f>IF(G99="","",ABS(O99-Components!$C$4))</f>
        <v>0.37666666666666804</v>
      </c>
      <c r="S99" s="81">
        <f>IF(G99="","",ABS(O99-Components!$C$5))</f>
        <v>3.1926666666666694</v>
      </c>
      <c r="T99" s="81">
        <f>IF(G99="","",ABS(O99-Components!$C$6))</f>
        <v>0.21433333333333104</v>
      </c>
      <c r="U99" s="81">
        <f>IF(G99="","",ABS(O99-Components!$C$7))</f>
        <v>4.3333333333290813E-3</v>
      </c>
      <c r="V99" s="81" t="str">
        <f>IF(G99="","",IF(M99="OK","NONE",INDEX({"S1","S2","W1","W2","N1","N2"},MATCH(MIN(P99:U99),P99:U99,0))))</f>
        <v>N2</v>
      </c>
      <c r="W99" s="117">
        <f t="shared" si="15"/>
        <v>1</v>
      </c>
      <c r="X99" s="119"/>
    </row>
    <row r="100" spans="1:24">
      <c r="A100" s="115">
        <v>98</v>
      </c>
      <c r="B100" s="116">
        <v>4</v>
      </c>
      <c r="C100" s="81" t="s">
        <v>128</v>
      </c>
      <c r="D100" s="111" t="s">
        <v>240</v>
      </c>
      <c r="E100" s="81" t="s">
        <v>110</v>
      </c>
      <c r="F100" s="52">
        <v>8.6300000000000008</v>
      </c>
      <c r="G100" s="52">
        <f t="shared" si="9"/>
        <v>9.6000000000000014</v>
      </c>
      <c r="H100" s="110"/>
      <c r="I100" s="81">
        <f>VLOOKUP(C100,Recipes!$A$2:$N$4,10,FALSE())</f>
        <v>10.940000000000001</v>
      </c>
      <c r="J100" s="81">
        <f>VLOOKUP(C100,Recipes!$A$2:$N$4,12,FALSE())</f>
        <v>5.2703573566378441E-2</v>
      </c>
      <c r="K100" s="81">
        <f t="shared" si="10"/>
        <v>10.62377855860173</v>
      </c>
      <c r="L100" s="81">
        <f t="shared" si="13"/>
        <v>11.256221441398273</v>
      </c>
      <c r="M100" s="81" t="str">
        <f t="shared" si="11"/>
        <v>NG</v>
      </c>
      <c r="N100" s="117">
        <f t="shared" si="14"/>
        <v>1</v>
      </c>
      <c r="O100" s="81">
        <f t="shared" si="12"/>
        <v>1.3399999999999999</v>
      </c>
      <c r="P100" s="81">
        <f>IF(G100="","",ABS(O100-Components!$C$2))</f>
        <v>1.41333333333333</v>
      </c>
      <c r="Q100" s="81">
        <f>IF(G100="","",ABS(O100-Components!$C$3))</f>
        <v>2.6959999999999997</v>
      </c>
      <c r="R100" s="81">
        <f>IF(G100="","",ABS(O100-Components!$C$4))</f>
        <v>0.3466666666666669</v>
      </c>
      <c r="S100" s="81">
        <f>IF(G100="","",ABS(O100-Components!$C$5))</f>
        <v>3.2226666666666706</v>
      </c>
      <c r="T100" s="81">
        <f>IF(G100="","",ABS(O100-Components!$C$6))</f>
        <v>0.18433333333332991</v>
      </c>
      <c r="U100" s="81">
        <f>IF(G100="","",ABS(O100-Components!$C$7))</f>
        <v>3.4333333333330218E-2</v>
      </c>
      <c r="V100" s="81" t="str">
        <f>IF(G100="","",IF(M100="OK","NONE",INDEX({"S1","S2","W1","W2","N1","N2"},MATCH(MIN(P100:U100),P100:U100,0))))</f>
        <v>N2</v>
      </c>
      <c r="W100" s="117">
        <f t="shared" si="15"/>
        <v>1</v>
      </c>
      <c r="X100" s="119"/>
    </row>
    <row r="101" spans="1:24">
      <c r="A101" s="115">
        <v>99</v>
      </c>
      <c r="B101" s="116">
        <v>4</v>
      </c>
      <c r="C101" s="81" t="s">
        <v>128</v>
      </c>
      <c r="D101" s="111" t="s">
        <v>240</v>
      </c>
      <c r="E101" s="81" t="s">
        <v>110</v>
      </c>
      <c r="F101" s="52">
        <v>8.6</v>
      </c>
      <c r="G101" s="52">
        <f t="shared" si="9"/>
        <v>9.57</v>
      </c>
      <c r="H101" s="110"/>
      <c r="I101" s="81">
        <f>VLOOKUP(C101,Recipes!$A$2:$N$4,10,FALSE())</f>
        <v>10.940000000000001</v>
      </c>
      <c r="J101" s="81">
        <f>VLOOKUP(C101,Recipes!$A$2:$N$4,12,FALSE())</f>
        <v>5.2703573566378441E-2</v>
      </c>
      <c r="K101" s="81">
        <f t="shared" si="10"/>
        <v>10.62377855860173</v>
      </c>
      <c r="L101" s="81">
        <f t="shared" si="13"/>
        <v>11.256221441398273</v>
      </c>
      <c r="M101" s="81" t="str">
        <f t="shared" si="11"/>
        <v>NG</v>
      </c>
      <c r="N101" s="117">
        <f t="shared" si="14"/>
        <v>1</v>
      </c>
      <c r="O101" s="81">
        <f t="shared" si="12"/>
        <v>1.370000000000001</v>
      </c>
      <c r="P101" s="81">
        <f>IF(G101="","",ABS(O101-Components!$C$2))</f>
        <v>1.3833333333333289</v>
      </c>
      <c r="Q101" s="81">
        <f>IF(G101="","",ABS(O101-Components!$C$3))</f>
        <v>2.6659999999999986</v>
      </c>
      <c r="R101" s="81">
        <f>IF(G101="","",ABS(O101-Components!$C$4))</f>
        <v>0.37666666666666804</v>
      </c>
      <c r="S101" s="81">
        <f>IF(G101="","",ABS(O101-Components!$C$5))</f>
        <v>3.1926666666666694</v>
      </c>
      <c r="T101" s="81">
        <f>IF(G101="","",ABS(O101-Components!$C$6))</f>
        <v>0.21433333333333104</v>
      </c>
      <c r="U101" s="81">
        <f>IF(G101="","",ABS(O101-Components!$C$7))</f>
        <v>4.3333333333290813E-3</v>
      </c>
      <c r="V101" s="81" t="str">
        <f>IF(G101="","",IF(M101="OK","NONE",INDEX({"S1","S2","W1","W2","N1","N2"},MATCH(MIN(P101:U101),P101:U101,0))))</f>
        <v>N2</v>
      </c>
      <c r="W101" s="117">
        <f t="shared" si="15"/>
        <v>1</v>
      </c>
      <c r="X101" s="119"/>
    </row>
    <row r="102" spans="1:24">
      <c r="A102" s="115">
        <v>100</v>
      </c>
      <c r="B102" s="116">
        <v>4</v>
      </c>
      <c r="C102" s="81" t="s">
        <v>128</v>
      </c>
      <c r="D102" s="111" t="s">
        <v>240</v>
      </c>
      <c r="E102" s="81" t="s">
        <v>110</v>
      </c>
      <c r="F102" s="52">
        <v>8.6199999999999992</v>
      </c>
      <c r="G102" s="52">
        <f t="shared" si="9"/>
        <v>9.59</v>
      </c>
      <c r="H102" s="110"/>
      <c r="I102" s="81">
        <f>VLOOKUP(C102,Recipes!$A$2:$N$4,10,FALSE())</f>
        <v>10.940000000000001</v>
      </c>
      <c r="J102" s="81">
        <f>VLOOKUP(C102,Recipes!$A$2:$N$4,12,FALSE())</f>
        <v>5.2703573566378441E-2</v>
      </c>
      <c r="K102" s="81">
        <f t="shared" si="10"/>
        <v>10.62377855860173</v>
      </c>
      <c r="L102" s="81">
        <f t="shared" si="13"/>
        <v>11.256221441398273</v>
      </c>
      <c r="M102" s="81" t="str">
        <f t="shared" si="11"/>
        <v>NG</v>
      </c>
      <c r="N102" s="117">
        <f t="shared" si="14"/>
        <v>1</v>
      </c>
      <c r="O102" s="81">
        <f t="shared" si="12"/>
        <v>1.3500000000000014</v>
      </c>
      <c r="P102" s="81">
        <f>IF(G102="","",ABS(O102-Components!$C$2))</f>
        <v>1.4033333333333284</v>
      </c>
      <c r="Q102" s="81">
        <f>IF(G102="","",ABS(O102-Components!$C$3))</f>
        <v>2.6859999999999982</v>
      </c>
      <c r="R102" s="81">
        <f>IF(G102="","",ABS(O102-Components!$C$4))</f>
        <v>0.35666666666666846</v>
      </c>
      <c r="S102" s="81">
        <f>IF(G102="","",ABS(O102-Components!$C$5))</f>
        <v>3.212666666666669</v>
      </c>
      <c r="T102" s="81">
        <f>IF(G102="","",ABS(O102-Components!$C$6))</f>
        <v>0.19433333333333147</v>
      </c>
      <c r="U102" s="81">
        <f>IF(G102="","",ABS(O102-Components!$C$7))</f>
        <v>2.4333333333328655E-2</v>
      </c>
      <c r="V102" s="81" t="str">
        <f>IF(G102="","",IF(M102="OK","NONE",INDEX({"S1","S2","W1","W2","N1","N2"},MATCH(MIN(P102:U102),P102:U102,0))))</f>
        <v>N2</v>
      </c>
      <c r="W102" s="117">
        <f t="shared" si="15"/>
        <v>1</v>
      </c>
      <c r="X102" s="119"/>
    </row>
    <row r="103" spans="1:24">
      <c r="A103" s="115">
        <v>101</v>
      </c>
      <c r="B103" s="116">
        <v>4</v>
      </c>
      <c r="C103" s="81" t="s">
        <v>128</v>
      </c>
      <c r="D103" s="111" t="s">
        <v>240</v>
      </c>
      <c r="E103" s="81" t="s">
        <v>110</v>
      </c>
      <c r="F103" s="52">
        <v>8.6</v>
      </c>
      <c r="G103" s="52">
        <f t="shared" si="9"/>
        <v>9.57</v>
      </c>
      <c r="H103" s="110"/>
      <c r="I103" s="81">
        <f>VLOOKUP(C103,Recipes!$A$2:$N$4,10,FALSE())</f>
        <v>10.940000000000001</v>
      </c>
      <c r="J103" s="81">
        <f>VLOOKUP(C103,Recipes!$A$2:$N$4,12,FALSE())</f>
        <v>5.2703573566378441E-2</v>
      </c>
      <c r="K103" s="81">
        <f t="shared" si="10"/>
        <v>10.62377855860173</v>
      </c>
      <c r="L103" s="81">
        <f t="shared" si="13"/>
        <v>11.256221441398273</v>
      </c>
      <c r="M103" s="81" t="str">
        <f t="shared" si="11"/>
        <v>NG</v>
      </c>
      <c r="N103" s="117">
        <f t="shared" si="14"/>
        <v>1</v>
      </c>
      <c r="O103" s="81">
        <f t="shared" si="12"/>
        <v>1.370000000000001</v>
      </c>
      <c r="P103" s="81">
        <f>IF(G103="","",ABS(O103-Components!$C$2))</f>
        <v>1.3833333333333289</v>
      </c>
      <c r="Q103" s="81">
        <f>IF(G103="","",ABS(O103-Components!$C$3))</f>
        <v>2.6659999999999986</v>
      </c>
      <c r="R103" s="81">
        <f>IF(G103="","",ABS(O103-Components!$C$4))</f>
        <v>0.37666666666666804</v>
      </c>
      <c r="S103" s="81">
        <f>IF(G103="","",ABS(O103-Components!$C$5))</f>
        <v>3.1926666666666694</v>
      </c>
      <c r="T103" s="81">
        <f>IF(G103="","",ABS(O103-Components!$C$6))</f>
        <v>0.21433333333333104</v>
      </c>
      <c r="U103" s="81">
        <f>IF(G103="","",ABS(O103-Components!$C$7))</f>
        <v>4.3333333333290813E-3</v>
      </c>
      <c r="V103" s="81" t="str">
        <f>IF(G103="","",IF(M103="OK","NONE",INDEX({"S1","S2","W1","W2","N1","N2"},MATCH(MIN(P103:U103),P103:U103,0))))</f>
        <v>N2</v>
      </c>
      <c r="W103" s="117">
        <f t="shared" si="15"/>
        <v>1</v>
      </c>
      <c r="X103" s="119"/>
    </row>
    <row r="104" spans="1:24">
      <c r="A104" s="115">
        <v>102</v>
      </c>
      <c r="B104" s="116">
        <v>4</v>
      </c>
      <c r="C104" s="81" t="s">
        <v>128</v>
      </c>
      <c r="D104" s="111" t="s">
        <v>240</v>
      </c>
      <c r="E104" s="81" t="s">
        <v>110</v>
      </c>
      <c r="F104" s="52">
        <v>8.5399999999999991</v>
      </c>
      <c r="G104" s="52">
        <f t="shared" si="9"/>
        <v>9.51</v>
      </c>
      <c r="H104" s="110"/>
      <c r="I104" s="81">
        <f>VLOOKUP(C104,Recipes!$A$2:$N$4,10,FALSE())</f>
        <v>10.940000000000001</v>
      </c>
      <c r="J104" s="81">
        <f>VLOOKUP(C104,Recipes!$A$2:$N$4,12,FALSE())</f>
        <v>5.2703573566378441E-2</v>
      </c>
      <c r="K104" s="81">
        <f t="shared" si="10"/>
        <v>10.62377855860173</v>
      </c>
      <c r="L104" s="81">
        <f t="shared" si="13"/>
        <v>11.256221441398273</v>
      </c>
      <c r="M104" s="81" t="str">
        <f t="shared" si="11"/>
        <v>NG</v>
      </c>
      <c r="N104" s="117">
        <f t="shared" si="14"/>
        <v>1</v>
      </c>
      <c r="O104" s="81">
        <f t="shared" si="12"/>
        <v>1.4300000000000015</v>
      </c>
      <c r="P104" s="81">
        <f>IF(G104="","",ABS(O104-Components!$C$2))</f>
        <v>1.3233333333333284</v>
      </c>
      <c r="Q104" s="81">
        <f>IF(G104="","",ABS(O104-Components!$C$3))</f>
        <v>2.6059999999999981</v>
      </c>
      <c r="R104" s="81">
        <f>IF(G104="","",ABS(O104-Components!$C$4))</f>
        <v>0.43666666666666853</v>
      </c>
      <c r="S104" s="81">
        <f>IF(G104="","",ABS(O104-Components!$C$5))</f>
        <v>3.1326666666666689</v>
      </c>
      <c r="T104" s="81">
        <f>IF(G104="","",ABS(O104-Components!$C$6))</f>
        <v>0.27433333333333154</v>
      </c>
      <c r="U104" s="81">
        <f>IF(G104="","",ABS(O104-Components!$C$7))</f>
        <v>5.5666666666671416E-2</v>
      </c>
      <c r="V104" s="81" t="str">
        <f>IF(G104="","",IF(M104="OK","NONE",INDEX({"S1","S2","W1","W2","N1","N2"},MATCH(MIN(P104:U104),P104:U104,0))))</f>
        <v>N2</v>
      </c>
      <c r="W104" s="117">
        <f t="shared" si="15"/>
        <v>1</v>
      </c>
      <c r="X104" s="119"/>
    </row>
    <row r="105" spans="1:24">
      <c r="A105" s="115">
        <v>103</v>
      </c>
      <c r="B105" s="116">
        <v>4</v>
      </c>
      <c r="C105" s="81" t="s">
        <v>128</v>
      </c>
      <c r="D105" s="111" t="s">
        <v>240</v>
      </c>
      <c r="E105" s="81" t="s">
        <v>110</v>
      </c>
      <c r="F105" s="52">
        <v>8.64</v>
      </c>
      <c r="G105" s="52">
        <f t="shared" si="9"/>
        <v>9.6100000000000012</v>
      </c>
      <c r="H105" s="110"/>
      <c r="I105" s="81">
        <f>VLOOKUP(C105,Recipes!$A$2:$N$4,10,FALSE())</f>
        <v>10.940000000000001</v>
      </c>
      <c r="J105" s="81">
        <f>VLOOKUP(C105,Recipes!$A$2:$N$4,12,FALSE())</f>
        <v>5.2703573566378441E-2</v>
      </c>
      <c r="K105" s="81">
        <f t="shared" si="10"/>
        <v>10.62377855860173</v>
      </c>
      <c r="L105" s="81">
        <f t="shared" si="13"/>
        <v>11.256221441398273</v>
      </c>
      <c r="M105" s="81" t="str">
        <f t="shared" si="11"/>
        <v>NG</v>
      </c>
      <c r="N105" s="117">
        <f t="shared" si="14"/>
        <v>1</v>
      </c>
      <c r="O105" s="81">
        <f t="shared" si="12"/>
        <v>1.33</v>
      </c>
      <c r="P105" s="81">
        <f>IF(G105="","",ABS(O105-Components!$C$2))</f>
        <v>1.4233333333333298</v>
      </c>
      <c r="Q105" s="81">
        <f>IF(G105="","",ABS(O105-Components!$C$3))</f>
        <v>2.7059999999999995</v>
      </c>
      <c r="R105" s="81">
        <f>IF(G105="","",ABS(O105-Components!$C$4))</f>
        <v>0.33666666666666711</v>
      </c>
      <c r="S105" s="81">
        <f>IF(G105="","",ABS(O105-Components!$C$5))</f>
        <v>3.2326666666666704</v>
      </c>
      <c r="T105" s="81">
        <f>IF(G105="","",ABS(O105-Components!$C$6))</f>
        <v>0.17433333333333012</v>
      </c>
      <c r="U105" s="81">
        <f>IF(G105="","",ABS(O105-Components!$C$7))</f>
        <v>4.4333333333330005E-2</v>
      </c>
      <c r="V105" s="81" t="str">
        <f>IF(G105="","",IF(M105="OK","NONE",INDEX({"S1","S2","W1","W2","N1","N2"},MATCH(MIN(P105:U105),P105:U105,0))))</f>
        <v>N2</v>
      </c>
      <c r="W105" s="117">
        <f t="shared" si="15"/>
        <v>1</v>
      </c>
      <c r="X105" s="119"/>
    </row>
    <row r="106" spans="1:24">
      <c r="A106" s="115">
        <v>104</v>
      </c>
      <c r="B106" s="116">
        <v>4</v>
      </c>
      <c r="C106" s="81" t="s">
        <v>128</v>
      </c>
      <c r="D106" s="111" t="s">
        <v>240</v>
      </c>
      <c r="E106" s="81" t="s">
        <v>110</v>
      </c>
      <c r="F106" s="52">
        <v>8.6</v>
      </c>
      <c r="G106" s="52">
        <f t="shared" si="9"/>
        <v>9.57</v>
      </c>
      <c r="H106" s="110"/>
      <c r="I106" s="81">
        <f>VLOOKUP(C106,Recipes!$A$2:$N$4,10,FALSE())</f>
        <v>10.940000000000001</v>
      </c>
      <c r="J106" s="81">
        <f>VLOOKUP(C106,Recipes!$A$2:$N$4,12,FALSE())</f>
        <v>5.2703573566378441E-2</v>
      </c>
      <c r="K106" s="81">
        <f t="shared" si="10"/>
        <v>10.62377855860173</v>
      </c>
      <c r="L106" s="81">
        <f t="shared" si="13"/>
        <v>11.256221441398273</v>
      </c>
      <c r="M106" s="81" t="str">
        <f t="shared" si="11"/>
        <v>NG</v>
      </c>
      <c r="N106" s="117">
        <f t="shared" si="14"/>
        <v>1</v>
      </c>
      <c r="O106" s="81">
        <f t="shared" si="12"/>
        <v>1.370000000000001</v>
      </c>
      <c r="P106" s="81">
        <f>IF(G106="","",ABS(O106-Components!$C$2))</f>
        <v>1.3833333333333289</v>
      </c>
      <c r="Q106" s="81">
        <f>IF(G106="","",ABS(O106-Components!$C$3))</f>
        <v>2.6659999999999986</v>
      </c>
      <c r="R106" s="81">
        <f>IF(G106="","",ABS(O106-Components!$C$4))</f>
        <v>0.37666666666666804</v>
      </c>
      <c r="S106" s="81">
        <f>IF(G106="","",ABS(O106-Components!$C$5))</f>
        <v>3.1926666666666694</v>
      </c>
      <c r="T106" s="81">
        <f>IF(G106="","",ABS(O106-Components!$C$6))</f>
        <v>0.21433333333333104</v>
      </c>
      <c r="U106" s="81">
        <f>IF(G106="","",ABS(O106-Components!$C$7))</f>
        <v>4.3333333333290813E-3</v>
      </c>
      <c r="V106" s="81" t="str">
        <f>IF(G106="","",IF(M106="OK","NONE",INDEX({"S1","S2","W1","W2","N1","N2"},MATCH(MIN(P106:U106),P106:U106,0))))</f>
        <v>N2</v>
      </c>
      <c r="W106" s="117">
        <f t="shared" si="15"/>
        <v>1</v>
      </c>
      <c r="X106" s="119"/>
    </row>
    <row r="107" spans="1:24">
      <c r="A107" s="115">
        <v>105</v>
      </c>
      <c r="B107" s="116">
        <v>4</v>
      </c>
      <c r="C107" s="81" t="s">
        <v>128</v>
      </c>
      <c r="D107" s="111" t="s">
        <v>240</v>
      </c>
      <c r="E107" s="81" t="s">
        <v>110</v>
      </c>
      <c r="F107" s="52">
        <v>8.59</v>
      </c>
      <c r="G107" s="52">
        <f t="shared" si="9"/>
        <v>9.56</v>
      </c>
      <c r="H107" s="110"/>
      <c r="I107" s="81">
        <f>VLOOKUP(C107,Recipes!$A$2:$N$4,10,FALSE())</f>
        <v>10.940000000000001</v>
      </c>
      <c r="J107" s="81">
        <f>VLOOKUP(C107,Recipes!$A$2:$N$4,12,FALSE())</f>
        <v>5.2703573566378441E-2</v>
      </c>
      <c r="K107" s="81">
        <f t="shared" si="10"/>
        <v>10.62377855860173</v>
      </c>
      <c r="L107" s="81">
        <f t="shared" si="13"/>
        <v>11.256221441398273</v>
      </c>
      <c r="M107" s="81" t="str">
        <f t="shared" si="11"/>
        <v>NG</v>
      </c>
      <c r="N107" s="117">
        <f t="shared" si="14"/>
        <v>1</v>
      </c>
      <c r="O107" s="81">
        <f t="shared" si="12"/>
        <v>1.3800000000000008</v>
      </c>
      <c r="P107" s="81">
        <f>IF(G107="","",ABS(O107-Components!$C$2))</f>
        <v>1.3733333333333291</v>
      </c>
      <c r="Q107" s="81">
        <f>IF(G107="","",ABS(O107-Components!$C$3))</f>
        <v>2.6559999999999988</v>
      </c>
      <c r="R107" s="81">
        <f>IF(G107="","",ABS(O107-Components!$C$4))</f>
        <v>0.38666666666666782</v>
      </c>
      <c r="S107" s="81">
        <f>IF(G107="","",ABS(O107-Components!$C$5))</f>
        <v>3.1826666666666696</v>
      </c>
      <c r="T107" s="81">
        <f>IF(G107="","",ABS(O107-Components!$C$6))</f>
        <v>0.22433333333333083</v>
      </c>
      <c r="U107" s="81">
        <f>IF(G107="","",ABS(O107-Components!$C$7))</f>
        <v>5.6666666666707055E-3</v>
      </c>
      <c r="V107" s="81" t="str">
        <f>IF(G107="","",IF(M107="OK","NONE",INDEX({"S1","S2","W1","W2","N1","N2"},MATCH(MIN(P107:U107),P107:U107,0))))</f>
        <v>N2</v>
      </c>
      <c r="W107" s="117">
        <f t="shared" si="15"/>
        <v>1</v>
      </c>
      <c r="X107" s="119"/>
    </row>
    <row r="108" spans="1:24">
      <c r="A108" s="115">
        <v>106</v>
      </c>
      <c r="B108" s="116">
        <v>4</v>
      </c>
      <c r="C108" s="81" t="s">
        <v>128</v>
      </c>
      <c r="D108" s="111" t="s">
        <v>240</v>
      </c>
      <c r="E108" s="81" t="s">
        <v>110</v>
      </c>
      <c r="F108" s="52">
        <v>8.57</v>
      </c>
      <c r="G108" s="52">
        <f t="shared" si="9"/>
        <v>9.5400000000000009</v>
      </c>
      <c r="H108" s="110"/>
      <c r="I108" s="81">
        <f>VLOOKUP(C108,Recipes!$A$2:$N$4,10,FALSE())</f>
        <v>10.940000000000001</v>
      </c>
      <c r="J108" s="81">
        <f>VLOOKUP(C108,Recipes!$A$2:$N$4,12,FALSE())</f>
        <v>5.2703573566378441E-2</v>
      </c>
      <c r="K108" s="81">
        <f t="shared" si="10"/>
        <v>10.62377855860173</v>
      </c>
      <c r="L108" s="81">
        <f t="shared" si="13"/>
        <v>11.256221441398273</v>
      </c>
      <c r="M108" s="81" t="str">
        <f t="shared" si="11"/>
        <v>NG</v>
      </c>
      <c r="N108" s="117">
        <f t="shared" si="14"/>
        <v>1</v>
      </c>
      <c r="O108" s="81">
        <f t="shared" si="12"/>
        <v>1.4000000000000004</v>
      </c>
      <c r="P108" s="81">
        <f>IF(G108="","",ABS(O108-Components!$C$2))</f>
        <v>1.3533333333333295</v>
      </c>
      <c r="Q108" s="81">
        <f>IF(G108="","",ABS(O108-Components!$C$3))</f>
        <v>2.6359999999999992</v>
      </c>
      <c r="R108" s="81">
        <f>IF(G108="","",ABS(O108-Components!$C$4))</f>
        <v>0.4066666666666674</v>
      </c>
      <c r="S108" s="81">
        <f>IF(G108="","",ABS(O108-Components!$C$5))</f>
        <v>3.1626666666666701</v>
      </c>
      <c r="T108" s="81">
        <f>IF(G108="","",ABS(O108-Components!$C$6))</f>
        <v>0.2443333333333304</v>
      </c>
      <c r="U108" s="81">
        <f>IF(G108="","",ABS(O108-Components!$C$7))</f>
        <v>2.5666666666670279E-2</v>
      </c>
      <c r="V108" s="81" t="str">
        <f>IF(G108="","",IF(M108="OK","NONE",INDEX({"S1","S2","W1","W2","N1","N2"},MATCH(MIN(P108:U108),P108:U108,0))))</f>
        <v>N2</v>
      </c>
      <c r="W108" s="117">
        <f t="shared" si="15"/>
        <v>1</v>
      </c>
      <c r="X108" s="119"/>
    </row>
    <row r="109" spans="1:24">
      <c r="A109" s="115">
        <v>107</v>
      </c>
      <c r="B109" s="116">
        <v>4</v>
      </c>
      <c r="C109" s="81" t="s">
        <v>128</v>
      </c>
      <c r="D109" s="111" t="s">
        <v>240</v>
      </c>
      <c r="E109" s="81" t="s">
        <v>110</v>
      </c>
      <c r="F109" s="52">
        <v>8.61</v>
      </c>
      <c r="G109" s="52">
        <f t="shared" si="9"/>
        <v>9.58</v>
      </c>
      <c r="H109" s="110"/>
      <c r="I109" s="81">
        <f>VLOOKUP(C109,Recipes!$A$2:$N$4,10,FALSE())</f>
        <v>10.940000000000001</v>
      </c>
      <c r="J109" s="81">
        <f>VLOOKUP(C109,Recipes!$A$2:$N$4,12,FALSE())</f>
        <v>5.2703573566378441E-2</v>
      </c>
      <c r="K109" s="81">
        <f t="shared" si="10"/>
        <v>10.62377855860173</v>
      </c>
      <c r="L109" s="81">
        <f t="shared" si="13"/>
        <v>11.256221441398273</v>
      </c>
      <c r="M109" s="81" t="str">
        <f t="shared" si="11"/>
        <v>NG</v>
      </c>
      <c r="N109" s="117">
        <f t="shared" si="14"/>
        <v>1</v>
      </c>
      <c r="O109" s="81">
        <f t="shared" si="12"/>
        <v>1.3600000000000012</v>
      </c>
      <c r="P109" s="81">
        <f>IF(G109="","",ABS(O109-Components!$C$2))</f>
        <v>1.3933333333333286</v>
      </c>
      <c r="Q109" s="81">
        <f>IF(G109="","",ABS(O109-Components!$C$3))</f>
        <v>2.6759999999999984</v>
      </c>
      <c r="R109" s="81">
        <f>IF(G109="","",ABS(O109-Components!$C$4))</f>
        <v>0.36666666666666825</v>
      </c>
      <c r="S109" s="81">
        <f>IF(G109="","",ABS(O109-Components!$C$5))</f>
        <v>3.2026666666666692</v>
      </c>
      <c r="T109" s="81">
        <f>IF(G109="","",ABS(O109-Components!$C$6))</f>
        <v>0.20433333333333126</v>
      </c>
      <c r="U109" s="81">
        <f>IF(G109="","",ABS(O109-Components!$C$7))</f>
        <v>1.4333333333328868E-2</v>
      </c>
      <c r="V109" s="81" t="str">
        <f>IF(G109="","",IF(M109="OK","NONE",INDEX({"S1","S2","W1","W2","N1","N2"},MATCH(MIN(P109:U109),P109:U109,0))))</f>
        <v>N2</v>
      </c>
      <c r="W109" s="117">
        <f t="shared" si="15"/>
        <v>1</v>
      </c>
      <c r="X109" s="119"/>
    </row>
    <row r="110" spans="1:24">
      <c r="A110" s="115">
        <v>108</v>
      </c>
      <c r="B110" s="116">
        <v>4</v>
      </c>
      <c r="C110" s="81" t="s">
        <v>128</v>
      </c>
      <c r="D110" s="111" t="s">
        <v>240</v>
      </c>
      <c r="E110" s="81" t="s">
        <v>110</v>
      </c>
      <c r="F110" s="52">
        <v>8.59</v>
      </c>
      <c r="G110" s="52">
        <f t="shared" si="9"/>
        <v>9.56</v>
      </c>
      <c r="H110" s="110"/>
      <c r="I110" s="81">
        <f>VLOOKUP(C110,Recipes!$A$2:$N$4,10,FALSE())</f>
        <v>10.940000000000001</v>
      </c>
      <c r="J110" s="81">
        <f>VLOOKUP(C110,Recipes!$A$2:$N$4,12,FALSE())</f>
        <v>5.2703573566378441E-2</v>
      </c>
      <c r="K110" s="81">
        <f t="shared" si="10"/>
        <v>10.62377855860173</v>
      </c>
      <c r="L110" s="81">
        <f t="shared" si="13"/>
        <v>11.256221441398273</v>
      </c>
      <c r="M110" s="81" t="str">
        <f t="shared" si="11"/>
        <v>NG</v>
      </c>
      <c r="N110" s="117">
        <f t="shared" si="14"/>
        <v>1</v>
      </c>
      <c r="O110" s="81">
        <f t="shared" si="12"/>
        <v>1.3800000000000008</v>
      </c>
      <c r="P110" s="81">
        <f>IF(G110="","",ABS(O110-Components!$C$2))</f>
        <v>1.3733333333333291</v>
      </c>
      <c r="Q110" s="81">
        <f>IF(G110="","",ABS(O110-Components!$C$3))</f>
        <v>2.6559999999999988</v>
      </c>
      <c r="R110" s="81">
        <f>IF(G110="","",ABS(O110-Components!$C$4))</f>
        <v>0.38666666666666782</v>
      </c>
      <c r="S110" s="81">
        <f>IF(G110="","",ABS(O110-Components!$C$5))</f>
        <v>3.1826666666666696</v>
      </c>
      <c r="T110" s="81">
        <f>IF(G110="","",ABS(O110-Components!$C$6))</f>
        <v>0.22433333333333083</v>
      </c>
      <c r="U110" s="81">
        <f>IF(G110="","",ABS(O110-Components!$C$7))</f>
        <v>5.6666666666707055E-3</v>
      </c>
      <c r="V110" s="81" t="str">
        <f>IF(G110="","",IF(M110="OK","NONE",INDEX({"S1","S2","W1","W2","N1","N2"},MATCH(MIN(P110:U110),P110:U110,0))))</f>
        <v>N2</v>
      </c>
      <c r="W110" s="117">
        <f t="shared" si="15"/>
        <v>1</v>
      </c>
      <c r="X110" s="119"/>
    </row>
    <row r="111" spans="1:24">
      <c r="A111" s="115">
        <v>109</v>
      </c>
      <c r="B111" s="116">
        <v>4</v>
      </c>
      <c r="C111" s="81" t="s">
        <v>128</v>
      </c>
      <c r="D111" s="111" t="s">
        <v>240</v>
      </c>
      <c r="E111" s="81" t="s">
        <v>110</v>
      </c>
      <c r="F111" s="52">
        <v>8.5</v>
      </c>
      <c r="G111" s="52">
        <f t="shared" si="9"/>
        <v>9.4700000000000006</v>
      </c>
      <c r="H111" s="110"/>
      <c r="I111" s="81">
        <f>VLOOKUP(C111,Recipes!$A$2:$N$4,10,FALSE())</f>
        <v>10.940000000000001</v>
      </c>
      <c r="J111" s="81">
        <f>VLOOKUP(C111,Recipes!$A$2:$N$4,12,FALSE())</f>
        <v>5.2703573566378441E-2</v>
      </c>
      <c r="K111" s="81">
        <f t="shared" si="10"/>
        <v>10.62377855860173</v>
      </c>
      <c r="L111" s="81">
        <f t="shared" si="13"/>
        <v>11.256221441398273</v>
      </c>
      <c r="M111" s="81" t="str">
        <f t="shared" si="11"/>
        <v>NG</v>
      </c>
      <c r="N111" s="117">
        <f t="shared" si="14"/>
        <v>1</v>
      </c>
      <c r="O111" s="81">
        <f t="shared" si="12"/>
        <v>1.4700000000000006</v>
      </c>
      <c r="P111" s="81">
        <f>IF(G111="","",ABS(O111-Components!$C$2))</f>
        <v>1.2833333333333292</v>
      </c>
      <c r="Q111" s="81">
        <f>IF(G111="","",ABS(O111-Components!$C$3))</f>
        <v>2.5659999999999989</v>
      </c>
      <c r="R111" s="81">
        <f>IF(G111="","",ABS(O111-Components!$C$4))</f>
        <v>0.47666666666666768</v>
      </c>
      <c r="S111" s="81">
        <f>IF(G111="","",ABS(O111-Components!$C$5))</f>
        <v>3.0926666666666698</v>
      </c>
      <c r="T111" s="81">
        <f>IF(G111="","",ABS(O111-Components!$C$6))</f>
        <v>0.31433333333333069</v>
      </c>
      <c r="U111" s="81">
        <f>IF(G111="","",ABS(O111-Components!$C$7))</f>
        <v>9.5666666666670563E-2</v>
      </c>
      <c r="V111" s="81" t="str">
        <f>IF(G111="","",IF(M111="OK","NONE",INDEX({"S1","S2","W1","W2","N1","N2"},MATCH(MIN(P111:U111),P111:U111,0))))</f>
        <v>N2</v>
      </c>
      <c r="W111" s="117">
        <f t="shared" si="15"/>
        <v>1</v>
      </c>
      <c r="X111" s="119"/>
    </row>
    <row r="112" spans="1:24">
      <c r="A112" s="115">
        <v>110</v>
      </c>
      <c r="B112" s="116">
        <v>4</v>
      </c>
      <c r="C112" s="81" t="s">
        <v>128</v>
      </c>
      <c r="D112" s="111" t="s">
        <v>240</v>
      </c>
      <c r="E112" s="81" t="s">
        <v>110</v>
      </c>
      <c r="F112" s="52">
        <v>8.6199999999999992</v>
      </c>
      <c r="G112" s="52">
        <f t="shared" si="9"/>
        <v>9.59</v>
      </c>
      <c r="H112" s="110"/>
      <c r="I112" s="81">
        <f>VLOOKUP(C112,Recipes!$A$2:$N$4,10,FALSE())</f>
        <v>10.940000000000001</v>
      </c>
      <c r="J112" s="81">
        <f>VLOOKUP(C112,Recipes!$A$2:$N$4,12,FALSE())</f>
        <v>5.2703573566378441E-2</v>
      </c>
      <c r="K112" s="81">
        <f t="shared" si="10"/>
        <v>10.62377855860173</v>
      </c>
      <c r="L112" s="81">
        <f t="shared" si="13"/>
        <v>11.256221441398273</v>
      </c>
      <c r="M112" s="81" t="str">
        <f t="shared" si="11"/>
        <v>NG</v>
      </c>
      <c r="N112" s="117">
        <f t="shared" si="14"/>
        <v>1</v>
      </c>
      <c r="O112" s="81">
        <f t="shared" si="12"/>
        <v>1.3500000000000014</v>
      </c>
      <c r="P112" s="81">
        <f>IF(G112="","",ABS(O112-Components!$C$2))</f>
        <v>1.4033333333333284</v>
      </c>
      <c r="Q112" s="81">
        <f>IF(G112="","",ABS(O112-Components!$C$3))</f>
        <v>2.6859999999999982</v>
      </c>
      <c r="R112" s="81">
        <f>IF(G112="","",ABS(O112-Components!$C$4))</f>
        <v>0.35666666666666846</v>
      </c>
      <c r="S112" s="81">
        <f>IF(G112="","",ABS(O112-Components!$C$5))</f>
        <v>3.212666666666669</v>
      </c>
      <c r="T112" s="81">
        <f>IF(G112="","",ABS(O112-Components!$C$6))</f>
        <v>0.19433333333333147</v>
      </c>
      <c r="U112" s="81">
        <f>IF(G112="","",ABS(O112-Components!$C$7))</f>
        <v>2.4333333333328655E-2</v>
      </c>
      <c r="V112" s="81" t="str">
        <f>IF(G112="","",IF(M112="OK","NONE",INDEX({"S1","S2","W1","W2","N1","N2"},MATCH(MIN(P112:U112),P112:U112,0))))</f>
        <v>N2</v>
      </c>
      <c r="W112" s="117">
        <f t="shared" si="15"/>
        <v>1</v>
      </c>
      <c r="X112" s="119"/>
    </row>
    <row r="113" spans="1:24">
      <c r="A113" s="115">
        <v>111</v>
      </c>
      <c r="B113" s="116">
        <v>4</v>
      </c>
      <c r="C113" s="81" t="s">
        <v>128</v>
      </c>
      <c r="D113" s="111" t="s">
        <v>240</v>
      </c>
      <c r="E113" s="81" t="s">
        <v>110</v>
      </c>
      <c r="F113" s="52">
        <v>8.61</v>
      </c>
      <c r="G113" s="52">
        <f t="shared" si="9"/>
        <v>9.58</v>
      </c>
      <c r="H113" s="110"/>
      <c r="I113" s="81">
        <f>VLOOKUP(C113,Recipes!$A$2:$N$4,10,FALSE())</f>
        <v>10.940000000000001</v>
      </c>
      <c r="J113" s="81">
        <f>VLOOKUP(C113,Recipes!$A$2:$N$4,12,FALSE())</f>
        <v>5.2703573566378441E-2</v>
      </c>
      <c r="K113" s="81">
        <f t="shared" si="10"/>
        <v>10.62377855860173</v>
      </c>
      <c r="L113" s="81">
        <f t="shared" si="13"/>
        <v>11.256221441398273</v>
      </c>
      <c r="M113" s="81" t="str">
        <f t="shared" si="11"/>
        <v>NG</v>
      </c>
      <c r="N113" s="117">
        <f t="shared" si="14"/>
        <v>1</v>
      </c>
      <c r="O113" s="81">
        <f t="shared" si="12"/>
        <v>1.3600000000000012</v>
      </c>
      <c r="P113" s="81">
        <f>IF(G113="","",ABS(O113-Components!$C$2))</f>
        <v>1.3933333333333286</v>
      </c>
      <c r="Q113" s="81">
        <f>IF(G113="","",ABS(O113-Components!$C$3))</f>
        <v>2.6759999999999984</v>
      </c>
      <c r="R113" s="81">
        <f>IF(G113="","",ABS(O113-Components!$C$4))</f>
        <v>0.36666666666666825</v>
      </c>
      <c r="S113" s="81">
        <f>IF(G113="","",ABS(O113-Components!$C$5))</f>
        <v>3.2026666666666692</v>
      </c>
      <c r="T113" s="81">
        <f>IF(G113="","",ABS(O113-Components!$C$6))</f>
        <v>0.20433333333333126</v>
      </c>
      <c r="U113" s="81">
        <f>IF(G113="","",ABS(O113-Components!$C$7))</f>
        <v>1.4333333333328868E-2</v>
      </c>
      <c r="V113" s="81" t="str">
        <f>IF(G113="","",IF(M113="OK","NONE",INDEX({"S1","S2","W1","W2","N1","N2"},MATCH(MIN(P113:U113),P113:U113,0))))</f>
        <v>N2</v>
      </c>
      <c r="W113" s="117">
        <f t="shared" si="15"/>
        <v>1</v>
      </c>
      <c r="X113" s="119"/>
    </row>
    <row r="114" spans="1:24">
      <c r="A114" s="115">
        <v>112</v>
      </c>
      <c r="B114" s="116">
        <v>4</v>
      </c>
      <c r="C114" s="81" t="s">
        <v>128</v>
      </c>
      <c r="D114" s="111" t="s">
        <v>240</v>
      </c>
      <c r="E114" s="81" t="s">
        <v>110</v>
      </c>
      <c r="F114" s="52">
        <v>8.58</v>
      </c>
      <c r="G114" s="52">
        <f t="shared" si="9"/>
        <v>9.5500000000000007</v>
      </c>
      <c r="H114" s="110"/>
      <c r="I114" s="81">
        <f>VLOOKUP(C114,Recipes!$A$2:$N$4,10,FALSE())</f>
        <v>10.940000000000001</v>
      </c>
      <c r="J114" s="81">
        <f>VLOOKUP(C114,Recipes!$A$2:$N$4,12,FALSE())</f>
        <v>5.2703573566378441E-2</v>
      </c>
      <c r="K114" s="81">
        <f t="shared" si="10"/>
        <v>10.62377855860173</v>
      </c>
      <c r="L114" s="81">
        <f t="shared" si="13"/>
        <v>11.256221441398273</v>
      </c>
      <c r="M114" s="81" t="str">
        <f t="shared" si="11"/>
        <v>NG</v>
      </c>
      <c r="N114" s="117">
        <f t="shared" si="14"/>
        <v>1</v>
      </c>
      <c r="O114" s="81">
        <f t="shared" si="12"/>
        <v>1.3900000000000006</v>
      </c>
      <c r="P114" s="81">
        <f>IF(G114="","",ABS(O114-Components!$C$2))</f>
        <v>1.3633333333333293</v>
      </c>
      <c r="Q114" s="81">
        <f>IF(G114="","",ABS(O114-Components!$C$3))</f>
        <v>2.645999999999999</v>
      </c>
      <c r="R114" s="81">
        <f>IF(G114="","",ABS(O114-Components!$C$4))</f>
        <v>0.39666666666666761</v>
      </c>
      <c r="S114" s="81">
        <f>IF(G114="","",ABS(O114-Components!$C$5))</f>
        <v>3.1726666666666699</v>
      </c>
      <c r="T114" s="81">
        <f>IF(G114="","",ABS(O114-Components!$C$6))</f>
        <v>0.23433333333333062</v>
      </c>
      <c r="U114" s="81">
        <f>IF(G114="","",ABS(O114-Components!$C$7))</f>
        <v>1.5666666666670492E-2</v>
      </c>
      <c r="V114" s="81" t="str">
        <f>IF(G114="","",IF(M114="OK","NONE",INDEX({"S1","S2","W1","W2","N1","N2"},MATCH(MIN(P114:U114),P114:U114,0))))</f>
        <v>N2</v>
      </c>
      <c r="W114" s="117">
        <f t="shared" si="15"/>
        <v>1</v>
      </c>
      <c r="X114" s="119"/>
    </row>
    <row r="115" spans="1:24">
      <c r="A115" s="115">
        <v>113</v>
      </c>
      <c r="B115" s="116">
        <v>4</v>
      </c>
      <c r="C115" s="81" t="s">
        <v>128</v>
      </c>
      <c r="D115" s="111" t="s">
        <v>240</v>
      </c>
      <c r="E115" s="81" t="s">
        <v>110</v>
      </c>
      <c r="F115" s="52">
        <v>8.59</v>
      </c>
      <c r="G115" s="52">
        <f t="shared" si="9"/>
        <v>9.56</v>
      </c>
      <c r="H115" s="110"/>
      <c r="I115" s="81">
        <f>VLOOKUP(C115,Recipes!$A$2:$N$4,10,FALSE())</f>
        <v>10.940000000000001</v>
      </c>
      <c r="J115" s="81">
        <f>VLOOKUP(C115,Recipes!$A$2:$N$4,12,FALSE())</f>
        <v>5.2703573566378441E-2</v>
      </c>
      <c r="K115" s="81">
        <f t="shared" si="10"/>
        <v>10.62377855860173</v>
      </c>
      <c r="L115" s="81">
        <f t="shared" si="13"/>
        <v>11.256221441398273</v>
      </c>
      <c r="M115" s="81" t="str">
        <f t="shared" si="11"/>
        <v>NG</v>
      </c>
      <c r="N115" s="117">
        <f t="shared" si="14"/>
        <v>1</v>
      </c>
      <c r="O115" s="81">
        <f t="shared" si="12"/>
        <v>1.3800000000000008</v>
      </c>
      <c r="P115" s="81">
        <f>IF(G115="","",ABS(O115-Components!$C$2))</f>
        <v>1.3733333333333291</v>
      </c>
      <c r="Q115" s="81">
        <f>IF(G115="","",ABS(O115-Components!$C$3))</f>
        <v>2.6559999999999988</v>
      </c>
      <c r="R115" s="81">
        <f>IF(G115="","",ABS(O115-Components!$C$4))</f>
        <v>0.38666666666666782</v>
      </c>
      <c r="S115" s="81">
        <f>IF(G115="","",ABS(O115-Components!$C$5))</f>
        <v>3.1826666666666696</v>
      </c>
      <c r="T115" s="81">
        <f>IF(G115="","",ABS(O115-Components!$C$6))</f>
        <v>0.22433333333333083</v>
      </c>
      <c r="U115" s="81">
        <f>IF(G115="","",ABS(O115-Components!$C$7))</f>
        <v>5.6666666666707055E-3</v>
      </c>
      <c r="V115" s="81" t="str">
        <f>IF(G115="","",IF(M115="OK","NONE",INDEX({"S1","S2","W1","W2","N1","N2"},MATCH(MIN(P115:U115),P115:U115,0))))</f>
        <v>N2</v>
      </c>
      <c r="W115" s="117">
        <f t="shared" si="15"/>
        <v>1</v>
      </c>
      <c r="X115" s="119"/>
    </row>
    <row r="116" spans="1:24">
      <c r="A116" s="115">
        <v>114</v>
      </c>
      <c r="B116" s="116">
        <v>4</v>
      </c>
      <c r="C116" s="81" t="s">
        <v>128</v>
      </c>
      <c r="D116" s="111" t="s">
        <v>240</v>
      </c>
      <c r="E116" s="81" t="s">
        <v>110</v>
      </c>
      <c r="F116" s="52">
        <v>8.6300000000000008</v>
      </c>
      <c r="G116" s="52">
        <f t="shared" si="9"/>
        <v>9.6000000000000014</v>
      </c>
      <c r="H116" s="110"/>
      <c r="I116" s="81">
        <f>VLOOKUP(C116,Recipes!$A$2:$N$4,10,FALSE())</f>
        <v>10.940000000000001</v>
      </c>
      <c r="J116" s="81">
        <f>VLOOKUP(C116,Recipes!$A$2:$N$4,12,FALSE())</f>
        <v>5.2703573566378441E-2</v>
      </c>
      <c r="K116" s="81">
        <f t="shared" si="10"/>
        <v>10.62377855860173</v>
      </c>
      <c r="L116" s="81">
        <f t="shared" si="13"/>
        <v>11.256221441398273</v>
      </c>
      <c r="M116" s="81" t="str">
        <f t="shared" si="11"/>
        <v>NG</v>
      </c>
      <c r="N116" s="117">
        <f t="shared" si="14"/>
        <v>1</v>
      </c>
      <c r="O116" s="81">
        <f t="shared" si="12"/>
        <v>1.3399999999999999</v>
      </c>
      <c r="P116" s="81">
        <f>IF(G116="","",ABS(O116-Components!$C$2))</f>
        <v>1.41333333333333</v>
      </c>
      <c r="Q116" s="81">
        <f>IF(G116="","",ABS(O116-Components!$C$3))</f>
        <v>2.6959999999999997</v>
      </c>
      <c r="R116" s="81">
        <f>IF(G116="","",ABS(O116-Components!$C$4))</f>
        <v>0.3466666666666669</v>
      </c>
      <c r="S116" s="81">
        <f>IF(G116="","",ABS(O116-Components!$C$5))</f>
        <v>3.2226666666666706</v>
      </c>
      <c r="T116" s="81">
        <f>IF(G116="","",ABS(O116-Components!$C$6))</f>
        <v>0.18433333333332991</v>
      </c>
      <c r="U116" s="81">
        <f>IF(G116="","",ABS(O116-Components!$C$7))</f>
        <v>3.4333333333330218E-2</v>
      </c>
      <c r="V116" s="81" t="str">
        <f>IF(G116="","",IF(M116="OK","NONE",INDEX({"S1","S2","W1","W2","N1","N2"},MATCH(MIN(P116:U116),P116:U116,0))))</f>
        <v>N2</v>
      </c>
      <c r="W116" s="117">
        <f t="shared" si="15"/>
        <v>1</v>
      </c>
      <c r="X116" s="119"/>
    </row>
    <row r="117" spans="1:24">
      <c r="A117" s="115">
        <v>115</v>
      </c>
      <c r="B117" s="116">
        <v>4</v>
      </c>
      <c r="C117" s="81" t="s">
        <v>128</v>
      </c>
      <c r="D117" s="111" t="s">
        <v>240</v>
      </c>
      <c r="E117" s="81" t="s">
        <v>110</v>
      </c>
      <c r="F117" s="52">
        <v>8.6300000000000008</v>
      </c>
      <c r="G117" s="52">
        <f t="shared" si="9"/>
        <v>9.6000000000000014</v>
      </c>
      <c r="H117" s="110"/>
      <c r="I117" s="81">
        <f>VLOOKUP(C117,Recipes!$A$2:$N$4,10,FALSE())</f>
        <v>10.940000000000001</v>
      </c>
      <c r="J117" s="81">
        <f>VLOOKUP(C117,Recipes!$A$2:$N$4,12,FALSE())</f>
        <v>5.2703573566378441E-2</v>
      </c>
      <c r="K117" s="81">
        <f t="shared" si="10"/>
        <v>10.62377855860173</v>
      </c>
      <c r="L117" s="81">
        <f t="shared" si="13"/>
        <v>11.256221441398273</v>
      </c>
      <c r="M117" s="81" t="str">
        <f t="shared" si="11"/>
        <v>NG</v>
      </c>
      <c r="N117" s="117">
        <f t="shared" si="14"/>
        <v>1</v>
      </c>
      <c r="O117" s="81">
        <f t="shared" si="12"/>
        <v>1.3399999999999999</v>
      </c>
      <c r="P117" s="81">
        <f>IF(G117="","",ABS(O117-Components!$C$2))</f>
        <v>1.41333333333333</v>
      </c>
      <c r="Q117" s="81">
        <f>IF(G117="","",ABS(O117-Components!$C$3))</f>
        <v>2.6959999999999997</v>
      </c>
      <c r="R117" s="81">
        <f>IF(G117="","",ABS(O117-Components!$C$4))</f>
        <v>0.3466666666666669</v>
      </c>
      <c r="S117" s="81">
        <f>IF(G117="","",ABS(O117-Components!$C$5))</f>
        <v>3.2226666666666706</v>
      </c>
      <c r="T117" s="81">
        <f>IF(G117="","",ABS(O117-Components!$C$6))</f>
        <v>0.18433333333332991</v>
      </c>
      <c r="U117" s="81">
        <f>IF(G117="","",ABS(O117-Components!$C$7))</f>
        <v>3.4333333333330218E-2</v>
      </c>
      <c r="V117" s="81" t="str">
        <f>IF(G117="","",IF(M117="OK","NONE",INDEX({"S1","S2","W1","W2","N1","N2"},MATCH(MIN(P117:U117),P117:U117,0))))</f>
        <v>N2</v>
      </c>
      <c r="W117" s="117">
        <f t="shared" si="15"/>
        <v>1</v>
      </c>
      <c r="X117" s="119"/>
    </row>
    <row r="118" spans="1:24">
      <c r="A118" s="115">
        <v>116</v>
      </c>
      <c r="B118" s="116">
        <v>4</v>
      </c>
      <c r="C118" s="81" t="s">
        <v>128</v>
      </c>
      <c r="D118" s="111" t="s">
        <v>240</v>
      </c>
      <c r="E118" s="81" t="s">
        <v>110</v>
      </c>
      <c r="F118" s="52">
        <v>8.59</v>
      </c>
      <c r="G118" s="52">
        <f t="shared" si="9"/>
        <v>9.56</v>
      </c>
      <c r="H118" s="110"/>
      <c r="I118" s="81">
        <f>VLOOKUP(C118,Recipes!$A$2:$N$4,10,FALSE())</f>
        <v>10.940000000000001</v>
      </c>
      <c r="J118" s="81">
        <f>VLOOKUP(C118,Recipes!$A$2:$N$4,12,FALSE())</f>
        <v>5.2703573566378441E-2</v>
      </c>
      <c r="K118" s="81">
        <f t="shared" si="10"/>
        <v>10.62377855860173</v>
      </c>
      <c r="L118" s="81">
        <f t="shared" si="13"/>
        <v>11.256221441398273</v>
      </c>
      <c r="M118" s="81" t="str">
        <f t="shared" si="11"/>
        <v>NG</v>
      </c>
      <c r="N118" s="117">
        <f t="shared" si="14"/>
        <v>1</v>
      </c>
      <c r="O118" s="81">
        <f t="shared" si="12"/>
        <v>1.3800000000000008</v>
      </c>
      <c r="P118" s="81">
        <f>IF(G118="","",ABS(O118-Components!$C$2))</f>
        <v>1.3733333333333291</v>
      </c>
      <c r="Q118" s="81">
        <f>IF(G118="","",ABS(O118-Components!$C$3))</f>
        <v>2.6559999999999988</v>
      </c>
      <c r="R118" s="81">
        <f>IF(G118="","",ABS(O118-Components!$C$4))</f>
        <v>0.38666666666666782</v>
      </c>
      <c r="S118" s="81">
        <f>IF(G118="","",ABS(O118-Components!$C$5))</f>
        <v>3.1826666666666696</v>
      </c>
      <c r="T118" s="81">
        <f>IF(G118="","",ABS(O118-Components!$C$6))</f>
        <v>0.22433333333333083</v>
      </c>
      <c r="U118" s="81">
        <f>IF(G118="","",ABS(O118-Components!$C$7))</f>
        <v>5.6666666666707055E-3</v>
      </c>
      <c r="V118" s="81" t="str">
        <f>IF(G118="","",IF(M118="OK","NONE",INDEX({"S1","S2","W1","W2","N1","N2"},MATCH(MIN(P118:U118),P118:U118,0))))</f>
        <v>N2</v>
      </c>
      <c r="W118" s="117">
        <f t="shared" si="15"/>
        <v>1</v>
      </c>
      <c r="X118" s="119"/>
    </row>
    <row r="119" spans="1:24">
      <c r="A119" s="115">
        <v>117</v>
      </c>
      <c r="B119" s="116">
        <v>4</v>
      </c>
      <c r="C119" s="81" t="s">
        <v>128</v>
      </c>
      <c r="D119" s="111" t="s">
        <v>240</v>
      </c>
      <c r="E119" s="81" t="s">
        <v>110</v>
      </c>
      <c r="F119" s="52">
        <v>8.56</v>
      </c>
      <c r="G119" s="52">
        <f t="shared" si="9"/>
        <v>9.5300000000000011</v>
      </c>
      <c r="H119" s="110"/>
      <c r="I119" s="81">
        <f>VLOOKUP(C119,Recipes!$A$2:$N$4,10,FALSE())</f>
        <v>10.940000000000001</v>
      </c>
      <c r="J119" s="81">
        <f>VLOOKUP(C119,Recipes!$A$2:$N$4,12,FALSE())</f>
        <v>5.2703573566378441E-2</v>
      </c>
      <c r="K119" s="81">
        <f t="shared" si="10"/>
        <v>10.62377855860173</v>
      </c>
      <c r="L119" s="81">
        <f t="shared" si="13"/>
        <v>11.256221441398273</v>
      </c>
      <c r="M119" s="81" t="str">
        <f t="shared" si="11"/>
        <v>NG</v>
      </c>
      <c r="N119" s="117">
        <f t="shared" si="14"/>
        <v>1</v>
      </c>
      <c r="O119" s="81">
        <f t="shared" si="12"/>
        <v>1.4100000000000001</v>
      </c>
      <c r="P119" s="81">
        <f>IF(G119="","",ABS(O119-Components!$C$2))</f>
        <v>1.3433333333333297</v>
      </c>
      <c r="Q119" s="81">
        <f>IF(G119="","",ABS(O119-Components!$C$3))</f>
        <v>2.6259999999999994</v>
      </c>
      <c r="R119" s="81">
        <f>IF(G119="","",ABS(O119-Components!$C$4))</f>
        <v>0.41666666666666718</v>
      </c>
      <c r="S119" s="81">
        <f>IF(G119="","",ABS(O119-Components!$C$5))</f>
        <v>3.1526666666666703</v>
      </c>
      <c r="T119" s="81">
        <f>IF(G119="","",ABS(O119-Components!$C$6))</f>
        <v>0.25433333333333019</v>
      </c>
      <c r="U119" s="81">
        <f>IF(G119="","",ABS(O119-Components!$C$7))</f>
        <v>3.5666666666670066E-2</v>
      </c>
      <c r="V119" s="81" t="str">
        <f>IF(G119="","",IF(M119="OK","NONE",INDEX({"S1","S2","W1","W2","N1","N2"},MATCH(MIN(P119:U119),P119:U119,0))))</f>
        <v>N2</v>
      </c>
      <c r="W119" s="117">
        <f t="shared" si="15"/>
        <v>1</v>
      </c>
      <c r="X119" s="119"/>
    </row>
    <row r="120" spans="1:24">
      <c r="A120" s="115">
        <v>118</v>
      </c>
      <c r="B120" s="116">
        <v>4</v>
      </c>
      <c r="C120" s="81" t="s">
        <v>128</v>
      </c>
      <c r="D120" s="111" t="s">
        <v>240</v>
      </c>
      <c r="E120" s="81" t="s">
        <v>110</v>
      </c>
      <c r="F120" s="52">
        <v>8.58</v>
      </c>
      <c r="G120" s="52">
        <f t="shared" si="9"/>
        <v>9.5500000000000007</v>
      </c>
      <c r="H120" s="110"/>
      <c r="I120" s="81">
        <f>VLOOKUP(C120,Recipes!$A$2:$N$4,10,FALSE())</f>
        <v>10.940000000000001</v>
      </c>
      <c r="J120" s="81">
        <f>VLOOKUP(C120,Recipes!$A$2:$N$4,12,FALSE())</f>
        <v>5.2703573566378441E-2</v>
      </c>
      <c r="K120" s="81">
        <f t="shared" si="10"/>
        <v>10.62377855860173</v>
      </c>
      <c r="L120" s="81">
        <f t="shared" si="13"/>
        <v>11.256221441398273</v>
      </c>
      <c r="M120" s="81" t="str">
        <f t="shared" si="11"/>
        <v>NG</v>
      </c>
      <c r="N120" s="117">
        <f t="shared" si="14"/>
        <v>1</v>
      </c>
      <c r="O120" s="81">
        <f t="shared" si="12"/>
        <v>1.3900000000000006</v>
      </c>
      <c r="P120" s="81">
        <f>IF(G120="","",ABS(O120-Components!$C$2))</f>
        <v>1.3633333333333293</v>
      </c>
      <c r="Q120" s="81">
        <f>IF(G120="","",ABS(O120-Components!$C$3))</f>
        <v>2.645999999999999</v>
      </c>
      <c r="R120" s="81">
        <f>IF(G120="","",ABS(O120-Components!$C$4))</f>
        <v>0.39666666666666761</v>
      </c>
      <c r="S120" s="81">
        <f>IF(G120="","",ABS(O120-Components!$C$5))</f>
        <v>3.1726666666666699</v>
      </c>
      <c r="T120" s="81">
        <f>IF(G120="","",ABS(O120-Components!$C$6))</f>
        <v>0.23433333333333062</v>
      </c>
      <c r="U120" s="81">
        <f>IF(G120="","",ABS(O120-Components!$C$7))</f>
        <v>1.5666666666670492E-2</v>
      </c>
      <c r="V120" s="81" t="str">
        <f>IF(G120="","",IF(M120="OK","NONE",INDEX({"S1","S2","W1","W2","N1","N2"},MATCH(MIN(P120:U120),P120:U120,0))))</f>
        <v>N2</v>
      </c>
      <c r="W120" s="117">
        <f t="shared" si="15"/>
        <v>1</v>
      </c>
      <c r="X120" s="119"/>
    </row>
    <row r="121" spans="1:24">
      <c r="A121" s="115">
        <v>119</v>
      </c>
      <c r="B121" s="116">
        <v>4</v>
      </c>
      <c r="C121" s="81" t="s">
        <v>128</v>
      </c>
      <c r="D121" s="111" t="s">
        <v>240</v>
      </c>
      <c r="E121" s="81" t="s">
        <v>110</v>
      </c>
      <c r="F121" s="52">
        <v>8.6300000000000008</v>
      </c>
      <c r="G121" s="52">
        <f t="shared" si="9"/>
        <v>9.6000000000000014</v>
      </c>
      <c r="H121" s="110"/>
      <c r="I121" s="81">
        <f>VLOOKUP(C121,Recipes!$A$2:$N$4,10,FALSE())</f>
        <v>10.940000000000001</v>
      </c>
      <c r="J121" s="81">
        <f>VLOOKUP(C121,Recipes!$A$2:$N$4,12,FALSE())</f>
        <v>5.2703573566378441E-2</v>
      </c>
      <c r="K121" s="81">
        <f t="shared" si="10"/>
        <v>10.62377855860173</v>
      </c>
      <c r="L121" s="81">
        <f t="shared" si="13"/>
        <v>11.256221441398273</v>
      </c>
      <c r="M121" s="81" t="str">
        <f t="shared" si="11"/>
        <v>NG</v>
      </c>
      <c r="N121" s="117">
        <f t="shared" si="14"/>
        <v>1</v>
      </c>
      <c r="O121" s="81">
        <f t="shared" si="12"/>
        <v>1.3399999999999999</v>
      </c>
      <c r="P121" s="81">
        <f>IF(G121="","",ABS(O121-Components!$C$2))</f>
        <v>1.41333333333333</v>
      </c>
      <c r="Q121" s="81">
        <f>IF(G121="","",ABS(O121-Components!$C$3))</f>
        <v>2.6959999999999997</v>
      </c>
      <c r="R121" s="81">
        <f>IF(G121="","",ABS(O121-Components!$C$4))</f>
        <v>0.3466666666666669</v>
      </c>
      <c r="S121" s="81">
        <f>IF(G121="","",ABS(O121-Components!$C$5))</f>
        <v>3.2226666666666706</v>
      </c>
      <c r="T121" s="81">
        <f>IF(G121="","",ABS(O121-Components!$C$6))</f>
        <v>0.18433333333332991</v>
      </c>
      <c r="U121" s="81">
        <f>IF(G121="","",ABS(O121-Components!$C$7))</f>
        <v>3.4333333333330218E-2</v>
      </c>
      <c r="V121" s="81" t="str">
        <f>IF(G121="","",IF(M121="OK","NONE",INDEX({"S1","S2","W1","W2","N1","N2"},MATCH(MIN(P121:U121),P121:U121,0))))</f>
        <v>N2</v>
      </c>
      <c r="W121" s="117">
        <f t="shared" si="15"/>
        <v>1</v>
      </c>
      <c r="X121" s="119"/>
    </row>
    <row r="122" spans="1:24">
      <c r="A122" s="115">
        <v>120</v>
      </c>
      <c r="B122" s="116">
        <v>4</v>
      </c>
      <c r="C122" s="81" t="s">
        <v>128</v>
      </c>
      <c r="D122" s="111" t="s">
        <v>240</v>
      </c>
      <c r="E122" s="81" t="s">
        <v>110</v>
      </c>
      <c r="F122" s="52">
        <v>8.59</v>
      </c>
      <c r="G122" s="52">
        <f t="shared" si="9"/>
        <v>9.56</v>
      </c>
      <c r="H122" s="110"/>
      <c r="I122" s="81">
        <f>VLOOKUP(C122,Recipes!$A$2:$N$4,10,FALSE())</f>
        <v>10.940000000000001</v>
      </c>
      <c r="J122" s="81">
        <f>VLOOKUP(C122,Recipes!$A$2:$N$4,12,FALSE())</f>
        <v>5.2703573566378441E-2</v>
      </c>
      <c r="K122" s="81">
        <f t="shared" si="10"/>
        <v>10.62377855860173</v>
      </c>
      <c r="L122" s="81">
        <f t="shared" si="13"/>
        <v>11.256221441398273</v>
      </c>
      <c r="M122" s="81" t="str">
        <f t="shared" si="11"/>
        <v>NG</v>
      </c>
      <c r="N122" s="117">
        <f t="shared" si="14"/>
        <v>1</v>
      </c>
      <c r="O122" s="81">
        <f t="shared" si="12"/>
        <v>1.3800000000000008</v>
      </c>
      <c r="P122" s="81">
        <f>IF(G122="","",ABS(O122-Components!$C$2))</f>
        <v>1.3733333333333291</v>
      </c>
      <c r="Q122" s="81">
        <f>IF(G122="","",ABS(O122-Components!$C$3))</f>
        <v>2.6559999999999988</v>
      </c>
      <c r="R122" s="81">
        <f>IF(G122="","",ABS(O122-Components!$C$4))</f>
        <v>0.38666666666666782</v>
      </c>
      <c r="S122" s="81">
        <f>IF(G122="","",ABS(O122-Components!$C$5))</f>
        <v>3.1826666666666696</v>
      </c>
      <c r="T122" s="81">
        <f>IF(G122="","",ABS(O122-Components!$C$6))</f>
        <v>0.22433333333333083</v>
      </c>
      <c r="U122" s="81">
        <f>IF(G122="","",ABS(O122-Components!$C$7))</f>
        <v>5.6666666666707055E-3</v>
      </c>
      <c r="V122" s="81" t="str">
        <f>IF(G122="","",IF(M122="OK","NONE",INDEX({"S1","S2","W1","W2","N1","N2"},MATCH(MIN(P122:U122),P122:U122,0))))</f>
        <v>N2</v>
      </c>
      <c r="W122" s="117">
        <f t="shared" si="15"/>
        <v>1</v>
      </c>
      <c r="X122" s="119"/>
    </row>
    <row r="123" spans="1:24">
      <c r="A123" s="115">
        <v>121</v>
      </c>
      <c r="B123" s="116">
        <v>5</v>
      </c>
      <c r="C123" s="81" t="s">
        <v>130</v>
      </c>
      <c r="D123" s="109" t="s">
        <v>238</v>
      </c>
      <c r="E123" s="81" t="s">
        <v>239</v>
      </c>
      <c r="F123" s="52">
        <v>8.9499999999999993</v>
      </c>
      <c r="G123" s="52">
        <f t="shared" si="9"/>
        <v>9.92</v>
      </c>
      <c r="H123" s="110"/>
      <c r="I123" s="81">
        <v>9.91</v>
      </c>
      <c r="J123" s="81">
        <f>VLOOKUP(C123,Recipes!$A$2:$N$4,12,FALSE())</f>
        <v>5.0137397426368718E-2</v>
      </c>
      <c r="K123" s="81">
        <f t="shared" si="10"/>
        <v>9.6091756154417887</v>
      </c>
      <c r="L123" s="81">
        <f t="shared" si="13"/>
        <v>10.210824384558212</v>
      </c>
      <c r="M123" s="81" t="str">
        <f t="shared" si="11"/>
        <v>OK</v>
      </c>
      <c r="N123" s="117">
        <f t="shared" si="14"/>
        <v>1</v>
      </c>
      <c r="O123" s="81">
        <f t="shared" si="12"/>
        <v>-9.9999999999997868E-3</v>
      </c>
      <c r="P123" s="81">
        <f>IF(G123="","",ABS(O123-Components!$C$2))</f>
        <v>2.7633333333333296</v>
      </c>
      <c r="Q123" s="81">
        <f>IF(G123="","",ABS(O123-Components!$C$3))</f>
        <v>4.0459999999999994</v>
      </c>
      <c r="R123" s="81">
        <f>IF(G123="","",ABS(O123-Components!$C$4))</f>
        <v>1.0033333333333327</v>
      </c>
      <c r="S123" s="81">
        <f>IF(G123="","",ABS(O123-Components!$C$5))</f>
        <v>4.5726666666666702</v>
      </c>
      <c r="T123" s="81">
        <f>IF(G123="","",ABS(O123-Components!$C$6))</f>
        <v>1.1656666666666697</v>
      </c>
      <c r="U123" s="81">
        <f>IF(G123="","",ABS(O123-Components!$C$7))</f>
        <v>1.3843333333333299</v>
      </c>
      <c r="V123" s="81" t="str">
        <f>IF(G123="","",IF(M123="OK","NONE",INDEX({"S1","S2","W1","W2","N1","N2"},MATCH(MIN(P123:U123),P123:U123,0))))</f>
        <v>NONE</v>
      </c>
      <c r="W123" s="117">
        <f t="shared" si="15"/>
        <v>1</v>
      </c>
      <c r="X123" s="119"/>
    </row>
    <row r="124" spans="1:24">
      <c r="A124" s="115">
        <v>122</v>
      </c>
      <c r="B124" s="116">
        <v>5</v>
      </c>
      <c r="C124" s="81" t="s">
        <v>130</v>
      </c>
      <c r="D124" s="109" t="s">
        <v>238</v>
      </c>
      <c r="E124" s="81" t="s">
        <v>239</v>
      </c>
      <c r="F124" s="52">
        <v>8.94</v>
      </c>
      <c r="G124" s="52">
        <f t="shared" si="9"/>
        <v>9.91</v>
      </c>
      <c r="H124" s="110"/>
      <c r="I124" s="81">
        <v>9.91</v>
      </c>
      <c r="J124" s="81">
        <f>VLOOKUP(C124,Recipes!$A$2:$N$4,12,FALSE())</f>
        <v>5.0137397426368718E-2</v>
      </c>
      <c r="K124" s="81">
        <f t="shared" si="10"/>
        <v>9.6091756154417887</v>
      </c>
      <c r="L124" s="81">
        <f t="shared" si="13"/>
        <v>10.210824384558212</v>
      </c>
      <c r="M124" s="81" t="str">
        <f t="shared" si="11"/>
        <v>OK</v>
      </c>
      <c r="N124" s="117">
        <f t="shared" si="14"/>
        <v>1</v>
      </c>
      <c r="O124" s="81">
        <f t="shared" si="12"/>
        <v>0</v>
      </c>
      <c r="P124" s="81">
        <f>IF(G124="","",ABS(O124-Components!$C$2))</f>
        <v>2.7533333333333299</v>
      </c>
      <c r="Q124" s="81">
        <f>IF(G124="","",ABS(O124-Components!$C$3))</f>
        <v>4.0359999999999996</v>
      </c>
      <c r="R124" s="81">
        <f>IF(G124="","",ABS(O124-Components!$C$4))</f>
        <v>0.99333333333333296</v>
      </c>
      <c r="S124" s="81">
        <f>IF(G124="","",ABS(O124-Components!$C$5))</f>
        <v>4.5626666666666704</v>
      </c>
      <c r="T124" s="81">
        <f>IF(G124="","",ABS(O124-Components!$C$6))</f>
        <v>1.15566666666667</v>
      </c>
      <c r="U124" s="81">
        <f>IF(G124="","",ABS(O124-Components!$C$7))</f>
        <v>1.3743333333333301</v>
      </c>
      <c r="V124" s="81" t="str">
        <f>IF(G124="","",IF(M124="OK","NONE",INDEX({"S1","S2","W1","W2","N1","N2"},MATCH(MIN(P124:U124),P124:U124,0))))</f>
        <v>NONE</v>
      </c>
      <c r="W124" s="117">
        <f t="shared" si="15"/>
        <v>1</v>
      </c>
      <c r="X124" s="119"/>
    </row>
    <row r="125" spans="1:24">
      <c r="A125" s="115">
        <v>123</v>
      </c>
      <c r="B125" s="116">
        <v>5</v>
      </c>
      <c r="C125" s="81" t="s">
        <v>130</v>
      </c>
      <c r="D125" s="109" t="s">
        <v>238</v>
      </c>
      <c r="E125" s="81" t="s">
        <v>239</v>
      </c>
      <c r="F125" s="52">
        <v>8.94</v>
      </c>
      <c r="G125" s="52">
        <f t="shared" si="9"/>
        <v>9.91</v>
      </c>
      <c r="H125" s="110"/>
      <c r="I125" s="81">
        <v>9.91</v>
      </c>
      <c r="J125" s="81">
        <f>VLOOKUP(C125,Recipes!$A$2:$N$4,12,FALSE())</f>
        <v>5.0137397426368718E-2</v>
      </c>
      <c r="K125" s="81">
        <f t="shared" si="10"/>
        <v>9.6091756154417887</v>
      </c>
      <c r="L125" s="81">
        <f t="shared" si="13"/>
        <v>10.210824384558212</v>
      </c>
      <c r="M125" s="81" t="str">
        <f t="shared" si="11"/>
        <v>OK</v>
      </c>
      <c r="N125" s="117">
        <f t="shared" si="14"/>
        <v>1</v>
      </c>
      <c r="O125" s="81">
        <f t="shared" si="12"/>
        <v>0</v>
      </c>
      <c r="P125" s="81">
        <f>IF(G125="","",ABS(O125-Components!$C$2))</f>
        <v>2.7533333333333299</v>
      </c>
      <c r="Q125" s="81">
        <f>IF(G125="","",ABS(O125-Components!$C$3))</f>
        <v>4.0359999999999996</v>
      </c>
      <c r="R125" s="81">
        <f>IF(G125="","",ABS(O125-Components!$C$4))</f>
        <v>0.99333333333333296</v>
      </c>
      <c r="S125" s="81">
        <f>IF(G125="","",ABS(O125-Components!$C$5))</f>
        <v>4.5626666666666704</v>
      </c>
      <c r="T125" s="81">
        <f>IF(G125="","",ABS(O125-Components!$C$6))</f>
        <v>1.15566666666667</v>
      </c>
      <c r="U125" s="81">
        <f>IF(G125="","",ABS(O125-Components!$C$7))</f>
        <v>1.3743333333333301</v>
      </c>
      <c r="V125" s="81" t="str">
        <f>IF(G125="","",IF(M125="OK","NONE",INDEX({"S1","S2","W1","W2","N1","N2"},MATCH(MIN(P125:U125),P125:U125,0))))</f>
        <v>NONE</v>
      </c>
      <c r="W125" s="117">
        <f t="shared" si="15"/>
        <v>1</v>
      </c>
      <c r="X125" s="119"/>
    </row>
    <row r="126" spans="1:24">
      <c r="A126" s="115">
        <v>124</v>
      </c>
      <c r="B126" s="116">
        <v>5</v>
      </c>
      <c r="C126" s="81" t="s">
        <v>130</v>
      </c>
      <c r="D126" s="109" t="s">
        <v>238</v>
      </c>
      <c r="E126" s="81" t="s">
        <v>239</v>
      </c>
      <c r="F126" s="52">
        <v>8.89</v>
      </c>
      <c r="G126" s="52">
        <f t="shared" si="9"/>
        <v>9.8600000000000012</v>
      </c>
      <c r="H126" s="110"/>
      <c r="I126" s="81">
        <v>9.91</v>
      </c>
      <c r="J126" s="81">
        <f>VLOOKUP(C126,Recipes!$A$2:$N$4,12,FALSE())</f>
        <v>5.0137397426368718E-2</v>
      </c>
      <c r="K126" s="81">
        <f t="shared" si="10"/>
        <v>9.6091756154417887</v>
      </c>
      <c r="L126" s="81">
        <f t="shared" si="13"/>
        <v>10.210824384558212</v>
      </c>
      <c r="M126" s="81" t="str">
        <f t="shared" si="11"/>
        <v>OK</v>
      </c>
      <c r="N126" s="117">
        <f t="shared" si="14"/>
        <v>1</v>
      </c>
      <c r="O126" s="81">
        <f t="shared" si="12"/>
        <v>4.9999999999998934E-2</v>
      </c>
      <c r="P126" s="81">
        <f>IF(G126="","",ABS(O126-Components!$C$2))</f>
        <v>2.7033333333333309</v>
      </c>
      <c r="Q126" s="81">
        <f>IF(G126="","",ABS(O126-Components!$C$3))</f>
        <v>3.9860000000000007</v>
      </c>
      <c r="R126" s="81">
        <f>IF(G126="","",ABS(O126-Components!$C$4))</f>
        <v>0.94333333333333402</v>
      </c>
      <c r="S126" s="81">
        <f>IF(G126="","",ABS(O126-Components!$C$5))</f>
        <v>4.5126666666666715</v>
      </c>
      <c r="T126" s="81">
        <f>IF(G126="","",ABS(O126-Components!$C$6))</f>
        <v>1.105666666666671</v>
      </c>
      <c r="U126" s="81">
        <f>IF(G126="","",ABS(O126-Components!$C$7))</f>
        <v>1.3243333333333311</v>
      </c>
      <c r="V126" s="81" t="str">
        <f>IF(G126="","",IF(M126="OK","NONE",INDEX({"S1","S2","W1","W2","N1","N2"},MATCH(MIN(P126:U126),P126:U126,0))))</f>
        <v>NONE</v>
      </c>
      <c r="W126" s="117">
        <f t="shared" si="15"/>
        <v>1</v>
      </c>
      <c r="X126" s="119"/>
    </row>
    <row r="127" spans="1:24">
      <c r="A127" s="115">
        <v>125</v>
      </c>
      <c r="B127" s="116">
        <v>5</v>
      </c>
      <c r="C127" s="81" t="s">
        <v>130</v>
      </c>
      <c r="D127" s="109" t="s">
        <v>238</v>
      </c>
      <c r="E127" s="81" t="s">
        <v>239</v>
      </c>
      <c r="F127" s="52">
        <v>8.89</v>
      </c>
      <c r="G127" s="52">
        <f t="shared" si="9"/>
        <v>9.8600000000000012</v>
      </c>
      <c r="H127" s="110"/>
      <c r="I127" s="81">
        <v>9.91</v>
      </c>
      <c r="J127" s="81">
        <f>VLOOKUP(C127,Recipes!$A$2:$N$4,12,FALSE())</f>
        <v>5.0137397426368718E-2</v>
      </c>
      <c r="K127" s="81">
        <f t="shared" si="10"/>
        <v>9.6091756154417887</v>
      </c>
      <c r="L127" s="81">
        <f t="shared" si="13"/>
        <v>10.210824384558212</v>
      </c>
      <c r="M127" s="81" t="str">
        <f t="shared" si="11"/>
        <v>OK</v>
      </c>
      <c r="N127" s="117">
        <f t="shared" si="14"/>
        <v>1</v>
      </c>
      <c r="O127" s="81">
        <f t="shared" si="12"/>
        <v>4.9999999999998934E-2</v>
      </c>
      <c r="P127" s="81">
        <f>IF(G127="","",ABS(O127-Components!$C$2))</f>
        <v>2.7033333333333309</v>
      </c>
      <c r="Q127" s="81">
        <f>IF(G127="","",ABS(O127-Components!$C$3))</f>
        <v>3.9860000000000007</v>
      </c>
      <c r="R127" s="81">
        <f>IF(G127="","",ABS(O127-Components!$C$4))</f>
        <v>0.94333333333333402</v>
      </c>
      <c r="S127" s="81">
        <f>IF(G127="","",ABS(O127-Components!$C$5))</f>
        <v>4.5126666666666715</v>
      </c>
      <c r="T127" s="81">
        <f>IF(G127="","",ABS(O127-Components!$C$6))</f>
        <v>1.105666666666671</v>
      </c>
      <c r="U127" s="81">
        <f>IF(G127="","",ABS(O127-Components!$C$7))</f>
        <v>1.3243333333333311</v>
      </c>
      <c r="V127" s="81" t="str">
        <f>IF(G127="","",IF(M127="OK","NONE",INDEX({"S1","S2","W1","W2","N1","N2"},MATCH(MIN(P127:U127),P127:U127,0))))</f>
        <v>NONE</v>
      </c>
      <c r="W127" s="117">
        <f t="shared" si="15"/>
        <v>1</v>
      </c>
      <c r="X127" s="119"/>
    </row>
    <row r="128" spans="1:24">
      <c r="A128" s="115">
        <v>126</v>
      </c>
      <c r="B128" s="116">
        <v>5</v>
      </c>
      <c r="C128" s="81" t="s">
        <v>130</v>
      </c>
      <c r="D128" s="109" t="s">
        <v>238</v>
      </c>
      <c r="E128" s="81" t="s">
        <v>239</v>
      </c>
      <c r="F128" s="61">
        <v>8.8800000000000008</v>
      </c>
      <c r="G128" s="52">
        <f t="shared" si="9"/>
        <v>9.8500000000000014</v>
      </c>
      <c r="H128" s="110"/>
      <c r="I128" s="81">
        <v>9.91</v>
      </c>
      <c r="J128" s="81">
        <f>VLOOKUP(C128,Recipes!$A$2:$N$4,12,FALSE())</f>
        <v>5.0137397426368718E-2</v>
      </c>
      <c r="K128" s="81">
        <f t="shared" si="10"/>
        <v>9.6091756154417887</v>
      </c>
      <c r="L128" s="81">
        <f t="shared" si="13"/>
        <v>10.210824384558212</v>
      </c>
      <c r="M128" s="81" t="str">
        <f t="shared" si="11"/>
        <v>OK</v>
      </c>
      <c r="N128" s="117">
        <f t="shared" si="14"/>
        <v>1</v>
      </c>
      <c r="O128" s="81">
        <f t="shared" si="12"/>
        <v>5.9999999999998721E-2</v>
      </c>
      <c r="P128" s="81">
        <f>IF(G128="","",ABS(O128-Components!$C$2))</f>
        <v>2.6933333333333311</v>
      </c>
      <c r="Q128" s="81">
        <f>IF(G128="","",ABS(O128-Components!$C$3))</f>
        <v>3.9760000000000009</v>
      </c>
      <c r="R128" s="81">
        <f>IF(G128="","",ABS(O128-Components!$C$4))</f>
        <v>0.93333333333333424</v>
      </c>
      <c r="S128" s="81">
        <f>IF(G128="","",ABS(O128-Components!$C$5))</f>
        <v>4.5026666666666717</v>
      </c>
      <c r="T128" s="81">
        <f>IF(G128="","",ABS(O128-Components!$C$6))</f>
        <v>1.0956666666666712</v>
      </c>
      <c r="U128" s="81">
        <f>IF(G128="","",ABS(O128-Components!$C$7))</f>
        <v>1.3143333333333314</v>
      </c>
      <c r="V128" s="81" t="str">
        <f>IF(G128="","",IF(M128="OK","NONE",INDEX({"S1","S2","W1","W2","N1","N2"},MATCH(MIN(P128:U128),P128:U128,0))))</f>
        <v>NONE</v>
      </c>
      <c r="W128" s="117">
        <f t="shared" si="15"/>
        <v>1</v>
      </c>
      <c r="X128" s="119"/>
    </row>
    <row r="129" spans="1:24">
      <c r="A129" s="115">
        <v>127</v>
      </c>
      <c r="B129" s="116">
        <v>5</v>
      </c>
      <c r="C129" s="81" t="s">
        <v>130</v>
      </c>
      <c r="D129" s="109" t="s">
        <v>238</v>
      </c>
      <c r="E129" s="81" t="s">
        <v>239</v>
      </c>
      <c r="F129" s="61">
        <v>8.91</v>
      </c>
      <c r="G129" s="52">
        <f t="shared" si="9"/>
        <v>9.8800000000000008</v>
      </c>
      <c r="H129" s="110"/>
      <c r="I129" s="81">
        <v>9.91</v>
      </c>
      <c r="J129" s="81">
        <f>VLOOKUP(C129,Recipes!$A$2:$N$4,12,FALSE())</f>
        <v>5.0137397426368718E-2</v>
      </c>
      <c r="K129" s="81">
        <f t="shared" si="10"/>
        <v>9.6091756154417887</v>
      </c>
      <c r="L129" s="81">
        <f t="shared" si="13"/>
        <v>10.210824384558212</v>
      </c>
      <c r="M129" s="81" t="str">
        <f t="shared" si="11"/>
        <v>OK</v>
      </c>
      <c r="N129" s="117">
        <f t="shared" si="14"/>
        <v>1</v>
      </c>
      <c r="O129" s="81">
        <f t="shared" si="12"/>
        <v>2.9999999999999361E-2</v>
      </c>
      <c r="P129" s="81">
        <f>IF(G129="","",ABS(O129-Components!$C$2))</f>
        <v>2.7233333333333305</v>
      </c>
      <c r="Q129" s="81">
        <f>IF(G129="","",ABS(O129-Components!$C$3))</f>
        <v>4.0060000000000002</v>
      </c>
      <c r="R129" s="81">
        <f>IF(G129="","",ABS(O129-Components!$C$4))</f>
        <v>0.9633333333333336</v>
      </c>
      <c r="S129" s="81">
        <f>IF(G129="","",ABS(O129-Components!$C$5))</f>
        <v>4.5326666666666711</v>
      </c>
      <c r="T129" s="81">
        <f>IF(G129="","",ABS(O129-Components!$C$6))</f>
        <v>1.1256666666666706</v>
      </c>
      <c r="U129" s="81">
        <f>IF(G129="","",ABS(O129-Components!$C$7))</f>
        <v>1.3443333333333307</v>
      </c>
      <c r="V129" s="81" t="str">
        <f>IF(G129="","",IF(M129="OK","NONE",INDEX({"S1","S2","W1","W2","N1","N2"},MATCH(MIN(P129:U129),P129:U129,0))))</f>
        <v>NONE</v>
      </c>
      <c r="W129" s="117">
        <f t="shared" si="15"/>
        <v>1</v>
      </c>
      <c r="X129" s="119"/>
    </row>
    <row r="130" spans="1:24">
      <c r="A130" s="115">
        <v>128</v>
      </c>
      <c r="B130" s="116">
        <v>5</v>
      </c>
      <c r="C130" s="81" t="s">
        <v>130</v>
      </c>
      <c r="D130" s="109" t="s">
        <v>238</v>
      </c>
      <c r="E130" s="81" t="s">
        <v>239</v>
      </c>
      <c r="F130" s="61">
        <v>8.85</v>
      </c>
      <c r="G130" s="52">
        <f t="shared" si="9"/>
        <v>9.82</v>
      </c>
      <c r="H130" s="110"/>
      <c r="I130" s="81">
        <v>9.91</v>
      </c>
      <c r="J130" s="81">
        <f>VLOOKUP(C130,Recipes!$A$2:$N$4,12,FALSE())</f>
        <v>5.0137397426368718E-2</v>
      </c>
      <c r="K130" s="81">
        <f t="shared" si="10"/>
        <v>9.6091756154417887</v>
      </c>
      <c r="L130" s="81">
        <f t="shared" si="13"/>
        <v>10.210824384558212</v>
      </c>
      <c r="M130" s="81" t="str">
        <f t="shared" si="11"/>
        <v>OK</v>
      </c>
      <c r="N130" s="117">
        <f t="shared" si="14"/>
        <v>1</v>
      </c>
      <c r="O130" s="81">
        <f t="shared" si="12"/>
        <v>8.9999999999999858E-2</v>
      </c>
      <c r="P130" s="81">
        <f>IF(G130="","",ABS(O130-Components!$C$2))</f>
        <v>2.66333333333333</v>
      </c>
      <c r="Q130" s="81">
        <f>IF(G130="","",ABS(O130-Components!$C$3))</f>
        <v>3.9459999999999997</v>
      </c>
      <c r="R130" s="81">
        <f>IF(G130="","",ABS(O130-Components!$C$4))</f>
        <v>0.9033333333333331</v>
      </c>
      <c r="S130" s="81">
        <f>IF(G130="","",ABS(O130-Components!$C$5))</f>
        <v>4.4726666666666706</v>
      </c>
      <c r="T130" s="81">
        <f>IF(G130="","",ABS(O130-Components!$C$6))</f>
        <v>1.0656666666666701</v>
      </c>
      <c r="U130" s="81">
        <f>IF(G130="","",ABS(O130-Components!$C$7))</f>
        <v>1.2843333333333302</v>
      </c>
      <c r="V130" s="81" t="str">
        <f>IF(G130="","",IF(M130="OK","NONE",INDEX({"S1","S2","W1","W2","N1","N2"},MATCH(MIN(P130:U130),P130:U130,0))))</f>
        <v>NONE</v>
      </c>
      <c r="W130" s="117">
        <f t="shared" si="15"/>
        <v>1</v>
      </c>
      <c r="X130" s="119"/>
    </row>
    <row r="131" spans="1:24">
      <c r="A131" s="115">
        <v>129</v>
      </c>
      <c r="B131" s="116">
        <v>5</v>
      </c>
      <c r="C131" s="81" t="s">
        <v>130</v>
      </c>
      <c r="D131" s="109" t="s">
        <v>238</v>
      </c>
      <c r="E131" s="81" t="s">
        <v>239</v>
      </c>
      <c r="F131" s="61">
        <v>8.8800000000000008</v>
      </c>
      <c r="G131" s="52">
        <f t="shared" ref="G131:G194" si="16">0.97+F131</f>
        <v>9.8500000000000014</v>
      </c>
      <c r="H131" s="110"/>
      <c r="I131" s="81">
        <v>9.91</v>
      </c>
      <c r="J131" s="81">
        <f>VLOOKUP(C131,Recipes!$A$2:$N$4,12,FALSE())</f>
        <v>5.0137397426368718E-2</v>
      </c>
      <c r="K131" s="81">
        <f t="shared" ref="K131:K194" si="17">I131-6*J131</f>
        <v>9.6091756154417887</v>
      </c>
      <c r="L131" s="81">
        <f t="shared" si="13"/>
        <v>10.210824384558212</v>
      </c>
      <c r="M131" s="81" t="str">
        <f t="shared" ref="M131:M194" si="18">IF(G131="","",IF(AND(G131&gt;=K131,G131&lt;=L131),"OK","NG"))</f>
        <v>OK</v>
      </c>
      <c r="N131" s="117">
        <f t="shared" si="14"/>
        <v>1</v>
      </c>
      <c r="O131" s="81">
        <f t="shared" ref="O131:O194" si="19">IF(G131="","",I131-G131)</f>
        <v>5.9999999999998721E-2</v>
      </c>
      <c r="P131" s="81">
        <f>IF(G131="","",ABS(O131-Components!$C$2))</f>
        <v>2.6933333333333311</v>
      </c>
      <c r="Q131" s="81">
        <f>IF(G131="","",ABS(O131-Components!$C$3))</f>
        <v>3.9760000000000009</v>
      </c>
      <c r="R131" s="81">
        <f>IF(G131="","",ABS(O131-Components!$C$4))</f>
        <v>0.93333333333333424</v>
      </c>
      <c r="S131" s="81">
        <f>IF(G131="","",ABS(O131-Components!$C$5))</f>
        <v>4.5026666666666717</v>
      </c>
      <c r="T131" s="81">
        <f>IF(G131="","",ABS(O131-Components!$C$6))</f>
        <v>1.0956666666666712</v>
      </c>
      <c r="U131" s="81">
        <f>IF(G131="","",ABS(O131-Components!$C$7))</f>
        <v>1.3143333333333314</v>
      </c>
      <c r="V131" s="81" t="str">
        <f>IF(G131="","",IF(M131="OK","NONE",INDEX({"S1","S2","W1","W2","N1","N2"},MATCH(MIN(P131:U131),P131:U131,0))))</f>
        <v>NONE</v>
      </c>
      <c r="W131" s="117">
        <f t="shared" si="15"/>
        <v>1</v>
      </c>
      <c r="X131" s="119"/>
    </row>
    <row r="132" spans="1:24">
      <c r="A132" s="115">
        <v>130</v>
      </c>
      <c r="B132" s="116">
        <v>5</v>
      </c>
      <c r="C132" s="81" t="s">
        <v>130</v>
      </c>
      <c r="D132" s="109" t="s">
        <v>238</v>
      </c>
      <c r="E132" s="81" t="s">
        <v>239</v>
      </c>
      <c r="F132" s="61">
        <v>8.8699999999999992</v>
      </c>
      <c r="G132" s="52">
        <f t="shared" si="16"/>
        <v>9.84</v>
      </c>
      <c r="H132" s="110"/>
      <c r="I132" s="81">
        <v>9.91</v>
      </c>
      <c r="J132" s="81">
        <f>VLOOKUP(C132,Recipes!$A$2:$N$4,12,FALSE())</f>
        <v>5.0137397426368718E-2</v>
      </c>
      <c r="K132" s="81">
        <f t="shared" si="17"/>
        <v>9.6091756154417887</v>
      </c>
      <c r="L132" s="81">
        <f t="shared" ref="L132:L195" si="20">I132+6*J132</f>
        <v>10.210824384558212</v>
      </c>
      <c r="M132" s="81" t="str">
        <f t="shared" si="18"/>
        <v>OK</v>
      </c>
      <c r="N132" s="117">
        <f t="shared" ref="N132:N195" si="21">IF(M132="","",IF(M132=D132,1,0))</f>
        <v>1</v>
      </c>
      <c r="O132" s="81">
        <f t="shared" si="19"/>
        <v>7.0000000000000284E-2</v>
      </c>
      <c r="P132" s="81">
        <f>IF(G132="","",ABS(O132-Components!$C$2))</f>
        <v>2.6833333333333296</v>
      </c>
      <c r="Q132" s="81">
        <f>IF(G132="","",ABS(O132-Components!$C$3))</f>
        <v>3.9659999999999993</v>
      </c>
      <c r="R132" s="81">
        <f>IF(G132="","",ABS(O132-Components!$C$4))</f>
        <v>0.92333333333333267</v>
      </c>
      <c r="S132" s="81">
        <f>IF(G132="","",ABS(O132-Components!$C$5))</f>
        <v>4.4926666666666701</v>
      </c>
      <c r="T132" s="81">
        <f>IF(G132="","",ABS(O132-Components!$C$6))</f>
        <v>1.0856666666666697</v>
      </c>
      <c r="U132" s="81">
        <f>IF(G132="","",ABS(O132-Components!$C$7))</f>
        <v>1.3043333333333298</v>
      </c>
      <c r="V132" s="81" t="str">
        <f>IF(G132="","",IF(M132="OK","NONE",INDEX({"S1","S2","W1","W2","N1","N2"},MATCH(MIN(P132:U132),P132:U132,0))))</f>
        <v>NONE</v>
      </c>
      <c r="W132" s="117">
        <f t="shared" ref="W132:W195" si="22">IF(G132="","",IF(V132=E132,1,0))</f>
        <v>1</v>
      </c>
      <c r="X132" s="119"/>
    </row>
    <row r="133" spans="1:24">
      <c r="A133" s="115">
        <v>131</v>
      </c>
      <c r="B133" s="116">
        <v>5</v>
      </c>
      <c r="C133" s="81" t="s">
        <v>130</v>
      </c>
      <c r="D133" s="109" t="s">
        <v>238</v>
      </c>
      <c r="E133" s="81" t="s">
        <v>239</v>
      </c>
      <c r="F133" s="61">
        <v>8.89</v>
      </c>
      <c r="G133" s="52">
        <f t="shared" si="16"/>
        <v>9.8600000000000012</v>
      </c>
      <c r="H133" s="110"/>
      <c r="I133" s="81">
        <v>9.91</v>
      </c>
      <c r="J133" s="81">
        <f>VLOOKUP(C133,Recipes!$A$2:$N$4,12,FALSE())</f>
        <v>5.0137397426368718E-2</v>
      </c>
      <c r="K133" s="81">
        <f t="shared" si="17"/>
        <v>9.6091756154417887</v>
      </c>
      <c r="L133" s="81">
        <f t="shared" si="20"/>
        <v>10.210824384558212</v>
      </c>
      <c r="M133" s="81" t="str">
        <f t="shared" si="18"/>
        <v>OK</v>
      </c>
      <c r="N133" s="117">
        <f t="shared" si="21"/>
        <v>1</v>
      </c>
      <c r="O133" s="81">
        <f t="shared" si="19"/>
        <v>4.9999999999998934E-2</v>
      </c>
      <c r="P133" s="81">
        <f>IF(G133="","",ABS(O133-Components!$C$2))</f>
        <v>2.7033333333333309</v>
      </c>
      <c r="Q133" s="81">
        <f>IF(G133="","",ABS(O133-Components!$C$3))</f>
        <v>3.9860000000000007</v>
      </c>
      <c r="R133" s="81">
        <f>IF(G133="","",ABS(O133-Components!$C$4))</f>
        <v>0.94333333333333402</v>
      </c>
      <c r="S133" s="81">
        <f>IF(G133="","",ABS(O133-Components!$C$5))</f>
        <v>4.5126666666666715</v>
      </c>
      <c r="T133" s="81">
        <f>IF(G133="","",ABS(O133-Components!$C$6))</f>
        <v>1.105666666666671</v>
      </c>
      <c r="U133" s="81">
        <f>IF(G133="","",ABS(O133-Components!$C$7))</f>
        <v>1.3243333333333311</v>
      </c>
      <c r="V133" s="81" t="str">
        <f>IF(G133="","",IF(M133="OK","NONE",INDEX({"S1","S2","W1","W2","N1","N2"},MATCH(MIN(P133:U133),P133:U133,0))))</f>
        <v>NONE</v>
      </c>
      <c r="W133" s="117">
        <f t="shared" si="22"/>
        <v>1</v>
      </c>
      <c r="X133" s="119"/>
    </row>
    <row r="134" spans="1:24">
      <c r="A134" s="115">
        <v>132</v>
      </c>
      <c r="B134" s="116">
        <v>5</v>
      </c>
      <c r="C134" s="81" t="s">
        <v>130</v>
      </c>
      <c r="D134" s="109" t="s">
        <v>238</v>
      </c>
      <c r="E134" s="81" t="s">
        <v>239</v>
      </c>
      <c r="F134" s="61">
        <v>8.8699999999999992</v>
      </c>
      <c r="G134" s="52">
        <f t="shared" si="16"/>
        <v>9.84</v>
      </c>
      <c r="H134" s="110"/>
      <c r="I134" s="81">
        <v>9.91</v>
      </c>
      <c r="J134" s="81">
        <f>VLOOKUP(C134,Recipes!$A$2:$N$4,12,FALSE())</f>
        <v>5.0137397426368718E-2</v>
      </c>
      <c r="K134" s="81">
        <f t="shared" si="17"/>
        <v>9.6091756154417887</v>
      </c>
      <c r="L134" s="81">
        <f t="shared" si="20"/>
        <v>10.210824384558212</v>
      </c>
      <c r="M134" s="81" t="str">
        <f t="shared" si="18"/>
        <v>OK</v>
      </c>
      <c r="N134" s="117">
        <f t="shared" si="21"/>
        <v>1</v>
      </c>
      <c r="O134" s="81">
        <f t="shared" si="19"/>
        <v>7.0000000000000284E-2</v>
      </c>
      <c r="P134" s="81">
        <f>IF(G134="","",ABS(O134-Components!$C$2))</f>
        <v>2.6833333333333296</v>
      </c>
      <c r="Q134" s="81">
        <f>IF(G134="","",ABS(O134-Components!$C$3))</f>
        <v>3.9659999999999993</v>
      </c>
      <c r="R134" s="81">
        <f>IF(G134="","",ABS(O134-Components!$C$4))</f>
        <v>0.92333333333333267</v>
      </c>
      <c r="S134" s="81">
        <f>IF(G134="","",ABS(O134-Components!$C$5))</f>
        <v>4.4926666666666701</v>
      </c>
      <c r="T134" s="81">
        <f>IF(G134="","",ABS(O134-Components!$C$6))</f>
        <v>1.0856666666666697</v>
      </c>
      <c r="U134" s="81">
        <f>IF(G134="","",ABS(O134-Components!$C$7))</f>
        <v>1.3043333333333298</v>
      </c>
      <c r="V134" s="81" t="str">
        <f>IF(G134="","",IF(M134="OK","NONE",INDEX({"S1","S2","W1","W2","N1","N2"},MATCH(MIN(P134:U134),P134:U134,0))))</f>
        <v>NONE</v>
      </c>
      <c r="W134" s="117">
        <f t="shared" si="22"/>
        <v>1</v>
      </c>
      <c r="X134" s="119"/>
    </row>
    <row r="135" spans="1:24">
      <c r="A135" s="115">
        <v>133</v>
      </c>
      <c r="B135" s="116">
        <v>5</v>
      </c>
      <c r="C135" s="81" t="s">
        <v>130</v>
      </c>
      <c r="D135" s="109" t="s">
        <v>238</v>
      </c>
      <c r="E135" s="81" t="s">
        <v>239</v>
      </c>
      <c r="F135" s="61">
        <v>8.9700000000000006</v>
      </c>
      <c r="G135" s="52">
        <f t="shared" si="16"/>
        <v>9.9400000000000013</v>
      </c>
      <c r="H135" s="110"/>
      <c r="I135" s="81">
        <v>9.91</v>
      </c>
      <c r="J135" s="81">
        <f>VLOOKUP(C135,Recipes!$A$2:$N$4,12,FALSE())</f>
        <v>5.0137397426368718E-2</v>
      </c>
      <c r="K135" s="81">
        <f t="shared" si="17"/>
        <v>9.6091756154417887</v>
      </c>
      <c r="L135" s="81">
        <f t="shared" si="20"/>
        <v>10.210824384558212</v>
      </c>
      <c r="M135" s="81" t="str">
        <f t="shared" si="18"/>
        <v>OK</v>
      </c>
      <c r="N135" s="117">
        <f t="shared" si="21"/>
        <v>1</v>
      </c>
      <c r="O135" s="81">
        <f t="shared" si="19"/>
        <v>-3.0000000000001137E-2</v>
      </c>
      <c r="P135" s="81">
        <f>IF(G135="","",ABS(O135-Components!$C$2))</f>
        <v>2.783333333333331</v>
      </c>
      <c r="Q135" s="81">
        <f>IF(G135="","",ABS(O135-Components!$C$3))</f>
        <v>4.0660000000000007</v>
      </c>
      <c r="R135" s="81">
        <f>IF(G135="","",ABS(O135-Components!$C$4))</f>
        <v>1.0233333333333341</v>
      </c>
      <c r="S135" s="81">
        <f>IF(G135="","",ABS(O135-Components!$C$5))</f>
        <v>4.5926666666666716</v>
      </c>
      <c r="T135" s="81">
        <f>IF(G135="","",ABS(O135-Components!$C$6))</f>
        <v>1.1856666666666711</v>
      </c>
      <c r="U135" s="81">
        <f>IF(G135="","",ABS(O135-Components!$C$7))</f>
        <v>1.4043333333333312</v>
      </c>
      <c r="V135" s="81" t="str">
        <f>IF(G135="","",IF(M135="OK","NONE",INDEX({"S1","S2","W1","W2","N1","N2"},MATCH(MIN(P135:U135),P135:U135,0))))</f>
        <v>NONE</v>
      </c>
      <c r="W135" s="117">
        <f t="shared" si="22"/>
        <v>1</v>
      </c>
      <c r="X135" s="119"/>
    </row>
    <row r="136" spans="1:24">
      <c r="A136" s="115">
        <v>134</v>
      </c>
      <c r="B136" s="116">
        <v>5</v>
      </c>
      <c r="C136" s="81" t="s">
        <v>130</v>
      </c>
      <c r="D136" s="109" t="s">
        <v>238</v>
      </c>
      <c r="E136" s="81" t="s">
        <v>239</v>
      </c>
      <c r="F136" s="61">
        <v>8.94</v>
      </c>
      <c r="G136" s="52">
        <f t="shared" si="16"/>
        <v>9.91</v>
      </c>
      <c r="H136" s="110"/>
      <c r="I136" s="81">
        <v>9.91</v>
      </c>
      <c r="J136" s="81">
        <f>VLOOKUP(C136,Recipes!$A$2:$N$4,12,FALSE())</f>
        <v>5.0137397426368718E-2</v>
      </c>
      <c r="K136" s="81">
        <f t="shared" si="17"/>
        <v>9.6091756154417887</v>
      </c>
      <c r="L136" s="81">
        <f t="shared" si="20"/>
        <v>10.210824384558212</v>
      </c>
      <c r="M136" s="81" t="str">
        <f t="shared" si="18"/>
        <v>OK</v>
      </c>
      <c r="N136" s="117">
        <f t="shared" si="21"/>
        <v>1</v>
      </c>
      <c r="O136" s="81">
        <f t="shared" si="19"/>
        <v>0</v>
      </c>
      <c r="P136" s="81">
        <f>IF(G136="","",ABS(O136-Components!$C$2))</f>
        <v>2.7533333333333299</v>
      </c>
      <c r="Q136" s="81">
        <f>IF(G136="","",ABS(O136-Components!$C$3))</f>
        <v>4.0359999999999996</v>
      </c>
      <c r="R136" s="81">
        <f>IF(G136="","",ABS(O136-Components!$C$4))</f>
        <v>0.99333333333333296</v>
      </c>
      <c r="S136" s="81">
        <f>IF(G136="","",ABS(O136-Components!$C$5))</f>
        <v>4.5626666666666704</v>
      </c>
      <c r="T136" s="81">
        <f>IF(G136="","",ABS(O136-Components!$C$6))</f>
        <v>1.15566666666667</v>
      </c>
      <c r="U136" s="81">
        <f>IF(G136="","",ABS(O136-Components!$C$7))</f>
        <v>1.3743333333333301</v>
      </c>
      <c r="V136" s="81" t="str">
        <f>IF(G136="","",IF(M136="OK","NONE",INDEX({"S1","S2","W1","W2","N1","N2"},MATCH(MIN(P136:U136),P136:U136,0))))</f>
        <v>NONE</v>
      </c>
      <c r="W136" s="117">
        <f t="shared" si="22"/>
        <v>1</v>
      </c>
      <c r="X136" s="119"/>
    </row>
    <row r="137" spans="1:24">
      <c r="A137" s="115">
        <v>135</v>
      </c>
      <c r="B137" s="116">
        <v>5</v>
      </c>
      <c r="C137" s="81" t="s">
        <v>130</v>
      </c>
      <c r="D137" s="109" t="s">
        <v>238</v>
      </c>
      <c r="E137" s="81" t="s">
        <v>239</v>
      </c>
      <c r="F137" s="61">
        <v>8.89</v>
      </c>
      <c r="G137" s="52">
        <f t="shared" si="16"/>
        <v>9.8600000000000012</v>
      </c>
      <c r="H137" s="110"/>
      <c r="I137" s="81">
        <v>9.91</v>
      </c>
      <c r="J137" s="81">
        <f>VLOOKUP(C137,Recipes!$A$2:$N$4,12,FALSE())</f>
        <v>5.0137397426368718E-2</v>
      </c>
      <c r="K137" s="81">
        <f t="shared" si="17"/>
        <v>9.6091756154417887</v>
      </c>
      <c r="L137" s="81">
        <f t="shared" si="20"/>
        <v>10.210824384558212</v>
      </c>
      <c r="M137" s="81" t="str">
        <f t="shared" si="18"/>
        <v>OK</v>
      </c>
      <c r="N137" s="117">
        <f t="shared" si="21"/>
        <v>1</v>
      </c>
      <c r="O137" s="81">
        <f t="shared" si="19"/>
        <v>4.9999999999998934E-2</v>
      </c>
      <c r="P137" s="81">
        <f>IF(G137="","",ABS(O137-Components!$C$2))</f>
        <v>2.7033333333333309</v>
      </c>
      <c r="Q137" s="81">
        <f>IF(G137="","",ABS(O137-Components!$C$3))</f>
        <v>3.9860000000000007</v>
      </c>
      <c r="R137" s="81">
        <f>IF(G137="","",ABS(O137-Components!$C$4))</f>
        <v>0.94333333333333402</v>
      </c>
      <c r="S137" s="81">
        <f>IF(G137="","",ABS(O137-Components!$C$5))</f>
        <v>4.5126666666666715</v>
      </c>
      <c r="T137" s="81">
        <f>IF(G137="","",ABS(O137-Components!$C$6))</f>
        <v>1.105666666666671</v>
      </c>
      <c r="U137" s="81">
        <f>IF(G137="","",ABS(O137-Components!$C$7))</f>
        <v>1.3243333333333311</v>
      </c>
      <c r="V137" s="81" t="str">
        <f>IF(G137="","",IF(M137="OK","NONE",INDEX({"S1","S2","W1","W2","N1","N2"},MATCH(MIN(P137:U137),P137:U137,0))))</f>
        <v>NONE</v>
      </c>
      <c r="W137" s="117">
        <f t="shared" si="22"/>
        <v>1</v>
      </c>
      <c r="X137" s="119"/>
    </row>
    <row r="138" spans="1:24">
      <c r="A138" s="115">
        <v>136</v>
      </c>
      <c r="B138" s="116">
        <v>5</v>
      </c>
      <c r="C138" s="81" t="s">
        <v>130</v>
      </c>
      <c r="D138" s="109" t="s">
        <v>238</v>
      </c>
      <c r="E138" s="81" t="s">
        <v>239</v>
      </c>
      <c r="F138" s="61">
        <v>8.8800000000000008</v>
      </c>
      <c r="G138" s="52">
        <f t="shared" si="16"/>
        <v>9.8500000000000014</v>
      </c>
      <c r="H138" s="110"/>
      <c r="I138" s="81">
        <v>9.91</v>
      </c>
      <c r="J138" s="81">
        <f>VLOOKUP(C138,Recipes!$A$2:$N$4,12,FALSE())</f>
        <v>5.0137397426368718E-2</v>
      </c>
      <c r="K138" s="81">
        <f t="shared" si="17"/>
        <v>9.6091756154417887</v>
      </c>
      <c r="L138" s="81">
        <f t="shared" si="20"/>
        <v>10.210824384558212</v>
      </c>
      <c r="M138" s="81" t="str">
        <f t="shared" si="18"/>
        <v>OK</v>
      </c>
      <c r="N138" s="117">
        <f t="shared" si="21"/>
        <v>1</v>
      </c>
      <c r="O138" s="81">
        <f t="shared" si="19"/>
        <v>5.9999999999998721E-2</v>
      </c>
      <c r="P138" s="81">
        <f>IF(G138="","",ABS(O138-Components!$C$2))</f>
        <v>2.6933333333333311</v>
      </c>
      <c r="Q138" s="81">
        <f>IF(G138="","",ABS(O138-Components!$C$3))</f>
        <v>3.9760000000000009</v>
      </c>
      <c r="R138" s="81">
        <f>IF(G138="","",ABS(O138-Components!$C$4))</f>
        <v>0.93333333333333424</v>
      </c>
      <c r="S138" s="81">
        <f>IF(G138="","",ABS(O138-Components!$C$5))</f>
        <v>4.5026666666666717</v>
      </c>
      <c r="T138" s="81">
        <f>IF(G138="","",ABS(O138-Components!$C$6))</f>
        <v>1.0956666666666712</v>
      </c>
      <c r="U138" s="81">
        <f>IF(G138="","",ABS(O138-Components!$C$7))</f>
        <v>1.3143333333333314</v>
      </c>
      <c r="V138" s="81" t="str">
        <f>IF(G138="","",IF(M138="OK","NONE",INDEX({"S1","S2","W1","W2","N1","N2"},MATCH(MIN(P138:U138),P138:U138,0))))</f>
        <v>NONE</v>
      </c>
      <c r="W138" s="117">
        <f t="shared" si="22"/>
        <v>1</v>
      </c>
      <c r="X138" s="119"/>
    </row>
    <row r="139" spans="1:24">
      <c r="A139" s="115">
        <v>137</v>
      </c>
      <c r="B139" s="116">
        <v>5</v>
      </c>
      <c r="C139" s="81" t="s">
        <v>130</v>
      </c>
      <c r="D139" s="109" t="s">
        <v>238</v>
      </c>
      <c r="E139" s="81" t="s">
        <v>239</v>
      </c>
      <c r="F139" s="61">
        <v>8.93</v>
      </c>
      <c r="G139" s="52">
        <f t="shared" si="16"/>
        <v>9.9</v>
      </c>
      <c r="H139" s="110"/>
      <c r="I139" s="81">
        <v>9.91</v>
      </c>
      <c r="J139" s="81">
        <f>VLOOKUP(C139,Recipes!$A$2:$N$4,12,FALSE())</f>
        <v>5.0137397426368718E-2</v>
      </c>
      <c r="K139" s="81">
        <f t="shared" si="17"/>
        <v>9.6091756154417887</v>
      </c>
      <c r="L139" s="81">
        <f t="shared" si="20"/>
        <v>10.210824384558212</v>
      </c>
      <c r="M139" s="81" t="str">
        <f t="shared" si="18"/>
        <v>OK</v>
      </c>
      <c r="N139" s="117">
        <f t="shared" si="21"/>
        <v>1</v>
      </c>
      <c r="O139" s="81">
        <f t="shared" si="19"/>
        <v>9.9999999999997868E-3</v>
      </c>
      <c r="P139" s="81">
        <f>IF(G139="","",ABS(O139-Components!$C$2))</f>
        <v>2.7433333333333301</v>
      </c>
      <c r="Q139" s="81">
        <f>IF(G139="","",ABS(O139-Components!$C$3))</f>
        <v>4.0259999999999998</v>
      </c>
      <c r="R139" s="81">
        <f>IF(G139="","",ABS(O139-Components!$C$4))</f>
        <v>0.98333333333333317</v>
      </c>
      <c r="S139" s="81">
        <f>IF(G139="","",ABS(O139-Components!$C$5))</f>
        <v>4.5526666666666706</v>
      </c>
      <c r="T139" s="81">
        <f>IF(G139="","",ABS(O139-Components!$C$6))</f>
        <v>1.1456666666666702</v>
      </c>
      <c r="U139" s="81">
        <f>IF(G139="","",ABS(O139-Components!$C$7))</f>
        <v>1.3643333333333303</v>
      </c>
      <c r="V139" s="81" t="str">
        <f>IF(G139="","",IF(M139="OK","NONE",INDEX({"S1","S2","W1","W2","N1","N2"},MATCH(MIN(P139:U139),P139:U139,0))))</f>
        <v>NONE</v>
      </c>
      <c r="W139" s="117">
        <f t="shared" si="22"/>
        <v>1</v>
      </c>
      <c r="X139" s="119"/>
    </row>
    <row r="140" spans="1:24">
      <c r="A140" s="115">
        <v>138</v>
      </c>
      <c r="B140" s="116">
        <v>5</v>
      </c>
      <c r="C140" s="81" t="s">
        <v>130</v>
      </c>
      <c r="D140" s="109" t="s">
        <v>238</v>
      </c>
      <c r="E140" s="81" t="s">
        <v>239</v>
      </c>
      <c r="F140" s="61">
        <v>8.93</v>
      </c>
      <c r="G140" s="52">
        <f t="shared" si="16"/>
        <v>9.9</v>
      </c>
      <c r="H140" s="110"/>
      <c r="I140" s="81">
        <v>9.91</v>
      </c>
      <c r="J140" s="81">
        <f>VLOOKUP(C140,Recipes!$A$2:$N$4,12,FALSE())</f>
        <v>5.0137397426368718E-2</v>
      </c>
      <c r="K140" s="81">
        <f t="shared" si="17"/>
        <v>9.6091756154417887</v>
      </c>
      <c r="L140" s="81">
        <f t="shared" si="20"/>
        <v>10.210824384558212</v>
      </c>
      <c r="M140" s="81" t="str">
        <f t="shared" si="18"/>
        <v>OK</v>
      </c>
      <c r="N140" s="117">
        <f t="shared" si="21"/>
        <v>1</v>
      </c>
      <c r="O140" s="81">
        <f t="shared" si="19"/>
        <v>9.9999999999997868E-3</v>
      </c>
      <c r="P140" s="81">
        <f>IF(G140="","",ABS(O140-Components!$C$2))</f>
        <v>2.7433333333333301</v>
      </c>
      <c r="Q140" s="81">
        <f>IF(G140="","",ABS(O140-Components!$C$3))</f>
        <v>4.0259999999999998</v>
      </c>
      <c r="R140" s="81">
        <f>IF(G140="","",ABS(O140-Components!$C$4))</f>
        <v>0.98333333333333317</v>
      </c>
      <c r="S140" s="81">
        <f>IF(G140="","",ABS(O140-Components!$C$5))</f>
        <v>4.5526666666666706</v>
      </c>
      <c r="T140" s="81">
        <f>IF(G140="","",ABS(O140-Components!$C$6))</f>
        <v>1.1456666666666702</v>
      </c>
      <c r="U140" s="81">
        <f>IF(G140="","",ABS(O140-Components!$C$7))</f>
        <v>1.3643333333333303</v>
      </c>
      <c r="V140" s="81" t="str">
        <f>IF(G140="","",IF(M140="OK","NONE",INDEX({"S1","S2","W1","W2","N1","N2"},MATCH(MIN(P140:U140),P140:U140,0))))</f>
        <v>NONE</v>
      </c>
      <c r="W140" s="117">
        <f t="shared" si="22"/>
        <v>1</v>
      </c>
      <c r="X140" s="119"/>
    </row>
    <row r="141" spans="1:24">
      <c r="A141" s="115">
        <v>139</v>
      </c>
      <c r="B141" s="116">
        <v>5</v>
      </c>
      <c r="C141" s="81" t="s">
        <v>130</v>
      </c>
      <c r="D141" s="109" t="s">
        <v>238</v>
      </c>
      <c r="E141" s="81" t="s">
        <v>239</v>
      </c>
      <c r="F141" s="61">
        <v>8.92</v>
      </c>
      <c r="G141" s="52">
        <f t="shared" si="16"/>
        <v>9.89</v>
      </c>
      <c r="H141" s="110"/>
      <c r="I141" s="81">
        <v>9.91</v>
      </c>
      <c r="J141" s="81">
        <f>VLOOKUP(C141,Recipes!$A$2:$N$4,12,FALSE())</f>
        <v>5.0137397426368718E-2</v>
      </c>
      <c r="K141" s="81">
        <f t="shared" si="17"/>
        <v>9.6091756154417887</v>
      </c>
      <c r="L141" s="81">
        <f t="shared" si="20"/>
        <v>10.210824384558212</v>
      </c>
      <c r="M141" s="81" t="str">
        <f t="shared" si="18"/>
        <v>OK</v>
      </c>
      <c r="N141" s="117">
        <f t="shared" si="21"/>
        <v>1</v>
      </c>
      <c r="O141" s="81">
        <f t="shared" si="19"/>
        <v>1.9999999999999574E-2</v>
      </c>
      <c r="P141" s="81">
        <f>IF(G141="","",ABS(O141-Components!$C$2))</f>
        <v>2.7333333333333303</v>
      </c>
      <c r="Q141" s="81">
        <f>IF(G141="","",ABS(O141-Components!$C$3))</f>
        <v>4.016</v>
      </c>
      <c r="R141" s="81">
        <f>IF(G141="","",ABS(O141-Components!$C$4))</f>
        <v>0.97333333333333338</v>
      </c>
      <c r="S141" s="81">
        <f>IF(G141="","",ABS(O141-Components!$C$5))</f>
        <v>4.5426666666666708</v>
      </c>
      <c r="T141" s="81">
        <f>IF(G141="","",ABS(O141-Components!$C$6))</f>
        <v>1.1356666666666704</v>
      </c>
      <c r="U141" s="81">
        <f>IF(G141="","",ABS(O141-Components!$C$7))</f>
        <v>1.3543333333333305</v>
      </c>
      <c r="V141" s="81" t="str">
        <f>IF(G141="","",IF(M141="OK","NONE",INDEX({"S1","S2","W1","W2","N1","N2"},MATCH(MIN(P141:U141),P141:U141,0))))</f>
        <v>NONE</v>
      </c>
      <c r="W141" s="117">
        <f t="shared" si="22"/>
        <v>1</v>
      </c>
      <c r="X141" s="119"/>
    </row>
    <row r="142" spans="1:24">
      <c r="A142" s="115">
        <v>140</v>
      </c>
      <c r="B142" s="116">
        <v>5</v>
      </c>
      <c r="C142" s="81" t="s">
        <v>130</v>
      </c>
      <c r="D142" s="109" t="s">
        <v>238</v>
      </c>
      <c r="E142" s="81" t="s">
        <v>239</v>
      </c>
      <c r="F142" s="61">
        <v>8.8800000000000008</v>
      </c>
      <c r="G142" s="52">
        <f t="shared" si="16"/>
        <v>9.8500000000000014</v>
      </c>
      <c r="H142" s="110"/>
      <c r="I142" s="81">
        <v>9.91</v>
      </c>
      <c r="J142" s="81">
        <f>VLOOKUP(C142,Recipes!$A$2:$N$4,12,FALSE())</f>
        <v>5.0137397426368718E-2</v>
      </c>
      <c r="K142" s="81">
        <f t="shared" si="17"/>
        <v>9.6091756154417887</v>
      </c>
      <c r="L142" s="81">
        <f t="shared" si="20"/>
        <v>10.210824384558212</v>
      </c>
      <c r="M142" s="81" t="str">
        <f t="shared" si="18"/>
        <v>OK</v>
      </c>
      <c r="N142" s="117">
        <f t="shared" si="21"/>
        <v>1</v>
      </c>
      <c r="O142" s="81">
        <f t="shared" si="19"/>
        <v>5.9999999999998721E-2</v>
      </c>
      <c r="P142" s="81">
        <f>IF(G142="","",ABS(O142-Components!$C$2))</f>
        <v>2.6933333333333311</v>
      </c>
      <c r="Q142" s="81">
        <f>IF(G142="","",ABS(O142-Components!$C$3))</f>
        <v>3.9760000000000009</v>
      </c>
      <c r="R142" s="81">
        <f>IF(G142="","",ABS(O142-Components!$C$4))</f>
        <v>0.93333333333333424</v>
      </c>
      <c r="S142" s="81">
        <f>IF(G142="","",ABS(O142-Components!$C$5))</f>
        <v>4.5026666666666717</v>
      </c>
      <c r="T142" s="81">
        <f>IF(G142="","",ABS(O142-Components!$C$6))</f>
        <v>1.0956666666666712</v>
      </c>
      <c r="U142" s="81">
        <f>IF(G142="","",ABS(O142-Components!$C$7))</f>
        <v>1.3143333333333314</v>
      </c>
      <c r="V142" s="81" t="str">
        <f>IF(G142="","",IF(M142="OK","NONE",INDEX({"S1","S2","W1","W2","N1","N2"},MATCH(MIN(P142:U142),P142:U142,0))))</f>
        <v>NONE</v>
      </c>
      <c r="W142" s="117">
        <f t="shared" si="22"/>
        <v>1</v>
      </c>
      <c r="X142" s="119"/>
    </row>
    <row r="143" spans="1:24">
      <c r="A143" s="115">
        <v>141</v>
      </c>
      <c r="B143" s="116">
        <v>5</v>
      </c>
      <c r="C143" s="81" t="s">
        <v>130</v>
      </c>
      <c r="D143" s="109" t="s">
        <v>238</v>
      </c>
      <c r="E143" s="81" t="s">
        <v>239</v>
      </c>
      <c r="F143" s="61">
        <v>8.9</v>
      </c>
      <c r="G143" s="52">
        <f t="shared" si="16"/>
        <v>9.870000000000001</v>
      </c>
      <c r="H143" s="110"/>
      <c r="I143" s="81">
        <v>9.91</v>
      </c>
      <c r="J143" s="81">
        <f>VLOOKUP(C143,Recipes!$A$2:$N$4,12,FALSE())</f>
        <v>5.0137397426368718E-2</v>
      </c>
      <c r="K143" s="81">
        <f t="shared" si="17"/>
        <v>9.6091756154417887</v>
      </c>
      <c r="L143" s="81">
        <f t="shared" si="20"/>
        <v>10.210824384558212</v>
      </c>
      <c r="M143" s="81" t="str">
        <f t="shared" si="18"/>
        <v>OK</v>
      </c>
      <c r="N143" s="117">
        <f t="shared" si="21"/>
        <v>1</v>
      </c>
      <c r="O143" s="81">
        <f t="shared" si="19"/>
        <v>3.9999999999999147E-2</v>
      </c>
      <c r="P143" s="81">
        <f>IF(G143="","",ABS(O143-Components!$C$2))</f>
        <v>2.7133333333333307</v>
      </c>
      <c r="Q143" s="81">
        <f>IF(G143="","",ABS(O143-Components!$C$3))</f>
        <v>3.9960000000000004</v>
      </c>
      <c r="R143" s="81">
        <f>IF(G143="","",ABS(O143-Components!$C$4))</f>
        <v>0.95333333333333381</v>
      </c>
      <c r="S143" s="81">
        <f>IF(G143="","",ABS(O143-Components!$C$5))</f>
        <v>4.5226666666666713</v>
      </c>
      <c r="T143" s="81">
        <f>IF(G143="","",ABS(O143-Components!$C$6))</f>
        <v>1.1156666666666708</v>
      </c>
      <c r="U143" s="81">
        <f>IF(G143="","",ABS(O143-Components!$C$7))</f>
        <v>1.3343333333333309</v>
      </c>
      <c r="V143" s="81" t="str">
        <f>IF(G143="","",IF(M143="OK","NONE",INDEX({"S1","S2","W1","W2","N1","N2"},MATCH(MIN(P143:U143),P143:U143,0))))</f>
        <v>NONE</v>
      </c>
      <c r="W143" s="117">
        <f t="shared" si="22"/>
        <v>1</v>
      </c>
      <c r="X143" s="119"/>
    </row>
    <row r="144" spans="1:24">
      <c r="A144" s="115">
        <v>142</v>
      </c>
      <c r="B144" s="116">
        <v>5</v>
      </c>
      <c r="C144" s="81" t="s">
        <v>130</v>
      </c>
      <c r="D144" s="109" t="s">
        <v>238</v>
      </c>
      <c r="E144" s="81" t="s">
        <v>239</v>
      </c>
      <c r="F144" s="61">
        <v>8.8699999999999992</v>
      </c>
      <c r="G144" s="52">
        <f t="shared" si="16"/>
        <v>9.84</v>
      </c>
      <c r="H144" s="110"/>
      <c r="I144" s="81">
        <v>9.91</v>
      </c>
      <c r="J144" s="81">
        <f>VLOOKUP(C144,Recipes!$A$2:$N$4,12,FALSE())</f>
        <v>5.0137397426368718E-2</v>
      </c>
      <c r="K144" s="81">
        <f t="shared" si="17"/>
        <v>9.6091756154417887</v>
      </c>
      <c r="L144" s="81">
        <f t="shared" si="20"/>
        <v>10.210824384558212</v>
      </c>
      <c r="M144" s="81" t="str">
        <f t="shared" si="18"/>
        <v>OK</v>
      </c>
      <c r="N144" s="117">
        <f t="shared" si="21"/>
        <v>1</v>
      </c>
      <c r="O144" s="81">
        <f t="shared" si="19"/>
        <v>7.0000000000000284E-2</v>
      </c>
      <c r="P144" s="81">
        <f>IF(G144="","",ABS(O144-Components!$C$2))</f>
        <v>2.6833333333333296</v>
      </c>
      <c r="Q144" s="81">
        <f>IF(G144="","",ABS(O144-Components!$C$3))</f>
        <v>3.9659999999999993</v>
      </c>
      <c r="R144" s="81">
        <f>IF(G144="","",ABS(O144-Components!$C$4))</f>
        <v>0.92333333333333267</v>
      </c>
      <c r="S144" s="81">
        <f>IF(G144="","",ABS(O144-Components!$C$5))</f>
        <v>4.4926666666666701</v>
      </c>
      <c r="T144" s="81">
        <f>IF(G144="","",ABS(O144-Components!$C$6))</f>
        <v>1.0856666666666697</v>
      </c>
      <c r="U144" s="81">
        <f>IF(G144="","",ABS(O144-Components!$C$7))</f>
        <v>1.3043333333333298</v>
      </c>
      <c r="V144" s="81" t="str">
        <f>IF(G144="","",IF(M144="OK","NONE",INDEX({"S1","S2","W1","W2","N1","N2"},MATCH(MIN(P144:U144),P144:U144,0))))</f>
        <v>NONE</v>
      </c>
      <c r="W144" s="117">
        <f t="shared" si="22"/>
        <v>1</v>
      </c>
      <c r="X144" s="119"/>
    </row>
    <row r="145" spans="1:24">
      <c r="A145" s="115">
        <v>143</v>
      </c>
      <c r="B145" s="116">
        <v>5</v>
      </c>
      <c r="C145" s="81" t="s">
        <v>130</v>
      </c>
      <c r="D145" s="109" t="s">
        <v>238</v>
      </c>
      <c r="E145" s="81" t="s">
        <v>239</v>
      </c>
      <c r="F145" s="61">
        <v>8.93</v>
      </c>
      <c r="G145" s="52">
        <f t="shared" si="16"/>
        <v>9.9</v>
      </c>
      <c r="H145" s="110"/>
      <c r="I145" s="81">
        <v>9.91</v>
      </c>
      <c r="J145" s="81">
        <f>VLOOKUP(C145,Recipes!$A$2:$N$4,12,FALSE())</f>
        <v>5.0137397426368718E-2</v>
      </c>
      <c r="K145" s="81">
        <f t="shared" si="17"/>
        <v>9.6091756154417887</v>
      </c>
      <c r="L145" s="81">
        <f t="shared" si="20"/>
        <v>10.210824384558212</v>
      </c>
      <c r="M145" s="81" t="str">
        <f t="shared" si="18"/>
        <v>OK</v>
      </c>
      <c r="N145" s="117">
        <f t="shared" si="21"/>
        <v>1</v>
      </c>
      <c r="O145" s="81">
        <f t="shared" si="19"/>
        <v>9.9999999999997868E-3</v>
      </c>
      <c r="P145" s="81">
        <f>IF(G145="","",ABS(O145-Components!$C$2))</f>
        <v>2.7433333333333301</v>
      </c>
      <c r="Q145" s="81">
        <f>IF(G145="","",ABS(O145-Components!$C$3))</f>
        <v>4.0259999999999998</v>
      </c>
      <c r="R145" s="81">
        <f>IF(G145="","",ABS(O145-Components!$C$4))</f>
        <v>0.98333333333333317</v>
      </c>
      <c r="S145" s="81">
        <f>IF(G145="","",ABS(O145-Components!$C$5))</f>
        <v>4.5526666666666706</v>
      </c>
      <c r="T145" s="81">
        <f>IF(G145="","",ABS(O145-Components!$C$6))</f>
        <v>1.1456666666666702</v>
      </c>
      <c r="U145" s="81">
        <f>IF(G145="","",ABS(O145-Components!$C$7))</f>
        <v>1.3643333333333303</v>
      </c>
      <c r="V145" s="81" t="str">
        <f>IF(G145="","",IF(M145="OK","NONE",INDEX({"S1","S2","W1","W2","N1","N2"},MATCH(MIN(P145:U145),P145:U145,0))))</f>
        <v>NONE</v>
      </c>
      <c r="W145" s="117">
        <f t="shared" si="22"/>
        <v>1</v>
      </c>
      <c r="X145" s="119"/>
    </row>
    <row r="146" spans="1:24">
      <c r="A146" s="115">
        <v>144</v>
      </c>
      <c r="B146" s="116">
        <v>5</v>
      </c>
      <c r="C146" s="81" t="s">
        <v>130</v>
      </c>
      <c r="D146" s="109" t="s">
        <v>238</v>
      </c>
      <c r="E146" s="81" t="s">
        <v>239</v>
      </c>
      <c r="F146" s="61">
        <v>8.94</v>
      </c>
      <c r="G146" s="52">
        <f t="shared" si="16"/>
        <v>9.91</v>
      </c>
      <c r="H146" s="110"/>
      <c r="I146" s="81">
        <v>9.91</v>
      </c>
      <c r="J146" s="81">
        <f>VLOOKUP(C146,Recipes!$A$2:$N$4,12,FALSE())</f>
        <v>5.0137397426368718E-2</v>
      </c>
      <c r="K146" s="81">
        <f t="shared" si="17"/>
        <v>9.6091756154417887</v>
      </c>
      <c r="L146" s="81">
        <f t="shared" si="20"/>
        <v>10.210824384558212</v>
      </c>
      <c r="M146" s="81" t="str">
        <f t="shared" si="18"/>
        <v>OK</v>
      </c>
      <c r="N146" s="117">
        <f t="shared" si="21"/>
        <v>1</v>
      </c>
      <c r="O146" s="81">
        <f t="shared" si="19"/>
        <v>0</v>
      </c>
      <c r="P146" s="81">
        <f>IF(G146="","",ABS(O146-Components!$C$2))</f>
        <v>2.7533333333333299</v>
      </c>
      <c r="Q146" s="81">
        <f>IF(G146="","",ABS(O146-Components!$C$3))</f>
        <v>4.0359999999999996</v>
      </c>
      <c r="R146" s="81">
        <f>IF(G146="","",ABS(O146-Components!$C$4))</f>
        <v>0.99333333333333296</v>
      </c>
      <c r="S146" s="81">
        <f>IF(G146="","",ABS(O146-Components!$C$5))</f>
        <v>4.5626666666666704</v>
      </c>
      <c r="T146" s="81">
        <f>IF(G146="","",ABS(O146-Components!$C$6))</f>
        <v>1.15566666666667</v>
      </c>
      <c r="U146" s="81">
        <f>IF(G146="","",ABS(O146-Components!$C$7))</f>
        <v>1.3743333333333301</v>
      </c>
      <c r="V146" s="81" t="str">
        <f>IF(G146="","",IF(M146="OK","NONE",INDEX({"S1","S2","W1","W2","N1","N2"},MATCH(MIN(P146:U146),P146:U146,0))))</f>
        <v>NONE</v>
      </c>
      <c r="W146" s="117">
        <f t="shared" si="22"/>
        <v>1</v>
      </c>
      <c r="X146" s="119"/>
    </row>
    <row r="147" spans="1:24">
      <c r="A147" s="115">
        <v>145</v>
      </c>
      <c r="B147" s="116">
        <v>5</v>
      </c>
      <c r="C147" s="81" t="s">
        <v>130</v>
      </c>
      <c r="D147" s="109" t="s">
        <v>238</v>
      </c>
      <c r="E147" s="81" t="s">
        <v>239</v>
      </c>
      <c r="F147" s="61">
        <v>8.8800000000000008</v>
      </c>
      <c r="G147" s="52">
        <f t="shared" si="16"/>
        <v>9.8500000000000014</v>
      </c>
      <c r="H147" s="110"/>
      <c r="I147" s="81">
        <v>9.91</v>
      </c>
      <c r="J147" s="81">
        <f>VLOOKUP(C147,Recipes!$A$2:$N$4,12,FALSE())</f>
        <v>5.0137397426368718E-2</v>
      </c>
      <c r="K147" s="81">
        <f t="shared" si="17"/>
        <v>9.6091756154417887</v>
      </c>
      <c r="L147" s="81">
        <f t="shared" si="20"/>
        <v>10.210824384558212</v>
      </c>
      <c r="M147" s="81" t="str">
        <f t="shared" si="18"/>
        <v>OK</v>
      </c>
      <c r="N147" s="117">
        <f t="shared" si="21"/>
        <v>1</v>
      </c>
      <c r="O147" s="81">
        <f t="shared" si="19"/>
        <v>5.9999999999998721E-2</v>
      </c>
      <c r="P147" s="81">
        <f>IF(G147="","",ABS(O147-Components!$C$2))</f>
        <v>2.6933333333333311</v>
      </c>
      <c r="Q147" s="81">
        <f>IF(G147="","",ABS(O147-Components!$C$3))</f>
        <v>3.9760000000000009</v>
      </c>
      <c r="R147" s="81">
        <f>IF(G147="","",ABS(O147-Components!$C$4))</f>
        <v>0.93333333333333424</v>
      </c>
      <c r="S147" s="81">
        <f>IF(G147="","",ABS(O147-Components!$C$5))</f>
        <v>4.5026666666666717</v>
      </c>
      <c r="T147" s="81">
        <f>IF(G147="","",ABS(O147-Components!$C$6))</f>
        <v>1.0956666666666712</v>
      </c>
      <c r="U147" s="81">
        <f>IF(G147="","",ABS(O147-Components!$C$7))</f>
        <v>1.3143333333333314</v>
      </c>
      <c r="V147" s="81" t="str">
        <f>IF(G147="","",IF(M147="OK","NONE",INDEX({"S1","S2","W1","W2","N1","N2"},MATCH(MIN(P147:U147),P147:U147,0))))</f>
        <v>NONE</v>
      </c>
      <c r="W147" s="117">
        <f t="shared" si="22"/>
        <v>1</v>
      </c>
      <c r="X147" s="119"/>
    </row>
    <row r="148" spans="1:24">
      <c r="A148" s="115">
        <v>146</v>
      </c>
      <c r="B148" s="116">
        <v>5</v>
      </c>
      <c r="C148" s="81" t="s">
        <v>130</v>
      </c>
      <c r="D148" s="109" t="s">
        <v>238</v>
      </c>
      <c r="E148" s="81" t="s">
        <v>239</v>
      </c>
      <c r="F148" s="61">
        <v>8.89</v>
      </c>
      <c r="G148" s="52">
        <f t="shared" si="16"/>
        <v>9.8600000000000012</v>
      </c>
      <c r="H148" s="110"/>
      <c r="I148" s="81">
        <v>9.91</v>
      </c>
      <c r="J148" s="81">
        <f>VLOOKUP(C148,Recipes!$A$2:$N$4,12,FALSE())</f>
        <v>5.0137397426368718E-2</v>
      </c>
      <c r="K148" s="81">
        <f t="shared" si="17"/>
        <v>9.6091756154417887</v>
      </c>
      <c r="L148" s="81">
        <f t="shared" si="20"/>
        <v>10.210824384558212</v>
      </c>
      <c r="M148" s="81" t="str">
        <f t="shared" si="18"/>
        <v>OK</v>
      </c>
      <c r="N148" s="117">
        <f t="shared" si="21"/>
        <v>1</v>
      </c>
      <c r="O148" s="81">
        <f t="shared" si="19"/>
        <v>4.9999999999998934E-2</v>
      </c>
      <c r="P148" s="81">
        <f>IF(G148="","",ABS(O148-Components!$C$2))</f>
        <v>2.7033333333333309</v>
      </c>
      <c r="Q148" s="81">
        <f>IF(G148="","",ABS(O148-Components!$C$3))</f>
        <v>3.9860000000000007</v>
      </c>
      <c r="R148" s="81">
        <f>IF(G148="","",ABS(O148-Components!$C$4))</f>
        <v>0.94333333333333402</v>
      </c>
      <c r="S148" s="81">
        <f>IF(G148="","",ABS(O148-Components!$C$5))</f>
        <v>4.5126666666666715</v>
      </c>
      <c r="T148" s="81">
        <f>IF(G148="","",ABS(O148-Components!$C$6))</f>
        <v>1.105666666666671</v>
      </c>
      <c r="U148" s="81">
        <f>IF(G148="","",ABS(O148-Components!$C$7))</f>
        <v>1.3243333333333311</v>
      </c>
      <c r="V148" s="81" t="str">
        <f>IF(G148="","",IF(M148="OK","NONE",INDEX({"S1","S2","W1","W2","N1","N2"},MATCH(MIN(P148:U148),P148:U148,0))))</f>
        <v>NONE</v>
      </c>
      <c r="W148" s="117">
        <f t="shared" si="22"/>
        <v>1</v>
      </c>
      <c r="X148" s="119"/>
    </row>
    <row r="149" spans="1:24">
      <c r="A149" s="115">
        <v>147</v>
      </c>
      <c r="B149" s="116">
        <v>5</v>
      </c>
      <c r="C149" s="81" t="s">
        <v>130</v>
      </c>
      <c r="D149" s="109" t="s">
        <v>238</v>
      </c>
      <c r="E149" s="81" t="s">
        <v>239</v>
      </c>
      <c r="F149" s="61">
        <v>8.8800000000000008</v>
      </c>
      <c r="G149" s="52">
        <f t="shared" si="16"/>
        <v>9.8500000000000014</v>
      </c>
      <c r="H149" s="110"/>
      <c r="I149" s="81">
        <v>9.91</v>
      </c>
      <c r="J149" s="81">
        <f>VLOOKUP(C149,Recipes!$A$2:$N$4,12,FALSE())</f>
        <v>5.0137397426368718E-2</v>
      </c>
      <c r="K149" s="81">
        <f t="shared" si="17"/>
        <v>9.6091756154417887</v>
      </c>
      <c r="L149" s="81">
        <f t="shared" si="20"/>
        <v>10.210824384558212</v>
      </c>
      <c r="M149" s="81" t="str">
        <f t="shared" si="18"/>
        <v>OK</v>
      </c>
      <c r="N149" s="117">
        <f t="shared" si="21"/>
        <v>1</v>
      </c>
      <c r="O149" s="81">
        <f t="shared" si="19"/>
        <v>5.9999999999998721E-2</v>
      </c>
      <c r="P149" s="81">
        <f>IF(G149="","",ABS(O149-Components!$C$2))</f>
        <v>2.6933333333333311</v>
      </c>
      <c r="Q149" s="81">
        <f>IF(G149="","",ABS(O149-Components!$C$3))</f>
        <v>3.9760000000000009</v>
      </c>
      <c r="R149" s="81">
        <f>IF(G149="","",ABS(O149-Components!$C$4))</f>
        <v>0.93333333333333424</v>
      </c>
      <c r="S149" s="81">
        <f>IF(G149="","",ABS(O149-Components!$C$5))</f>
        <v>4.5026666666666717</v>
      </c>
      <c r="T149" s="81">
        <f>IF(G149="","",ABS(O149-Components!$C$6))</f>
        <v>1.0956666666666712</v>
      </c>
      <c r="U149" s="81">
        <f>IF(G149="","",ABS(O149-Components!$C$7))</f>
        <v>1.3143333333333314</v>
      </c>
      <c r="V149" s="81" t="str">
        <f>IF(G149="","",IF(M149="OK","NONE",INDEX({"S1","S2","W1","W2","N1","N2"},MATCH(MIN(P149:U149),P149:U149,0))))</f>
        <v>NONE</v>
      </c>
      <c r="W149" s="117">
        <f t="shared" si="22"/>
        <v>1</v>
      </c>
      <c r="X149" s="119"/>
    </row>
    <row r="150" spans="1:24">
      <c r="A150" s="115">
        <v>148</v>
      </c>
      <c r="B150" s="116">
        <v>5</v>
      </c>
      <c r="C150" s="81" t="s">
        <v>130</v>
      </c>
      <c r="D150" s="109" t="s">
        <v>238</v>
      </c>
      <c r="E150" s="81" t="s">
        <v>239</v>
      </c>
      <c r="F150" s="61">
        <v>8.7100000000000009</v>
      </c>
      <c r="G150" s="52">
        <f t="shared" si="16"/>
        <v>9.6800000000000015</v>
      </c>
      <c r="H150" s="110"/>
      <c r="I150" s="81">
        <v>9.91</v>
      </c>
      <c r="J150" s="81">
        <f>VLOOKUP(C150,Recipes!$A$2:$N$4,12,FALSE())</f>
        <v>5.0137397426368718E-2</v>
      </c>
      <c r="K150" s="81">
        <f t="shared" si="17"/>
        <v>9.6091756154417887</v>
      </c>
      <c r="L150" s="81">
        <f t="shared" si="20"/>
        <v>10.210824384558212</v>
      </c>
      <c r="M150" s="81" t="str">
        <f t="shared" si="18"/>
        <v>OK</v>
      </c>
      <c r="N150" s="117">
        <f t="shared" si="21"/>
        <v>1</v>
      </c>
      <c r="O150" s="81">
        <f t="shared" si="19"/>
        <v>0.22999999999999865</v>
      </c>
      <c r="P150" s="81">
        <f>IF(G150="","",ABS(O150-Components!$C$2))</f>
        <v>2.5233333333333312</v>
      </c>
      <c r="Q150" s="81">
        <f>IF(G150="","",ABS(O150-Components!$C$3))</f>
        <v>3.8060000000000009</v>
      </c>
      <c r="R150" s="81">
        <f>IF(G150="","",ABS(O150-Components!$C$4))</f>
        <v>0.76333333333333431</v>
      </c>
      <c r="S150" s="81">
        <f>IF(G150="","",ABS(O150-Components!$C$5))</f>
        <v>4.3326666666666718</v>
      </c>
      <c r="T150" s="81">
        <f>IF(G150="","",ABS(O150-Components!$C$6))</f>
        <v>0.9256666666666713</v>
      </c>
      <c r="U150" s="81">
        <f>IF(G150="","",ABS(O150-Components!$C$7))</f>
        <v>1.1443333333333314</v>
      </c>
      <c r="V150" s="81" t="str">
        <f>IF(G150="","",IF(M150="OK","NONE",INDEX({"S1","S2","W1","W2","N1","N2"},MATCH(MIN(P150:U150),P150:U150,0))))</f>
        <v>NONE</v>
      </c>
      <c r="W150" s="117">
        <f t="shared" si="22"/>
        <v>1</v>
      </c>
      <c r="X150" s="119"/>
    </row>
    <row r="151" spans="1:24">
      <c r="A151" s="115">
        <v>149</v>
      </c>
      <c r="B151" s="116">
        <v>5</v>
      </c>
      <c r="C151" s="81" t="s">
        <v>130</v>
      </c>
      <c r="D151" s="109" t="s">
        <v>238</v>
      </c>
      <c r="E151" s="81" t="s">
        <v>239</v>
      </c>
      <c r="F151" s="61">
        <v>8.94</v>
      </c>
      <c r="G151" s="52">
        <f t="shared" si="16"/>
        <v>9.91</v>
      </c>
      <c r="H151" s="110"/>
      <c r="I151" s="81">
        <v>9.91</v>
      </c>
      <c r="J151" s="81">
        <f>VLOOKUP(C151,Recipes!$A$2:$N$4,12,FALSE())</f>
        <v>5.0137397426368718E-2</v>
      </c>
      <c r="K151" s="81">
        <f t="shared" si="17"/>
        <v>9.6091756154417887</v>
      </c>
      <c r="L151" s="81">
        <f t="shared" si="20"/>
        <v>10.210824384558212</v>
      </c>
      <c r="M151" s="81" t="str">
        <f t="shared" si="18"/>
        <v>OK</v>
      </c>
      <c r="N151" s="117">
        <f t="shared" si="21"/>
        <v>1</v>
      </c>
      <c r="O151" s="81">
        <f t="shared" si="19"/>
        <v>0</v>
      </c>
      <c r="P151" s="81">
        <f>IF(G151="","",ABS(O151-Components!$C$2))</f>
        <v>2.7533333333333299</v>
      </c>
      <c r="Q151" s="81">
        <f>IF(G151="","",ABS(O151-Components!$C$3))</f>
        <v>4.0359999999999996</v>
      </c>
      <c r="R151" s="81">
        <f>IF(G151="","",ABS(O151-Components!$C$4))</f>
        <v>0.99333333333333296</v>
      </c>
      <c r="S151" s="81">
        <f>IF(G151="","",ABS(O151-Components!$C$5))</f>
        <v>4.5626666666666704</v>
      </c>
      <c r="T151" s="81">
        <f>IF(G151="","",ABS(O151-Components!$C$6))</f>
        <v>1.15566666666667</v>
      </c>
      <c r="U151" s="81">
        <f>IF(G151="","",ABS(O151-Components!$C$7))</f>
        <v>1.3743333333333301</v>
      </c>
      <c r="V151" s="81" t="str">
        <f>IF(G151="","",IF(M151="OK","NONE",INDEX({"S1","S2","W1","W2","N1","N2"},MATCH(MIN(P151:U151),P151:U151,0))))</f>
        <v>NONE</v>
      </c>
      <c r="W151" s="117">
        <f t="shared" si="22"/>
        <v>1</v>
      </c>
      <c r="X151" s="119"/>
    </row>
    <row r="152" spans="1:24">
      <c r="A152" s="115">
        <v>150</v>
      </c>
      <c r="B152" s="116">
        <v>5</v>
      </c>
      <c r="C152" s="81" t="s">
        <v>130</v>
      </c>
      <c r="D152" s="109" t="s">
        <v>238</v>
      </c>
      <c r="E152" s="81" t="s">
        <v>239</v>
      </c>
      <c r="F152" s="61">
        <v>8.9700000000000006</v>
      </c>
      <c r="G152" s="52">
        <f t="shared" si="16"/>
        <v>9.9400000000000013</v>
      </c>
      <c r="H152" s="110"/>
      <c r="I152" s="81">
        <v>9.91</v>
      </c>
      <c r="J152" s="81">
        <f>VLOOKUP(C152,Recipes!$A$2:$N$4,12,FALSE())</f>
        <v>5.0137397426368718E-2</v>
      </c>
      <c r="K152" s="81">
        <f t="shared" si="17"/>
        <v>9.6091756154417887</v>
      </c>
      <c r="L152" s="81">
        <f t="shared" si="20"/>
        <v>10.210824384558212</v>
      </c>
      <c r="M152" s="81" t="str">
        <f t="shared" si="18"/>
        <v>OK</v>
      </c>
      <c r="N152" s="117">
        <f t="shared" si="21"/>
        <v>1</v>
      </c>
      <c r="O152" s="81">
        <f t="shared" si="19"/>
        <v>-3.0000000000001137E-2</v>
      </c>
      <c r="P152" s="81">
        <f>IF(G152="","",ABS(O152-Components!$C$2))</f>
        <v>2.783333333333331</v>
      </c>
      <c r="Q152" s="81">
        <f>IF(G152="","",ABS(O152-Components!$C$3))</f>
        <v>4.0660000000000007</v>
      </c>
      <c r="R152" s="81">
        <f>IF(G152="","",ABS(O152-Components!$C$4))</f>
        <v>1.0233333333333341</v>
      </c>
      <c r="S152" s="81">
        <f>IF(G152="","",ABS(O152-Components!$C$5))</f>
        <v>4.5926666666666716</v>
      </c>
      <c r="T152" s="81">
        <f>IF(G152="","",ABS(O152-Components!$C$6))</f>
        <v>1.1856666666666711</v>
      </c>
      <c r="U152" s="81">
        <f>IF(G152="","",ABS(O152-Components!$C$7))</f>
        <v>1.4043333333333312</v>
      </c>
      <c r="V152" s="81" t="str">
        <f>IF(G152="","",IF(M152="OK","NONE",INDEX({"S1","S2","W1","W2","N1","N2"},MATCH(MIN(P152:U152),P152:U152,0))))</f>
        <v>NONE</v>
      </c>
      <c r="W152" s="117">
        <f t="shared" si="22"/>
        <v>1</v>
      </c>
      <c r="X152" s="119"/>
    </row>
    <row r="153" spans="1:24">
      <c r="A153" s="115">
        <v>151</v>
      </c>
      <c r="B153" s="116">
        <v>6</v>
      </c>
      <c r="C153" s="81" t="s">
        <v>130</v>
      </c>
      <c r="D153" s="111" t="s">
        <v>240</v>
      </c>
      <c r="E153" s="81" t="s">
        <v>99</v>
      </c>
      <c r="F153" s="52">
        <v>6.18</v>
      </c>
      <c r="G153" s="52">
        <f t="shared" si="16"/>
        <v>7.1499999999999995</v>
      </c>
      <c r="H153" s="110"/>
      <c r="I153" s="81">
        <v>9.91</v>
      </c>
      <c r="J153" s="81">
        <f>VLOOKUP(C153,Recipes!$A$2:$N$4,12,FALSE())</f>
        <v>5.0137397426368718E-2</v>
      </c>
      <c r="K153" s="81">
        <f t="shared" si="17"/>
        <v>9.6091756154417887</v>
      </c>
      <c r="L153" s="81">
        <f t="shared" si="20"/>
        <v>10.210824384558212</v>
      </c>
      <c r="M153" s="81" t="str">
        <f t="shared" si="18"/>
        <v>NG</v>
      </c>
      <c r="N153" s="117">
        <f t="shared" si="21"/>
        <v>1</v>
      </c>
      <c r="O153" s="81">
        <f t="shared" si="19"/>
        <v>2.7600000000000007</v>
      </c>
      <c r="P153" s="81">
        <f>IF(G153="","",ABS(O153-Components!$C$2))</f>
        <v>6.6666666666708174E-3</v>
      </c>
      <c r="Q153" s="81">
        <f>IF(G153="","",ABS(O153-Components!$C$3))</f>
        <v>1.2759999999999989</v>
      </c>
      <c r="R153" s="81">
        <f>IF(G153="","",ABS(O153-Components!$C$4))</f>
        <v>1.7666666666666677</v>
      </c>
      <c r="S153" s="81">
        <f>IF(G153="","",ABS(O153-Components!$C$5))</f>
        <v>1.8026666666666697</v>
      </c>
      <c r="T153" s="81">
        <f>IF(G153="","",ABS(O153-Components!$C$6))</f>
        <v>1.6043333333333307</v>
      </c>
      <c r="U153" s="81">
        <f>IF(G153="","",ABS(O153-Components!$C$7))</f>
        <v>1.3856666666666706</v>
      </c>
      <c r="V153" s="81" t="str">
        <f>IF(G153="","",IF(M153="OK","NONE",INDEX({"S1","S2","W1","W2","N1","N2"},MATCH(MIN(P153:U153),P153:U153,0))))</f>
        <v>S1</v>
      </c>
      <c r="W153" s="117">
        <f t="shared" si="22"/>
        <v>1</v>
      </c>
      <c r="X153" s="119"/>
    </row>
    <row r="154" spans="1:24">
      <c r="A154" s="115">
        <v>152</v>
      </c>
      <c r="B154" s="116">
        <v>6</v>
      </c>
      <c r="C154" s="81" t="s">
        <v>130</v>
      </c>
      <c r="D154" s="111" t="s">
        <v>240</v>
      </c>
      <c r="E154" s="81" t="s">
        <v>99</v>
      </c>
      <c r="F154" s="52">
        <v>6.18</v>
      </c>
      <c r="G154" s="52">
        <f t="shared" si="16"/>
        <v>7.1499999999999995</v>
      </c>
      <c r="H154" s="110"/>
      <c r="I154" s="81">
        <v>9.91</v>
      </c>
      <c r="J154" s="81">
        <f>VLOOKUP(C154,Recipes!$A$2:$N$4,12,FALSE())</f>
        <v>5.0137397426368718E-2</v>
      </c>
      <c r="K154" s="81">
        <f t="shared" si="17"/>
        <v>9.6091756154417887</v>
      </c>
      <c r="L154" s="81">
        <f t="shared" si="20"/>
        <v>10.210824384558212</v>
      </c>
      <c r="M154" s="81" t="str">
        <f t="shared" si="18"/>
        <v>NG</v>
      </c>
      <c r="N154" s="117">
        <f t="shared" si="21"/>
        <v>1</v>
      </c>
      <c r="O154" s="81">
        <f t="shared" si="19"/>
        <v>2.7600000000000007</v>
      </c>
      <c r="P154" s="81">
        <f>IF(G154="","",ABS(O154-Components!$C$2))</f>
        <v>6.6666666666708174E-3</v>
      </c>
      <c r="Q154" s="81">
        <f>IF(G154="","",ABS(O154-Components!$C$3))</f>
        <v>1.2759999999999989</v>
      </c>
      <c r="R154" s="81">
        <f>IF(G154="","",ABS(O154-Components!$C$4))</f>
        <v>1.7666666666666677</v>
      </c>
      <c r="S154" s="81">
        <f>IF(G154="","",ABS(O154-Components!$C$5))</f>
        <v>1.8026666666666697</v>
      </c>
      <c r="T154" s="81">
        <f>IF(G154="","",ABS(O154-Components!$C$6))</f>
        <v>1.6043333333333307</v>
      </c>
      <c r="U154" s="81">
        <f>IF(G154="","",ABS(O154-Components!$C$7))</f>
        <v>1.3856666666666706</v>
      </c>
      <c r="V154" s="81" t="str">
        <f>IF(G154="","",IF(M154="OK","NONE",INDEX({"S1","S2","W1","W2","N1","N2"},MATCH(MIN(P154:U154),P154:U154,0))))</f>
        <v>S1</v>
      </c>
      <c r="W154" s="117">
        <f t="shared" si="22"/>
        <v>1</v>
      </c>
      <c r="X154" s="119"/>
    </row>
    <row r="155" spans="1:24">
      <c r="A155" s="115">
        <v>153</v>
      </c>
      <c r="B155" s="116">
        <v>6</v>
      </c>
      <c r="C155" s="81" t="s">
        <v>130</v>
      </c>
      <c r="D155" s="111" t="s">
        <v>240</v>
      </c>
      <c r="E155" s="81" t="s">
        <v>99</v>
      </c>
      <c r="F155" s="52">
        <v>6.15</v>
      </c>
      <c r="G155" s="52">
        <f t="shared" si="16"/>
        <v>7.12</v>
      </c>
      <c r="H155" s="110"/>
      <c r="I155" s="81">
        <v>9.91</v>
      </c>
      <c r="J155" s="81">
        <f>VLOOKUP(C155,Recipes!$A$2:$N$4,12,FALSE())</f>
        <v>5.0137397426368718E-2</v>
      </c>
      <c r="K155" s="81">
        <f t="shared" si="17"/>
        <v>9.6091756154417887</v>
      </c>
      <c r="L155" s="81">
        <f t="shared" si="20"/>
        <v>10.210824384558212</v>
      </c>
      <c r="M155" s="81" t="str">
        <f t="shared" si="18"/>
        <v>NG</v>
      </c>
      <c r="N155" s="117">
        <f t="shared" si="21"/>
        <v>1</v>
      </c>
      <c r="O155" s="81">
        <f t="shared" si="19"/>
        <v>2.79</v>
      </c>
      <c r="P155" s="81">
        <f>IF(G155="","",ABS(O155-Components!$C$2))</f>
        <v>3.6666666666670178E-2</v>
      </c>
      <c r="Q155" s="81">
        <f>IF(G155="","",ABS(O155-Components!$C$3))</f>
        <v>1.2459999999999996</v>
      </c>
      <c r="R155" s="81">
        <f>IF(G155="","",ABS(O155-Components!$C$4))</f>
        <v>1.7966666666666671</v>
      </c>
      <c r="S155" s="81">
        <f>IF(G155="","",ABS(O155-Components!$C$5))</f>
        <v>1.7726666666666704</v>
      </c>
      <c r="T155" s="81">
        <f>IF(G155="","",ABS(O155-Components!$C$6))</f>
        <v>1.6343333333333301</v>
      </c>
      <c r="U155" s="81">
        <f>IF(G155="","",ABS(O155-Components!$C$7))</f>
        <v>1.41566666666667</v>
      </c>
      <c r="V155" s="81" t="str">
        <f>IF(G155="","",IF(M155="OK","NONE",INDEX({"S1","S2","W1","W2","N1","N2"},MATCH(MIN(P155:U155),P155:U155,0))))</f>
        <v>S1</v>
      </c>
      <c r="W155" s="117">
        <f t="shared" si="22"/>
        <v>1</v>
      </c>
      <c r="X155" s="119"/>
    </row>
    <row r="156" spans="1:24">
      <c r="A156" s="115">
        <v>154</v>
      </c>
      <c r="B156" s="116">
        <v>6</v>
      </c>
      <c r="C156" s="81" t="s">
        <v>130</v>
      </c>
      <c r="D156" s="111" t="s">
        <v>240</v>
      </c>
      <c r="E156" s="81" t="s">
        <v>99</v>
      </c>
      <c r="F156" s="52">
        <v>6.12</v>
      </c>
      <c r="G156" s="52">
        <f t="shared" si="16"/>
        <v>7.09</v>
      </c>
      <c r="H156" s="110"/>
      <c r="I156" s="81">
        <v>9.91</v>
      </c>
      <c r="J156" s="81">
        <f>VLOOKUP(C156,Recipes!$A$2:$N$4,12,FALSE())</f>
        <v>5.0137397426368718E-2</v>
      </c>
      <c r="K156" s="81">
        <f t="shared" si="17"/>
        <v>9.6091756154417887</v>
      </c>
      <c r="L156" s="81">
        <f t="shared" si="20"/>
        <v>10.210824384558212</v>
      </c>
      <c r="M156" s="81" t="str">
        <f t="shared" si="18"/>
        <v>NG</v>
      </c>
      <c r="N156" s="117">
        <f t="shared" si="21"/>
        <v>1</v>
      </c>
      <c r="O156" s="81">
        <f t="shared" si="19"/>
        <v>2.8200000000000003</v>
      </c>
      <c r="P156" s="81">
        <f>IF(G156="","",ABS(O156-Components!$C$2))</f>
        <v>6.6666666666670427E-2</v>
      </c>
      <c r="Q156" s="81">
        <f>IF(G156="","",ABS(O156-Components!$C$3))</f>
        <v>1.2159999999999993</v>
      </c>
      <c r="R156" s="81">
        <f>IF(G156="","",ABS(O156-Components!$C$4))</f>
        <v>1.8266666666666673</v>
      </c>
      <c r="S156" s="81">
        <f>IF(G156="","",ABS(O156-Components!$C$5))</f>
        <v>1.7426666666666701</v>
      </c>
      <c r="T156" s="81">
        <f>IF(G156="","",ABS(O156-Components!$C$6))</f>
        <v>1.6643333333333303</v>
      </c>
      <c r="U156" s="81">
        <f>IF(G156="","",ABS(O156-Components!$C$7))</f>
        <v>1.4456666666666702</v>
      </c>
      <c r="V156" s="81" t="str">
        <f>IF(G156="","",IF(M156="OK","NONE",INDEX({"S1","S2","W1","W2","N1","N2"},MATCH(MIN(P156:U156),P156:U156,0))))</f>
        <v>S1</v>
      </c>
      <c r="W156" s="117">
        <f t="shared" si="22"/>
        <v>1</v>
      </c>
      <c r="X156" s="119"/>
    </row>
    <row r="157" spans="1:24">
      <c r="A157" s="115">
        <v>155</v>
      </c>
      <c r="B157" s="116">
        <v>6</v>
      </c>
      <c r="C157" s="61" t="s">
        <v>130</v>
      </c>
      <c r="D157" s="61" t="s">
        <v>240</v>
      </c>
      <c r="E157" s="61" t="s">
        <v>99</v>
      </c>
      <c r="F157" s="61">
        <v>6.16</v>
      </c>
      <c r="G157" s="52">
        <f t="shared" si="16"/>
        <v>7.13</v>
      </c>
      <c r="H157" s="110"/>
      <c r="I157" s="81">
        <v>9.91</v>
      </c>
      <c r="J157" s="81">
        <f>VLOOKUP(C157,Recipes!$A$2:$N$4,12,FALSE())</f>
        <v>5.0137397426368718E-2</v>
      </c>
      <c r="K157" s="81">
        <f t="shared" si="17"/>
        <v>9.6091756154417887</v>
      </c>
      <c r="L157" s="81">
        <f t="shared" si="20"/>
        <v>10.210824384558212</v>
      </c>
      <c r="M157" s="81" t="str">
        <f t="shared" si="18"/>
        <v>NG</v>
      </c>
      <c r="N157" s="117">
        <f t="shared" si="21"/>
        <v>1</v>
      </c>
      <c r="O157" s="81">
        <f t="shared" si="19"/>
        <v>2.7800000000000002</v>
      </c>
      <c r="P157" s="81">
        <f>IF(G157="","",ABS(O157-Components!$C$2))</f>
        <v>2.6666666666670391E-2</v>
      </c>
      <c r="Q157" s="81">
        <f>IF(G157="","",ABS(O157-Components!$C$3))</f>
        <v>1.2559999999999993</v>
      </c>
      <c r="R157" s="81">
        <f>IF(G157="","",ABS(O157-Components!$C$4))</f>
        <v>1.7866666666666673</v>
      </c>
      <c r="S157" s="81">
        <f>IF(G157="","",ABS(O157-Components!$C$5))</f>
        <v>1.7826666666666702</v>
      </c>
      <c r="T157" s="81">
        <f>IF(G157="","",ABS(O157-Components!$C$6))</f>
        <v>1.6243333333333303</v>
      </c>
      <c r="U157" s="81">
        <f>IF(G157="","",ABS(O157-Components!$C$7))</f>
        <v>1.4056666666666702</v>
      </c>
      <c r="V157" s="81" t="str">
        <f>IF(G157="","",IF(M157="OK","NONE",INDEX({"S1","S2","W1","W2","N1","N2"},MATCH(MIN(P157:U157),P157:U157,0))))</f>
        <v>S1</v>
      </c>
      <c r="W157" s="117">
        <f t="shared" si="22"/>
        <v>1</v>
      </c>
      <c r="X157" s="119"/>
    </row>
    <row r="158" spans="1:24">
      <c r="A158" s="115">
        <v>156</v>
      </c>
      <c r="B158" s="116">
        <v>6</v>
      </c>
      <c r="C158" s="81" t="s">
        <v>130</v>
      </c>
      <c r="D158" s="111" t="s">
        <v>240</v>
      </c>
      <c r="E158" s="81" t="s">
        <v>99</v>
      </c>
      <c r="F158" s="61">
        <v>6.19</v>
      </c>
      <c r="G158" s="52">
        <f t="shared" si="16"/>
        <v>7.16</v>
      </c>
      <c r="H158" s="110"/>
      <c r="I158" s="81">
        <v>9.91</v>
      </c>
      <c r="J158" s="81">
        <f>VLOOKUP(C158,Recipes!$A$2:$N$4,12,FALSE())</f>
        <v>5.0137397426368718E-2</v>
      </c>
      <c r="K158" s="81">
        <f t="shared" si="17"/>
        <v>9.6091756154417887</v>
      </c>
      <c r="L158" s="81">
        <f t="shared" si="20"/>
        <v>10.210824384558212</v>
      </c>
      <c r="M158" s="81" t="str">
        <f t="shared" si="18"/>
        <v>NG</v>
      </c>
      <c r="N158" s="117">
        <f t="shared" si="21"/>
        <v>1</v>
      </c>
      <c r="O158" s="81">
        <f t="shared" si="19"/>
        <v>2.75</v>
      </c>
      <c r="P158" s="81">
        <f>IF(G158="","",ABS(O158-Components!$C$2))</f>
        <v>3.3333333333298576E-3</v>
      </c>
      <c r="Q158" s="81">
        <f>IF(G158="","",ABS(O158-Components!$C$3))</f>
        <v>1.2859999999999996</v>
      </c>
      <c r="R158" s="81">
        <f>IF(G158="","",ABS(O158-Components!$C$4))</f>
        <v>1.756666666666667</v>
      </c>
      <c r="S158" s="81">
        <f>IF(G158="","",ABS(O158-Components!$C$5))</f>
        <v>1.8126666666666704</v>
      </c>
      <c r="T158" s="81">
        <f>IF(G158="","",ABS(O158-Components!$C$6))</f>
        <v>1.59433333333333</v>
      </c>
      <c r="U158" s="81">
        <f>IF(G158="","",ABS(O158-Components!$C$7))</f>
        <v>1.3756666666666699</v>
      </c>
      <c r="V158" s="81" t="str">
        <f>IF(G158="","",IF(M158="OK","NONE",INDEX({"S1","S2","W1","W2","N1","N2"},MATCH(MIN(P158:U158),P158:U158,0))))</f>
        <v>S1</v>
      </c>
      <c r="W158" s="117">
        <f t="shared" si="22"/>
        <v>1</v>
      </c>
      <c r="X158" s="119"/>
    </row>
    <row r="159" spans="1:24">
      <c r="A159" s="115">
        <v>157</v>
      </c>
      <c r="B159" s="116">
        <v>6</v>
      </c>
      <c r="C159" s="81" t="s">
        <v>130</v>
      </c>
      <c r="D159" s="111" t="s">
        <v>240</v>
      </c>
      <c r="E159" s="81" t="s">
        <v>99</v>
      </c>
      <c r="F159" s="61">
        <v>6.18</v>
      </c>
      <c r="G159" s="52">
        <f t="shared" si="16"/>
        <v>7.1499999999999995</v>
      </c>
      <c r="H159" s="110"/>
      <c r="I159" s="81">
        <v>9.91</v>
      </c>
      <c r="J159" s="81">
        <f>VLOOKUP(C159,Recipes!$A$2:$N$4,12,FALSE())</f>
        <v>5.0137397426368718E-2</v>
      </c>
      <c r="K159" s="81">
        <f t="shared" si="17"/>
        <v>9.6091756154417887</v>
      </c>
      <c r="L159" s="81">
        <f t="shared" si="20"/>
        <v>10.210824384558212</v>
      </c>
      <c r="M159" s="81" t="str">
        <f t="shared" si="18"/>
        <v>NG</v>
      </c>
      <c r="N159" s="117">
        <f t="shared" si="21"/>
        <v>1</v>
      </c>
      <c r="O159" s="81">
        <f t="shared" si="19"/>
        <v>2.7600000000000007</v>
      </c>
      <c r="P159" s="81">
        <f>IF(G159="","",ABS(O159-Components!$C$2))</f>
        <v>6.6666666666708174E-3</v>
      </c>
      <c r="Q159" s="81">
        <f>IF(G159="","",ABS(O159-Components!$C$3))</f>
        <v>1.2759999999999989</v>
      </c>
      <c r="R159" s="81">
        <f>IF(G159="","",ABS(O159-Components!$C$4))</f>
        <v>1.7666666666666677</v>
      </c>
      <c r="S159" s="81">
        <f>IF(G159="","",ABS(O159-Components!$C$5))</f>
        <v>1.8026666666666697</v>
      </c>
      <c r="T159" s="81">
        <f>IF(G159="","",ABS(O159-Components!$C$6))</f>
        <v>1.6043333333333307</v>
      </c>
      <c r="U159" s="81">
        <f>IF(G159="","",ABS(O159-Components!$C$7))</f>
        <v>1.3856666666666706</v>
      </c>
      <c r="V159" s="81" t="str">
        <f>IF(G159="","",IF(M159="OK","NONE",INDEX({"S1","S2","W1","W2","N1","N2"},MATCH(MIN(P159:U159),P159:U159,0))))</f>
        <v>S1</v>
      </c>
      <c r="W159" s="117">
        <f t="shared" si="22"/>
        <v>1</v>
      </c>
      <c r="X159" s="119"/>
    </row>
    <row r="160" spans="1:24">
      <c r="A160" s="115">
        <v>158</v>
      </c>
      <c r="B160" s="116">
        <v>6</v>
      </c>
      <c r="C160" s="81" t="s">
        <v>130</v>
      </c>
      <c r="D160" s="111" t="s">
        <v>240</v>
      </c>
      <c r="E160" s="81" t="s">
        <v>99</v>
      </c>
      <c r="F160" s="61">
        <v>6.13</v>
      </c>
      <c r="G160" s="52">
        <f t="shared" si="16"/>
        <v>7.1</v>
      </c>
      <c r="H160" s="110"/>
      <c r="I160" s="81">
        <v>9.91</v>
      </c>
      <c r="J160" s="81">
        <f>VLOOKUP(C160,Recipes!$A$2:$N$4,12,FALSE())</f>
        <v>5.0137397426368718E-2</v>
      </c>
      <c r="K160" s="81">
        <f t="shared" si="17"/>
        <v>9.6091756154417887</v>
      </c>
      <c r="L160" s="81">
        <f t="shared" si="20"/>
        <v>10.210824384558212</v>
      </c>
      <c r="M160" s="81" t="str">
        <f t="shared" si="18"/>
        <v>NG</v>
      </c>
      <c r="N160" s="117">
        <f t="shared" si="21"/>
        <v>1</v>
      </c>
      <c r="O160" s="81">
        <f t="shared" si="19"/>
        <v>2.8100000000000005</v>
      </c>
      <c r="P160" s="81">
        <f>IF(G160="","",ABS(O160-Components!$C$2))</f>
        <v>5.666666666667064E-2</v>
      </c>
      <c r="Q160" s="81">
        <f>IF(G160="","",ABS(O160-Components!$C$3))</f>
        <v>1.2259999999999991</v>
      </c>
      <c r="R160" s="81">
        <f>IF(G160="","",ABS(O160-Components!$C$4))</f>
        <v>1.8166666666666675</v>
      </c>
      <c r="S160" s="81">
        <f>IF(G160="","",ABS(O160-Components!$C$5))</f>
        <v>1.7526666666666699</v>
      </c>
      <c r="T160" s="81">
        <f>IF(G160="","",ABS(O160-Components!$C$6))</f>
        <v>1.6543333333333305</v>
      </c>
      <c r="U160" s="81">
        <f>IF(G160="","",ABS(O160-Components!$C$7))</f>
        <v>1.4356666666666704</v>
      </c>
      <c r="V160" s="81" t="str">
        <f>IF(G160="","",IF(M160="OK","NONE",INDEX({"S1","S2","W1","W2","N1","N2"},MATCH(MIN(P160:U160),P160:U160,0))))</f>
        <v>S1</v>
      </c>
      <c r="W160" s="117">
        <f t="shared" si="22"/>
        <v>1</v>
      </c>
      <c r="X160" s="119"/>
    </row>
    <row r="161" spans="1:24">
      <c r="A161" s="115">
        <v>159</v>
      </c>
      <c r="B161" s="116">
        <v>6</v>
      </c>
      <c r="C161" s="81" t="s">
        <v>130</v>
      </c>
      <c r="D161" s="111" t="s">
        <v>240</v>
      </c>
      <c r="E161" s="81" t="s">
        <v>99</v>
      </c>
      <c r="F161" s="61">
        <v>6.22</v>
      </c>
      <c r="G161" s="52">
        <f t="shared" si="16"/>
        <v>7.1899999999999995</v>
      </c>
      <c r="H161" s="110"/>
      <c r="I161" s="81">
        <v>9.91</v>
      </c>
      <c r="J161" s="81">
        <f>VLOOKUP(C161,Recipes!$A$2:$N$4,12,FALSE())</f>
        <v>5.0137397426368718E-2</v>
      </c>
      <c r="K161" s="81">
        <f t="shared" si="17"/>
        <v>9.6091756154417887</v>
      </c>
      <c r="L161" s="81">
        <f t="shared" si="20"/>
        <v>10.210824384558212</v>
      </c>
      <c r="M161" s="81" t="str">
        <f t="shared" si="18"/>
        <v>NG</v>
      </c>
      <c r="N161" s="117">
        <f t="shared" si="21"/>
        <v>1</v>
      </c>
      <c r="O161" s="81">
        <f t="shared" si="19"/>
        <v>2.7200000000000006</v>
      </c>
      <c r="P161" s="81">
        <f>IF(G161="","",ABS(O161-Components!$C$2))</f>
        <v>3.3333333333329218E-2</v>
      </c>
      <c r="Q161" s="81">
        <f>IF(G161="","",ABS(O161-Components!$C$3))</f>
        <v>1.3159999999999989</v>
      </c>
      <c r="R161" s="81">
        <f>IF(G161="","",ABS(O161-Components!$C$4))</f>
        <v>1.7266666666666677</v>
      </c>
      <c r="S161" s="81">
        <f>IF(G161="","",ABS(O161-Components!$C$5))</f>
        <v>1.8426666666666698</v>
      </c>
      <c r="T161" s="81">
        <f>IF(G161="","",ABS(O161-Components!$C$6))</f>
        <v>1.5643333333333307</v>
      </c>
      <c r="U161" s="81">
        <f>IF(G161="","",ABS(O161-Components!$C$7))</f>
        <v>1.3456666666666706</v>
      </c>
      <c r="V161" s="81" t="str">
        <f>IF(G161="","",IF(M161="OK","NONE",INDEX({"S1","S2","W1","W2","N1","N2"},MATCH(MIN(P161:U161),P161:U161,0))))</f>
        <v>S1</v>
      </c>
      <c r="W161" s="117">
        <f t="shared" si="22"/>
        <v>1</v>
      </c>
      <c r="X161" s="119"/>
    </row>
    <row r="162" spans="1:24">
      <c r="A162" s="115">
        <v>160</v>
      </c>
      <c r="B162" s="116">
        <v>6</v>
      </c>
      <c r="C162" s="61" t="s">
        <v>130</v>
      </c>
      <c r="D162" s="61" t="s">
        <v>240</v>
      </c>
      <c r="E162" s="61" t="s">
        <v>99</v>
      </c>
      <c r="F162" s="61">
        <v>6.17</v>
      </c>
      <c r="G162" s="52">
        <f t="shared" si="16"/>
        <v>7.14</v>
      </c>
      <c r="H162" s="110"/>
      <c r="I162" s="81">
        <v>9.91</v>
      </c>
      <c r="J162" s="81">
        <f>VLOOKUP(C162,Recipes!$A$2:$N$4,12,FALSE())</f>
        <v>5.0137397426368718E-2</v>
      </c>
      <c r="K162" s="81">
        <f t="shared" si="17"/>
        <v>9.6091756154417887</v>
      </c>
      <c r="L162" s="81">
        <f t="shared" si="20"/>
        <v>10.210824384558212</v>
      </c>
      <c r="M162" s="81" t="str">
        <f t="shared" si="18"/>
        <v>NG</v>
      </c>
      <c r="N162" s="117">
        <f t="shared" si="21"/>
        <v>1</v>
      </c>
      <c r="O162" s="81">
        <f t="shared" si="19"/>
        <v>2.7700000000000005</v>
      </c>
      <c r="P162" s="81">
        <f>IF(G162="","",ABS(O162-Components!$C$2))</f>
        <v>1.6666666666670604E-2</v>
      </c>
      <c r="Q162" s="81">
        <f>IF(G162="","",ABS(O162-Components!$C$3))</f>
        <v>1.2659999999999991</v>
      </c>
      <c r="R162" s="81">
        <f>IF(G162="","",ABS(O162-Components!$C$4))</f>
        <v>1.7766666666666675</v>
      </c>
      <c r="S162" s="81">
        <f>IF(G162="","",ABS(O162-Components!$C$5))</f>
        <v>1.79266666666667</v>
      </c>
      <c r="T162" s="81">
        <f>IF(G162="","",ABS(O162-Components!$C$6))</f>
        <v>1.6143333333333305</v>
      </c>
      <c r="U162" s="81">
        <f>IF(G162="","",ABS(O162-Components!$C$7))</f>
        <v>1.3956666666666704</v>
      </c>
      <c r="V162" s="81" t="str">
        <f>IF(G162="","",IF(M162="OK","NONE",INDEX({"S1","S2","W1","W2","N1","N2"},MATCH(MIN(P162:U162),P162:U162,0))))</f>
        <v>S1</v>
      </c>
      <c r="W162" s="117">
        <f t="shared" si="22"/>
        <v>1</v>
      </c>
      <c r="X162" s="119"/>
    </row>
    <row r="163" spans="1:24">
      <c r="A163" s="115">
        <v>161</v>
      </c>
      <c r="B163" s="116">
        <v>6</v>
      </c>
      <c r="C163" s="81" t="s">
        <v>130</v>
      </c>
      <c r="D163" s="111" t="s">
        <v>240</v>
      </c>
      <c r="E163" s="81" t="s">
        <v>99</v>
      </c>
      <c r="F163" s="61">
        <v>6.16</v>
      </c>
      <c r="G163" s="52">
        <f t="shared" si="16"/>
        <v>7.13</v>
      </c>
      <c r="H163" s="110"/>
      <c r="I163" s="81">
        <v>9.91</v>
      </c>
      <c r="J163" s="81">
        <f>VLOOKUP(C163,Recipes!$A$2:$N$4,12,FALSE())</f>
        <v>5.0137397426368718E-2</v>
      </c>
      <c r="K163" s="81">
        <f t="shared" si="17"/>
        <v>9.6091756154417887</v>
      </c>
      <c r="L163" s="81">
        <f t="shared" si="20"/>
        <v>10.210824384558212</v>
      </c>
      <c r="M163" s="81" t="str">
        <f t="shared" si="18"/>
        <v>NG</v>
      </c>
      <c r="N163" s="117">
        <f t="shared" si="21"/>
        <v>1</v>
      </c>
      <c r="O163" s="81">
        <f t="shared" si="19"/>
        <v>2.7800000000000002</v>
      </c>
      <c r="P163" s="81">
        <f>IF(G163="","",ABS(O163-Components!$C$2))</f>
        <v>2.6666666666670391E-2</v>
      </c>
      <c r="Q163" s="81">
        <f>IF(G163="","",ABS(O163-Components!$C$3))</f>
        <v>1.2559999999999993</v>
      </c>
      <c r="R163" s="81">
        <f>IF(G163="","",ABS(O163-Components!$C$4))</f>
        <v>1.7866666666666673</v>
      </c>
      <c r="S163" s="81">
        <f>IF(G163="","",ABS(O163-Components!$C$5))</f>
        <v>1.7826666666666702</v>
      </c>
      <c r="T163" s="81">
        <f>IF(G163="","",ABS(O163-Components!$C$6))</f>
        <v>1.6243333333333303</v>
      </c>
      <c r="U163" s="81">
        <f>IF(G163="","",ABS(O163-Components!$C$7))</f>
        <v>1.4056666666666702</v>
      </c>
      <c r="V163" s="81" t="str">
        <f>IF(G163="","",IF(M163="OK","NONE",INDEX({"S1","S2","W1","W2","N1","N2"},MATCH(MIN(P163:U163),P163:U163,0))))</f>
        <v>S1</v>
      </c>
      <c r="W163" s="117">
        <f t="shared" si="22"/>
        <v>1</v>
      </c>
      <c r="X163" s="119"/>
    </row>
    <row r="164" spans="1:24">
      <c r="A164" s="115">
        <v>162</v>
      </c>
      <c r="B164" s="116">
        <v>6</v>
      </c>
      <c r="C164" s="81" t="s">
        <v>130</v>
      </c>
      <c r="D164" s="111" t="s">
        <v>240</v>
      </c>
      <c r="E164" s="81" t="s">
        <v>99</v>
      </c>
      <c r="F164" s="61">
        <v>6.17</v>
      </c>
      <c r="G164" s="52">
        <f t="shared" si="16"/>
        <v>7.14</v>
      </c>
      <c r="H164" s="110"/>
      <c r="I164" s="81">
        <v>9.91</v>
      </c>
      <c r="J164" s="81">
        <f>VLOOKUP(C164,Recipes!$A$2:$N$4,12,FALSE())</f>
        <v>5.0137397426368718E-2</v>
      </c>
      <c r="K164" s="81">
        <f t="shared" si="17"/>
        <v>9.6091756154417887</v>
      </c>
      <c r="L164" s="81">
        <f t="shared" si="20"/>
        <v>10.210824384558212</v>
      </c>
      <c r="M164" s="81" t="str">
        <f t="shared" si="18"/>
        <v>NG</v>
      </c>
      <c r="N164" s="117">
        <f t="shared" si="21"/>
        <v>1</v>
      </c>
      <c r="O164" s="81">
        <f t="shared" si="19"/>
        <v>2.7700000000000005</v>
      </c>
      <c r="P164" s="81">
        <f>IF(G164="","",ABS(O164-Components!$C$2))</f>
        <v>1.6666666666670604E-2</v>
      </c>
      <c r="Q164" s="81">
        <f>IF(G164="","",ABS(O164-Components!$C$3))</f>
        <v>1.2659999999999991</v>
      </c>
      <c r="R164" s="81">
        <f>IF(G164="","",ABS(O164-Components!$C$4))</f>
        <v>1.7766666666666675</v>
      </c>
      <c r="S164" s="81">
        <f>IF(G164="","",ABS(O164-Components!$C$5))</f>
        <v>1.79266666666667</v>
      </c>
      <c r="T164" s="81">
        <f>IF(G164="","",ABS(O164-Components!$C$6))</f>
        <v>1.6143333333333305</v>
      </c>
      <c r="U164" s="81">
        <f>IF(G164="","",ABS(O164-Components!$C$7))</f>
        <v>1.3956666666666704</v>
      </c>
      <c r="V164" s="81" t="str">
        <f>IF(G164="","",IF(M164="OK","NONE",INDEX({"S1","S2","W1","W2","N1","N2"},MATCH(MIN(P164:U164),P164:U164,0))))</f>
        <v>S1</v>
      </c>
      <c r="W164" s="117">
        <f t="shared" si="22"/>
        <v>1</v>
      </c>
      <c r="X164" s="119"/>
    </row>
    <row r="165" spans="1:24">
      <c r="A165" s="115">
        <v>163</v>
      </c>
      <c r="B165" s="116">
        <v>6</v>
      </c>
      <c r="C165" s="81" t="s">
        <v>130</v>
      </c>
      <c r="D165" s="111" t="s">
        <v>240</v>
      </c>
      <c r="E165" s="81" t="s">
        <v>99</v>
      </c>
      <c r="F165" s="61">
        <v>6.14</v>
      </c>
      <c r="G165" s="52">
        <f t="shared" si="16"/>
        <v>7.1099999999999994</v>
      </c>
      <c r="H165" s="110"/>
      <c r="I165" s="81">
        <v>9.91</v>
      </c>
      <c r="J165" s="81">
        <f>VLOOKUP(C165,Recipes!$A$2:$N$4,12,FALSE())</f>
        <v>5.0137397426368718E-2</v>
      </c>
      <c r="K165" s="81">
        <f t="shared" si="17"/>
        <v>9.6091756154417887</v>
      </c>
      <c r="L165" s="81">
        <f t="shared" si="20"/>
        <v>10.210824384558212</v>
      </c>
      <c r="M165" s="81" t="str">
        <f t="shared" si="18"/>
        <v>NG</v>
      </c>
      <c r="N165" s="117">
        <f t="shared" si="21"/>
        <v>1</v>
      </c>
      <c r="O165" s="81">
        <f t="shared" si="19"/>
        <v>2.8000000000000007</v>
      </c>
      <c r="P165" s="81">
        <f>IF(G165="","",ABS(O165-Components!$C$2))</f>
        <v>4.6666666666670853E-2</v>
      </c>
      <c r="Q165" s="81">
        <f>IF(G165="","",ABS(O165-Components!$C$3))</f>
        <v>1.2359999999999989</v>
      </c>
      <c r="R165" s="81">
        <f>IF(G165="","",ABS(O165-Components!$C$4))</f>
        <v>1.8066666666666678</v>
      </c>
      <c r="S165" s="81">
        <f>IF(G165="","",ABS(O165-Components!$C$5))</f>
        <v>1.7626666666666697</v>
      </c>
      <c r="T165" s="81">
        <f>IF(G165="","",ABS(O165-Components!$C$6))</f>
        <v>1.6443333333333308</v>
      </c>
      <c r="U165" s="81">
        <f>IF(G165="","",ABS(O165-Components!$C$7))</f>
        <v>1.4256666666666706</v>
      </c>
      <c r="V165" s="81" t="str">
        <f>IF(G165="","",IF(M165="OK","NONE",INDEX({"S1","S2","W1","W2","N1","N2"},MATCH(MIN(P165:U165),P165:U165,0))))</f>
        <v>S1</v>
      </c>
      <c r="W165" s="117">
        <f t="shared" si="22"/>
        <v>1</v>
      </c>
      <c r="X165" s="119"/>
    </row>
    <row r="166" spans="1:24">
      <c r="A166" s="115">
        <v>164</v>
      </c>
      <c r="B166" s="116">
        <v>6</v>
      </c>
      <c r="C166" s="81" t="s">
        <v>130</v>
      </c>
      <c r="D166" s="111" t="s">
        <v>240</v>
      </c>
      <c r="E166" s="81" t="s">
        <v>99</v>
      </c>
      <c r="F166" s="61">
        <v>6.2</v>
      </c>
      <c r="G166" s="52">
        <f t="shared" si="16"/>
        <v>7.17</v>
      </c>
      <c r="H166" s="110"/>
      <c r="I166" s="81">
        <v>9.91</v>
      </c>
      <c r="J166" s="81">
        <f>VLOOKUP(C166,Recipes!$A$2:$N$4,12,FALSE())</f>
        <v>5.0137397426368718E-2</v>
      </c>
      <c r="K166" s="81">
        <f t="shared" si="17"/>
        <v>9.6091756154417887</v>
      </c>
      <c r="L166" s="81">
        <f t="shared" si="20"/>
        <v>10.210824384558212</v>
      </c>
      <c r="M166" s="81" t="str">
        <f t="shared" si="18"/>
        <v>NG</v>
      </c>
      <c r="N166" s="117">
        <f t="shared" si="21"/>
        <v>1</v>
      </c>
      <c r="O166" s="81">
        <f t="shared" si="19"/>
        <v>2.74</v>
      </c>
      <c r="P166" s="81">
        <f>IF(G166="","",ABS(O166-Components!$C$2))</f>
        <v>1.3333333333329644E-2</v>
      </c>
      <c r="Q166" s="81">
        <f>IF(G166="","",ABS(O166-Components!$C$3))</f>
        <v>1.2959999999999994</v>
      </c>
      <c r="R166" s="81">
        <f>IF(G166="","",ABS(O166-Components!$C$4))</f>
        <v>1.7466666666666673</v>
      </c>
      <c r="S166" s="81">
        <f>IF(G166="","",ABS(O166-Components!$C$5))</f>
        <v>1.8226666666666702</v>
      </c>
      <c r="T166" s="81">
        <f>IF(G166="","",ABS(O166-Components!$C$6))</f>
        <v>1.5843333333333303</v>
      </c>
      <c r="U166" s="81">
        <f>IF(G166="","",ABS(O166-Components!$C$7))</f>
        <v>1.3656666666666701</v>
      </c>
      <c r="V166" s="81" t="str">
        <f>IF(G166="","",IF(M166="OK","NONE",INDEX({"S1","S2","W1","W2","N1","N2"},MATCH(MIN(P166:U166),P166:U166,0))))</f>
        <v>S1</v>
      </c>
      <c r="W166" s="117">
        <f t="shared" si="22"/>
        <v>1</v>
      </c>
      <c r="X166" s="119"/>
    </row>
    <row r="167" spans="1:24">
      <c r="A167" s="115">
        <v>165</v>
      </c>
      <c r="B167" s="116">
        <v>6</v>
      </c>
      <c r="C167" s="61" t="s">
        <v>130</v>
      </c>
      <c r="D167" s="61" t="s">
        <v>240</v>
      </c>
      <c r="E167" s="61" t="s">
        <v>99</v>
      </c>
      <c r="F167" s="61">
        <v>6.19</v>
      </c>
      <c r="G167" s="52">
        <f t="shared" si="16"/>
        <v>7.16</v>
      </c>
      <c r="H167" s="110"/>
      <c r="I167" s="81">
        <v>9.91</v>
      </c>
      <c r="J167" s="81">
        <f>VLOOKUP(C167,Recipes!$A$2:$N$4,12,FALSE())</f>
        <v>5.0137397426368718E-2</v>
      </c>
      <c r="K167" s="81">
        <f t="shared" si="17"/>
        <v>9.6091756154417887</v>
      </c>
      <c r="L167" s="81">
        <f t="shared" si="20"/>
        <v>10.210824384558212</v>
      </c>
      <c r="M167" s="81" t="str">
        <f t="shared" si="18"/>
        <v>NG</v>
      </c>
      <c r="N167" s="117">
        <f t="shared" si="21"/>
        <v>1</v>
      </c>
      <c r="O167" s="81">
        <f t="shared" si="19"/>
        <v>2.75</v>
      </c>
      <c r="P167" s="81">
        <f>IF(G167="","",ABS(O167-Components!$C$2))</f>
        <v>3.3333333333298576E-3</v>
      </c>
      <c r="Q167" s="81">
        <f>IF(G167="","",ABS(O167-Components!$C$3))</f>
        <v>1.2859999999999996</v>
      </c>
      <c r="R167" s="81">
        <f>IF(G167="","",ABS(O167-Components!$C$4))</f>
        <v>1.756666666666667</v>
      </c>
      <c r="S167" s="81">
        <f>IF(G167="","",ABS(O167-Components!$C$5))</f>
        <v>1.8126666666666704</v>
      </c>
      <c r="T167" s="81">
        <f>IF(G167="","",ABS(O167-Components!$C$6))</f>
        <v>1.59433333333333</v>
      </c>
      <c r="U167" s="81">
        <f>IF(G167="","",ABS(O167-Components!$C$7))</f>
        <v>1.3756666666666699</v>
      </c>
      <c r="V167" s="81" t="str">
        <f>IF(G167="","",IF(M167="OK","NONE",INDEX({"S1","S2","W1","W2","N1","N2"},MATCH(MIN(P167:U167),P167:U167,0))))</f>
        <v>S1</v>
      </c>
      <c r="W167" s="117">
        <f t="shared" si="22"/>
        <v>1</v>
      </c>
      <c r="X167" s="119"/>
    </row>
    <row r="168" spans="1:24">
      <c r="A168" s="115">
        <v>166</v>
      </c>
      <c r="B168" s="116">
        <v>6</v>
      </c>
      <c r="C168" s="81" t="s">
        <v>130</v>
      </c>
      <c r="D168" s="111" t="s">
        <v>240</v>
      </c>
      <c r="E168" s="81" t="s">
        <v>99</v>
      </c>
      <c r="F168" s="61">
        <v>6.19</v>
      </c>
      <c r="G168" s="52">
        <f t="shared" si="16"/>
        <v>7.16</v>
      </c>
      <c r="H168" s="110"/>
      <c r="I168" s="81">
        <v>9.91</v>
      </c>
      <c r="J168" s="81">
        <f>VLOOKUP(C168,Recipes!$A$2:$N$4,12,FALSE())</f>
        <v>5.0137397426368718E-2</v>
      </c>
      <c r="K168" s="81">
        <f t="shared" si="17"/>
        <v>9.6091756154417887</v>
      </c>
      <c r="L168" s="81">
        <f t="shared" si="20"/>
        <v>10.210824384558212</v>
      </c>
      <c r="M168" s="81" t="str">
        <f t="shared" si="18"/>
        <v>NG</v>
      </c>
      <c r="N168" s="117">
        <f t="shared" si="21"/>
        <v>1</v>
      </c>
      <c r="O168" s="81">
        <f t="shared" si="19"/>
        <v>2.75</v>
      </c>
      <c r="P168" s="81">
        <f>IF(G168="","",ABS(O168-Components!$C$2))</f>
        <v>3.3333333333298576E-3</v>
      </c>
      <c r="Q168" s="81">
        <f>IF(G168="","",ABS(O168-Components!$C$3))</f>
        <v>1.2859999999999996</v>
      </c>
      <c r="R168" s="81">
        <f>IF(G168="","",ABS(O168-Components!$C$4))</f>
        <v>1.756666666666667</v>
      </c>
      <c r="S168" s="81">
        <f>IF(G168="","",ABS(O168-Components!$C$5))</f>
        <v>1.8126666666666704</v>
      </c>
      <c r="T168" s="81">
        <f>IF(G168="","",ABS(O168-Components!$C$6))</f>
        <v>1.59433333333333</v>
      </c>
      <c r="U168" s="81">
        <f>IF(G168="","",ABS(O168-Components!$C$7))</f>
        <v>1.3756666666666699</v>
      </c>
      <c r="V168" s="81" t="str">
        <f>IF(G168="","",IF(M168="OK","NONE",INDEX({"S1","S2","W1","W2","N1","N2"},MATCH(MIN(P168:U168),P168:U168,0))))</f>
        <v>S1</v>
      </c>
      <c r="W168" s="117">
        <f t="shared" si="22"/>
        <v>1</v>
      </c>
      <c r="X168" s="119"/>
    </row>
    <row r="169" spans="1:24">
      <c r="A169" s="115">
        <v>167</v>
      </c>
      <c r="B169" s="116">
        <v>6</v>
      </c>
      <c r="C169" s="81" t="s">
        <v>130</v>
      </c>
      <c r="D169" s="111" t="s">
        <v>240</v>
      </c>
      <c r="E169" s="81" t="s">
        <v>99</v>
      </c>
      <c r="F169" s="61">
        <v>6.13</v>
      </c>
      <c r="G169" s="52">
        <f t="shared" si="16"/>
        <v>7.1</v>
      </c>
      <c r="H169" s="110"/>
      <c r="I169" s="81">
        <v>9.91</v>
      </c>
      <c r="J169" s="81">
        <f>VLOOKUP(C169,Recipes!$A$2:$N$4,12,FALSE())</f>
        <v>5.0137397426368718E-2</v>
      </c>
      <c r="K169" s="81">
        <f t="shared" si="17"/>
        <v>9.6091756154417887</v>
      </c>
      <c r="L169" s="81">
        <f t="shared" si="20"/>
        <v>10.210824384558212</v>
      </c>
      <c r="M169" s="81" t="str">
        <f t="shared" si="18"/>
        <v>NG</v>
      </c>
      <c r="N169" s="117">
        <f t="shared" si="21"/>
        <v>1</v>
      </c>
      <c r="O169" s="81">
        <f t="shared" si="19"/>
        <v>2.8100000000000005</v>
      </c>
      <c r="P169" s="81">
        <f>IF(G169="","",ABS(O169-Components!$C$2))</f>
        <v>5.666666666667064E-2</v>
      </c>
      <c r="Q169" s="81">
        <f>IF(G169="","",ABS(O169-Components!$C$3))</f>
        <v>1.2259999999999991</v>
      </c>
      <c r="R169" s="81">
        <f>IF(G169="","",ABS(O169-Components!$C$4))</f>
        <v>1.8166666666666675</v>
      </c>
      <c r="S169" s="81">
        <f>IF(G169="","",ABS(O169-Components!$C$5))</f>
        <v>1.7526666666666699</v>
      </c>
      <c r="T169" s="81">
        <f>IF(G169="","",ABS(O169-Components!$C$6))</f>
        <v>1.6543333333333305</v>
      </c>
      <c r="U169" s="81">
        <f>IF(G169="","",ABS(O169-Components!$C$7))</f>
        <v>1.4356666666666704</v>
      </c>
      <c r="V169" s="81" t="str">
        <f>IF(G169="","",IF(M169="OK","NONE",INDEX({"S1","S2","W1","W2","N1","N2"},MATCH(MIN(P169:U169),P169:U169,0))))</f>
        <v>S1</v>
      </c>
      <c r="W169" s="117">
        <f t="shared" si="22"/>
        <v>1</v>
      </c>
      <c r="X169" s="119"/>
    </row>
    <row r="170" spans="1:24">
      <c r="A170" s="115">
        <v>168</v>
      </c>
      <c r="B170" s="116">
        <v>6</v>
      </c>
      <c r="C170" s="81" t="s">
        <v>130</v>
      </c>
      <c r="D170" s="111" t="s">
        <v>240</v>
      </c>
      <c r="E170" s="81" t="s">
        <v>99</v>
      </c>
      <c r="F170" s="61">
        <v>6.17</v>
      </c>
      <c r="G170" s="52">
        <f t="shared" si="16"/>
        <v>7.14</v>
      </c>
      <c r="H170" s="110"/>
      <c r="I170" s="81">
        <v>9.91</v>
      </c>
      <c r="J170" s="81">
        <f>VLOOKUP(C170,Recipes!$A$2:$N$4,12,FALSE())</f>
        <v>5.0137397426368718E-2</v>
      </c>
      <c r="K170" s="81">
        <f t="shared" si="17"/>
        <v>9.6091756154417887</v>
      </c>
      <c r="L170" s="81">
        <f t="shared" si="20"/>
        <v>10.210824384558212</v>
      </c>
      <c r="M170" s="81" t="str">
        <f t="shared" si="18"/>
        <v>NG</v>
      </c>
      <c r="N170" s="117">
        <f t="shared" si="21"/>
        <v>1</v>
      </c>
      <c r="O170" s="81">
        <f t="shared" si="19"/>
        <v>2.7700000000000005</v>
      </c>
      <c r="P170" s="81">
        <f>IF(G170="","",ABS(O170-Components!$C$2))</f>
        <v>1.6666666666670604E-2</v>
      </c>
      <c r="Q170" s="81">
        <f>IF(G170="","",ABS(O170-Components!$C$3))</f>
        <v>1.2659999999999991</v>
      </c>
      <c r="R170" s="81">
        <f>IF(G170="","",ABS(O170-Components!$C$4))</f>
        <v>1.7766666666666675</v>
      </c>
      <c r="S170" s="81">
        <f>IF(G170="","",ABS(O170-Components!$C$5))</f>
        <v>1.79266666666667</v>
      </c>
      <c r="T170" s="81">
        <f>IF(G170="","",ABS(O170-Components!$C$6))</f>
        <v>1.6143333333333305</v>
      </c>
      <c r="U170" s="81">
        <f>IF(G170="","",ABS(O170-Components!$C$7))</f>
        <v>1.3956666666666704</v>
      </c>
      <c r="V170" s="81" t="str">
        <f>IF(G170="","",IF(M170="OK","NONE",INDEX({"S1","S2","W1","W2","N1","N2"},MATCH(MIN(P170:U170),P170:U170,0))))</f>
        <v>S1</v>
      </c>
      <c r="W170" s="117">
        <f t="shared" si="22"/>
        <v>1</v>
      </c>
      <c r="X170" s="119"/>
    </row>
    <row r="171" spans="1:24">
      <c r="A171" s="115">
        <v>169</v>
      </c>
      <c r="B171" s="116">
        <v>6</v>
      </c>
      <c r="C171" s="81" t="s">
        <v>130</v>
      </c>
      <c r="D171" s="111" t="s">
        <v>240</v>
      </c>
      <c r="E171" s="81" t="s">
        <v>99</v>
      </c>
      <c r="F171" s="61">
        <v>6.19</v>
      </c>
      <c r="G171" s="52">
        <f t="shared" si="16"/>
        <v>7.16</v>
      </c>
      <c r="H171" s="110"/>
      <c r="I171" s="81">
        <v>9.91</v>
      </c>
      <c r="J171" s="81">
        <f>VLOOKUP(C171,Recipes!$A$2:$N$4,12,FALSE())</f>
        <v>5.0137397426368718E-2</v>
      </c>
      <c r="K171" s="81">
        <f t="shared" si="17"/>
        <v>9.6091756154417887</v>
      </c>
      <c r="L171" s="81">
        <f t="shared" si="20"/>
        <v>10.210824384558212</v>
      </c>
      <c r="M171" s="81" t="str">
        <f t="shared" si="18"/>
        <v>NG</v>
      </c>
      <c r="N171" s="117">
        <f t="shared" si="21"/>
        <v>1</v>
      </c>
      <c r="O171" s="81">
        <f t="shared" si="19"/>
        <v>2.75</v>
      </c>
      <c r="P171" s="81">
        <f>IF(G171="","",ABS(O171-Components!$C$2))</f>
        <v>3.3333333333298576E-3</v>
      </c>
      <c r="Q171" s="81">
        <f>IF(G171="","",ABS(O171-Components!$C$3))</f>
        <v>1.2859999999999996</v>
      </c>
      <c r="R171" s="81">
        <f>IF(G171="","",ABS(O171-Components!$C$4))</f>
        <v>1.756666666666667</v>
      </c>
      <c r="S171" s="81">
        <f>IF(G171="","",ABS(O171-Components!$C$5))</f>
        <v>1.8126666666666704</v>
      </c>
      <c r="T171" s="81">
        <f>IF(G171="","",ABS(O171-Components!$C$6))</f>
        <v>1.59433333333333</v>
      </c>
      <c r="U171" s="81">
        <f>IF(G171="","",ABS(O171-Components!$C$7))</f>
        <v>1.3756666666666699</v>
      </c>
      <c r="V171" s="81" t="str">
        <f>IF(G171="","",IF(M171="OK","NONE",INDEX({"S1","S2","W1","W2","N1","N2"},MATCH(MIN(P171:U171),P171:U171,0))))</f>
        <v>S1</v>
      </c>
      <c r="W171" s="117">
        <f t="shared" si="22"/>
        <v>1</v>
      </c>
      <c r="X171" s="119"/>
    </row>
    <row r="172" spans="1:24">
      <c r="A172" s="115">
        <v>170</v>
      </c>
      <c r="B172" s="116">
        <v>6</v>
      </c>
      <c r="C172" s="61" t="s">
        <v>130</v>
      </c>
      <c r="D172" s="61" t="s">
        <v>240</v>
      </c>
      <c r="E172" s="61" t="s">
        <v>99</v>
      </c>
      <c r="F172" s="61">
        <v>6.09</v>
      </c>
      <c r="G172" s="52">
        <f t="shared" si="16"/>
        <v>7.06</v>
      </c>
      <c r="H172" s="110"/>
      <c r="I172" s="81">
        <v>9.91</v>
      </c>
      <c r="J172" s="81">
        <f>VLOOKUP(C172,Recipes!$A$2:$N$4,12,FALSE())</f>
        <v>5.0137397426368718E-2</v>
      </c>
      <c r="K172" s="81">
        <f t="shared" si="17"/>
        <v>9.6091756154417887</v>
      </c>
      <c r="L172" s="81">
        <f t="shared" si="20"/>
        <v>10.210824384558212</v>
      </c>
      <c r="M172" s="81" t="str">
        <f t="shared" si="18"/>
        <v>NG</v>
      </c>
      <c r="N172" s="117">
        <f t="shared" si="21"/>
        <v>1</v>
      </c>
      <c r="O172" s="81">
        <f t="shared" si="19"/>
        <v>2.8500000000000005</v>
      </c>
      <c r="P172" s="81">
        <f>IF(G172="","",ABS(O172-Components!$C$2))</f>
        <v>9.6666666666670675E-2</v>
      </c>
      <c r="Q172" s="81">
        <f>IF(G172="","",ABS(O172-Components!$C$3))</f>
        <v>1.1859999999999991</v>
      </c>
      <c r="R172" s="81">
        <f>IF(G172="","",ABS(O172-Components!$C$4))</f>
        <v>1.8566666666666676</v>
      </c>
      <c r="S172" s="81">
        <f>IF(G172="","",ABS(O172-Components!$C$5))</f>
        <v>1.7126666666666699</v>
      </c>
      <c r="T172" s="81">
        <f>IF(G172="","",ABS(O172-Components!$C$6))</f>
        <v>1.6943333333333306</v>
      </c>
      <c r="U172" s="81">
        <f>IF(G172="","",ABS(O172-Components!$C$7))</f>
        <v>1.4756666666666705</v>
      </c>
      <c r="V172" s="81" t="str">
        <f>IF(G172="","",IF(M172="OK","NONE",INDEX({"S1","S2","W1","W2","N1","N2"},MATCH(MIN(P172:U172),P172:U172,0))))</f>
        <v>S1</v>
      </c>
      <c r="W172" s="117">
        <f t="shared" si="22"/>
        <v>1</v>
      </c>
      <c r="X172" s="119"/>
    </row>
    <row r="173" spans="1:24">
      <c r="A173" s="115">
        <v>171</v>
      </c>
      <c r="B173" s="116">
        <v>6</v>
      </c>
      <c r="C173" s="81" t="s">
        <v>130</v>
      </c>
      <c r="D173" s="111" t="s">
        <v>240</v>
      </c>
      <c r="E173" s="81" t="s">
        <v>99</v>
      </c>
      <c r="F173" s="61">
        <v>6.19</v>
      </c>
      <c r="G173" s="52">
        <f t="shared" si="16"/>
        <v>7.16</v>
      </c>
      <c r="H173" s="110"/>
      <c r="I173" s="81">
        <v>9.91</v>
      </c>
      <c r="J173" s="81">
        <f>VLOOKUP(C173,Recipes!$A$2:$N$4,12,FALSE())</f>
        <v>5.0137397426368718E-2</v>
      </c>
      <c r="K173" s="81">
        <f t="shared" si="17"/>
        <v>9.6091756154417887</v>
      </c>
      <c r="L173" s="81">
        <f t="shared" si="20"/>
        <v>10.210824384558212</v>
      </c>
      <c r="M173" s="81" t="str">
        <f t="shared" si="18"/>
        <v>NG</v>
      </c>
      <c r="N173" s="117">
        <f t="shared" si="21"/>
        <v>1</v>
      </c>
      <c r="O173" s="81">
        <f t="shared" si="19"/>
        <v>2.75</v>
      </c>
      <c r="P173" s="81">
        <f>IF(G173="","",ABS(O173-Components!$C$2))</f>
        <v>3.3333333333298576E-3</v>
      </c>
      <c r="Q173" s="81">
        <f>IF(G173="","",ABS(O173-Components!$C$3))</f>
        <v>1.2859999999999996</v>
      </c>
      <c r="R173" s="81">
        <f>IF(G173="","",ABS(O173-Components!$C$4))</f>
        <v>1.756666666666667</v>
      </c>
      <c r="S173" s="81">
        <f>IF(G173="","",ABS(O173-Components!$C$5))</f>
        <v>1.8126666666666704</v>
      </c>
      <c r="T173" s="81">
        <f>IF(G173="","",ABS(O173-Components!$C$6))</f>
        <v>1.59433333333333</v>
      </c>
      <c r="U173" s="81">
        <f>IF(G173="","",ABS(O173-Components!$C$7))</f>
        <v>1.3756666666666699</v>
      </c>
      <c r="V173" s="81" t="str">
        <f>IF(G173="","",IF(M173="OK","NONE",INDEX({"S1","S2","W1","W2","N1","N2"},MATCH(MIN(P173:U173),P173:U173,0))))</f>
        <v>S1</v>
      </c>
      <c r="W173" s="117">
        <f t="shared" si="22"/>
        <v>1</v>
      </c>
      <c r="X173" s="119"/>
    </row>
    <row r="174" spans="1:24">
      <c r="A174" s="115">
        <v>172</v>
      </c>
      <c r="B174" s="116">
        <v>6</v>
      </c>
      <c r="C174" s="81" t="s">
        <v>130</v>
      </c>
      <c r="D174" s="111" t="s">
        <v>240</v>
      </c>
      <c r="E174" s="81" t="s">
        <v>99</v>
      </c>
      <c r="F174" s="61">
        <v>6.18</v>
      </c>
      <c r="G174" s="52">
        <f t="shared" si="16"/>
        <v>7.1499999999999995</v>
      </c>
      <c r="H174" s="110"/>
      <c r="I174" s="81">
        <v>9.91</v>
      </c>
      <c r="J174" s="81">
        <f>VLOOKUP(C174,Recipes!$A$2:$N$4,12,FALSE())</f>
        <v>5.0137397426368718E-2</v>
      </c>
      <c r="K174" s="81">
        <f t="shared" si="17"/>
        <v>9.6091756154417887</v>
      </c>
      <c r="L174" s="81">
        <f t="shared" si="20"/>
        <v>10.210824384558212</v>
      </c>
      <c r="M174" s="81" t="str">
        <f t="shared" si="18"/>
        <v>NG</v>
      </c>
      <c r="N174" s="117">
        <f t="shared" si="21"/>
        <v>1</v>
      </c>
      <c r="O174" s="81">
        <f t="shared" si="19"/>
        <v>2.7600000000000007</v>
      </c>
      <c r="P174" s="81">
        <f>IF(G174="","",ABS(O174-Components!$C$2))</f>
        <v>6.6666666666708174E-3</v>
      </c>
      <c r="Q174" s="81">
        <f>IF(G174="","",ABS(O174-Components!$C$3))</f>
        <v>1.2759999999999989</v>
      </c>
      <c r="R174" s="81">
        <f>IF(G174="","",ABS(O174-Components!$C$4))</f>
        <v>1.7666666666666677</v>
      </c>
      <c r="S174" s="81">
        <f>IF(G174="","",ABS(O174-Components!$C$5))</f>
        <v>1.8026666666666697</v>
      </c>
      <c r="T174" s="81">
        <f>IF(G174="","",ABS(O174-Components!$C$6))</f>
        <v>1.6043333333333307</v>
      </c>
      <c r="U174" s="81">
        <f>IF(G174="","",ABS(O174-Components!$C$7))</f>
        <v>1.3856666666666706</v>
      </c>
      <c r="V174" s="81" t="str">
        <f>IF(G174="","",IF(M174="OK","NONE",INDEX({"S1","S2","W1","W2","N1","N2"},MATCH(MIN(P174:U174),P174:U174,0))))</f>
        <v>S1</v>
      </c>
      <c r="W174" s="117">
        <f t="shared" si="22"/>
        <v>1</v>
      </c>
      <c r="X174" s="119"/>
    </row>
    <row r="175" spans="1:24">
      <c r="A175" s="115">
        <v>173</v>
      </c>
      <c r="B175" s="116">
        <v>6</v>
      </c>
      <c r="C175" s="81" t="s">
        <v>130</v>
      </c>
      <c r="D175" s="111" t="s">
        <v>240</v>
      </c>
      <c r="E175" s="81" t="s">
        <v>99</v>
      </c>
      <c r="F175" s="61">
        <v>6.19</v>
      </c>
      <c r="G175" s="52">
        <f t="shared" si="16"/>
        <v>7.16</v>
      </c>
      <c r="H175" s="110"/>
      <c r="I175" s="81">
        <v>9.91</v>
      </c>
      <c r="J175" s="81">
        <f>VLOOKUP(C175,Recipes!$A$2:$N$4,12,FALSE())</f>
        <v>5.0137397426368718E-2</v>
      </c>
      <c r="K175" s="81">
        <f t="shared" si="17"/>
        <v>9.6091756154417887</v>
      </c>
      <c r="L175" s="81">
        <f t="shared" si="20"/>
        <v>10.210824384558212</v>
      </c>
      <c r="M175" s="81" t="str">
        <f t="shared" si="18"/>
        <v>NG</v>
      </c>
      <c r="N175" s="117">
        <f t="shared" si="21"/>
        <v>1</v>
      </c>
      <c r="O175" s="81">
        <f t="shared" si="19"/>
        <v>2.75</v>
      </c>
      <c r="P175" s="81">
        <f>IF(G175="","",ABS(O175-Components!$C$2))</f>
        <v>3.3333333333298576E-3</v>
      </c>
      <c r="Q175" s="81">
        <f>IF(G175="","",ABS(O175-Components!$C$3))</f>
        <v>1.2859999999999996</v>
      </c>
      <c r="R175" s="81">
        <f>IF(G175="","",ABS(O175-Components!$C$4))</f>
        <v>1.756666666666667</v>
      </c>
      <c r="S175" s="81">
        <f>IF(G175="","",ABS(O175-Components!$C$5))</f>
        <v>1.8126666666666704</v>
      </c>
      <c r="T175" s="81">
        <f>IF(G175="","",ABS(O175-Components!$C$6))</f>
        <v>1.59433333333333</v>
      </c>
      <c r="U175" s="81">
        <f>IF(G175="","",ABS(O175-Components!$C$7))</f>
        <v>1.3756666666666699</v>
      </c>
      <c r="V175" s="81" t="str">
        <f>IF(G175="","",IF(M175="OK","NONE",INDEX({"S1","S2","W1","W2","N1","N2"},MATCH(MIN(P175:U175),P175:U175,0))))</f>
        <v>S1</v>
      </c>
      <c r="W175" s="117">
        <f t="shared" si="22"/>
        <v>1</v>
      </c>
      <c r="X175" s="119"/>
    </row>
    <row r="176" spans="1:24">
      <c r="A176" s="115">
        <v>174</v>
      </c>
      <c r="B176" s="116">
        <v>6</v>
      </c>
      <c r="C176" s="81" t="s">
        <v>130</v>
      </c>
      <c r="D176" s="111" t="s">
        <v>240</v>
      </c>
      <c r="E176" s="81" t="s">
        <v>99</v>
      </c>
      <c r="F176" s="61">
        <v>6.15</v>
      </c>
      <c r="G176" s="52">
        <f t="shared" si="16"/>
        <v>7.12</v>
      </c>
      <c r="H176" s="110"/>
      <c r="I176" s="81">
        <v>9.91</v>
      </c>
      <c r="J176" s="81">
        <f>VLOOKUP(C176,Recipes!$A$2:$N$4,12,FALSE())</f>
        <v>5.0137397426368718E-2</v>
      </c>
      <c r="K176" s="81">
        <f t="shared" si="17"/>
        <v>9.6091756154417887</v>
      </c>
      <c r="L176" s="81">
        <f t="shared" si="20"/>
        <v>10.210824384558212</v>
      </c>
      <c r="M176" s="81" t="str">
        <f t="shared" si="18"/>
        <v>NG</v>
      </c>
      <c r="N176" s="117">
        <f t="shared" si="21"/>
        <v>1</v>
      </c>
      <c r="O176" s="81">
        <f t="shared" si="19"/>
        <v>2.79</v>
      </c>
      <c r="P176" s="81">
        <f>IF(G176="","",ABS(O176-Components!$C$2))</f>
        <v>3.6666666666670178E-2</v>
      </c>
      <c r="Q176" s="81">
        <f>IF(G176="","",ABS(O176-Components!$C$3))</f>
        <v>1.2459999999999996</v>
      </c>
      <c r="R176" s="81">
        <f>IF(G176="","",ABS(O176-Components!$C$4))</f>
        <v>1.7966666666666671</v>
      </c>
      <c r="S176" s="81">
        <f>IF(G176="","",ABS(O176-Components!$C$5))</f>
        <v>1.7726666666666704</v>
      </c>
      <c r="T176" s="81">
        <f>IF(G176="","",ABS(O176-Components!$C$6))</f>
        <v>1.6343333333333301</v>
      </c>
      <c r="U176" s="81">
        <f>IF(G176="","",ABS(O176-Components!$C$7))</f>
        <v>1.41566666666667</v>
      </c>
      <c r="V176" s="81" t="str">
        <f>IF(G176="","",IF(M176="OK","NONE",INDEX({"S1","S2","W1","W2","N1","N2"},MATCH(MIN(P176:U176),P176:U176,0))))</f>
        <v>S1</v>
      </c>
      <c r="W176" s="117">
        <f t="shared" si="22"/>
        <v>1</v>
      </c>
      <c r="X176" s="119"/>
    </row>
    <row r="177" spans="1:24">
      <c r="A177" s="115">
        <v>175</v>
      </c>
      <c r="B177" s="116">
        <v>6</v>
      </c>
      <c r="C177" s="61" t="s">
        <v>130</v>
      </c>
      <c r="D177" s="61" t="s">
        <v>240</v>
      </c>
      <c r="E177" s="61" t="s">
        <v>99</v>
      </c>
      <c r="F177" s="61">
        <v>6.16</v>
      </c>
      <c r="G177" s="52">
        <f t="shared" si="16"/>
        <v>7.13</v>
      </c>
      <c r="H177" s="110"/>
      <c r="I177" s="81">
        <v>9.91</v>
      </c>
      <c r="J177" s="81">
        <f>VLOOKUP(C177,Recipes!$A$2:$N$4,12,FALSE())</f>
        <v>5.0137397426368718E-2</v>
      </c>
      <c r="K177" s="81">
        <f t="shared" si="17"/>
        <v>9.6091756154417887</v>
      </c>
      <c r="L177" s="81">
        <f t="shared" si="20"/>
        <v>10.210824384558212</v>
      </c>
      <c r="M177" s="81" t="str">
        <f t="shared" si="18"/>
        <v>NG</v>
      </c>
      <c r="N177" s="117">
        <f t="shared" si="21"/>
        <v>1</v>
      </c>
      <c r="O177" s="81">
        <f t="shared" si="19"/>
        <v>2.7800000000000002</v>
      </c>
      <c r="P177" s="81">
        <f>IF(G177="","",ABS(O177-Components!$C$2))</f>
        <v>2.6666666666670391E-2</v>
      </c>
      <c r="Q177" s="81">
        <f>IF(G177="","",ABS(O177-Components!$C$3))</f>
        <v>1.2559999999999993</v>
      </c>
      <c r="R177" s="81">
        <f>IF(G177="","",ABS(O177-Components!$C$4))</f>
        <v>1.7866666666666673</v>
      </c>
      <c r="S177" s="81">
        <f>IF(G177="","",ABS(O177-Components!$C$5))</f>
        <v>1.7826666666666702</v>
      </c>
      <c r="T177" s="81">
        <f>IF(G177="","",ABS(O177-Components!$C$6))</f>
        <v>1.6243333333333303</v>
      </c>
      <c r="U177" s="81">
        <f>IF(G177="","",ABS(O177-Components!$C$7))</f>
        <v>1.4056666666666702</v>
      </c>
      <c r="V177" s="81" t="str">
        <f>IF(G177="","",IF(M177="OK","NONE",INDEX({"S1","S2","W1","W2","N1","N2"},MATCH(MIN(P177:U177),P177:U177,0))))</f>
        <v>S1</v>
      </c>
      <c r="W177" s="117">
        <f t="shared" si="22"/>
        <v>1</v>
      </c>
      <c r="X177" s="119"/>
    </row>
    <row r="178" spans="1:24">
      <c r="A178" s="115">
        <v>176</v>
      </c>
      <c r="B178" s="116">
        <v>6</v>
      </c>
      <c r="C178" s="81" t="s">
        <v>130</v>
      </c>
      <c r="D178" s="111" t="s">
        <v>240</v>
      </c>
      <c r="E178" s="81" t="s">
        <v>99</v>
      </c>
      <c r="F178" s="61">
        <v>6.16</v>
      </c>
      <c r="G178" s="52">
        <f t="shared" si="16"/>
        <v>7.13</v>
      </c>
      <c r="H178" s="110"/>
      <c r="I178" s="81">
        <v>9.91</v>
      </c>
      <c r="J178" s="81">
        <f>VLOOKUP(C178,Recipes!$A$2:$N$4,12,FALSE())</f>
        <v>5.0137397426368718E-2</v>
      </c>
      <c r="K178" s="81">
        <f t="shared" si="17"/>
        <v>9.6091756154417887</v>
      </c>
      <c r="L178" s="81">
        <f t="shared" si="20"/>
        <v>10.210824384558212</v>
      </c>
      <c r="M178" s="81" t="str">
        <f t="shared" si="18"/>
        <v>NG</v>
      </c>
      <c r="N178" s="117">
        <f t="shared" si="21"/>
        <v>1</v>
      </c>
      <c r="O178" s="81">
        <f t="shared" si="19"/>
        <v>2.7800000000000002</v>
      </c>
      <c r="P178" s="81">
        <f>IF(G178="","",ABS(O178-Components!$C$2))</f>
        <v>2.6666666666670391E-2</v>
      </c>
      <c r="Q178" s="81">
        <f>IF(G178="","",ABS(O178-Components!$C$3))</f>
        <v>1.2559999999999993</v>
      </c>
      <c r="R178" s="81">
        <f>IF(G178="","",ABS(O178-Components!$C$4))</f>
        <v>1.7866666666666673</v>
      </c>
      <c r="S178" s="81">
        <f>IF(G178="","",ABS(O178-Components!$C$5))</f>
        <v>1.7826666666666702</v>
      </c>
      <c r="T178" s="81">
        <f>IF(G178="","",ABS(O178-Components!$C$6))</f>
        <v>1.6243333333333303</v>
      </c>
      <c r="U178" s="81">
        <f>IF(G178="","",ABS(O178-Components!$C$7))</f>
        <v>1.4056666666666702</v>
      </c>
      <c r="V178" s="81" t="str">
        <f>IF(G178="","",IF(M178="OK","NONE",INDEX({"S1","S2","W1","W2","N1","N2"},MATCH(MIN(P178:U178),P178:U178,0))))</f>
        <v>S1</v>
      </c>
      <c r="W178" s="117">
        <f t="shared" si="22"/>
        <v>1</v>
      </c>
      <c r="X178" s="119"/>
    </row>
    <row r="179" spans="1:24">
      <c r="A179" s="115">
        <v>177</v>
      </c>
      <c r="B179" s="116">
        <v>6</v>
      </c>
      <c r="C179" s="81" t="s">
        <v>130</v>
      </c>
      <c r="D179" s="111" t="s">
        <v>240</v>
      </c>
      <c r="E179" s="81" t="s">
        <v>99</v>
      </c>
      <c r="F179" s="61">
        <v>6.15</v>
      </c>
      <c r="G179" s="52">
        <f t="shared" si="16"/>
        <v>7.12</v>
      </c>
      <c r="H179" s="110"/>
      <c r="I179" s="81">
        <v>9.91</v>
      </c>
      <c r="J179" s="81">
        <f>VLOOKUP(C179,Recipes!$A$2:$N$4,12,FALSE())</f>
        <v>5.0137397426368718E-2</v>
      </c>
      <c r="K179" s="81">
        <f t="shared" si="17"/>
        <v>9.6091756154417887</v>
      </c>
      <c r="L179" s="81">
        <f t="shared" si="20"/>
        <v>10.210824384558212</v>
      </c>
      <c r="M179" s="81" t="str">
        <f t="shared" si="18"/>
        <v>NG</v>
      </c>
      <c r="N179" s="117">
        <f t="shared" si="21"/>
        <v>1</v>
      </c>
      <c r="O179" s="81">
        <f t="shared" si="19"/>
        <v>2.79</v>
      </c>
      <c r="P179" s="81">
        <f>IF(G179="","",ABS(O179-Components!$C$2))</f>
        <v>3.6666666666670178E-2</v>
      </c>
      <c r="Q179" s="81">
        <f>IF(G179="","",ABS(O179-Components!$C$3))</f>
        <v>1.2459999999999996</v>
      </c>
      <c r="R179" s="81">
        <f>IF(G179="","",ABS(O179-Components!$C$4))</f>
        <v>1.7966666666666671</v>
      </c>
      <c r="S179" s="81">
        <f>IF(G179="","",ABS(O179-Components!$C$5))</f>
        <v>1.7726666666666704</v>
      </c>
      <c r="T179" s="81">
        <f>IF(G179="","",ABS(O179-Components!$C$6))</f>
        <v>1.6343333333333301</v>
      </c>
      <c r="U179" s="81">
        <f>IF(G179="","",ABS(O179-Components!$C$7))</f>
        <v>1.41566666666667</v>
      </c>
      <c r="V179" s="81" t="str">
        <f>IF(G179="","",IF(M179="OK","NONE",INDEX({"S1","S2","W1","W2","N1","N2"},MATCH(MIN(P179:U179),P179:U179,0))))</f>
        <v>S1</v>
      </c>
      <c r="W179" s="117">
        <f t="shared" si="22"/>
        <v>1</v>
      </c>
      <c r="X179" s="119"/>
    </row>
    <row r="180" spans="1:24">
      <c r="A180" s="115">
        <v>178</v>
      </c>
      <c r="B180" s="116">
        <v>6</v>
      </c>
      <c r="C180" s="81" t="s">
        <v>130</v>
      </c>
      <c r="D180" s="111" t="s">
        <v>240</v>
      </c>
      <c r="E180" s="81" t="s">
        <v>99</v>
      </c>
      <c r="F180" s="61">
        <v>6.17</v>
      </c>
      <c r="G180" s="52">
        <f t="shared" si="16"/>
        <v>7.14</v>
      </c>
      <c r="H180" s="110"/>
      <c r="I180" s="81">
        <v>9.91</v>
      </c>
      <c r="J180" s="81">
        <f>VLOOKUP(C180,Recipes!$A$2:$N$4,12,FALSE())</f>
        <v>5.0137397426368718E-2</v>
      </c>
      <c r="K180" s="81">
        <f t="shared" si="17"/>
        <v>9.6091756154417887</v>
      </c>
      <c r="L180" s="81">
        <f t="shared" si="20"/>
        <v>10.210824384558212</v>
      </c>
      <c r="M180" s="81" t="str">
        <f t="shared" si="18"/>
        <v>NG</v>
      </c>
      <c r="N180" s="117">
        <f t="shared" si="21"/>
        <v>1</v>
      </c>
      <c r="O180" s="81">
        <f t="shared" si="19"/>
        <v>2.7700000000000005</v>
      </c>
      <c r="P180" s="81">
        <f>IF(G180="","",ABS(O180-Components!$C$2))</f>
        <v>1.6666666666670604E-2</v>
      </c>
      <c r="Q180" s="81">
        <f>IF(G180="","",ABS(O180-Components!$C$3))</f>
        <v>1.2659999999999991</v>
      </c>
      <c r="R180" s="81">
        <f>IF(G180="","",ABS(O180-Components!$C$4))</f>
        <v>1.7766666666666675</v>
      </c>
      <c r="S180" s="81">
        <f>IF(G180="","",ABS(O180-Components!$C$5))</f>
        <v>1.79266666666667</v>
      </c>
      <c r="T180" s="81">
        <f>IF(G180="","",ABS(O180-Components!$C$6))</f>
        <v>1.6143333333333305</v>
      </c>
      <c r="U180" s="81">
        <f>IF(G180="","",ABS(O180-Components!$C$7))</f>
        <v>1.3956666666666704</v>
      </c>
      <c r="V180" s="81" t="str">
        <f>IF(G180="","",IF(M180="OK","NONE",INDEX({"S1","S2","W1","W2","N1","N2"},MATCH(MIN(P180:U180),P180:U180,0))))</f>
        <v>S1</v>
      </c>
      <c r="W180" s="117">
        <f t="shared" si="22"/>
        <v>1</v>
      </c>
      <c r="X180" s="119"/>
    </row>
    <row r="181" spans="1:24">
      <c r="A181" s="115">
        <v>179</v>
      </c>
      <c r="B181" s="116">
        <v>6</v>
      </c>
      <c r="C181" s="81" t="s">
        <v>130</v>
      </c>
      <c r="D181" s="111" t="s">
        <v>240</v>
      </c>
      <c r="E181" s="81" t="s">
        <v>99</v>
      </c>
      <c r="F181" s="61">
        <v>6.2</v>
      </c>
      <c r="G181" s="52">
        <f t="shared" si="16"/>
        <v>7.17</v>
      </c>
      <c r="H181" s="110"/>
      <c r="I181" s="81">
        <v>9.91</v>
      </c>
      <c r="J181" s="81">
        <f>VLOOKUP(C181,Recipes!$A$2:$N$4,12,FALSE())</f>
        <v>5.0137397426368718E-2</v>
      </c>
      <c r="K181" s="81">
        <f t="shared" si="17"/>
        <v>9.6091756154417887</v>
      </c>
      <c r="L181" s="81">
        <f t="shared" si="20"/>
        <v>10.210824384558212</v>
      </c>
      <c r="M181" s="81" t="str">
        <f t="shared" si="18"/>
        <v>NG</v>
      </c>
      <c r="N181" s="117">
        <f t="shared" si="21"/>
        <v>1</v>
      </c>
      <c r="O181" s="81">
        <f t="shared" si="19"/>
        <v>2.74</v>
      </c>
      <c r="P181" s="81">
        <f>IF(G181="","",ABS(O181-Components!$C$2))</f>
        <v>1.3333333333329644E-2</v>
      </c>
      <c r="Q181" s="81">
        <f>IF(G181="","",ABS(O181-Components!$C$3))</f>
        <v>1.2959999999999994</v>
      </c>
      <c r="R181" s="81">
        <f>IF(G181="","",ABS(O181-Components!$C$4))</f>
        <v>1.7466666666666673</v>
      </c>
      <c r="S181" s="81">
        <f>IF(G181="","",ABS(O181-Components!$C$5))</f>
        <v>1.8226666666666702</v>
      </c>
      <c r="T181" s="81">
        <f>IF(G181="","",ABS(O181-Components!$C$6))</f>
        <v>1.5843333333333303</v>
      </c>
      <c r="U181" s="81">
        <f>IF(G181="","",ABS(O181-Components!$C$7))</f>
        <v>1.3656666666666701</v>
      </c>
      <c r="V181" s="81" t="str">
        <f>IF(G181="","",IF(M181="OK","NONE",INDEX({"S1","S2","W1","W2","N1","N2"},MATCH(MIN(P181:U181),P181:U181,0))))</f>
        <v>S1</v>
      </c>
      <c r="W181" s="117">
        <f t="shared" si="22"/>
        <v>1</v>
      </c>
      <c r="X181" s="119"/>
    </row>
    <row r="182" spans="1:24">
      <c r="A182" s="115">
        <v>180</v>
      </c>
      <c r="B182" s="116">
        <v>6</v>
      </c>
      <c r="C182" s="61" t="s">
        <v>130</v>
      </c>
      <c r="D182" s="61" t="s">
        <v>240</v>
      </c>
      <c r="E182" s="61" t="s">
        <v>99</v>
      </c>
      <c r="F182" s="61">
        <v>6.14</v>
      </c>
      <c r="G182" s="52">
        <f t="shared" si="16"/>
        <v>7.1099999999999994</v>
      </c>
      <c r="H182" s="110"/>
      <c r="I182" s="81">
        <v>9.91</v>
      </c>
      <c r="J182" s="81">
        <f>VLOOKUP(C182,Recipes!$A$2:$N$4,12,FALSE())</f>
        <v>5.0137397426368718E-2</v>
      </c>
      <c r="K182" s="81">
        <f t="shared" si="17"/>
        <v>9.6091756154417887</v>
      </c>
      <c r="L182" s="81">
        <f t="shared" si="20"/>
        <v>10.210824384558212</v>
      </c>
      <c r="M182" s="81" t="str">
        <f t="shared" si="18"/>
        <v>NG</v>
      </c>
      <c r="N182" s="117">
        <f t="shared" si="21"/>
        <v>1</v>
      </c>
      <c r="O182" s="81">
        <f t="shared" si="19"/>
        <v>2.8000000000000007</v>
      </c>
      <c r="P182" s="81">
        <f>IF(G182="","",ABS(O182-Components!$C$2))</f>
        <v>4.6666666666670853E-2</v>
      </c>
      <c r="Q182" s="81">
        <f>IF(G182="","",ABS(O182-Components!$C$3))</f>
        <v>1.2359999999999989</v>
      </c>
      <c r="R182" s="81">
        <f>IF(G182="","",ABS(O182-Components!$C$4))</f>
        <v>1.8066666666666678</v>
      </c>
      <c r="S182" s="81">
        <f>IF(G182="","",ABS(O182-Components!$C$5))</f>
        <v>1.7626666666666697</v>
      </c>
      <c r="T182" s="81">
        <f>IF(G182="","",ABS(O182-Components!$C$6))</f>
        <v>1.6443333333333308</v>
      </c>
      <c r="U182" s="81">
        <f>IF(G182="","",ABS(O182-Components!$C$7))</f>
        <v>1.4256666666666706</v>
      </c>
      <c r="V182" s="81" t="str">
        <f>IF(G182="","",IF(M182="OK","NONE",INDEX({"S1","S2","W1","W2","N1","N2"},MATCH(MIN(P182:U182),P182:U182,0))))</f>
        <v>S1</v>
      </c>
      <c r="W182" s="117">
        <f t="shared" si="22"/>
        <v>1</v>
      </c>
      <c r="X182" s="119"/>
    </row>
    <row r="183" spans="1:24">
      <c r="A183" s="115">
        <v>181</v>
      </c>
      <c r="B183" s="116">
        <v>7</v>
      </c>
      <c r="C183" s="81" t="s">
        <v>130</v>
      </c>
      <c r="D183" s="111" t="s">
        <v>240</v>
      </c>
      <c r="E183" s="81" t="s">
        <v>104</v>
      </c>
      <c r="F183" s="52">
        <v>7.99</v>
      </c>
      <c r="G183" s="52">
        <f t="shared" si="16"/>
        <v>8.9600000000000009</v>
      </c>
      <c r="H183" s="110"/>
      <c r="I183" s="81">
        <v>9.91</v>
      </c>
      <c r="J183" s="81">
        <f>VLOOKUP(C183,Recipes!$A$2:$N$4,12,FALSE())</f>
        <v>5.0137397426368718E-2</v>
      </c>
      <c r="K183" s="81">
        <f t="shared" si="17"/>
        <v>9.6091756154417887</v>
      </c>
      <c r="L183" s="81">
        <f t="shared" si="20"/>
        <v>10.210824384558212</v>
      </c>
      <c r="M183" s="81" t="str">
        <f t="shared" si="18"/>
        <v>NG</v>
      </c>
      <c r="N183" s="117">
        <f t="shared" si="21"/>
        <v>1</v>
      </c>
      <c r="O183" s="81">
        <f t="shared" si="19"/>
        <v>0.94999999999999929</v>
      </c>
      <c r="P183" s="81">
        <f>IF(G183="","",ABS(O183-Components!$C$2))</f>
        <v>1.8033333333333306</v>
      </c>
      <c r="Q183" s="81">
        <f>IF(G183="","",ABS(O183-Components!$C$3))</f>
        <v>3.0860000000000003</v>
      </c>
      <c r="R183" s="81">
        <f>IF(G183="","",ABS(O183-Components!$C$4))</f>
        <v>4.3333333333333668E-2</v>
      </c>
      <c r="S183" s="81">
        <f>IF(G183="","",ABS(O183-Components!$C$5))</f>
        <v>3.6126666666666711</v>
      </c>
      <c r="T183" s="81">
        <f>IF(G183="","",ABS(O183-Components!$C$6))</f>
        <v>0.20566666666667066</v>
      </c>
      <c r="U183" s="81">
        <f>IF(G183="","",ABS(O183-Components!$C$7))</f>
        <v>0.42433333333333079</v>
      </c>
      <c r="V183" s="81" t="str">
        <f>IF(G183="","",IF(M183="OK","NONE",INDEX({"S1","S2","W1","W2","N1","N2"},MATCH(MIN(P183:U183),P183:U183,0))))</f>
        <v>W1</v>
      </c>
      <c r="W183" s="117">
        <f t="shared" si="22"/>
        <v>1</v>
      </c>
      <c r="X183" s="119"/>
    </row>
    <row r="184" spans="1:24">
      <c r="A184" s="115">
        <v>182</v>
      </c>
      <c r="B184" s="116">
        <v>7</v>
      </c>
      <c r="C184" s="81" t="s">
        <v>130</v>
      </c>
      <c r="D184" s="111" t="s">
        <v>240</v>
      </c>
      <c r="E184" s="81" t="s">
        <v>104</v>
      </c>
      <c r="F184" s="52">
        <v>7.97</v>
      </c>
      <c r="G184" s="52">
        <f t="shared" si="16"/>
        <v>8.94</v>
      </c>
      <c r="H184" s="110"/>
      <c r="I184" s="81">
        <v>9.91</v>
      </c>
      <c r="J184" s="81">
        <f>VLOOKUP(C184,Recipes!$A$2:$N$4,12,FALSE())</f>
        <v>5.0137397426368718E-2</v>
      </c>
      <c r="K184" s="81">
        <f t="shared" si="17"/>
        <v>9.6091756154417887</v>
      </c>
      <c r="L184" s="81">
        <f t="shared" si="20"/>
        <v>10.210824384558212</v>
      </c>
      <c r="M184" s="81" t="str">
        <f t="shared" si="18"/>
        <v>NG</v>
      </c>
      <c r="N184" s="117">
        <f t="shared" si="21"/>
        <v>1</v>
      </c>
      <c r="O184" s="81">
        <f t="shared" si="19"/>
        <v>0.97000000000000064</v>
      </c>
      <c r="P184" s="81">
        <f>IF(G184="","",ABS(O184-Components!$C$2))</f>
        <v>1.7833333333333292</v>
      </c>
      <c r="Q184" s="81">
        <f>IF(G184="","",ABS(O184-Components!$C$3))</f>
        <v>3.0659999999999989</v>
      </c>
      <c r="R184" s="81">
        <f>IF(G184="","",ABS(O184-Components!$C$4))</f>
        <v>2.3333333333332318E-2</v>
      </c>
      <c r="S184" s="81">
        <f>IF(G184="","",ABS(O184-Components!$C$5))</f>
        <v>3.5926666666666698</v>
      </c>
      <c r="T184" s="81">
        <f>IF(G184="","",ABS(O184-Components!$C$6))</f>
        <v>0.18566666666666931</v>
      </c>
      <c r="U184" s="81">
        <f>IF(G184="","",ABS(O184-Components!$C$7))</f>
        <v>0.40433333333332944</v>
      </c>
      <c r="V184" s="81" t="str">
        <f>IF(G184="","",IF(M184="OK","NONE",INDEX({"S1","S2","W1","W2","N1","N2"},MATCH(MIN(P184:U184),P184:U184,0))))</f>
        <v>W1</v>
      </c>
      <c r="W184" s="117">
        <f t="shared" si="22"/>
        <v>1</v>
      </c>
      <c r="X184" s="119"/>
    </row>
    <row r="185" spans="1:24">
      <c r="A185" s="115">
        <v>183</v>
      </c>
      <c r="B185" s="116">
        <v>7</v>
      </c>
      <c r="C185" s="81" t="s">
        <v>130</v>
      </c>
      <c r="D185" s="111" t="s">
        <v>240</v>
      </c>
      <c r="E185" s="81" t="s">
        <v>104</v>
      </c>
      <c r="F185" s="52">
        <v>7.97</v>
      </c>
      <c r="G185" s="52">
        <f t="shared" si="16"/>
        <v>8.94</v>
      </c>
      <c r="H185" s="110"/>
      <c r="I185" s="81">
        <v>9.91</v>
      </c>
      <c r="J185" s="81">
        <f>VLOOKUP(C185,Recipes!$A$2:$N$4,12,FALSE())</f>
        <v>5.0137397426368718E-2</v>
      </c>
      <c r="K185" s="81">
        <f t="shared" si="17"/>
        <v>9.6091756154417887</v>
      </c>
      <c r="L185" s="81">
        <f t="shared" si="20"/>
        <v>10.210824384558212</v>
      </c>
      <c r="M185" s="81" t="str">
        <f t="shared" si="18"/>
        <v>NG</v>
      </c>
      <c r="N185" s="117">
        <f t="shared" si="21"/>
        <v>1</v>
      </c>
      <c r="O185" s="81">
        <f t="shared" si="19"/>
        <v>0.97000000000000064</v>
      </c>
      <c r="P185" s="81">
        <f>IF(G185="","",ABS(O185-Components!$C$2))</f>
        <v>1.7833333333333292</v>
      </c>
      <c r="Q185" s="81">
        <f>IF(G185="","",ABS(O185-Components!$C$3))</f>
        <v>3.0659999999999989</v>
      </c>
      <c r="R185" s="81">
        <f>IF(G185="","",ABS(O185-Components!$C$4))</f>
        <v>2.3333333333332318E-2</v>
      </c>
      <c r="S185" s="81">
        <f>IF(G185="","",ABS(O185-Components!$C$5))</f>
        <v>3.5926666666666698</v>
      </c>
      <c r="T185" s="81">
        <f>IF(G185="","",ABS(O185-Components!$C$6))</f>
        <v>0.18566666666666931</v>
      </c>
      <c r="U185" s="81">
        <f>IF(G185="","",ABS(O185-Components!$C$7))</f>
        <v>0.40433333333332944</v>
      </c>
      <c r="V185" s="81" t="str">
        <f>IF(G185="","",IF(M185="OK","NONE",INDEX({"S1","S2","W1","W2","N1","N2"},MATCH(MIN(P185:U185),P185:U185,0))))</f>
        <v>W1</v>
      </c>
      <c r="W185" s="117">
        <f t="shared" si="22"/>
        <v>1</v>
      </c>
      <c r="X185" s="119"/>
    </row>
    <row r="186" spans="1:24">
      <c r="A186" s="115">
        <v>184</v>
      </c>
      <c r="B186" s="116">
        <v>7</v>
      </c>
      <c r="C186" s="81" t="s">
        <v>130</v>
      </c>
      <c r="D186" s="111" t="s">
        <v>240</v>
      </c>
      <c r="E186" s="81" t="s">
        <v>104</v>
      </c>
      <c r="F186" s="52">
        <v>7.94</v>
      </c>
      <c r="G186" s="52">
        <f t="shared" si="16"/>
        <v>8.91</v>
      </c>
      <c r="H186" s="110"/>
      <c r="I186" s="81">
        <v>9.91</v>
      </c>
      <c r="J186" s="81">
        <f>VLOOKUP(C186,Recipes!$A$2:$N$4,12,FALSE())</f>
        <v>5.0137397426368718E-2</v>
      </c>
      <c r="K186" s="81">
        <f t="shared" si="17"/>
        <v>9.6091756154417887</v>
      </c>
      <c r="L186" s="81">
        <f t="shared" si="20"/>
        <v>10.210824384558212</v>
      </c>
      <c r="M186" s="81" t="str">
        <f t="shared" si="18"/>
        <v>NG</v>
      </c>
      <c r="N186" s="117">
        <f t="shared" si="21"/>
        <v>1</v>
      </c>
      <c r="O186" s="81">
        <f t="shared" si="19"/>
        <v>1</v>
      </c>
      <c r="P186" s="81">
        <f>IF(G186="","",ABS(O186-Components!$C$2))</f>
        <v>1.7533333333333299</v>
      </c>
      <c r="Q186" s="81">
        <f>IF(G186="","",ABS(O186-Components!$C$3))</f>
        <v>3.0359999999999996</v>
      </c>
      <c r="R186" s="81">
        <f>IF(G186="","",ABS(O186-Components!$C$4))</f>
        <v>6.6666666666670427E-3</v>
      </c>
      <c r="S186" s="81">
        <f>IF(G186="","",ABS(O186-Components!$C$5))</f>
        <v>3.5626666666666704</v>
      </c>
      <c r="T186" s="81">
        <f>IF(G186="","",ABS(O186-Components!$C$6))</f>
        <v>0.15566666666666995</v>
      </c>
      <c r="U186" s="81">
        <f>IF(G186="","",ABS(O186-Components!$C$7))</f>
        <v>0.37433333333333008</v>
      </c>
      <c r="V186" s="81" t="str">
        <f>IF(G186="","",IF(M186="OK","NONE",INDEX({"S1","S2","W1","W2","N1","N2"},MATCH(MIN(P186:U186),P186:U186,0))))</f>
        <v>W1</v>
      </c>
      <c r="W186" s="117">
        <f t="shared" si="22"/>
        <v>1</v>
      </c>
      <c r="X186" s="119"/>
    </row>
    <row r="187" spans="1:24">
      <c r="A187" s="115">
        <v>185</v>
      </c>
      <c r="B187" s="116">
        <v>7</v>
      </c>
      <c r="C187" s="61" t="s">
        <v>130</v>
      </c>
      <c r="D187" s="61" t="s">
        <v>240</v>
      </c>
      <c r="E187" s="61" t="s">
        <v>104</v>
      </c>
      <c r="F187" s="61">
        <v>7.96</v>
      </c>
      <c r="G187" s="52">
        <f t="shared" si="16"/>
        <v>8.93</v>
      </c>
      <c r="H187" s="110"/>
      <c r="I187" s="81">
        <v>9.91</v>
      </c>
      <c r="J187" s="81">
        <f>VLOOKUP(C187,Recipes!$A$2:$N$4,12,FALSE())</f>
        <v>5.0137397426368718E-2</v>
      </c>
      <c r="K187" s="81">
        <f t="shared" si="17"/>
        <v>9.6091756154417887</v>
      </c>
      <c r="L187" s="81">
        <f t="shared" si="20"/>
        <v>10.210824384558212</v>
      </c>
      <c r="M187" s="81" t="str">
        <f t="shared" si="18"/>
        <v>NG</v>
      </c>
      <c r="N187" s="117">
        <f t="shared" si="21"/>
        <v>1</v>
      </c>
      <c r="O187" s="81">
        <f t="shared" si="19"/>
        <v>0.98000000000000043</v>
      </c>
      <c r="P187" s="81">
        <f>IF(G187="","",ABS(O187-Components!$C$2))</f>
        <v>1.7733333333333294</v>
      </c>
      <c r="Q187" s="81">
        <f>IF(G187="","",ABS(O187-Components!$C$3))</f>
        <v>3.0559999999999992</v>
      </c>
      <c r="R187" s="81">
        <f>IF(G187="","",ABS(O187-Components!$C$4))</f>
        <v>1.3333333333332531E-2</v>
      </c>
      <c r="S187" s="81">
        <f>IF(G187="","",ABS(O187-Components!$C$5))</f>
        <v>3.58266666666667</v>
      </c>
      <c r="T187" s="81">
        <f>IF(G187="","",ABS(O187-Components!$C$6))</f>
        <v>0.17566666666666952</v>
      </c>
      <c r="U187" s="81">
        <f>IF(G187="","",ABS(O187-Components!$C$7))</f>
        <v>0.39433333333332965</v>
      </c>
      <c r="V187" s="81" t="str">
        <f>IF(G187="","",IF(M187="OK","NONE",INDEX({"S1","S2","W1","W2","N1","N2"},MATCH(MIN(P187:U187),P187:U187,0))))</f>
        <v>W1</v>
      </c>
      <c r="W187" s="117">
        <f t="shared" si="22"/>
        <v>1</v>
      </c>
      <c r="X187" s="119"/>
    </row>
    <row r="188" spans="1:24">
      <c r="A188" s="115">
        <v>186</v>
      </c>
      <c r="B188" s="116">
        <v>7</v>
      </c>
      <c r="C188" s="81" t="s">
        <v>130</v>
      </c>
      <c r="D188" s="111" t="s">
        <v>240</v>
      </c>
      <c r="E188" s="81" t="s">
        <v>104</v>
      </c>
      <c r="F188" s="61">
        <v>8.02</v>
      </c>
      <c r="G188" s="52">
        <f t="shared" si="16"/>
        <v>8.99</v>
      </c>
      <c r="H188" s="110"/>
      <c r="I188" s="81">
        <v>9.91</v>
      </c>
      <c r="J188" s="81">
        <f>VLOOKUP(C188,Recipes!$A$2:$N$4,12,FALSE())</f>
        <v>5.0137397426368718E-2</v>
      </c>
      <c r="K188" s="81">
        <f t="shared" si="17"/>
        <v>9.6091756154417887</v>
      </c>
      <c r="L188" s="81">
        <f t="shared" si="20"/>
        <v>10.210824384558212</v>
      </c>
      <c r="M188" s="81" t="str">
        <f t="shared" si="18"/>
        <v>NG</v>
      </c>
      <c r="N188" s="117">
        <f t="shared" si="21"/>
        <v>1</v>
      </c>
      <c r="O188" s="81">
        <f t="shared" si="19"/>
        <v>0.91999999999999993</v>
      </c>
      <c r="P188" s="81">
        <f>IF(G188="","",ABS(O188-Components!$C$2))</f>
        <v>1.8333333333333299</v>
      </c>
      <c r="Q188" s="81">
        <f>IF(G188="","",ABS(O188-Components!$C$3))</f>
        <v>3.1159999999999997</v>
      </c>
      <c r="R188" s="81">
        <f>IF(G188="","",ABS(O188-Components!$C$4))</f>
        <v>7.3333333333333028E-2</v>
      </c>
      <c r="S188" s="81">
        <f>IF(G188="","",ABS(O188-Components!$C$5))</f>
        <v>3.6426666666666705</v>
      </c>
      <c r="T188" s="81">
        <f>IF(G188="","",ABS(O188-Components!$C$6))</f>
        <v>0.23566666666667002</v>
      </c>
      <c r="U188" s="81">
        <f>IF(G188="","",ABS(O188-Components!$C$7))</f>
        <v>0.45433333333333015</v>
      </c>
      <c r="V188" s="81" t="str">
        <f>IF(G188="","",IF(M188="OK","NONE",INDEX({"S1","S2","W1","W2","N1","N2"},MATCH(MIN(P188:U188),P188:U188,0))))</f>
        <v>W1</v>
      </c>
      <c r="W188" s="117">
        <f t="shared" si="22"/>
        <v>1</v>
      </c>
      <c r="X188" s="119"/>
    </row>
    <row r="189" spans="1:24">
      <c r="A189" s="115">
        <v>187</v>
      </c>
      <c r="B189" s="116">
        <v>7</v>
      </c>
      <c r="C189" s="81" t="s">
        <v>130</v>
      </c>
      <c r="D189" s="111" t="s">
        <v>240</v>
      </c>
      <c r="E189" s="81" t="s">
        <v>104</v>
      </c>
      <c r="F189" s="61">
        <v>8.07</v>
      </c>
      <c r="G189" s="52">
        <f t="shared" si="16"/>
        <v>9.0400000000000009</v>
      </c>
      <c r="H189" s="110"/>
      <c r="I189" s="81">
        <v>9.91</v>
      </c>
      <c r="J189" s="81">
        <f>VLOOKUP(C189,Recipes!$A$2:$N$4,12,FALSE())</f>
        <v>5.0137397426368718E-2</v>
      </c>
      <c r="K189" s="81">
        <f t="shared" si="17"/>
        <v>9.6091756154417887</v>
      </c>
      <c r="L189" s="81">
        <f t="shared" si="20"/>
        <v>10.210824384558212</v>
      </c>
      <c r="M189" s="81" t="str">
        <f t="shared" si="18"/>
        <v>NG</v>
      </c>
      <c r="N189" s="117">
        <f t="shared" si="21"/>
        <v>1</v>
      </c>
      <c r="O189" s="81">
        <f t="shared" si="19"/>
        <v>0.86999999999999922</v>
      </c>
      <c r="P189" s="81">
        <f>IF(G189="","",ABS(O189-Components!$C$2))</f>
        <v>1.8833333333333306</v>
      </c>
      <c r="Q189" s="81">
        <f>IF(G189="","",ABS(O189-Components!$C$3))</f>
        <v>3.1660000000000004</v>
      </c>
      <c r="R189" s="81">
        <f>IF(G189="","",ABS(O189-Components!$C$4))</f>
        <v>0.12333333333333374</v>
      </c>
      <c r="S189" s="81">
        <f>IF(G189="","",ABS(O189-Components!$C$5))</f>
        <v>3.6926666666666712</v>
      </c>
      <c r="T189" s="81">
        <f>IF(G189="","",ABS(O189-Components!$C$6))</f>
        <v>0.28566666666667073</v>
      </c>
      <c r="U189" s="81">
        <f>IF(G189="","",ABS(O189-Components!$C$7))</f>
        <v>0.50433333333333086</v>
      </c>
      <c r="V189" s="81" t="str">
        <f>IF(G189="","",IF(M189="OK","NONE",INDEX({"S1","S2","W1","W2","N1","N2"},MATCH(MIN(P189:U189),P189:U189,0))))</f>
        <v>W1</v>
      </c>
      <c r="W189" s="117">
        <f t="shared" si="22"/>
        <v>1</v>
      </c>
      <c r="X189" s="119"/>
    </row>
    <row r="190" spans="1:24">
      <c r="A190" s="115">
        <v>188</v>
      </c>
      <c r="B190" s="116">
        <v>7</v>
      </c>
      <c r="C190" s="81" t="s">
        <v>130</v>
      </c>
      <c r="D190" s="111" t="s">
        <v>240</v>
      </c>
      <c r="E190" s="81" t="s">
        <v>104</v>
      </c>
      <c r="F190" s="61">
        <v>7.89</v>
      </c>
      <c r="G190" s="52">
        <f t="shared" si="16"/>
        <v>8.86</v>
      </c>
      <c r="H190" s="110"/>
      <c r="I190" s="81">
        <v>9.91</v>
      </c>
      <c r="J190" s="81">
        <f>VLOOKUP(C190,Recipes!$A$2:$N$4,12,FALSE())</f>
        <v>5.0137397426368718E-2</v>
      </c>
      <c r="K190" s="81">
        <f t="shared" si="17"/>
        <v>9.6091756154417887</v>
      </c>
      <c r="L190" s="81">
        <f t="shared" si="20"/>
        <v>10.210824384558212</v>
      </c>
      <c r="M190" s="81" t="str">
        <f t="shared" si="18"/>
        <v>NG</v>
      </c>
      <c r="N190" s="117">
        <f t="shared" si="21"/>
        <v>1</v>
      </c>
      <c r="O190" s="81">
        <f t="shared" si="19"/>
        <v>1.0500000000000007</v>
      </c>
      <c r="P190" s="81">
        <f>IF(G190="","",ABS(O190-Components!$C$2))</f>
        <v>1.7033333333333291</v>
      </c>
      <c r="Q190" s="81">
        <f>IF(G190="","",ABS(O190-Components!$C$3))</f>
        <v>2.9859999999999989</v>
      </c>
      <c r="R190" s="81">
        <f>IF(G190="","",ABS(O190-Components!$C$4))</f>
        <v>5.6666666666667753E-2</v>
      </c>
      <c r="S190" s="81">
        <f>IF(G190="","",ABS(O190-Components!$C$5))</f>
        <v>3.5126666666666697</v>
      </c>
      <c r="T190" s="81">
        <f>IF(G190="","",ABS(O190-Components!$C$6))</f>
        <v>0.10566666666666924</v>
      </c>
      <c r="U190" s="81">
        <f>IF(G190="","",ABS(O190-Components!$C$7))</f>
        <v>0.32433333333332937</v>
      </c>
      <c r="V190" s="81" t="str">
        <f>IF(G190="","",IF(M190="OK","NONE",INDEX({"S1","S2","W1","W2","N1","N2"},MATCH(MIN(P190:U190),P190:U190,0))))</f>
        <v>W1</v>
      </c>
      <c r="W190" s="117">
        <f t="shared" si="22"/>
        <v>1</v>
      </c>
      <c r="X190" s="119"/>
    </row>
    <row r="191" spans="1:24">
      <c r="A191" s="115">
        <v>189</v>
      </c>
      <c r="B191" s="116">
        <v>7</v>
      </c>
      <c r="C191" s="81" t="s">
        <v>130</v>
      </c>
      <c r="D191" s="111" t="s">
        <v>240</v>
      </c>
      <c r="E191" s="81" t="s">
        <v>104</v>
      </c>
      <c r="F191" s="61">
        <v>7.91</v>
      </c>
      <c r="G191" s="52">
        <f t="shared" si="16"/>
        <v>8.8800000000000008</v>
      </c>
      <c r="H191" s="110"/>
      <c r="I191" s="81">
        <v>9.91</v>
      </c>
      <c r="J191" s="81">
        <f>VLOOKUP(C191,Recipes!$A$2:$N$4,12,FALSE())</f>
        <v>5.0137397426368718E-2</v>
      </c>
      <c r="K191" s="81">
        <f t="shared" si="17"/>
        <v>9.6091756154417887</v>
      </c>
      <c r="L191" s="81">
        <f t="shared" si="20"/>
        <v>10.210824384558212</v>
      </c>
      <c r="M191" s="81" t="str">
        <f t="shared" si="18"/>
        <v>NG</v>
      </c>
      <c r="N191" s="117">
        <f t="shared" si="21"/>
        <v>1</v>
      </c>
      <c r="O191" s="81">
        <f t="shared" si="19"/>
        <v>1.0299999999999994</v>
      </c>
      <c r="P191" s="81">
        <f>IF(G191="","",ABS(O191-Components!$C$2))</f>
        <v>1.7233333333333305</v>
      </c>
      <c r="Q191" s="81">
        <f>IF(G191="","",ABS(O191-Components!$C$3))</f>
        <v>3.0060000000000002</v>
      </c>
      <c r="R191" s="81">
        <f>IF(G191="","",ABS(O191-Components!$C$4))</f>
        <v>3.6666666666666403E-2</v>
      </c>
      <c r="S191" s="81">
        <f>IF(G191="","",ABS(O191-Components!$C$5))</f>
        <v>3.5326666666666711</v>
      </c>
      <c r="T191" s="81">
        <f>IF(G191="","",ABS(O191-Components!$C$6))</f>
        <v>0.12566666666667059</v>
      </c>
      <c r="U191" s="81">
        <f>IF(G191="","",ABS(O191-Components!$C$7))</f>
        <v>0.34433333333333072</v>
      </c>
      <c r="V191" s="81" t="str">
        <f>IF(G191="","",IF(M191="OK","NONE",INDEX({"S1","S2","W1","W2","N1","N2"},MATCH(MIN(P191:U191),P191:U191,0))))</f>
        <v>W1</v>
      </c>
      <c r="W191" s="117">
        <f t="shared" si="22"/>
        <v>1</v>
      </c>
      <c r="X191" s="119"/>
    </row>
    <row r="192" spans="1:24">
      <c r="A192" s="115">
        <v>190</v>
      </c>
      <c r="B192" s="116">
        <v>7</v>
      </c>
      <c r="C192" s="61" t="s">
        <v>130</v>
      </c>
      <c r="D192" s="61" t="s">
        <v>240</v>
      </c>
      <c r="E192" s="61" t="s">
        <v>104</v>
      </c>
      <c r="F192" s="61">
        <v>7.95</v>
      </c>
      <c r="G192" s="52">
        <f t="shared" si="16"/>
        <v>8.92</v>
      </c>
      <c r="H192" s="110"/>
      <c r="I192" s="81">
        <v>9.91</v>
      </c>
      <c r="J192" s="81">
        <f>VLOOKUP(C192,Recipes!$A$2:$N$4,12,FALSE())</f>
        <v>5.0137397426368718E-2</v>
      </c>
      <c r="K192" s="81">
        <f t="shared" si="17"/>
        <v>9.6091756154417887</v>
      </c>
      <c r="L192" s="81">
        <f t="shared" si="20"/>
        <v>10.210824384558212</v>
      </c>
      <c r="M192" s="81" t="str">
        <f t="shared" si="18"/>
        <v>NG</v>
      </c>
      <c r="N192" s="117">
        <f t="shared" si="21"/>
        <v>1</v>
      </c>
      <c r="O192" s="81">
        <f t="shared" si="19"/>
        <v>0.99000000000000021</v>
      </c>
      <c r="P192" s="81">
        <f>IF(G192="","",ABS(O192-Components!$C$2))</f>
        <v>1.7633333333333296</v>
      </c>
      <c r="Q192" s="81">
        <f>IF(G192="","",ABS(O192-Components!$C$3))</f>
        <v>3.0459999999999994</v>
      </c>
      <c r="R192" s="81">
        <f>IF(G192="","",ABS(O192-Components!$C$4))</f>
        <v>3.3333333333327442E-3</v>
      </c>
      <c r="S192" s="81">
        <f>IF(G192="","",ABS(O192-Components!$C$5))</f>
        <v>3.5726666666666702</v>
      </c>
      <c r="T192" s="81">
        <f>IF(G192="","",ABS(O192-Components!$C$6))</f>
        <v>0.16566666666666974</v>
      </c>
      <c r="U192" s="81">
        <f>IF(G192="","",ABS(O192-Components!$C$7))</f>
        <v>0.38433333333332986</v>
      </c>
      <c r="V192" s="81" t="str">
        <f>IF(G192="","",IF(M192="OK","NONE",INDEX({"S1","S2","W1","W2","N1","N2"},MATCH(MIN(P192:U192),P192:U192,0))))</f>
        <v>W1</v>
      </c>
      <c r="W192" s="117">
        <f t="shared" si="22"/>
        <v>1</v>
      </c>
      <c r="X192" s="119"/>
    </row>
    <row r="193" spans="1:24">
      <c r="A193" s="115">
        <v>191</v>
      </c>
      <c r="B193" s="116">
        <v>7</v>
      </c>
      <c r="C193" s="81" t="s">
        <v>130</v>
      </c>
      <c r="D193" s="111" t="s">
        <v>240</v>
      </c>
      <c r="E193" s="81" t="s">
        <v>104</v>
      </c>
      <c r="F193" s="61">
        <v>7.95</v>
      </c>
      <c r="G193" s="52">
        <f t="shared" si="16"/>
        <v>8.92</v>
      </c>
      <c r="H193" s="110"/>
      <c r="I193" s="81">
        <v>9.91</v>
      </c>
      <c r="J193" s="81">
        <f>VLOOKUP(C193,Recipes!$A$2:$N$4,12,FALSE())</f>
        <v>5.0137397426368718E-2</v>
      </c>
      <c r="K193" s="81">
        <f t="shared" si="17"/>
        <v>9.6091756154417887</v>
      </c>
      <c r="L193" s="81">
        <f t="shared" si="20"/>
        <v>10.210824384558212</v>
      </c>
      <c r="M193" s="81" t="str">
        <f t="shared" si="18"/>
        <v>NG</v>
      </c>
      <c r="N193" s="117">
        <f t="shared" si="21"/>
        <v>1</v>
      </c>
      <c r="O193" s="81">
        <f t="shared" si="19"/>
        <v>0.99000000000000021</v>
      </c>
      <c r="P193" s="81">
        <f>IF(G193="","",ABS(O193-Components!$C$2))</f>
        <v>1.7633333333333296</v>
      </c>
      <c r="Q193" s="81">
        <f>IF(G193="","",ABS(O193-Components!$C$3))</f>
        <v>3.0459999999999994</v>
      </c>
      <c r="R193" s="81">
        <f>IF(G193="","",ABS(O193-Components!$C$4))</f>
        <v>3.3333333333327442E-3</v>
      </c>
      <c r="S193" s="81">
        <f>IF(G193="","",ABS(O193-Components!$C$5))</f>
        <v>3.5726666666666702</v>
      </c>
      <c r="T193" s="81">
        <f>IF(G193="","",ABS(O193-Components!$C$6))</f>
        <v>0.16566666666666974</v>
      </c>
      <c r="U193" s="81">
        <f>IF(G193="","",ABS(O193-Components!$C$7))</f>
        <v>0.38433333333332986</v>
      </c>
      <c r="V193" s="81" t="str">
        <f>IF(G193="","",IF(M193="OK","NONE",INDEX({"S1","S2","W1","W2","N1","N2"},MATCH(MIN(P193:U193),P193:U193,0))))</f>
        <v>W1</v>
      </c>
      <c r="W193" s="117">
        <f t="shared" si="22"/>
        <v>1</v>
      </c>
      <c r="X193" s="119"/>
    </row>
    <row r="194" spans="1:24">
      <c r="A194" s="115">
        <v>192</v>
      </c>
      <c r="B194" s="116">
        <v>7</v>
      </c>
      <c r="C194" s="81" t="s">
        <v>130</v>
      </c>
      <c r="D194" s="111" t="s">
        <v>240</v>
      </c>
      <c r="E194" s="81" t="s">
        <v>104</v>
      </c>
      <c r="F194" s="61">
        <v>7.9</v>
      </c>
      <c r="G194" s="52">
        <f t="shared" si="16"/>
        <v>8.870000000000001</v>
      </c>
      <c r="H194" s="110"/>
      <c r="I194" s="81">
        <v>9.91</v>
      </c>
      <c r="J194" s="81">
        <f>VLOOKUP(C194,Recipes!$A$2:$N$4,12,FALSE())</f>
        <v>5.0137397426368718E-2</v>
      </c>
      <c r="K194" s="81">
        <f t="shared" si="17"/>
        <v>9.6091756154417887</v>
      </c>
      <c r="L194" s="81">
        <f t="shared" si="20"/>
        <v>10.210824384558212</v>
      </c>
      <c r="M194" s="81" t="str">
        <f t="shared" si="18"/>
        <v>NG</v>
      </c>
      <c r="N194" s="117">
        <f t="shared" si="21"/>
        <v>1</v>
      </c>
      <c r="O194" s="81">
        <f t="shared" si="19"/>
        <v>1.0399999999999991</v>
      </c>
      <c r="P194" s="81">
        <f>IF(G194="","",ABS(O194-Components!$C$2))</f>
        <v>1.7133333333333307</v>
      </c>
      <c r="Q194" s="81">
        <f>IF(G194="","",ABS(O194-Components!$C$3))</f>
        <v>2.9960000000000004</v>
      </c>
      <c r="R194" s="81">
        <f>IF(G194="","",ABS(O194-Components!$C$4))</f>
        <v>4.666666666666619E-2</v>
      </c>
      <c r="S194" s="81">
        <f>IF(G194="","",ABS(O194-Components!$C$5))</f>
        <v>3.5226666666666713</v>
      </c>
      <c r="T194" s="81">
        <f>IF(G194="","",ABS(O194-Components!$C$6))</f>
        <v>0.1156666666666708</v>
      </c>
      <c r="U194" s="81">
        <f>IF(G194="","",ABS(O194-Components!$C$7))</f>
        <v>0.33433333333333093</v>
      </c>
      <c r="V194" s="81" t="str">
        <f>IF(G194="","",IF(M194="OK","NONE",INDEX({"S1","S2","W1","W2","N1","N2"},MATCH(MIN(P194:U194),P194:U194,0))))</f>
        <v>W1</v>
      </c>
      <c r="W194" s="117">
        <f t="shared" si="22"/>
        <v>1</v>
      </c>
      <c r="X194" s="119"/>
    </row>
    <row r="195" spans="1:24">
      <c r="A195" s="115">
        <v>193</v>
      </c>
      <c r="B195" s="116">
        <v>7</v>
      </c>
      <c r="C195" s="81" t="s">
        <v>130</v>
      </c>
      <c r="D195" s="111" t="s">
        <v>240</v>
      </c>
      <c r="E195" s="81" t="s">
        <v>104</v>
      </c>
      <c r="F195" s="61">
        <v>7.91</v>
      </c>
      <c r="G195" s="52">
        <f t="shared" ref="G195:G258" si="23">0.97+F195</f>
        <v>8.8800000000000008</v>
      </c>
      <c r="H195" s="110"/>
      <c r="I195" s="81">
        <v>9.91</v>
      </c>
      <c r="J195" s="81">
        <f>VLOOKUP(C195,Recipes!$A$2:$N$4,12,FALSE())</f>
        <v>5.0137397426368718E-2</v>
      </c>
      <c r="K195" s="81">
        <f t="shared" ref="K195:K258" si="24">I195-6*J195</f>
        <v>9.6091756154417887</v>
      </c>
      <c r="L195" s="81">
        <f t="shared" si="20"/>
        <v>10.210824384558212</v>
      </c>
      <c r="M195" s="81" t="str">
        <f t="shared" ref="M195:M258" si="25">IF(G195="","",IF(AND(G195&gt;=K195,G195&lt;=L195),"OK","NG"))</f>
        <v>NG</v>
      </c>
      <c r="N195" s="117">
        <f t="shared" si="21"/>
        <v>1</v>
      </c>
      <c r="O195" s="81">
        <f t="shared" ref="O195:O258" si="26">IF(G195="","",I195-G195)</f>
        <v>1.0299999999999994</v>
      </c>
      <c r="P195" s="81">
        <f>IF(G195="","",ABS(O195-Components!$C$2))</f>
        <v>1.7233333333333305</v>
      </c>
      <c r="Q195" s="81">
        <f>IF(G195="","",ABS(O195-Components!$C$3))</f>
        <v>3.0060000000000002</v>
      </c>
      <c r="R195" s="81">
        <f>IF(G195="","",ABS(O195-Components!$C$4))</f>
        <v>3.6666666666666403E-2</v>
      </c>
      <c r="S195" s="81">
        <f>IF(G195="","",ABS(O195-Components!$C$5))</f>
        <v>3.5326666666666711</v>
      </c>
      <c r="T195" s="81">
        <f>IF(G195="","",ABS(O195-Components!$C$6))</f>
        <v>0.12566666666667059</v>
      </c>
      <c r="U195" s="81">
        <f>IF(G195="","",ABS(O195-Components!$C$7))</f>
        <v>0.34433333333333072</v>
      </c>
      <c r="V195" s="81" t="str">
        <f>IF(G195="","",IF(M195="OK","NONE",INDEX({"S1","S2","W1","W2","N1","N2"},MATCH(MIN(P195:U195),P195:U195,0))))</f>
        <v>W1</v>
      </c>
      <c r="W195" s="117">
        <f t="shared" si="22"/>
        <v>1</v>
      </c>
      <c r="X195" s="119"/>
    </row>
    <row r="196" spans="1:24">
      <c r="A196" s="115">
        <v>194</v>
      </c>
      <c r="B196" s="116">
        <v>7</v>
      </c>
      <c r="C196" s="81" t="s">
        <v>130</v>
      </c>
      <c r="D196" s="111" t="s">
        <v>240</v>
      </c>
      <c r="E196" s="81" t="s">
        <v>104</v>
      </c>
      <c r="F196" s="61">
        <v>7.98</v>
      </c>
      <c r="G196" s="52">
        <f t="shared" si="23"/>
        <v>8.9500000000000011</v>
      </c>
      <c r="H196" s="110"/>
      <c r="I196" s="81">
        <v>9.91</v>
      </c>
      <c r="J196" s="81">
        <f>VLOOKUP(C196,Recipes!$A$2:$N$4,12,FALSE())</f>
        <v>5.0137397426368718E-2</v>
      </c>
      <c r="K196" s="81">
        <f t="shared" si="24"/>
        <v>9.6091756154417887</v>
      </c>
      <c r="L196" s="81">
        <f t="shared" ref="L196:L259" si="27">I196+6*J196</f>
        <v>10.210824384558212</v>
      </c>
      <c r="M196" s="81" t="str">
        <f t="shared" si="25"/>
        <v>NG</v>
      </c>
      <c r="N196" s="117">
        <f t="shared" ref="N196:N259" si="28">IF(M196="","",IF(M196=D196,1,0))</f>
        <v>1</v>
      </c>
      <c r="O196" s="81">
        <f t="shared" si="26"/>
        <v>0.95999999999999908</v>
      </c>
      <c r="P196" s="81">
        <f>IF(G196="","",ABS(O196-Components!$C$2))</f>
        <v>1.7933333333333308</v>
      </c>
      <c r="Q196" s="81">
        <f>IF(G196="","",ABS(O196-Components!$C$3))</f>
        <v>3.0760000000000005</v>
      </c>
      <c r="R196" s="81">
        <f>IF(G196="","",ABS(O196-Components!$C$4))</f>
        <v>3.3333333333333881E-2</v>
      </c>
      <c r="S196" s="81">
        <f>IF(G196="","",ABS(O196-Components!$C$5))</f>
        <v>3.6026666666666713</v>
      </c>
      <c r="T196" s="81">
        <f>IF(G196="","",ABS(O196-Components!$C$6))</f>
        <v>0.19566666666667087</v>
      </c>
      <c r="U196" s="81">
        <f>IF(G196="","",ABS(O196-Components!$C$7))</f>
        <v>0.414333333333331</v>
      </c>
      <c r="V196" s="81" t="str">
        <f>IF(G196="","",IF(M196="OK","NONE",INDEX({"S1","S2","W1","W2","N1","N2"},MATCH(MIN(P196:U196),P196:U196,0))))</f>
        <v>W1</v>
      </c>
      <c r="W196" s="117">
        <f t="shared" ref="W196:W259" si="29">IF(G196="","",IF(V196=E196,1,0))</f>
        <v>1</v>
      </c>
      <c r="X196" s="119"/>
    </row>
    <row r="197" spans="1:24">
      <c r="A197" s="115">
        <v>195</v>
      </c>
      <c r="B197" s="116">
        <v>7</v>
      </c>
      <c r="C197" s="61" t="s">
        <v>130</v>
      </c>
      <c r="D197" s="61" t="s">
        <v>240</v>
      </c>
      <c r="E197" s="61" t="s">
        <v>104</v>
      </c>
      <c r="F197" s="61">
        <v>7.95</v>
      </c>
      <c r="G197" s="52">
        <f t="shared" si="23"/>
        <v>8.92</v>
      </c>
      <c r="H197" s="110"/>
      <c r="I197" s="81">
        <v>9.91</v>
      </c>
      <c r="J197" s="81">
        <f>VLOOKUP(C197,Recipes!$A$2:$N$4,12,FALSE())</f>
        <v>5.0137397426368718E-2</v>
      </c>
      <c r="K197" s="81">
        <f t="shared" si="24"/>
        <v>9.6091756154417887</v>
      </c>
      <c r="L197" s="81">
        <f t="shared" si="27"/>
        <v>10.210824384558212</v>
      </c>
      <c r="M197" s="81" t="str">
        <f t="shared" si="25"/>
        <v>NG</v>
      </c>
      <c r="N197" s="117">
        <f t="shared" si="28"/>
        <v>1</v>
      </c>
      <c r="O197" s="81">
        <f t="shared" si="26"/>
        <v>0.99000000000000021</v>
      </c>
      <c r="P197" s="81">
        <f>IF(G197="","",ABS(O197-Components!$C$2))</f>
        <v>1.7633333333333296</v>
      </c>
      <c r="Q197" s="81">
        <f>IF(G197="","",ABS(O197-Components!$C$3))</f>
        <v>3.0459999999999994</v>
      </c>
      <c r="R197" s="81">
        <f>IF(G197="","",ABS(O197-Components!$C$4))</f>
        <v>3.3333333333327442E-3</v>
      </c>
      <c r="S197" s="81">
        <f>IF(G197="","",ABS(O197-Components!$C$5))</f>
        <v>3.5726666666666702</v>
      </c>
      <c r="T197" s="81">
        <f>IF(G197="","",ABS(O197-Components!$C$6))</f>
        <v>0.16566666666666974</v>
      </c>
      <c r="U197" s="81">
        <f>IF(G197="","",ABS(O197-Components!$C$7))</f>
        <v>0.38433333333332986</v>
      </c>
      <c r="V197" s="81" t="str">
        <f>IF(G197="","",IF(M197="OK","NONE",INDEX({"S1","S2","W1","W2","N1","N2"},MATCH(MIN(P197:U197),P197:U197,0))))</f>
        <v>W1</v>
      </c>
      <c r="W197" s="117">
        <f t="shared" si="29"/>
        <v>1</v>
      </c>
      <c r="X197" s="119"/>
    </row>
    <row r="198" spans="1:24">
      <c r="A198" s="115">
        <v>196</v>
      </c>
      <c r="B198" s="116">
        <v>7</v>
      </c>
      <c r="C198" s="81" t="s">
        <v>130</v>
      </c>
      <c r="D198" s="111" t="s">
        <v>240</v>
      </c>
      <c r="E198" s="81" t="s">
        <v>104</v>
      </c>
      <c r="F198" s="61">
        <v>7.9640000000000004</v>
      </c>
      <c r="G198" s="52">
        <f t="shared" si="23"/>
        <v>8.9340000000000011</v>
      </c>
      <c r="H198" s="110"/>
      <c r="I198" s="81">
        <v>9.91</v>
      </c>
      <c r="J198" s="81">
        <f>VLOOKUP(C198,Recipes!$A$2:$N$4,12,FALSE())</f>
        <v>5.0137397426368718E-2</v>
      </c>
      <c r="K198" s="81">
        <f t="shared" si="24"/>
        <v>9.6091756154417887</v>
      </c>
      <c r="L198" s="81">
        <f t="shared" si="27"/>
        <v>10.210824384558212</v>
      </c>
      <c r="M198" s="81" t="str">
        <f t="shared" si="25"/>
        <v>NG</v>
      </c>
      <c r="N198" s="117">
        <f t="shared" si="28"/>
        <v>1</v>
      </c>
      <c r="O198" s="81">
        <f t="shared" si="26"/>
        <v>0.97599999999999909</v>
      </c>
      <c r="P198" s="81">
        <f>IF(G198="","",ABS(O198-Components!$C$2))</f>
        <v>1.7773333333333308</v>
      </c>
      <c r="Q198" s="81">
        <f>IF(G198="","",ABS(O198-Components!$C$3))</f>
        <v>3.0600000000000005</v>
      </c>
      <c r="R198" s="81">
        <f>IF(G198="","",ABS(O198-Components!$C$4))</f>
        <v>1.7333333333333867E-2</v>
      </c>
      <c r="S198" s="81">
        <f>IF(G198="","",ABS(O198-Components!$C$5))</f>
        <v>3.5866666666666713</v>
      </c>
      <c r="T198" s="81">
        <f>IF(G198="","",ABS(O198-Components!$C$6))</f>
        <v>0.17966666666667086</v>
      </c>
      <c r="U198" s="81">
        <f>IF(G198="","",ABS(O198-Components!$C$7))</f>
        <v>0.39833333333333099</v>
      </c>
      <c r="V198" s="81" t="str">
        <f>IF(G198="","",IF(M198="OK","NONE",INDEX({"S1","S2","W1","W2","N1","N2"},MATCH(MIN(P198:U198),P198:U198,0))))</f>
        <v>W1</v>
      </c>
      <c r="W198" s="117">
        <f t="shared" si="29"/>
        <v>1</v>
      </c>
      <c r="X198" s="119"/>
    </row>
    <row r="199" spans="1:24">
      <c r="A199" s="115">
        <v>197</v>
      </c>
      <c r="B199" s="116">
        <v>7</v>
      </c>
      <c r="C199" s="81" t="s">
        <v>130</v>
      </c>
      <c r="D199" s="111" t="s">
        <v>240</v>
      </c>
      <c r="E199" s="81" t="s">
        <v>104</v>
      </c>
      <c r="F199" s="61">
        <v>7.97</v>
      </c>
      <c r="G199" s="52">
        <f t="shared" si="23"/>
        <v>8.94</v>
      </c>
      <c r="H199" s="110"/>
      <c r="I199" s="81">
        <v>9.91</v>
      </c>
      <c r="J199" s="81">
        <f>VLOOKUP(C199,Recipes!$A$2:$N$4,12,FALSE())</f>
        <v>5.0137397426368718E-2</v>
      </c>
      <c r="K199" s="81">
        <f t="shared" si="24"/>
        <v>9.6091756154417887</v>
      </c>
      <c r="L199" s="81">
        <f t="shared" si="27"/>
        <v>10.210824384558212</v>
      </c>
      <c r="M199" s="81" t="str">
        <f t="shared" si="25"/>
        <v>NG</v>
      </c>
      <c r="N199" s="117">
        <f t="shared" si="28"/>
        <v>1</v>
      </c>
      <c r="O199" s="81">
        <f t="shared" si="26"/>
        <v>0.97000000000000064</v>
      </c>
      <c r="P199" s="81">
        <f>IF(G199="","",ABS(O199-Components!$C$2))</f>
        <v>1.7833333333333292</v>
      </c>
      <c r="Q199" s="81">
        <f>IF(G199="","",ABS(O199-Components!$C$3))</f>
        <v>3.0659999999999989</v>
      </c>
      <c r="R199" s="81">
        <f>IF(G199="","",ABS(O199-Components!$C$4))</f>
        <v>2.3333333333332318E-2</v>
      </c>
      <c r="S199" s="81">
        <f>IF(G199="","",ABS(O199-Components!$C$5))</f>
        <v>3.5926666666666698</v>
      </c>
      <c r="T199" s="81">
        <f>IF(G199="","",ABS(O199-Components!$C$6))</f>
        <v>0.18566666666666931</v>
      </c>
      <c r="U199" s="81">
        <f>IF(G199="","",ABS(O199-Components!$C$7))</f>
        <v>0.40433333333332944</v>
      </c>
      <c r="V199" s="81" t="str">
        <f>IF(G199="","",IF(M199="OK","NONE",INDEX({"S1","S2","W1","W2","N1","N2"},MATCH(MIN(P199:U199),P199:U199,0))))</f>
        <v>W1</v>
      </c>
      <c r="W199" s="117">
        <f t="shared" si="29"/>
        <v>1</v>
      </c>
      <c r="X199" s="119"/>
    </row>
    <row r="200" spans="1:24">
      <c r="A200" s="115">
        <v>198</v>
      </c>
      <c r="B200" s="116">
        <v>7</v>
      </c>
      <c r="C200" s="81" t="s">
        <v>130</v>
      </c>
      <c r="D200" s="111" t="s">
        <v>240</v>
      </c>
      <c r="E200" s="81" t="s">
        <v>104</v>
      </c>
      <c r="F200" s="61">
        <v>7.91</v>
      </c>
      <c r="G200" s="52">
        <f t="shared" si="23"/>
        <v>8.8800000000000008</v>
      </c>
      <c r="H200" s="110"/>
      <c r="I200" s="81">
        <v>9.91</v>
      </c>
      <c r="J200" s="81">
        <f>VLOOKUP(C200,Recipes!$A$2:$N$4,12,FALSE())</f>
        <v>5.0137397426368718E-2</v>
      </c>
      <c r="K200" s="81">
        <f t="shared" si="24"/>
        <v>9.6091756154417887</v>
      </c>
      <c r="L200" s="81">
        <f t="shared" si="27"/>
        <v>10.210824384558212</v>
      </c>
      <c r="M200" s="81" t="str">
        <f t="shared" si="25"/>
        <v>NG</v>
      </c>
      <c r="N200" s="117">
        <f t="shared" si="28"/>
        <v>1</v>
      </c>
      <c r="O200" s="81">
        <f t="shared" si="26"/>
        <v>1.0299999999999994</v>
      </c>
      <c r="P200" s="81">
        <f>IF(G200="","",ABS(O200-Components!$C$2))</f>
        <v>1.7233333333333305</v>
      </c>
      <c r="Q200" s="81">
        <f>IF(G200="","",ABS(O200-Components!$C$3))</f>
        <v>3.0060000000000002</v>
      </c>
      <c r="R200" s="81">
        <f>IF(G200="","",ABS(O200-Components!$C$4))</f>
        <v>3.6666666666666403E-2</v>
      </c>
      <c r="S200" s="81">
        <f>IF(G200="","",ABS(O200-Components!$C$5))</f>
        <v>3.5326666666666711</v>
      </c>
      <c r="T200" s="81">
        <f>IF(G200="","",ABS(O200-Components!$C$6))</f>
        <v>0.12566666666667059</v>
      </c>
      <c r="U200" s="81">
        <f>IF(G200="","",ABS(O200-Components!$C$7))</f>
        <v>0.34433333333333072</v>
      </c>
      <c r="V200" s="81" t="str">
        <f>IF(G200="","",IF(M200="OK","NONE",INDEX({"S1","S2","W1","W2","N1","N2"},MATCH(MIN(P200:U200),P200:U200,0))))</f>
        <v>W1</v>
      </c>
      <c r="W200" s="117">
        <f t="shared" si="29"/>
        <v>1</v>
      </c>
      <c r="X200" s="119"/>
    </row>
    <row r="201" spans="1:24">
      <c r="A201" s="115">
        <v>199</v>
      </c>
      <c r="B201" s="116">
        <v>7</v>
      </c>
      <c r="C201" s="81" t="s">
        <v>130</v>
      </c>
      <c r="D201" s="111" t="s">
        <v>240</v>
      </c>
      <c r="E201" s="81" t="s">
        <v>104</v>
      </c>
      <c r="F201" s="61">
        <v>7.93</v>
      </c>
      <c r="G201" s="52">
        <f t="shared" si="23"/>
        <v>8.9</v>
      </c>
      <c r="H201" s="110"/>
      <c r="I201" s="81">
        <v>9.91</v>
      </c>
      <c r="J201" s="81">
        <f>VLOOKUP(C201,Recipes!$A$2:$N$4,12,FALSE())</f>
        <v>5.0137397426368718E-2</v>
      </c>
      <c r="K201" s="81">
        <f t="shared" si="24"/>
        <v>9.6091756154417887</v>
      </c>
      <c r="L201" s="81">
        <f t="shared" si="27"/>
        <v>10.210824384558212</v>
      </c>
      <c r="M201" s="81" t="str">
        <f t="shared" si="25"/>
        <v>NG</v>
      </c>
      <c r="N201" s="117">
        <f t="shared" si="28"/>
        <v>1</v>
      </c>
      <c r="O201" s="81">
        <f t="shared" si="26"/>
        <v>1.0099999999999998</v>
      </c>
      <c r="P201" s="81">
        <f>IF(G201="","",ABS(O201-Components!$C$2))</f>
        <v>1.7433333333333301</v>
      </c>
      <c r="Q201" s="81">
        <f>IF(G201="","",ABS(O201-Components!$C$3))</f>
        <v>3.0259999999999998</v>
      </c>
      <c r="R201" s="81">
        <f>IF(G201="","",ABS(O201-Components!$C$4))</f>
        <v>1.6666666666666829E-2</v>
      </c>
      <c r="S201" s="81">
        <f>IF(G201="","",ABS(O201-Components!$C$5))</f>
        <v>3.5526666666666706</v>
      </c>
      <c r="T201" s="81">
        <f>IF(G201="","",ABS(O201-Components!$C$6))</f>
        <v>0.14566666666667016</v>
      </c>
      <c r="U201" s="81">
        <f>IF(G201="","",ABS(O201-Components!$C$7))</f>
        <v>0.36433333333333029</v>
      </c>
      <c r="V201" s="81" t="str">
        <f>IF(G201="","",IF(M201="OK","NONE",INDEX({"S1","S2","W1","W2","N1","N2"},MATCH(MIN(P201:U201),P201:U201,0))))</f>
        <v>W1</v>
      </c>
      <c r="W201" s="117">
        <f t="shared" si="29"/>
        <v>1</v>
      </c>
      <c r="X201" s="119"/>
    </row>
    <row r="202" spans="1:24">
      <c r="A202" s="115">
        <v>200</v>
      </c>
      <c r="B202" s="116">
        <v>7</v>
      </c>
      <c r="C202" s="61" t="s">
        <v>130</v>
      </c>
      <c r="D202" s="61" t="s">
        <v>240</v>
      </c>
      <c r="E202" s="61" t="s">
        <v>104</v>
      </c>
      <c r="F202" s="61">
        <v>7.94</v>
      </c>
      <c r="G202" s="52">
        <f t="shared" si="23"/>
        <v>8.91</v>
      </c>
      <c r="H202" s="110"/>
      <c r="I202" s="81">
        <v>9.91</v>
      </c>
      <c r="J202" s="81">
        <f>VLOOKUP(C202,Recipes!$A$2:$N$4,12,FALSE())</f>
        <v>5.0137397426368718E-2</v>
      </c>
      <c r="K202" s="81">
        <f t="shared" si="24"/>
        <v>9.6091756154417887</v>
      </c>
      <c r="L202" s="81">
        <f t="shared" si="27"/>
        <v>10.210824384558212</v>
      </c>
      <c r="M202" s="81" t="str">
        <f t="shared" si="25"/>
        <v>NG</v>
      </c>
      <c r="N202" s="117">
        <f t="shared" si="28"/>
        <v>1</v>
      </c>
      <c r="O202" s="81">
        <f t="shared" si="26"/>
        <v>1</v>
      </c>
      <c r="P202" s="81">
        <f>IF(G202="","",ABS(O202-Components!$C$2))</f>
        <v>1.7533333333333299</v>
      </c>
      <c r="Q202" s="81">
        <f>IF(G202="","",ABS(O202-Components!$C$3))</f>
        <v>3.0359999999999996</v>
      </c>
      <c r="R202" s="81">
        <f>IF(G202="","",ABS(O202-Components!$C$4))</f>
        <v>6.6666666666670427E-3</v>
      </c>
      <c r="S202" s="81">
        <f>IF(G202="","",ABS(O202-Components!$C$5))</f>
        <v>3.5626666666666704</v>
      </c>
      <c r="T202" s="81">
        <f>IF(G202="","",ABS(O202-Components!$C$6))</f>
        <v>0.15566666666666995</v>
      </c>
      <c r="U202" s="81">
        <f>IF(G202="","",ABS(O202-Components!$C$7))</f>
        <v>0.37433333333333008</v>
      </c>
      <c r="V202" s="81" t="str">
        <f>IF(G202="","",IF(M202="OK","NONE",INDEX({"S1","S2","W1","W2","N1","N2"},MATCH(MIN(P202:U202),P202:U202,0))))</f>
        <v>W1</v>
      </c>
      <c r="W202" s="117">
        <f t="shared" si="29"/>
        <v>1</v>
      </c>
      <c r="X202" s="119"/>
    </row>
    <row r="203" spans="1:24">
      <c r="A203" s="115">
        <v>201</v>
      </c>
      <c r="B203" s="116">
        <v>7</v>
      </c>
      <c r="C203" s="81" t="s">
        <v>130</v>
      </c>
      <c r="D203" s="111" t="s">
        <v>240</v>
      </c>
      <c r="E203" s="81" t="s">
        <v>104</v>
      </c>
      <c r="F203" s="61">
        <v>7.89</v>
      </c>
      <c r="G203" s="52">
        <f t="shared" si="23"/>
        <v>8.86</v>
      </c>
      <c r="H203" s="110"/>
      <c r="I203" s="81">
        <v>9.91</v>
      </c>
      <c r="J203" s="81">
        <f>VLOOKUP(C203,Recipes!$A$2:$N$4,12,FALSE())</f>
        <v>5.0137397426368718E-2</v>
      </c>
      <c r="K203" s="81">
        <f t="shared" si="24"/>
        <v>9.6091756154417887</v>
      </c>
      <c r="L203" s="81">
        <f t="shared" si="27"/>
        <v>10.210824384558212</v>
      </c>
      <c r="M203" s="81" t="str">
        <f t="shared" si="25"/>
        <v>NG</v>
      </c>
      <c r="N203" s="117">
        <f t="shared" si="28"/>
        <v>1</v>
      </c>
      <c r="O203" s="81">
        <f t="shared" si="26"/>
        <v>1.0500000000000007</v>
      </c>
      <c r="P203" s="81">
        <f>IF(G203="","",ABS(O203-Components!$C$2))</f>
        <v>1.7033333333333291</v>
      </c>
      <c r="Q203" s="81">
        <f>IF(G203="","",ABS(O203-Components!$C$3))</f>
        <v>2.9859999999999989</v>
      </c>
      <c r="R203" s="81">
        <f>IF(G203="","",ABS(O203-Components!$C$4))</f>
        <v>5.6666666666667753E-2</v>
      </c>
      <c r="S203" s="81">
        <f>IF(G203="","",ABS(O203-Components!$C$5))</f>
        <v>3.5126666666666697</v>
      </c>
      <c r="T203" s="81">
        <f>IF(G203="","",ABS(O203-Components!$C$6))</f>
        <v>0.10566666666666924</v>
      </c>
      <c r="U203" s="81">
        <f>IF(G203="","",ABS(O203-Components!$C$7))</f>
        <v>0.32433333333332937</v>
      </c>
      <c r="V203" s="81" t="str">
        <f>IF(G203="","",IF(M203="OK","NONE",INDEX({"S1","S2","W1","W2","N1","N2"},MATCH(MIN(P203:U203),P203:U203,0))))</f>
        <v>W1</v>
      </c>
      <c r="W203" s="117">
        <f t="shared" si="29"/>
        <v>1</v>
      </c>
      <c r="X203" s="119"/>
    </row>
    <row r="204" spans="1:24">
      <c r="A204" s="115">
        <v>202</v>
      </c>
      <c r="B204" s="116">
        <v>7</v>
      </c>
      <c r="C204" s="81" t="s">
        <v>130</v>
      </c>
      <c r="D204" s="111" t="s">
        <v>240</v>
      </c>
      <c r="E204" s="81" t="s">
        <v>104</v>
      </c>
      <c r="F204" s="61">
        <v>7.95</v>
      </c>
      <c r="G204" s="52">
        <f t="shared" si="23"/>
        <v>8.92</v>
      </c>
      <c r="H204" s="110"/>
      <c r="I204" s="81">
        <v>9.91</v>
      </c>
      <c r="J204" s="81">
        <f>VLOOKUP(C204,Recipes!$A$2:$N$4,12,FALSE())</f>
        <v>5.0137397426368718E-2</v>
      </c>
      <c r="K204" s="81">
        <f t="shared" si="24"/>
        <v>9.6091756154417887</v>
      </c>
      <c r="L204" s="81">
        <f t="shared" si="27"/>
        <v>10.210824384558212</v>
      </c>
      <c r="M204" s="81" t="str">
        <f t="shared" si="25"/>
        <v>NG</v>
      </c>
      <c r="N204" s="117">
        <f t="shared" si="28"/>
        <v>1</v>
      </c>
      <c r="O204" s="81">
        <f t="shared" si="26"/>
        <v>0.99000000000000021</v>
      </c>
      <c r="P204" s="81">
        <f>IF(G204="","",ABS(O204-Components!$C$2))</f>
        <v>1.7633333333333296</v>
      </c>
      <c r="Q204" s="81">
        <f>IF(G204="","",ABS(O204-Components!$C$3))</f>
        <v>3.0459999999999994</v>
      </c>
      <c r="R204" s="81">
        <f>IF(G204="","",ABS(O204-Components!$C$4))</f>
        <v>3.3333333333327442E-3</v>
      </c>
      <c r="S204" s="81">
        <f>IF(G204="","",ABS(O204-Components!$C$5))</f>
        <v>3.5726666666666702</v>
      </c>
      <c r="T204" s="81">
        <f>IF(G204="","",ABS(O204-Components!$C$6))</f>
        <v>0.16566666666666974</v>
      </c>
      <c r="U204" s="81">
        <f>IF(G204="","",ABS(O204-Components!$C$7))</f>
        <v>0.38433333333332986</v>
      </c>
      <c r="V204" s="81" t="str">
        <f>IF(G204="","",IF(M204="OK","NONE",INDEX({"S1","S2","W1","W2","N1","N2"},MATCH(MIN(P204:U204),P204:U204,0))))</f>
        <v>W1</v>
      </c>
      <c r="W204" s="117">
        <f t="shared" si="29"/>
        <v>1</v>
      </c>
      <c r="X204" s="119"/>
    </row>
    <row r="205" spans="1:24">
      <c r="A205" s="115">
        <v>203</v>
      </c>
      <c r="B205" s="116">
        <v>7</v>
      </c>
      <c r="C205" s="81" t="s">
        <v>130</v>
      </c>
      <c r="D205" s="111" t="s">
        <v>240</v>
      </c>
      <c r="E205" s="81" t="s">
        <v>104</v>
      </c>
      <c r="F205" s="61">
        <v>7.9</v>
      </c>
      <c r="G205" s="52">
        <f t="shared" si="23"/>
        <v>8.870000000000001</v>
      </c>
      <c r="H205" s="110"/>
      <c r="I205" s="81">
        <v>9.91</v>
      </c>
      <c r="J205" s="81">
        <f>VLOOKUP(C205,Recipes!$A$2:$N$4,12,FALSE())</f>
        <v>5.0137397426368718E-2</v>
      </c>
      <c r="K205" s="81">
        <f t="shared" si="24"/>
        <v>9.6091756154417887</v>
      </c>
      <c r="L205" s="81">
        <f t="shared" si="27"/>
        <v>10.210824384558212</v>
      </c>
      <c r="M205" s="81" t="str">
        <f t="shared" si="25"/>
        <v>NG</v>
      </c>
      <c r="N205" s="117">
        <f t="shared" si="28"/>
        <v>1</v>
      </c>
      <c r="O205" s="81">
        <f t="shared" si="26"/>
        <v>1.0399999999999991</v>
      </c>
      <c r="P205" s="81">
        <f>IF(G205="","",ABS(O205-Components!$C$2))</f>
        <v>1.7133333333333307</v>
      </c>
      <c r="Q205" s="81">
        <f>IF(G205="","",ABS(O205-Components!$C$3))</f>
        <v>2.9960000000000004</v>
      </c>
      <c r="R205" s="81">
        <f>IF(G205="","",ABS(O205-Components!$C$4))</f>
        <v>4.666666666666619E-2</v>
      </c>
      <c r="S205" s="81">
        <f>IF(G205="","",ABS(O205-Components!$C$5))</f>
        <v>3.5226666666666713</v>
      </c>
      <c r="T205" s="81">
        <f>IF(G205="","",ABS(O205-Components!$C$6))</f>
        <v>0.1156666666666708</v>
      </c>
      <c r="U205" s="81">
        <f>IF(G205="","",ABS(O205-Components!$C$7))</f>
        <v>0.33433333333333093</v>
      </c>
      <c r="V205" s="81" t="str">
        <f>IF(G205="","",IF(M205="OK","NONE",INDEX({"S1","S2","W1","W2","N1","N2"},MATCH(MIN(P205:U205),P205:U205,0))))</f>
        <v>W1</v>
      </c>
      <c r="W205" s="117">
        <f t="shared" si="29"/>
        <v>1</v>
      </c>
      <c r="X205" s="119"/>
    </row>
    <row r="206" spans="1:24">
      <c r="A206" s="115">
        <v>204</v>
      </c>
      <c r="B206" s="116">
        <v>7</v>
      </c>
      <c r="C206" s="81" t="s">
        <v>130</v>
      </c>
      <c r="D206" s="111" t="s">
        <v>240</v>
      </c>
      <c r="E206" s="81" t="s">
        <v>104</v>
      </c>
      <c r="F206" s="61">
        <v>7.99</v>
      </c>
      <c r="G206" s="52">
        <f t="shared" si="23"/>
        <v>8.9600000000000009</v>
      </c>
      <c r="H206" s="110"/>
      <c r="I206" s="81">
        <v>9.91</v>
      </c>
      <c r="J206" s="81">
        <f>VLOOKUP(C206,Recipes!$A$2:$N$4,12,FALSE())</f>
        <v>5.0137397426368718E-2</v>
      </c>
      <c r="K206" s="81">
        <f t="shared" si="24"/>
        <v>9.6091756154417887</v>
      </c>
      <c r="L206" s="81">
        <f t="shared" si="27"/>
        <v>10.210824384558212</v>
      </c>
      <c r="M206" s="81" t="str">
        <f t="shared" si="25"/>
        <v>NG</v>
      </c>
      <c r="N206" s="117">
        <f t="shared" si="28"/>
        <v>1</v>
      </c>
      <c r="O206" s="81">
        <f t="shared" si="26"/>
        <v>0.94999999999999929</v>
      </c>
      <c r="P206" s="81">
        <f>IF(G206="","",ABS(O206-Components!$C$2))</f>
        <v>1.8033333333333306</v>
      </c>
      <c r="Q206" s="81">
        <f>IF(G206="","",ABS(O206-Components!$C$3))</f>
        <v>3.0860000000000003</v>
      </c>
      <c r="R206" s="81">
        <f>IF(G206="","",ABS(O206-Components!$C$4))</f>
        <v>4.3333333333333668E-2</v>
      </c>
      <c r="S206" s="81">
        <f>IF(G206="","",ABS(O206-Components!$C$5))</f>
        <v>3.6126666666666711</v>
      </c>
      <c r="T206" s="81">
        <f>IF(G206="","",ABS(O206-Components!$C$6))</f>
        <v>0.20566666666667066</v>
      </c>
      <c r="U206" s="81">
        <f>IF(G206="","",ABS(O206-Components!$C$7))</f>
        <v>0.42433333333333079</v>
      </c>
      <c r="V206" s="81" t="str">
        <f>IF(G206="","",IF(M206="OK","NONE",INDEX({"S1","S2","W1","W2","N1","N2"},MATCH(MIN(P206:U206),P206:U206,0))))</f>
        <v>W1</v>
      </c>
      <c r="W206" s="117">
        <f t="shared" si="29"/>
        <v>1</v>
      </c>
      <c r="X206" s="119"/>
    </row>
    <row r="207" spans="1:24">
      <c r="A207" s="115">
        <v>205</v>
      </c>
      <c r="B207" s="116">
        <v>7</v>
      </c>
      <c r="C207" s="61" t="s">
        <v>130</v>
      </c>
      <c r="D207" s="61" t="s">
        <v>240</v>
      </c>
      <c r="E207" s="61" t="s">
        <v>104</v>
      </c>
      <c r="F207" s="61">
        <v>7.97</v>
      </c>
      <c r="G207" s="52">
        <f t="shared" si="23"/>
        <v>8.94</v>
      </c>
      <c r="H207" s="110"/>
      <c r="I207" s="81">
        <v>9.91</v>
      </c>
      <c r="J207" s="81">
        <f>VLOOKUP(C207,Recipes!$A$2:$N$4,12,FALSE())</f>
        <v>5.0137397426368718E-2</v>
      </c>
      <c r="K207" s="81">
        <f t="shared" si="24"/>
        <v>9.6091756154417887</v>
      </c>
      <c r="L207" s="81">
        <f t="shared" si="27"/>
        <v>10.210824384558212</v>
      </c>
      <c r="M207" s="81" t="str">
        <f t="shared" si="25"/>
        <v>NG</v>
      </c>
      <c r="N207" s="117">
        <f t="shared" si="28"/>
        <v>1</v>
      </c>
      <c r="O207" s="81">
        <f t="shared" si="26"/>
        <v>0.97000000000000064</v>
      </c>
      <c r="P207" s="81">
        <f>IF(G207="","",ABS(O207-Components!$C$2))</f>
        <v>1.7833333333333292</v>
      </c>
      <c r="Q207" s="81">
        <f>IF(G207="","",ABS(O207-Components!$C$3))</f>
        <v>3.0659999999999989</v>
      </c>
      <c r="R207" s="81">
        <f>IF(G207="","",ABS(O207-Components!$C$4))</f>
        <v>2.3333333333332318E-2</v>
      </c>
      <c r="S207" s="81">
        <f>IF(G207="","",ABS(O207-Components!$C$5))</f>
        <v>3.5926666666666698</v>
      </c>
      <c r="T207" s="81">
        <f>IF(G207="","",ABS(O207-Components!$C$6))</f>
        <v>0.18566666666666931</v>
      </c>
      <c r="U207" s="81">
        <f>IF(G207="","",ABS(O207-Components!$C$7))</f>
        <v>0.40433333333332944</v>
      </c>
      <c r="V207" s="81" t="str">
        <f>IF(G207="","",IF(M207="OK","NONE",INDEX({"S1","S2","W1","W2","N1","N2"},MATCH(MIN(P207:U207),P207:U207,0))))</f>
        <v>W1</v>
      </c>
      <c r="W207" s="117">
        <f t="shared" si="29"/>
        <v>1</v>
      </c>
      <c r="X207" s="119"/>
    </row>
    <row r="208" spans="1:24">
      <c r="A208" s="115">
        <v>206</v>
      </c>
      <c r="B208" s="116">
        <v>7</v>
      </c>
      <c r="C208" s="81" t="s">
        <v>130</v>
      </c>
      <c r="D208" s="111" t="s">
        <v>240</v>
      </c>
      <c r="E208" s="81" t="s">
        <v>104</v>
      </c>
      <c r="F208" s="61">
        <v>7.96</v>
      </c>
      <c r="G208" s="52">
        <f t="shared" si="23"/>
        <v>8.93</v>
      </c>
      <c r="H208" s="110"/>
      <c r="I208" s="81">
        <v>9.91</v>
      </c>
      <c r="J208" s="81">
        <f>VLOOKUP(C208,Recipes!$A$2:$N$4,12,FALSE())</f>
        <v>5.0137397426368718E-2</v>
      </c>
      <c r="K208" s="81">
        <f t="shared" si="24"/>
        <v>9.6091756154417887</v>
      </c>
      <c r="L208" s="81">
        <f t="shared" si="27"/>
        <v>10.210824384558212</v>
      </c>
      <c r="M208" s="81" t="str">
        <f t="shared" si="25"/>
        <v>NG</v>
      </c>
      <c r="N208" s="117">
        <f t="shared" si="28"/>
        <v>1</v>
      </c>
      <c r="O208" s="81">
        <f t="shared" si="26"/>
        <v>0.98000000000000043</v>
      </c>
      <c r="P208" s="81">
        <f>IF(G208="","",ABS(O208-Components!$C$2))</f>
        <v>1.7733333333333294</v>
      </c>
      <c r="Q208" s="81">
        <f>IF(G208="","",ABS(O208-Components!$C$3))</f>
        <v>3.0559999999999992</v>
      </c>
      <c r="R208" s="81">
        <f>IF(G208="","",ABS(O208-Components!$C$4))</f>
        <v>1.3333333333332531E-2</v>
      </c>
      <c r="S208" s="81">
        <f>IF(G208="","",ABS(O208-Components!$C$5))</f>
        <v>3.58266666666667</v>
      </c>
      <c r="T208" s="81">
        <f>IF(G208="","",ABS(O208-Components!$C$6))</f>
        <v>0.17566666666666952</v>
      </c>
      <c r="U208" s="81">
        <f>IF(G208="","",ABS(O208-Components!$C$7))</f>
        <v>0.39433333333332965</v>
      </c>
      <c r="V208" s="81" t="str">
        <f>IF(G208="","",IF(M208="OK","NONE",INDEX({"S1","S2","W1","W2","N1","N2"},MATCH(MIN(P208:U208),P208:U208,0))))</f>
        <v>W1</v>
      </c>
      <c r="W208" s="117">
        <f t="shared" si="29"/>
        <v>1</v>
      </c>
      <c r="X208" s="119"/>
    </row>
    <row r="209" spans="1:24">
      <c r="A209" s="115">
        <v>207</v>
      </c>
      <c r="B209" s="116">
        <v>7</v>
      </c>
      <c r="C209" s="81" t="s">
        <v>130</v>
      </c>
      <c r="D209" s="111" t="s">
        <v>240</v>
      </c>
      <c r="E209" s="81" t="s">
        <v>104</v>
      </c>
      <c r="F209" s="61">
        <v>7.99</v>
      </c>
      <c r="G209" s="52">
        <f t="shared" si="23"/>
        <v>8.9600000000000009</v>
      </c>
      <c r="H209" s="110"/>
      <c r="I209" s="81">
        <v>9.91</v>
      </c>
      <c r="J209" s="81">
        <f>VLOOKUP(C209,Recipes!$A$2:$N$4,12,FALSE())</f>
        <v>5.0137397426368718E-2</v>
      </c>
      <c r="K209" s="81">
        <f t="shared" si="24"/>
        <v>9.6091756154417887</v>
      </c>
      <c r="L209" s="81">
        <f t="shared" si="27"/>
        <v>10.210824384558212</v>
      </c>
      <c r="M209" s="81" t="str">
        <f t="shared" si="25"/>
        <v>NG</v>
      </c>
      <c r="N209" s="117">
        <f t="shared" si="28"/>
        <v>1</v>
      </c>
      <c r="O209" s="81">
        <f t="shared" si="26"/>
        <v>0.94999999999999929</v>
      </c>
      <c r="P209" s="81">
        <f>IF(G209="","",ABS(O209-Components!$C$2))</f>
        <v>1.8033333333333306</v>
      </c>
      <c r="Q209" s="81">
        <f>IF(G209="","",ABS(O209-Components!$C$3))</f>
        <v>3.0860000000000003</v>
      </c>
      <c r="R209" s="81">
        <f>IF(G209="","",ABS(O209-Components!$C$4))</f>
        <v>4.3333333333333668E-2</v>
      </c>
      <c r="S209" s="81">
        <f>IF(G209="","",ABS(O209-Components!$C$5))</f>
        <v>3.6126666666666711</v>
      </c>
      <c r="T209" s="81">
        <f>IF(G209="","",ABS(O209-Components!$C$6))</f>
        <v>0.20566666666667066</v>
      </c>
      <c r="U209" s="81">
        <f>IF(G209="","",ABS(O209-Components!$C$7))</f>
        <v>0.42433333333333079</v>
      </c>
      <c r="V209" s="81" t="str">
        <f>IF(G209="","",IF(M209="OK","NONE",INDEX({"S1","S2","W1","W2","N1","N2"},MATCH(MIN(P209:U209),P209:U209,0))))</f>
        <v>W1</v>
      </c>
      <c r="W209" s="117">
        <f t="shared" si="29"/>
        <v>1</v>
      </c>
      <c r="X209" s="119"/>
    </row>
    <row r="210" spans="1:24">
      <c r="A210" s="115">
        <v>208</v>
      </c>
      <c r="B210" s="116">
        <v>7</v>
      </c>
      <c r="C210" s="81" t="s">
        <v>130</v>
      </c>
      <c r="D210" s="111" t="s">
        <v>240</v>
      </c>
      <c r="E210" s="81" t="s">
        <v>104</v>
      </c>
      <c r="F210" s="61">
        <v>7.87</v>
      </c>
      <c r="G210" s="52">
        <f t="shared" si="23"/>
        <v>8.84</v>
      </c>
      <c r="H210" s="110"/>
      <c r="I210" s="81">
        <v>9.91</v>
      </c>
      <c r="J210" s="81">
        <f>VLOOKUP(C210,Recipes!$A$2:$N$4,12,FALSE())</f>
        <v>5.0137397426368718E-2</v>
      </c>
      <c r="K210" s="81">
        <f t="shared" si="24"/>
        <v>9.6091756154417887</v>
      </c>
      <c r="L210" s="81">
        <f t="shared" si="27"/>
        <v>10.210824384558212</v>
      </c>
      <c r="M210" s="81" t="str">
        <f t="shared" si="25"/>
        <v>NG</v>
      </c>
      <c r="N210" s="117">
        <f t="shared" si="28"/>
        <v>1</v>
      </c>
      <c r="O210" s="81">
        <f t="shared" si="26"/>
        <v>1.0700000000000003</v>
      </c>
      <c r="P210" s="81">
        <f>IF(G210="","",ABS(O210-Components!$C$2))</f>
        <v>1.6833333333333296</v>
      </c>
      <c r="Q210" s="81">
        <f>IF(G210="","",ABS(O210-Components!$C$3))</f>
        <v>2.9659999999999993</v>
      </c>
      <c r="R210" s="81">
        <f>IF(G210="","",ABS(O210-Components!$C$4))</f>
        <v>7.6666666666667327E-2</v>
      </c>
      <c r="S210" s="81">
        <f>IF(G210="","",ABS(O210-Components!$C$5))</f>
        <v>3.4926666666666701</v>
      </c>
      <c r="T210" s="81">
        <f>IF(G210="","",ABS(O210-Components!$C$6))</f>
        <v>8.5666666666669666E-2</v>
      </c>
      <c r="U210" s="81">
        <f>IF(G210="","",ABS(O210-Components!$C$7))</f>
        <v>0.30433333333332979</v>
      </c>
      <c r="V210" s="81" t="str">
        <f>IF(G210="","",IF(M210="OK","NONE",INDEX({"S1","S2","W1","W2","N1","N2"},MATCH(MIN(P210:U210),P210:U210,0))))</f>
        <v>W1</v>
      </c>
      <c r="W210" s="117">
        <f t="shared" si="29"/>
        <v>1</v>
      </c>
      <c r="X210" s="119"/>
    </row>
    <row r="211" spans="1:24">
      <c r="A211" s="115">
        <v>209</v>
      </c>
      <c r="B211" s="116">
        <v>7</v>
      </c>
      <c r="C211" s="81" t="s">
        <v>130</v>
      </c>
      <c r="D211" s="111" t="s">
        <v>240</v>
      </c>
      <c r="E211" s="81" t="s">
        <v>104</v>
      </c>
      <c r="F211" s="61">
        <v>7.72</v>
      </c>
      <c r="G211" s="52">
        <f t="shared" si="23"/>
        <v>8.69</v>
      </c>
      <c r="H211" s="110"/>
      <c r="I211" s="81">
        <v>9.91</v>
      </c>
      <c r="J211" s="81">
        <f>VLOOKUP(C211,Recipes!$A$2:$N$4,12,FALSE())</f>
        <v>5.0137397426368718E-2</v>
      </c>
      <c r="K211" s="81">
        <f t="shared" si="24"/>
        <v>9.6091756154417887</v>
      </c>
      <c r="L211" s="81">
        <f t="shared" si="27"/>
        <v>10.210824384558212</v>
      </c>
      <c r="M211" s="81" t="str">
        <f t="shared" si="25"/>
        <v>NG</v>
      </c>
      <c r="N211" s="117">
        <f t="shared" si="28"/>
        <v>1</v>
      </c>
      <c r="O211" s="81">
        <f t="shared" si="26"/>
        <v>1.2200000000000006</v>
      </c>
      <c r="P211" s="81">
        <f>IF(G211="","",ABS(O211-Components!$C$2))</f>
        <v>1.5333333333333292</v>
      </c>
      <c r="Q211" s="81">
        <f>IF(G211="","",ABS(O211-Components!$C$3))</f>
        <v>2.8159999999999989</v>
      </c>
      <c r="R211" s="81">
        <f>IF(G211="","",ABS(O211-Components!$C$4))</f>
        <v>0.22666666666666768</v>
      </c>
      <c r="S211" s="81">
        <f>IF(G211="","",ABS(O211-Components!$C$5))</f>
        <v>3.3426666666666698</v>
      </c>
      <c r="T211" s="81">
        <f>IF(G211="","",ABS(O211-Components!$C$6))</f>
        <v>6.4333333333330689E-2</v>
      </c>
      <c r="U211" s="81">
        <f>IF(G211="","",ABS(O211-Components!$C$7))</f>
        <v>0.15433333333332944</v>
      </c>
      <c r="V211" s="81" t="str">
        <f>IF(G211="","",IF(M211="OK","NONE",INDEX({"S1","S2","W1","W2","N1","N2"},MATCH(MIN(P211:U211),P211:U211,0))))</f>
        <v>N1</v>
      </c>
      <c r="W211" s="118">
        <f t="shared" si="29"/>
        <v>0</v>
      </c>
      <c r="X211" s="119"/>
    </row>
    <row r="212" spans="1:24">
      <c r="A212" s="115">
        <v>210</v>
      </c>
      <c r="B212" s="116">
        <v>7</v>
      </c>
      <c r="C212" s="61" t="s">
        <v>130</v>
      </c>
      <c r="D212" s="61" t="s">
        <v>240</v>
      </c>
      <c r="E212" s="61" t="s">
        <v>104</v>
      </c>
      <c r="F212" s="61">
        <v>7.95</v>
      </c>
      <c r="G212" s="52">
        <f t="shared" si="23"/>
        <v>8.92</v>
      </c>
      <c r="H212" s="110"/>
      <c r="I212" s="81">
        <v>9.91</v>
      </c>
      <c r="J212" s="81">
        <f>VLOOKUP(C212,Recipes!$A$2:$N$4,12,FALSE())</f>
        <v>5.0137397426368718E-2</v>
      </c>
      <c r="K212" s="81">
        <f t="shared" si="24"/>
        <v>9.6091756154417887</v>
      </c>
      <c r="L212" s="81">
        <f t="shared" si="27"/>
        <v>10.210824384558212</v>
      </c>
      <c r="M212" s="81" t="str">
        <f t="shared" si="25"/>
        <v>NG</v>
      </c>
      <c r="N212" s="117">
        <f t="shared" si="28"/>
        <v>1</v>
      </c>
      <c r="O212" s="81">
        <f t="shared" si="26"/>
        <v>0.99000000000000021</v>
      </c>
      <c r="P212" s="81">
        <f>IF(G212="","",ABS(O212-Components!$C$2))</f>
        <v>1.7633333333333296</v>
      </c>
      <c r="Q212" s="81">
        <f>IF(G212="","",ABS(O212-Components!$C$3))</f>
        <v>3.0459999999999994</v>
      </c>
      <c r="R212" s="81">
        <f>IF(G212="","",ABS(O212-Components!$C$4))</f>
        <v>3.3333333333327442E-3</v>
      </c>
      <c r="S212" s="81">
        <f>IF(G212="","",ABS(O212-Components!$C$5))</f>
        <v>3.5726666666666702</v>
      </c>
      <c r="T212" s="81">
        <f>IF(G212="","",ABS(O212-Components!$C$6))</f>
        <v>0.16566666666666974</v>
      </c>
      <c r="U212" s="81">
        <f>IF(G212="","",ABS(O212-Components!$C$7))</f>
        <v>0.38433333333332986</v>
      </c>
      <c r="V212" s="81" t="str">
        <f>IF(G212="","",IF(M212="OK","NONE",INDEX({"S1","S2","W1","W2","N1","N2"},MATCH(MIN(P212:U212),P212:U212,0))))</f>
        <v>W1</v>
      </c>
      <c r="W212" s="117">
        <f t="shared" si="29"/>
        <v>1</v>
      </c>
      <c r="X212" s="119"/>
    </row>
    <row r="213" spans="1:24">
      <c r="A213" s="115">
        <v>211</v>
      </c>
      <c r="B213" s="116">
        <v>8</v>
      </c>
      <c r="C213" s="81" t="s">
        <v>130</v>
      </c>
      <c r="D213" s="111" t="s">
        <v>240</v>
      </c>
      <c r="E213" s="81" t="s">
        <v>108</v>
      </c>
      <c r="F213" s="61">
        <v>7.72</v>
      </c>
      <c r="G213" s="52">
        <f t="shared" si="23"/>
        <v>8.69</v>
      </c>
      <c r="H213" s="110"/>
      <c r="I213" s="81">
        <v>9.91</v>
      </c>
      <c r="J213" s="81">
        <f>VLOOKUP(C213,Recipes!$A$2:$N$4,12,FALSE())</f>
        <v>5.0137397426368718E-2</v>
      </c>
      <c r="K213" s="81">
        <f t="shared" si="24"/>
        <v>9.6091756154417887</v>
      </c>
      <c r="L213" s="81">
        <f t="shared" si="27"/>
        <v>10.210824384558212</v>
      </c>
      <c r="M213" s="81" t="str">
        <f t="shared" si="25"/>
        <v>NG</v>
      </c>
      <c r="N213" s="117">
        <f t="shared" si="28"/>
        <v>1</v>
      </c>
      <c r="O213" s="81">
        <f t="shared" si="26"/>
        <v>1.2200000000000006</v>
      </c>
      <c r="P213" s="81">
        <f>IF(G213="","",ABS(O213-Components!$C$2))</f>
        <v>1.5333333333333292</v>
      </c>
      <c r="Q213" s="81">
        <f>IF(G213="","",ABS(O213-Components!$C$3))</f>
        <v>2.8159999999999989</v>
      </c>
      <c r="R213" s="81">
        <f>IF(G213="","",ABS(O213-Components!$C$4))</f>
        <v>0.22666666666666768</v>
      </c>
      <c r="S213" s="81">
        <f>IF(G213="","",ABS(O213-Components!$C$5))</f>
        <v>3.3426666666666698</v>
      </c>
      <c r="T213" s="81">
        <f>IF(G213="","",ABS(O213-Components!$C$6))</f>
        <v>6.4333333333330689E-2</v>
      </c>
      <c r="U213" s="81">
        <f>IF(G213="","",ABS(O213-Components!$C$7))</f>
        <v>0.15433333333332944</v>
      </c>
      <c r="V213" s="81" t="str">
        <f>IF(G213="","",IF(M213="OK","NONE",INDEX({"S1","S2","W1","W2","N1","N2"},MATCH(MIN(P213:U213),P213:U213,0))))</f>
        <v>N1</v>
      </c>
      <c r="W213" s="117">
        <f t="shared" si="29"/>
        <v>1</v>
      </c>
      <c r="X213" s="119"/>
    </row>
    <row r="214" spans="1:24">
      <c r="A214" s="115">
        <v>212</v>
      </c>
      <c r="B214" s="116">
        <v>8</v>
      </c>
      <c r="C214" s="81" t="s">
        <v>130</v>
      </c>
      <c r="D214" s="111" t="s">
        <v>240</v>
      </c>
      <c r="E214" s="81" t="s">
        <v>108</v>
      </c>
      <c r="F214" s="61">
        <v>7.75</v>
      </c>
      <c r="G214" s="52">
        <f t="shared" si="23"/>
        <v>8.7200000000000006</v>
      </c>
      <c r="H214" s="110"/>
      <c r="I214" s="81">
        <v>9.91</v>
      </c>
      <c r="J214" s="81">
        <f>VLOOKUP(C214,Recipes!$A$2:$N$4,12,FALSE())</f>
        <v>5.0137397426368718E-2</v>
      </c>
      <c r="K214" s="81">
        <f t="shared" si="24"/>
        <v>9.6091756154417887</v>
      </c>
      <c r="L214" s="81">
        <f t="shared" si="27"/>
        <v>10.210824384558212</v>
      </c>
      <c r="M214" s="81" t="str">
        <f t="shared" si="25"/>
        <v>NG</v>
      </c>
      <c r="N214" s="117">
        <f t="shared" si="28"/>
        <v>1</v>
      </c>
      <c r="O214" s="81">
        <f t="shared" si="26"/>
        <v>1.1899999999999995</v>
      </c>
      <c r="P214" s="81">
        <f>IF(G214="","",ABS(O214-Components!$C$2))</f>
        <v>1.5633333333333304</v>
      </c>
      <c r="Q214" s="81">
        <f>IF(G214="","",ABS(O214-Components!$C$3))</f>
        <v>2.8460000000000001</v>
      </c>
      <c r="R214" s="81">
        <f>IF(G214="","",ABS(O214-Components!$C$4))</f>
        <v>0.19666666666666655</v>
      </c>
      <c r="S214" s="81">
        <f>IF(G214="","",ABS(O214-Components!$C$5))</f>
        <v>3.3726666666666709</v>
      </c>
      <c r="T214" s="81">
        <f>IF(G214="","",ABS(O214-Components!$C$6))</f>
        <v>3.4333333333329552E-2</v>
      </c>
      <c r="U214" s="81">
        <f>IF(G214="","",ABS(O214-Components!$C$7))</f>
        <v>0.18433333333333057</v>
      </c>
      <c r="V214" s="81" t="str">
        <f>IF(G214="","",IF(M214="OK","NONE",INDEX({"S1","S2","W1","W2","N1","N2"},MATCH(MIN(P214:U214),P214:U214,0))))</f>
        <v>N1</v>
      </c>
      <c r="W214" s="117">
        <f t="shared" si="29"/>
        <v>1</v>
      </c>
      <c r="X214" s="119"/>
    </row>
    <row r="215" spans="1:24">
      <c r="A215" s="115">
        <v>213</v>
      </c>
      <c r="B215" s="116">
        <v>8</v>
      </c>
      <c r="C215" s="81" t="s">
        <v>130</v>
      </c>
      <c r="D215" s="111" t="s">
        <v>240</v>
      </c>
      <c r="E215" s="81" t="s">
        <v>108</v>
      </c>
      <c r="F215" s="61">
        <v>7.8</v>
      </c>
      <c r="G215" s="52">
        <f t="shared" si="23"/>
        <v>8.77</v>
      </c>
      <c r="H215" s="110"/>
      <c r="I215" s="81">
        <v>9.91</v>
      </c>
      <c r="J215" s="81">
        <f>VLOOKUP(C215,Recipes!$A$2:$N$4,12,FALSE())</f>
        <v>5.0137397426368718E-2</v>
      </c>
      <c r="K215" s="81">
        <f t="shared" si="24"/>
        <v>9.6091756154417887</v>
      </c>
      <c r="L215" s="81">
        <f t="shared" si="27"/>
        <v>10.210824384558212</v>
      </c>
      <c r="M215" s="81" t="str">
        <f t="shared" si="25"/>
        <v>NG</v>
      </c>
      <c r="N215" s="117">
        <f t="shared" si="28"/>
        <v>1</v>
      </c>
      <c r="O215" s="81">
        <f t="shared" si="26"/>
        <v>1.1400000000000006</v>
      </c>
      <c r="P215" s="81">
        <f>IF(G215="","",ABS(O215-Components!$C$2))</f>
        <v>1.6133333333333293</v>
      </c>
      <c r="Q215" s="81">
        <f>IF(G215="","",ABS(O215-Components!$C$3))</f>
        <v>2.895999999999999</v>
      </c>
      <c r="R215" s="81">
        <f>IF(G215="","",ABS(O215-Components!$C$4))</f>
        <v>0.14666666666666761</v>
      </c>
      <c r="S215" s="81">
        <f>IF(G215="","",ABS(O215-Components!$C$5))</f>
        <v>3.4226666666666699</v>
      </c>
      <c r="T215" s="81">
        <f>IF(G215="","",ABS(O215-Components!$C$6))</f>
        <v>1.5666666666669382E-2</v>
      </c>
      <c r="U215" s="81">
        <f>IF(G215="","",ABS(O215-Components!$C$7))</f>
        <v>0.23433333333332951</v>
      </c>
      <c r="V215" s="81" t="str">
        <f>IF(G215="","",IF(M215="OK","NONE",INDEX({"S1","S2","W1","W2","N1","N2"},MATCH(MIN(P215:U215),P215:U215,0))))</f>
        <v>N1</v>
      </c>
      <c r="W215" s="117">
        <f t="shared" si="29"/>
        <v>1</v>
      </c>
      <c r="X215" s="119"/>
    </row>
    <row r="216" spans="1:24">
      <c r="A216" s="115">
        <v>214</v>
      </c>
      <c r="B216" s="116">
        <v>8</v>
      </c>
      <c r="C216" s="81" t="s">
        <v>130</v>
      </c>
      <c r="D216" s="111" t="s">
        <v>240</v>
      </c>
      <c r="E216" s="81" t="s">
        <v>108</v>
      </c>
      <c r="F216" s="61">
        <v>7.77</v>
      </c>
      <c r="G216" s="52">
        <f t="shared" si="23"/>
        <v>8.74</v>
      </c>
      <c r="H216" s="110"/>
      <c r="I216" s="81">
        <v>9.91</v>
      </c>
      <c r="J216" s="81">
        <f>VLOOKUP(C216,Recipes!$A$2:$N$4,12,FALSE())</f>
        <v>5.0137397426368718E-2</v>
      </c>
      <c r="K216" s="81">
        <f t="shared" si="24"/>
        <v>9.6091756154417887</v>
      </c>
      <c r="L216" s="81">
        <f t="shared" si="27"/>
        <v>10.210824384558212</v>
      </c>
      <c r="M216" s="81" t="str">
        <f t="shared" si="25"/>
        <v>NG</v>
      </c>
      <c r="N216" s="117">
        <f t="shared" si="28"/>
        <v>1</v>
      </c>
      <c r="O216" s="81">
        <f t="shared" si="26"/>
        <v>1.17</v>
      </c>
      <c r="P216" s="81">
        <f>IF(G216="","",ABS(O216-Components!$C$2))</f>
        <v>1.5833333333333299</v>
      </c>
      <c r="Q216" s="81">
        <f>IF(G216="","",ABS(O216-Components!$C$3))</f>
        <v>2.8659999999999997</v>
      </c>
      <c r="R216" s="81">
        <f>IF(G216="","",ABS(O216-Components!$C$4))</f>
        <v>0.17666666666666697</v>
      </c>
      <c r="S216" s="81">
        <f>IF(G216="","",ABS(O216-Components!$C$5))</f>
        <v>3.3926666666666705</v>
      </c>
      <c r="T216" s="81">
        <f>IF(G216="","",ABS(O216-Components!$C$6))</f>
        <v>1.4333333333329978E-2</v>
      </c>
      <c r="U216" s="81">
        <f>IF(G216="","",ABS(O216-Components!$C$7))</f>
        <v>0.20433333333333015</v>
      </c>
      <c r="V216" s="81" t="str">
        <f>IF(G216="","",IF(M216="OK","NONE",INDEX({"S1","S2","W1","W2","N1","N2"},MATCH(MIN(P216:U216),P216:U216,0))))</f>
        <v>N1</v>
      </c>
      <c r="W216" s="117">
        <f t="shared" si="29"/>
        <v>1</v>
      </c>
      <c r="X216" s="119"/>
    </row>
    <row r="217" spans="1:24">
      <c r="A217" s="115">
        <v>215</v>
      </c>
      <c r="B217" s="116">
        <v>8</v>
      </c>
      <c r="C217" s="61" t="s">
        <v>130</v>
      </c>
      <c r="D217" s="61" t="s">
        <v>240</v>
      </c>
      <c r="E217" s="61" t="s">
        <v>108</v>
      </c>
      <c r="F217" s="61">
        <v>7.78</v>
      </c>
      <c r="G217" s="52">
        <f t="shared" si="23"/>
        <v>8.75</v>
      </c>
      <c r="H217" s="110"/>
      <c r="I217" s="81">
        <v>9.91</v>
      </c>
      <c r="J217" s="81">
        <f>VLOOKUP(C217,Recipes!$A$2:$N$4,12,FALSE())</f>
        <v>5.0137397426368718E-2</v>
      </c>
      <c r="K217" s="81">
        <f t="shared" si="24"/>
        <v>9.6091756154417887</v>
      </c>
      <c r="L217" s="81">
        <f t="shared" si="27"/>
        <v>10.210824384558212</v>
      </c>
      <c r="M217" s="81" t="str">
        <f t="shared" si="25"/>
        <v>NG</v>
      </c>
      <c r="N217" s="117">
        <f t="shared" si="28"/>
        <v>1</v>
      </c>
      <c r="O217" s="81">
        <f t="shared" si="26"/>
        <v>1.1600000000000001</v>
      </c>
      <c r="P217" s="81">
        <f>IF(G217="","",ABS(O217-Components!$C$2))</f>
        <v>1.5933333333333297</v>
      </c>
      <c r="Q217" s="81">
        <f>IF(G217="","",ABS(O217-Components!$C$3))</f>
        <v>2.8759999999999994</v>
      </c>
      <c r="R217" s="81">
        <f>IF(G217="","",ABS(O217-Components!$C$4))</f>
        <v>0.16666666666666718</v>
      </c>
      <c r="S217" s="81">
        <f>IF(G217="","",ABS(O217-Components!$C$5))</f>
        <v>3.4026666666666703</v>
      </c>
      <c r="T217" s="81">
        <f>IF(G217="","",ABS(O217-Components!$C$6))</f>
        <v>4.3333333333301916E-3</v>
      </c>
      <c r="U217" s="81">
        <f>IF(G217="","",ABS(O217-Components!$C$7))</f>
        <v>0.21433333333332993</v>
      </c>
      <c r="V217" s="81" t="str">
        <f>IF(G217="","",IF(M217="OK","NONE",INDEX({"S1","S2","W1","W2","N1","N2"},MATCH(MIN(P217:U217),P217:U217,0))))</f>
        <v>N1</v>
      </c>
      <c r="W217" s="117">
        <f t="shared" si="29"/>
        <v>1</v>
      </c>
      <c r="X217" s="119"/>
    </row>
    <row r="218" spans="1:24">
      <c r="A218" s="115">
        <v>216</v>
      </c>
      <c r="B218" s="116">
        <v>8</v>
      </c>
      <c r="C218" s="81" t="s">
        <v>130</v>
      </c>
      <c r="D218" s="111" t="s">
        <v>240</v>
      </c>
      <c r="E218" s="81" t="s">
        <v>108</v>
      </c>
      <c r="F218" s="61">
        <v>7.82</v>
      </c>
      <c r="G218" s="52">
        <f t="shared" si="23"/>
        <v>8.7900000000000009</v>
      </c>
      <c r="H218" s="110"/>
      <c r="I218" s="81">
        <v>9.91</v>
      </c>
      <c r="J218" s="81">
        <f>VLOOKUP(C218,Recipes!$A$2:$N$4,12,FALSE())</f>
        <v>5.0137397426368718E-2</v>
      </c>
      <c r="K218" s="81">
        <f t="shared" si="24"/>
        <v>9.6091756154417887</v>
      </c>
      <c r="L218" s="81">
        <f t="shared" si="27"/>
        <v>10.210824384558212</v>
      </c>
      <c r="M218" s="81" t="str">
        <f t="shared" si="25"/>
        <v>NG</v>
      </c>
      <c r="N218" s="117">
        <f t="shared" si="28"/>
        <v>1</v>
      </c>
      <c r="O218" s="81">
        <f t="shared" si="26"/>
        <v>1.1199999999999992</v>
      </c>
      <c r="P218" s="81">
        <f>IF(G218="","",ABS(O218-Components!$C$2))</f>
        <v>1.6333333333333306</v>
      </c>
      <c r="Q218" s="81">
        <f>IF(G218="","",ABS(O218-Components!$C$3))</f>
        <v>2.9160000000000004</v>
      </c>
      <c r="R218" s="81">
        <f>IF(G218="","",ABS(O218-Components!$C$4))</f>
        <v>0.12666666666666626</v>
      </c>
      <c r="S218" s="81">
        <f>IF(G218="","",ABS(O218-Components!$C$5))</f>
        <v>3.4426666666666712</v>
      </c>
      <c r="T218" s="81">
        <f>IF(G218="","",ABS(O218-Components!$C$6))</f>
        <v>3.5666666666670732E-2</v>
      </c>
      <c r="U218" s="81">
        <f>IF(G218="","",ABS(O218-Components!$C$7))</f>
        <v>0.25433333333333086</v>
      </c>
      <c r="V218" s="81" t="str">
        <f>IF(G218="","",IF(M218="OK","NONE",INDEX({"S1","S2","W1","W2","N1","N2"},MATCH(MIN(P218:U218),P218:U218,0))))</f>
        <v>N1</v>
      </c>
      <c r="W218" s="117">
        <f t="shared" si="29"/>
        <v>1</v>
      </c>
      <c r="X218" s="119"/>
    </row>
    <row r="219" spans="1:24">
      <c r="A219" s="115">
        <v>217</v>
      </c>
      <c r="B219" s="116">
        <v>8</v>
      </c>
      <c r="C219" s="81" t="s">
        <v>130</v>
      </c>
      <c r="D219" s="111" t="s">
        <v>240</v>
      </c>
      <c r="E219" s="81" t="s">
        <v>108</v>
      </c>
      <c r="F219" s="61">
        <v>7.78</v>
      </c>
      <c r="G219" s="52">
        <f t="shared" si="23"/>
        <v>8.75</v>
      </c>
      <c r="H219" s="110"/>
      <c r="I219" s="81">
        <v>9.91</v>
      </c>
      <c r="J219" s="81">
        <f>VLOOKUP(C219,Recipes!$A$2:$N$4,12,FALSE())</f>
        <v>5.0137397426368718E-2</v>
      </c>
      <c r="K219" s="81">
        <f t="shared" si="24"/>
        <v>9.6091756154417887</v>
      </c>
      <c r="L219" s="81">
        <f t="shared" si="27"/>
        <v>10.210824384558212</v>
      </c>
      <c r="M219" s="81" t="str">
        <f t="shared" si="25"/>
        <v>NG</v>
      </c>
      <c r="N219" s="117">
        <f t="shared" si="28"/>
        <v>1</v>
      </c>
      <c r="O219" s="81">
        <f t="shared" si="26"/>
        <v>1.1600000000000001</v>
      </c>
      <c r="P219" s="81">
        <f>IF(G219="","",ABS(O219-Components!$C$2))</f>
        <v>1.5933333333333297</v>
      </c>
      <c r="Q219" s="81">
        <f>IF(G219="","",ABS(O219-Components!$C$3))</f>
        <v>2.8759999999999994</v>
      </c>
      <c r="R219" s="81">
        <f>IF(G219="","",ABS(O219-Components!$C$4))</f>
        <v>0.16666666666666718</v>
      </c>
      <c r="S219" s="81">
        <f>IF(G219="","",ABS(O219-Components!$C$5))</f>
        <v>3.4026666666666703</v>
      </c>
      <c r="T219" s="81">
        <f>IF(G219="","",ABS(O219-Components!$C$6))</f>
        <v>4.3333333333301916E-3</v>
      </c>
      <c r="U219" s="81">
        <f>IF(G219="","",ABS(O219-Components!$C$7))</f>
        <v>0.21433333333332993</v>
      </c>
      <c r="V219" s="81" t="str">
        <f>IF(G219="","",IF(M219="OK","NONE",INDEX({"S1","S2","W1","W2","N1","N2"},MATCH(MIN(P219:U219),P219:U219,0))))</f>
        <v>N1</v>
      </c>
      <c r="W219" s="117">
        <f t="shared" si="29"/>
        <v>1</v>
      </c>
      <c r="X219" s="119"/>
    </row>
    <row r="220" spans="1:24">
      <c r="A220" s="115">
        <v>218</v>
      </c>
      <c r="B220" s="116">
        <v>8</v>
      </c>
      <c r="C220" s="81" t="s">
        <v>130</v>
      </c>
      <c r="D220" s="111" t="s">
        <v>240</v>
      </c>
      <c r="E220" s="81" t="s">
        <v>108</v>
      </c>
      <c r="F220" s="61">
        <v>7.52</v>
      </c>
      <c r="G220" s="52">
        <f t="shared" si="23"/>
        <v>8.49</v>
      </c>
      <c r="H220" s="110"/>
      <c r="I220" s="81">
        <v>9.91</v>
      </c>
      <c r="J220" s="81">
        <f>VLOOKUP(C220,Recipes!$A$2:$N$4,12,FALSE())</f>
        <v>5.0137397426368718E-2</v>
      </c>
      <c r="K220" s="81">
        <f t="shared" si="24"/>
        <v>9.6091756154417887</v>
      </c>
      <c r="L220" s="81">
        <f t="shared" si="27"/>
        <v>10.210824384558212</v>
      </c>
      <c r="M220" s="81" t="str">
        <f t="shared" si="25"/>
        <v>NG</v>
      </c>
      <c r="N220" s="117">
        <f t="shared" si="28"/>
        <v>1</v>
      </c>
      <c r="O220" s="81">
        <f t="shared" si="26"/>
        <v>1.42</v>
      </c>
      <c r="P220" s="81">
        <f>IF(G220="","",ABS(O220-Components!$C$2))</f>
        <v>1.3333333333333299</v>
      </c>
      <c r="Q220" s="81">
        <f>IF(G220="","",ABS(O220-Components!$C$3))</f>
        <v>2.6159999999999997</v>
      </c>
      <c r="R220" s="81">
        <f>IF(G220="","",ABS(O220-Components!$C$4))</f>
        <v>0.42666666666666697</v>
      </c>
      <c r="S220" s="81">
        <f>IF(G220="","",ABS(O220-Components!$C$5))</f>
        <v>3.1426666666666705</v>
      </c>
      <c r="T220" s="81">
        <f>IF(G220="","",ABS(O220-Components!$C$6))</f>
        <v>0.26433333333332998</v>
      </c>
      <c r="U220" s="81">
        <f>IF(G220="","",ABS(O220-Components!$C$7))</f>
        <v>4.5666666666669853E-2</v>
      </c>
      <c r="V220" s="81" t="str">
        <f>IF(G220="","",IF(M220="OK","NONE",INDEX({"S1","S2","W1","W2","N1","N2"},MATCH(MIN(P220:U220),P220:U220,0))))</f>
        <v>N2</v>
      </c>
      <c r="W220" s="118">
        <f t="shared" si="29"/>
        <v>0</v>
      </c>
      <c r="X220" s="119"/>
    </row>
    <row r="221" spans="1:24">
      <c r="A221" s="115">
        <v>219</v>
      </c>
      <c r="B221" s="116">
        <v>8</v>
      </c>
      <c r="C221" s="81" t="s">
        <v>130</v>
      </c>
      <c r="D221" s="111" t="s">
        <v>240</v>
      </c>
      <c r="E221" s="81" t="s">
        <v>108</v>
      </c>
      <c r="F221" s="61">
        <v>7.75</v>
      </c>
      <c r="G221" s="52">
        <f t="shared" si="23"/>
        <v>8.7200000000000006</v>
      </c>
      <c r="H221" s="110"/>
      <c r="I221" s="81">
        <v>9.91</v>
      </c>
      <c r="J221" s="81">
        <f>VLOOKUP(C221,Recipes!$A$2:$N$4,12,FALSE())</f>
        <v>5.0137397426368718E-2</v>
      </c>
      <c r="K221" s="81">
        <f t="shared" si="24"/>
        <v>9.6091756154417887</v>
      </c>
      <c r="L221" s="81">
        <f t="shared" si="27"/>
        <v>10.210824384558212</v>
      </c>
      <c r="M221" s="81" t="str">
        <f t="shared" si="25"/>
        <v>NG</v>
      </c>
      <c r="N221" s="117">
        <f t="shared" si="28"/>
        <v>1</v>
      </c>
      <c r="O221" s="81">
        <f t="shared" si="26"/>
        <v>1.1899999999999995</v>
      </c>
      <c r="P221" s="81">
        <f>IF(G221="","",ABS(O221-Components!$C$2))</f>
        <v>1.5633333333333304</v>
      </c>
      <c r="Q221" s="81">
        <f>IF(G221="","",ABS(O221-Components!$C$3))</f>
        <v>2.8460000000000001</v>
      </c>
      <c r="R221" s="81">
        <f>IF(G221="","",ABS(O221-Components!$C$4))</f>
        <v>0.19666666666666655</v>
      </c>
      <c r="S221" s="81">
        <f>IF(G221="","",ABS(O221-Components!$C$5))</f>
        <v>3.3726666666666709</v>
      </c>
      <c r="T221" s="81">
        <f>IF(G221="","",ABS(O221-Components!$C$6))</f>
        <v>3.4333333333329552E-2</v>
      </c>
      <c r="U221" s="81">
        <f>IF(G221="","",ABS(O221-Components!$C$7))</f>
        <v>0.18433333333333057</v>
      </c>
      <c r="V221" s="81" t="str">
        <f>IF(G221="","",IF(M221="OK","NONE",INDEX({"S1","S2","W1","W2","N1","N2"},MATCH(MIN(P221:U221),P221:U221,0))))</f>
        <v>N1</v>
      </c>
      <c r="W221" s="117">
        <f t="shared" si="29"/>
        <v>1</v>
      </c>
      <c r="X221" s="119"/>
    </row>
    <row r="222" spans="1:24">
      <c r="A222" s="115">
        <v>220</v>
      </c>
      <c r="B222" s="116">
        <v>8</v>
      </c>
      <c r="C222" s="61" t="s">
        <v>130</v>
      </c>
      <c r="D222" s="61" t="s">
        <v>240</v>
      </c>
      <c r="E222" s="61" t="s">
        <v>108</v>
      </c>
      <c r="F222" s="61">
        <v>7.76</v>
      </c>
      <c r="G222" s="52">
        <f t="shared" si="23"/>
        <v>8.73</v>
      </c>
      <c r="H222" s="110"/>
      <c r="I222" s="81">
        <v>9.91</v>
      </c>
      <c r="J222" s="81">
        <f>VLOOKUP(C222,Recipes!$A$2:$N$4,12,FALSE())</f>
        <v>5.0137397426368718E-2</v>
      </c>
      <c r="K222" s="81">
        <f t="shared" si="24"/>
        <v>9.6091756154417887</v>
      </c>
      <c r="L222" s="81">
        <f t="shared" si="27"/>
        <v>10.210824384558212</v>
      </c>
      <c r="M222" s="81" t="str">
        <f t="shared" si="25"/>
        <v>NG</v>
      </c>
      <c r="N222" s="117">
        <f t="shared" si="28"/>
        <v>1</v>
      </c>
      <c r="O222" s="81">
        <f t="shared" si="26"/>
        <v>1.1799999999999997</v>
      </c>
      <c r="P222" s="81">
        <f>IF(G222="","",ABS(O222-Components!$C$2))</f>
        <v>1.5733333333333301</v>
      </c>
      <c r="Q222" s="81">
        <f>IF(G222="","",ABS(O222-Components!$C$3))</f>
        <v>2.8559999999999999</v>
      </c>
      <c r="R222" s="81">
        <f>IF(G222="","",ABS(O222-Components!$C$4))</f>
        <v>0.18666666666666676</v>
      </c>
      <c r="S222" s="81">
        <f>IF(G222="","",ABS(O222-Components!$C$5))</f>
        <v>3.3826666666666707</v>
      </c>
      <c r="T222" s="81">
        <f>IF(G222="","",ABS(O222-Components!$C$6))</f>
        <v>2.4333333333329765E-2</v>
      </c>
      <c r="U222" s="81">
        <f>IF(G222="","",ABS(O222-Components!$C$7))</f>
        <v>0.19433333333333036</v>
      </c>
      <c r="V222" s="81" t="str">
        <f>IF(G222="","",IF(M222="OK","NONE",INDEX({"S1","S2","W1","W2","N1","N2"},MATCH(MIN(P222:U222),P222:U222,0))))</f>
        <v>N1</v>
      </c>
      <c r="W222" s="117">
        <f t="shared" si="29"/>
        <v>1</v>
      </c>
      <c r="X222" s="119"/>
    </row>
    <row r="223" spans="1:24">
      <c r="A223" s="115">
        <v>221</v>
      </c>
      <c r="B223" s="116">
        <v>8</v>
      </c>
      <c r="C223" s="81" t="s">
        <v>130</v>
      </c>
      <c r="D223" s="111" t="s">
        <v>240</v>
      </c>
      <c r="E223" s="81" t="s">
        <v>108</v>
      </c>
      <c r="F223" s="61">
        <v>7.78</v>
      </c>
      <c r="G223" s="52">
        <f t="shared" si="23"/>
        <v>8.75</v>
      </c>
      <c r="H223" s="110"/>
      <c r="I223" s="81">
        <v>9.91</v>
      </c>
      <c r="J223" s="81">
        <f>VLOOKUP(C223,Recipes!$A$2:$N$4,12,FALSE())</f>
        <v>5.0137397426368718E-2</v>
      </c>
      <c r="K223" s="81">
        <f t="shared" si="24"/>
        <v>9.6091756154417887</v>
      </c>
      <c r="L223" s="81">
        <f t="shared" si="27"/>
        <v>10.210824384558212</v>
      </c>
      <c r="M223" s="81" t="str">
        <f t="shared" si="25"/>
        <v>NG</v>
      </c>
      <c r="N223" s="117">
        <f t="shared" si="28"/>
        <v>1</v>
      </c>
      <c r="O223" s="81">
        <f t="shared" si="26"/>
        <v>1.1600000000000001</v>
      </c>
      <c r="P223" s="81">
        <f>IF(G223="","",ABS(O223-Components!$C$2))</f>
        <v>1.5933333333333297</v>
      </c>
      <c r="Q223" s="81">
        <f>IF(G223="","",ABS(O223-Components!$C$3))</f>
        <v>2.8759999999999994</v>
      </c>
      <c r="R223" s="81">
        <f>IF(G223="","",ABS(O223-Components!$C$4))</f>
        <v>0.16666666666666718</v>
      </c>
      <c r="S223" s="81">
        <f>IF(G223="","",ABS(O223-Components!$C$5))</f>
        <v>3.4026666666666703</v>
      </c>
      <c r="T223" s="81">
        <f>IF(G223="","",ABS(O223-Components!$C$6))</f>
        <v>4.3333333333301916E-3</v>
      </c>
      <c r="U223" s="81">
        <f>IF(G223="","",ABS(O223-Components!$C$7))</f>
        <v>0.21433333333332993</v>
      </c>
      <c r="V223" s="81" t="str">
        <f>IF(G223="","",IF(M223="OK","NONE",INDEX({"S1","S2","W1","W2","N1","N2"},MATCH(MIN(P223:U223),P223:U223,0))))</f>
        <v>N1</v>
      </c>
      <c r="W223" s="117">
        <f t="shared" si="29"/>
        <v>1</v>
      </c>
      <c r="X223" s="119"/>
    </row>
    <row r="224" spans="1:24">
      <c r="A224" s="115">
        <v>222</v>
      </c>
      <c r="B224" s="116">
        <v>8</v>
      </c>
      <c r="C224" s="81" t="s">
        <v>130</v>
      </c>
      <c r="D224" s="111" t="s">
        <v>240</v>
      </c>
      <c r="E224" s="81" t="s">
        <v>108</v>
      </c>
      <c r="F224" s="61">
        <v>7.82</v>
      </c>
      <c r="G224" s="52">
        <f t="shared" si="23"/>
        <v>8.7900000000000009</v>
      </c>
      <c r="H224" s="110"/>
      <c r="I224" s="81">
        <v>9.91</v>
      </c>
      <c r="J224" s="81">
        <f>VLOOKUP(C224,Recipes!$A$2:$N$4,12,FALSE())</f>
        <v>5.0137397426368718E-2</v>
      </c>
      <c r="K224" s="81">
        <f t="shared" si="24"/>
        <v>9.6091756154417887</v>
      </c>
      <c r="L224" s="81">
        <f t="shared" si="27"/>
        <v>10.210824384558212</v>
      </c>
      <c r="M224" s="81" t="str">
        <f t="shared" si="25"/>
        <v>NG</v>
      </c>
      <c r="N224" s="117">
        <f t="shared" si="28"/>
        <v>1</v>
      </c>
      <c r="O224" s="81">
        <f t="shared" si="26"/>
        <v>1.1199999999999992</v>
      </c>
      <c r="P224" s="81">
        <f>IF(G224="","",ABS(O224-Components!$C$2))</f>
        <v>1.6333333333333306</v>
      </c>
      <c r="Q224" s="81">
        <f>IF(G224="","",ABS(O224-Components!$C$3))</f>
        <v>2.9160000000000004</v>
      </c>
      <c r="R224" s="81">
        <f>IF(G224="","",ABS(O224-Components!$C$4))</f>
        <v>0.12666666666666626</v>
      </c>
      <c r="S224" s="81">
        <f>IF(G224="","",ABS(O224-Components!$C$5))</f>
        <v>3.4426666666666712</v>
      </c>
      <c r="T224" s="81">
        <f>IF(G224="","",ABS(O224-Components!$C$6))</f>
        <v>3.5666666666670732E-2</v>
      </c>
      <c r="U224" s="81">
        <f>IF(G224="","",ABS(O224-Components!$C$7))</f>
        <v>0.25433333333333086</v>
      </c>
      <c r="V224" s="81" t="str">
        <f>IF(G224="","",IF(M224="OK","NONE",INDEX({"S1","S2","W1","W2","N1","N2"},MATCH(MIN(P224:U224),P224:U224,0))))</f>
        <v>N1</v>
      </c>
      <c r="W224" s="117">
        <f t="shared" si="29"/>
        <v>1</v>
      </c>
      <c r="X224" s="119"/>
    </row>
    <row r="225" spans="1:24">
      <c r="A225" s="115">
        <v>223</v>
      </c>
      <c r="B225" s="116">
        <v>8</v>
      </c>
      <c r="C225" s="81" t="s">
        <v>130</v>
      </c>
      <c r="D225" s="111" t="s">
        <v>240</v>
      </c>
      <c r="E225" s="81" t="s">
        <v>108</v>
      </c>
      <c r="F225" s="61">
        <v>7.8</v>
      </c>
      <c r="G225" s="52">
        <f t="shared" si="23"/>
        <v>8.77</v>
      </c>
      <c r="H225" s="110"/>
      <c r="I225" s="81">
        <v>9.91</v>
      </c>
      <c r="J225" s="81">
        <f>VLOOKUP(C225,Recipes!$A$2:$N$4,12,FALSE())</f>
        <v>5.0137397426368718E-2</v>
      </c>
      <c r="K225" s="81">
        <f t="shared" si="24"/>
        <v>9.6091756154417887</v>
      </c>
      <c r="L225" s="81">
        <f t="shared" si="27"/>
        <v>10.210824384558212</v>
      </c>
      <c r="M225" s="81" t="str">
        <f t="shared" si="25"/>
        <v>NG</v>
      </c>
      <c r="N225" s="117">
        <f t="shared" si="28"/>
        <v>1</v>
      </c>
      <c r="O225" s="81">
        <f t="shared" si="26"/>
        <v>1.1400000000000006</v>
      </c>
      <c r="P225" s="81">
        <f>IF(G225="","",ABS(O225-Components!$C$2))</f>
        <v>1.6133333333333293</v>
      </c>
      <c r="Q225" s="81">
        <f>IF(G225="","",ABS(O225-Components!$C$3))</f>
        <v>2.895999999999999</v>
      </c>
      <c r="R225" s="81">
        <f>IF(G225="","",ABS(O225-Components!$C$4))</f>
        <v>0.14666666666666761</v>
      </c>
      <c r="S225" s="81">
        <f>IF(G225="","",ABS(O225-Components!$C$5))</f>
        <v>3.4226666666666699</v>
      </c>
      <c r="T225" s="81">
        <f>IF(G225="","",ABS(O225-Components!$C$6))</f>
        <v>1.5666666666669382E-2</v>
      </c>
      <c r="U225" s="81">
        <f>IF(G225="","",ABS(O225-Components!$C$7))</f>
        <v>0.23433333333332951</v>
      </c>
      <c r="V225" s="81" t="str">
        <f>IF(G225="","",IF(M225="OK","NONE",INDEX({"S1","S2","W1","W2","N1","N2"},MATCH(MIN(P225:U225),P225:U225,0))))</f>
        <v>N1</v>
      </c>
      <c r="W225" s="117">
        <f t="shared" si="29"/>
        <v>1</v>
      </c>
      <c r="X225" s="119"/>
    </row>
    <row r="226" spans="1:24">
      <c r="A226" s="115">
        <v>224</v>
      </c>
      <c r="B226" s="116">
        <v>8</v>
      </c>
      <c r="C226" s="81" t="s">
        <v>130</v>
      </c>
      <c r="D226" s="111" t="s">
        <v>240</v>
      </c>
      <c r="E226" s="81" t="s">
        <v>108</v>
      </c>
      <c r="F226" s="61">
        <v>7.75</v>
      </c>
      <c r="G226" s="52">
        <f t="shared" si="23"/>
        <v>8.7200000000000006</v>
      </c>
      <c r="H226" s="110"/>
      <c r="I226" s="81">
        <v>9.91</v>
      </c>
      <c r="J226" s="81">
        <f>VLOOKUP(C226,Recipes!$A$2:$N$4,12,FALSE())</f>
        <v>5.0137397426368718E-2</v>
      </c>
      <c r="K226" s="81">
        <f t="shared" si="24"/>
        <v>9.6091756154417887</v>
      </c>
      <c r="L226" s="81">
        <f t="shared" si="27"/>
        <v>10.210824384558212</v>
      </c>
      <c r="M226" s="81" t="str">
        <f t="shared" si="25"/>
        <v>NG</v>
      </c>
      <c r="N226" s="117">
        <f t="shared" si="28"/>
        <v>1</v>
      </c>
      <c r="O226" s="81">
        <f t="shared" si="26"/>
        <v>1.1899999999999995</v>
      </c>
      <c r="P226" s="81">
        <f>IF(G226="","",ABS(O226-Components!$C$2))</f>
        <v>1.5633333333333304</v>
      </c>
      <c r="Q226" s="81">
        <f>IF(G226="","",ABS(O226-Components!$C$3))</f>
        <v>2.8460000000000001</v>
      </c>
      <c r="R226" s="81">
        <f>IF(G226="","",ABS(O226-Components!$C$4))</f>
        <v>0.19666666666666655</v>
      </c>
      <c r="S226" s="81">
        <f>IF(G226="","",ABS(O226-Components!$C$5))</f>
        <v>3.3726666666666709</v>
      </c>
      <c r="T226" s="81">
        <f>IF(G226="","",ABS(O226-Components!$C$6))</f>
        <v>3.4333333333329552E-2</v>
      </c>
      <c r="U226" s="81">
        <f>IF(G226="","",ABS(O226-Components!$C$7))</f>
        <v>0.18433333333333057</v>
      </c>
      <c r="V226" s="81" t="str">
        <f>IF(G226="","",IF(M226="OK","NONE",INDEX({"S1","S2","W1","W2","N1","N2"},MATCH(MIN(P226:U226),P226:U226,0))))</f>
        <v>N1</v>
      </c>
      <c r="W226" s="117">
        <f t="shared" si="29"/>
        <v>1</v>
      </c>
      <c r="X226" s="119"/>
    </row>
    <row r="227" spans="1:24">
      <c r="A227" s="115">
        <v>225</v>
      </c>
      <c r="B227" s="116">
        <v>8</v>
      </c>
      <c r="C227" s="61" t="s">
        <v>130</v>
      </c>
      <c r="D227" s="61" t="s">
        <v>240</v>
      </c>
      <c r="E227" s="61" t="s">
        <v>108</v>
      </c>
      <c r="F227" s="61">
        <v>7.72</v>
      </c>
      <c r="G227" s="52">
        <f t="shared" si="23"/>
        <v>8.69</v>
      </c>
      <c r="H227" s="110"/>
      <c r="I227" s="81">
        <v>9.91</v>
      </c>
      <c r="J227" s="81">
        <f>VLOOKUP(C227,Recipes!$A$2:$N$4,12,FALSE())</f>
        <v>5.0137397426368718E-2</v>
      </c>
      <c r="K227" s="81">
        <f t="shared" si="24"/>
        <v>9.6091756154417887</v>
      </c>
      <c r="L227" s="81">
        <f t="shared" si="27"/>
        <v>10.210824384558212</v>
      </c>
      <c r="M227" s="81" t="str">
        <f t="shared" si="25"/>
        <v>NG</v>
      </c>
      <c r="N227" s="117">
        <f t="shared" si="28"/>
        <v>1</v>
      </c>
      <c r="O227" s="81">
        <f t="shared" si="26"/>
        <v>1.2200000000000006</v>
      </c>
      <c r="P227" s="81">
        <f>IF(G227="","",ABS(O227-Components!$C$2))</f>
        <v>1.5333333333333292</v>
      </c>
      <c r="Q227" s="81">
        <f>IF(G227="","",ABS(O227-Components!$C$3))</f>
        <v>2.8159999999999989</v>
      </c>
      <c r="R227" s="81">
        <f>IF(G227="","",ABS(O227-Components!$C$4))</f>
        <v>0.22666666666666768</v>
      </c>
      <c r="S227" s="81">
        <f>IF(G227="","",ABS(O227-Components!$C$5))</f>
        <v>3.3426666666666698</v>
      </c>
      <c r="T227" s="81">
        <f>IF(G227="","",ABS(O227-Components!$C$6))</f>
        <v>6.4333333333330689E-2</v>
      </c>
      <c r="U227" s="81">
        <f>IF(G227="","",ABS(O227-Components!$C$7))</f>
        <v>0.15433333333332944</v>
      </c>
      <c r="V227" s="81" t="str">
        <f>IF(G227="","",IF(M227="OK","NONE",INDEX({"S1","S2","W1","W2","N1","N2"},MATCH(MIN(P227:U227),P227:U227,0))))</f>
        <v>N1</v>
      </c>
      <c r="W227" s="117">
        <f t="shared" si="29"/>
        <v>1</v>
      </c>
      <c r="X227" s="119"/>
    </row>
    <row r="228" spans="1:24">
      <c r="A228" s="115">
        <v>226</v>
      </c>
      <c r="B228" s="116">
        <v>8</v>
      </c>
      <c r="C228" s="81" t="s">
        <v>130</v>
      </c>
      <c r="D228" s="111" t="s">
        <v>240</v>
      </c>
      <c r="E228" s="81" t="s">
        <v>108</v>
      </c>
      <c r="F228" s="61">
        <v>7.78</v>
      </c>
      <c r="G228" s="52">
        <f t="shared" si="23"/>
        <v>8.75</v>
      </c>
      <c r="H228" s="110"/>
      <c r="I228" s="81">
        <v>9.91</v>
      </c>
      <c r="J228" s="81">
        <f>VLOOKUP(C228,Recipes!$A$2:$N$4,12,FALSE())</f>
        <v>5.0137397426368718E-2</v>
      </c>
      <c r="K228" s="81">
        <f t="shared" si="24"/>
        <v>9.6091756154417887</v>
      </c>
      <c r="L228" s="81">
        <f t="shared" si="27"/>
        <v>10.210824384558212</v>
      </c>
      <c r="M228" s="81" t="str">
        <f t="shared" si="25"/>
        <v>NG</v>
      </c>
      <c r="N228" s="117">
        <f t="shared" si="28"/>
        <v>1</v>
      </c>
      <c r="O228" s="81">
        <f t="shared" si="26"/>
        <v>1.1600000000000001</v>
      </c>
      <c r="P228" s="81">
        <f>IF(G228="","",ABS(O228-Components!$C$2))</f>
        <v>1.5933333333333297</v>
      </c>
      <c r="Q228" s="81">
        <f>IF(G228="","",ABS(O228-Components!$C$3))</f>
        <v>2.8759999999999994</v>
      </c>
      <c r="R228" s="81">
        <f>IF(G228="","",ABS(O228-Components!$C$4))</f>
        <v>0.16666666666666718</v>
      </c>
      <c r="S228" s="81">
        <f>IF(G228="","",ABS(O228-Components!$C$5))</f>
        <v>3.4026666666666703</v>
      </c>
      <c r="T228" s="81">
        <f>IF(G228="","",ABS(O228-Components!$C$6))</f>
        <v>4.3333333333301916E-3</v>
      </c>
      <c r="U228" s="81">
        <f>IF(G228="","",ABS(O228-Components!$C$7))</f>
        <v>0.21433333333332993</v>
      </c>
      <c r="V228" s="81" t="str">
        <f>IF(G228="","",IF(M228="OK","NONE",INDEX({"S1","S2","W1","W2","N1","N2"},MATCH(MIN(P228:U228),P228:U228,0))))</f>
        <v>N1</v>
      </c>
      <c r="W228" s="117">
        <f t="shared" si="29"/>
        <v>1</v>
      </c>
      <c r="X228" s="119"/>
    </row>
    <row r="229" spans="1:24">
      <c r="A229" s="115">
        <v>227</v>
      </c>
      <c r="B229" s="116">
        <v>8</v>
      </c>
      <c r="C229" s="81" t="s">
        <v>130</v>
      </c>
      <c r="D229" s="111" t="s">
        <v>240</v>
      </c>
      <c r="E229" s="81" t="s">
        <v>108</v>
      </c>
      <c r="F229" s="61">
        <v>7.75</v>
      </c>
      <c r="G229" s="52">
        <f t="shared" si="23"/>
        <v>8.7200000000000006</v>
      </c>
      <c r="H229" s="110"/>
      <c r="I229" s="81">
        <v>9.91</v>
      </c>
      <c r="J229" s="81">
        <f>VLOOKUP(C229,Recipes!$A$2:$N$4,12,FALSE())</f>
        <v>5.0137397426368718E-2</v>
      </c>
      <c r="K229" s="81">
        <f t="shared" si="24"/>
        <v>9.6091756154417887</v>
      </c>
      <c r="L229" s="81">
        <f t="shared" si="27"/>
        <v>10.210824384558212</v>
      </c>
      <c r="M229" s="81" t="str">
        <f t="shared" si="25"/>
        <v>NG</v>
      </c>
      <c r="N229" s="117">
        <f t="shared" si="28"/>
        <v>1</v>
      </c>
      <c r="O229" s="81">
        <f t="shared" si="26"/>
        <v>1.1899999999999995</v>
      </c>
      <c r="P229" s="81">
        <f>IF(G229="","",ABS(O229-Components!$C$2))</f>
        <v>1.5633333333333304</v>
      </c>
      <c r="Q229" s="81">
        <f>IF(G229="","",ABS(O229-Components!$C$3))</f>
        <v>2.8460000000000001</v>
      </c>
      <c r="R229" s="81">
        <f>IF(G229="","",ABS(O229-Components!$C$4))</f>
        <v>0.19666666666666655</v>
      </c>
      <c r="S229" s="81">
        <f>IF(G229="","",ABS(O229-Components!$C$5))</f>
        <v>3.3726666666666709</v>
      </c>
      <c r="T229" s="81">
        <f>IF(G229="","",ABS(O229-Components!$C$6))</f>
        <v>3.4333333333329552E-2</v>
      </c>
      <c r="U229" s="81">
        <f>IF(G229="","",ABS(O229-Components!$C$7))</f>
        <v>0.18433333333333057</v>
      </c>
      <c r="V229" s="81" t="str">
        <f>IF(G229="","",IF(M229="OK","NONE",INDEX({"S1","S2","W1","W2","N1","N2"},MATCH(MIN(P229:U229),P229:U229,0))))</f>
        <v>N1</v>
      </c>
      <c r="W229" s="117">
        <f t="shared" si="29"/>
        <v>1</v>
      </c>
      <c r="X229" s="119"/>
    </row>
    <row r="230" spans="1:24">
      <c r="A230" s="115">
        <v>228</v>
      </c>
      <c r="B230" s="116">
        <v>8</v>
      </c>
      <c r="C230" s="81" t="s">
        <v>130</v>
      </c>
      <c r="D230" s="111" t="s">
        <v>240</v>
      </c>
      <c r="E230" s="81" t="s">
        <v>108</v>
      </c>
      <c r="F230" s="61">
        <v>7.77</v>
      </c>
      <c r="G230" s="52">
        <f t="shared" si="23"/>
        <v>8.74</v>
      </c>
      <c r="H230" s="110"/>
      <c r="I230" s="81">
        <v>9.91</v>
      </c>
      <c r="J230" s="81">
        <f>VLOOKUP(C230,Recipes!$A$2:$N$4,12,FALSE())</f>
        <v>5.0137397426368718E-2</v>
      </c>
      <c r="K230" s="81">
        <f t="shared" si="24"/>
        <v>9.6091756154417887</v>
      </c>
      <c r="L230" s="81">
        <f t="shared" si="27"/>
        <v>10.210824384558212</v>
      </c>
      <c r="M230" s="81" t="str">
        <f t="shared" si="25"/>
        <v>NG</v>
      </c>
      <c r="N230" s="117">
        <f t="shared" si="28"/>
        <v>1</v>
      </c>
      <c r="O230" s="81">
        <f t="shared" si="26"/>
        <v>1.17</v>
      </c>
      <c r="P230" s="81">
        <f>IF(G230="","",ABS(O230-Components!$C$2))</f>
        <v>1.5833333333333299</v>
      </c>
      <c r="Q230" s="81">
        <f>IF(G230="","",ABS(O230-Components!$C$3))</f>
        <v>2.8659999999999997</v>
      </c>
      <c r="R230" s="81">
        <f>IF(G230="","",ABS(O230-Components!$C$4))</f>
        <v>0.17666666666666697</v>
      </c>
      <c r="S230" s="81">
        <f>IF(G230="","",ABS(O230-Components!$C$5))</f>
        <v>3.3926666666666705</v>
      </c>
      <c r="T230" s="81">
        <f>IF(G230="","",ABS(O230-Components!$C$6))</f>
        <v>1.4333333333329978E-2</v>
      </c>
      <c r="U230" s="81">
        <f>IF(G230="","",ABS(O230-Components!$C$7))</f>
        <v>0.20433333333333015</v>
      </c>
      <c r="V230" s="81" t="str">
        <f>IF(G230="","",IF(M230="OK","NONE",INDEX({"S1","S2","W1","W2","N1","N2"},MATCH(MIN(P230:U230),P230:U230,0))))</f>
        <v>N1</v>
      </c>
      <c r="W230" s="117">
        <f t="shared" si="29"/>
        <v>1</v>
      </c>
      <c r="X230" s="119"/>
    </row>
    <row r="231" spans="1:24">
      <c r="A231" s="115">
        <v>229</v>
      </c>
      <c r="B231" s="116">
        <v>8</v>
      </c>
      <c r="C231" s="81" t="s">
        <v>130</v>
      </c>
      <c r="D231" s="111" t="s">
        <v>240</v>
      </c>
      <c r="E231" s="81" t="s">
        <v>108</v>
      </c>
      <c r="F231" s="61">
        <v>7.69</v>
      </c>
      <c r="G231" s="52">
        <f t="shared" si="23"/>
        <v>8.66</v>
      </c>
      <c r="H231" s="110"/>
      <c r="I231" s="81">
        <v>9.91</v>
      </c>
      <c r="J231" s="81">
        <f>VLOOKUP(C231,Recipes!$A$2:$N$4,12,FALSE())</f>
        <v>5.0137397426368718E-2</v>
      </c>
      <c r="K231" s="81">
        <f t="shared" si="24"/>
        <v>9.6091756154417887</v>
      </c>
      <c r="L231" s="81">
        <f t="shared" si="27"/>
        <v>10.210824384558212</v>
      </c>
      <c r="M231" s="81" t="str">
        <f t="shared" si="25"/>
        <v>NG</v>
      </c>
      <c r="N231" s="117">
        <f t="shared" si="28"/>
        <v>1</v>
      </c>
      <c r="O231" s="81">
        <f t="shared" si="26"/>
        <v>1.25</v>
      </c>
      <c r="P231" s="81">
        <f>IF(G231="","",ABS(O231-Components!$C$2))</f>
        <v>1.5033333333333299</v>
      </c>
      <c r="Q231" s="81">
        <f>IF(G231="","",ABS(O231-Components!$C$3))</f>
        <v>2.7859999999999996</v>
      </c>
      <c r="R231" s="81">
        <f>IF(G231="","",ABS(O231-Components!$C$4))</f>
        <v>0.25666666666666704</v>
      </c>
      <c r="S231" s="81">
        <f>IF(G231="","",ABS(O231-Components!$C$5))</f>
        <v>3.3126666666666704</v>
      </c>
      <c r="T231" s="81">
        <f>IF(G231="","",ABS(O231-Components!$C$6))</f>
        <v>9.4333333333330049E-2</v>
      </c>
      <c r="U231" s="81">
        <f>IF(G231="","",ABS(O231-Components!$C$7))</f>
        <v>0.12433333333333008</v>
      </c>
      <c r="V231" s="81" t="str">
        <f>IF(G231="","",IF(M231="OK","NONE",INDEX({"S1","S2","W1","W2","N1","N2"},MATCH(MIN(P231:U231),P231:U231,0))))</f>
        <v>N1</v>
      </c>
      <c r="W231" s="117">
        <f t="shared" si="29"/>
        <v>1</v>
      </c>
      <c r="X231" s="119"/>
    </row>
    <row r="232" spans="1:24">
      <c r="A232" s="115">
        <v>230</v>
      </c>
      <c r="B232" s="116">
        <v>8</v>
      </c>
      <c r="C232" s="61" t="s">
        <v>130</v>
      </c>
      <c r="D232" s="61" t="s">
        <v>240</v>
      </c>
      <c r="E232" s="61" t="s">
        <v>108</v>
      </c>
      <c r="F232" s="61">
        <v>7.77</v>
      </c>
      <c r="G232" s="52">
        <f t="shared" si="23"/>
        <v>8.74</v>
      </c>
      <c r="H232" s="110"/>
      <c r="I232" s="81">
        <v>9.91</v>
      </c>
      <c r="J232" s="81">
        <f>VLOOKUP(C232,Recipes!$A$2:$N$4,12,FALSE())</f>
        <v>5.0137397426368718E-2</v>
      </c>
      <c r="K232" s="81">
        <f t="shared" si="24"/>
        <v>9.6091756154417887</v>
      </c>
      <c r="L232" s="81">
        <f t="shared" si="27"/>
        <v>10.210824384558212</v>
      </c>
      <c r="M232" s="81" t="str">
        <f t="shared" si="25"/>
        <v>NG</v>
      </c>
      <c r="N232" s="117">
        <f t="shared" si="28"/>
        <v>1</v>
      </c>
      <c r="O232" s="81">
        <f t="shared" si="26"/>
        <v>1.17</v>
      </c>
      <c r="P232" s="81">
        <f>IF(G232="","",ABS(O232-Components!$C$2))</f>
        <v>1.5833333333333299</v>
      </c>
      <c r="Q232" s="81">
        <f>IF(G232="","",ABS(O232-Components!$C$3))</f>
        <v>2.8659999999999997</v>
      </c>
      <c r="R232" s="81">
        <f>IF(G232="","",ABS(O232-Components!$C$4))</f>
        <v>0.17666666666666697</v>
      </c>
      <c r="S232" s="81">
        <f>IF(G232="","",ABS(O232-Components!$C$5))</f>
        <v>3.3926666666666705</v>
      </c>
      <c r="T232" s="81">
        <f>IF(G232="","",ABS(O232-Components!$C$6))</f>
        <v>1.4333333333329978E-2</v>
      </c>
      <c r="U232" s="81">
        <f>IF(G232="","",ABS(O232-Components!$C$7))</f>
        <v>0.20433333333333015</v>
      </c>
      <c r="V232" s="81" t="str">
        <f>IF(G232="","",IF(M232="OK","NONE",INDEX({"S1","S2","W1","W2","N1","N2"},MATCH(MIN(P232:U232),P232:U232,0))))</f>
        <v>N1</v>
      </c>
      <c r="W232" s="117">
        <f t="shared" si="29"/>
        <v>1</v>
      </c>
      <c r="X232" s="119"/>
    </row>
    <row r="233" spans="1:24">
      <c r="A233" s="115">
        <v>231</v>
      </c>
      <c r="B233" s="116">
        <v>8</v>
      </c>
      <c r="C233" s="81" t="s">
        <v>130</v>
      </c>
      <c r="D233" s="111" t="s">
        <v>240</v>
      </c>
      <c r="E233" s="81" t="s">
        <v>108</v>
      </c>
      <c r="F233" s="61">
        <v>7.77</v>
      </c>
      <c r="G233" s="52">
        <f t="shared" si="23"/>
        <v>8.74</v>
      </c>
      <c r="H233" s="110"/>
      <c r="I233" s="81">
        <v>9.91</v>
      </c>
      <c r="J233" s="81">
        <f>VLOOKUP(C233,Recipes!$A$2:$N$4,12,FALSE())</f>
        <v>5.0137397426368718E-2</v>
      </c>
      <c r="K233" s="81">
        <f t="shared" si="24"/>
        <v>9.6091756154417887</v>
      </c>
      <c r="L233" s="81">
        <f t="shared" si="27"/>
        <v>10.210824384558212</v>
      </c>
      <c r="M233" s="81" t="str">
        <f t="shared" si="25"/>
        <v>NG</v>
      </c>
      <c r="N233" s="117">
        <f t="shared" si="28"/>
        <v>1</v>
      </c>
      <c r="O233" s="81">
        <f t="shared" si="26"/>
        <v>1.17</v>
      </c>
      <c r="P233" s="81">
        <f>IF(G233="","",ABS(O233-Components!$C$2))</f>
        <v>1.5833333333333299</v>
      </c>
      <c r="Q233" s="81">
        <f>IF(G233="","",ABS(O233-Components!$C$3))</f>
        <v>2.8659999999999997</v>
      </c>
      <c r="R233" s="81">
        <f>IF(G233="","",ABS(O233-Components!$C$4))</f>
        <v>0.17666666666666697</v>
      </c>
      <c r="S233" s="81">
        <f>IF(G233="","",ABS(O233-Components!$C$5))</f>
        <v>3.3926666666666705</v>
      </c>
      <c r="T233" s="81">
        <f>IF(G233="","",ABS(O233-Components!$C$6))</f>
        <v>1.4333333333329978E-2</v>
      </c>
      <c r="U233" s="81">
        <f>IF(G233="","",ABS(O233-Components!$C$7))</f>
        <v>0.20433333333333015</v>
      </c>
      <c r="V233" s="81" t="str">
        <f>IF(G233="","",IF(M233="OK","NONE",INDEX({"S1","S2","W1","W2","N1","N2"},MATCH(MIN(P233:U233),P233:U233,0))))</f>
        <v>N1</v>
      </c>
      <c r="W233" s="117">
        <f t="shared" si="29"/>
        <v>1</v>
      </c>
      <c r="X233" s="119"/>
    </row>
    <row r="234" spans="1:24">
      <c r="A234" s="115">
        <v>232</v>
      </c>
      <c r="B234" s="116">
        <v>8</v>
      </c>
      <c r="C234" s="81" t="s">
        <v>130</v>
      </c>
      <c r="D234" s="111" t="s">
        <v>240</v>
      </c>
      <c r="E234" s="81" t="s">
        <v>108</v>
      </c>
      <c r="F234" s="61">
        <v>7.78</v>
      </c>
      <c r="G234" s="52">
        <f t="shared" si="23"/>
        <v>8.75</v>
      </c>
      <c r="H234" s="110"/>
      <c r="I234" s="81">
        <v>9.91</v>
      </c>
      <c r="J234" s="81">
        <f>VLOOKUP(C234,Recipes!$A$2:$N$4,12,FALSE())</f>
        <v>5.0137397426368718E-2</v>
      </c>
      <c r="K234" s="81">
        <f t="shared" si="24"/>
        <v>9.6091756154417887</v>
      </c>
      <c r="L234" s="81">
        <f t="shared" si="27"/>
        <v>10.210824384558212</v>
      </c>
      <c r="M234" s="81" t="str">
        <f t="shared" si="25"/>
        <v>NG</v>
      </c>
      <c r="N234" s="117">
        <f t="shared" si="28"/>
        <v>1</v>
      </c>
      <c r="O234" s="81">
        <f t="shared" si="26"/>
        <v>1.1600000000000001</v>
      </c>
      <c r="P234" s="81">
        <f>IF(G234="","",ABS(O234-Components!$C$2))</f>
        <v>1.5933333333333297</v>
      </c>
      <c r="Q234" s="81">
        <f>IF(G234="","",ABS(O234-Components!$C$3))</f>
        <v>2.8759999999999994</v>
      </c>
      <c r="R234" s="81">
        <f>IF(G234="","",ABS(O234-Components!$C$4))</f>
        <v>0.16666666666666718</v>
      </c>
      <c r="S234" s="81">
        <f>IF(G234="","",ABS(O234-Components!$C$5))</f>
        <v>3.4026666666666703</v>
      </c>
      <c r="T234" s="81">
        <f>IF(G234="","",ABS(O234-Components!$C$6))</f>
        <v>4.3333333333301916E-3</v>
      </c>
      <c r="U234" s="81">
        <f>IF(G234="","",ABS(O234-Components!$C$7))</f>
        <v>0.21433333333332993</v>
      </c>
      <c r="V234" s="81" t="str">
        <f>IF(G234="","",IF(M234="OK","NONE",INDEX({"S1","S2","W1","W2","N1","N2"},MATCH(MIN(P234:U234),P234:U234,0))))</f>
        <v>N1</v>
      </c>
      <c r="W234" s="117">
        <f t="shared" si="29"/>
        <v>1</v>
      </c>
      <c r="X234" s="119"/>
    </row>
    <row r="235" spans="1:24">
      <c r="A235" s="115">
        <v>233</v>
      </c>
      <c r="B235" s="116">
        <v>8</v>
      </c>
      <c r="C235" s="81" t="s">
        <v>130</v>
      </c>
      <c r="D235" s="111" t="s">
        <v>240</v>
      </c>
      <c r="E235" s="81" t="s">
        <v>108</v>
      </c>
      <c r="F235" s="61">
        <v>7.76</v>
      </c>
      <c r="G235" s="52">
        <f t="shared" si="23"/>
        <v>8.73</v>
      </c>
      <c r="H235" s="110"/>
      <c r="I235" s="81">
        <v>9.91</v>
      </c>
      <c r="J235" s="81">
        <f>VLOOKUP(C235,Recipes!$A$2:$N$4,12,FALSE())</f>
        <v>5.0137397426368718E-2</v>
      </c>
      <c r="K235" s="81">
        <f t="shared" si="24"/>
        <v>9.6091756154417887</v>
      </c>
      <c r="L235" s="81">
        <f t="shared" si="27"/>
        <v>10.210824384558212</v>
      </c>
      <c r="M235" s="81" t="str">
        <f t="shared" si="25"/>
        <v>NG</v>
      </c>
      <c r="N235" s="117">
        <f t="shared" si="28"/>
        <v>1</v>
      </c>
      <c r="O235" s="81">
        <f t="shared" si="26"/>
        <v>1.1799999999999997</v>
      </c>
      <c r="P235" s="81">
        <f>IF(G235="","",ABS(O235-Components!$C$2))</f>
        <v>1.5733333333333301</v>
      </c>
      <c r="Q235" s="81">
        <f>IF(G235="","",ABS(O235-Components!$C$3))</f>
        <v>2.8559999999999999</v>
      </c>
      <c r="R235" s="81">
        <f>IF(G235="","",ABS(O235-Components!$C$4))</f>
        <v>0.18666666666666676</v>
      </c>
      <c r="S235" s="81">
        <f>IF(G235="","",ABS(O235-Components!$C$5))</f>
        <v>3.3826666666666707</v>
      </c>
      <c r="T235" s="81">
        <f>IF(G235="","",ABS(O235-Components!$C$6))</f>
        <v>2.4333333333329765E-2</v>
      </c>
      <c r="U235" s="81">
        <f>IF(G235="","",ABS(O235-Components!$C$7))</f>
        <v>0.19433333333333036</v>
      </c>
      <c r="V235" s="81" t="str">
        <f>IF(G235="","",IF(M235="OK","NONE",INDEX({"S1","S2","W1","W2","N1","N2"},MATCH(MIN(P235:U235),P235:U235,0))))</f>
        <v>N1</v>
      </c>
      <c r="W235" s="117">
        <f t="shared" si="29"/>
        <v>1</v>
      </c>
      <c r="X235" s="119"/>
    </row>
    <row r="236" spans="1:24">
      <c r="A236" s="115">
        <v>234</v>
      </c>
      <c r="B236" s="116">
        <v>8</v>
      </c>
      <c r="C236" s="81" t="s">
        <v>130</v>
      </c>
      <c r="D236" s="111" t="s">
        <v>240</v>
      </c>
      <c r="E236" s="81" t="s">
        <v>108</v>
      </c>
      <c r="F236" s="61">
        <v>7.77</v>
      </c>
      <c r="G236" s="52">
        <f t="shared" si="23"/>
        <v>8.74</v>
      </c>
      <c r="H236" s="110"/>
      <c r="I236" s="81">
        <v>9.91</v>
      </c>
      <c r="J236" s="81">
        <f>VLOOKUP(C236,Recipes!$A$2:$N$4,12,FALSE())</f>
        <v>5.0137397426368718E-2</v>
      </c>
      <c r="K236" s="81">
        <f t="shared" si="24"/>
        <v>9.6091756154417887</v>
      </c>
      <c r="L236" s="81">
        <f t="shared" si="27"/>
        <v>10.210824384558212</v>
      </c>
      <c r="M236" s="81" t="str">
        <f t="shared" si="25"/>
        <v>NG</v>
      </c>
      <c r="N236" s="117">
        <f t="shared" si="28"/>
        <v>1</v>
      </c>
      <c r="O236" s="81">
        <f t="shared" si="26"/>
        <v>1.17</v>
      </c>
      <c r="P236" s="81">
        <f>IF(G236="","",ABS(O236-Components!$C$2))</f>
        <v>1.5833333333333299</v>
      </c>
      <c r="Q236" s="81">
        <f>IF(G236="","",ABS(O236-Components!$C$3))</f>
        <v>2.8659999999999997</v>
      </c>
      <c r="R236" s="81">
        <f>IF(G236="","",ABS(O236-Components!$C$4))</f>
        <v>0.17666666666666697</v>
      </c>
      <c r="S236" s="81">
        <f>IF(G236="","",ABS(O236-Components!$C$5))</f>
        <v>3.3926666666666705</v>
      </c>
      <c r="T236" s="81">
        <f>IF(G236="","",ABS(O236-Components!$C$6))</f>
        <v>1.4333333333329978E-2</v>
      </c>
      <c r="U236" s="81">
        <f>IF(G236="","",ABS(O236-Components!$C$7))</f>
        <v>0.20433333333333015</v>
      </c>
      <c r="V236" s="81" t="str">
        <f>IF(G236="","",IF(M236="OK","NONE",INDEX({"S1","S2","W1","W2","N1","N2"},MATCH(MIN(P236:U236),P236:U236,0))))</f>
        <v>N1</v>
      </c>
      <c r="W236" s="117">
        <f t="shared" si="29"/>
        <v>1</v>
      </c>
      <c r="X236" s="119"/>
    </row>
    <row r="237" spans="1:24">
      <c r="A237" s="115">
        <v>235</v>
      </c>
      <c r="B237" s="116">
        <v>8</v>
      </c>
      <c r="C237" s="61" t="s">
        <v>130</v>
      </c>
      <c r="D237" s="61" t="s">
        <v>240</v>
      </c>
      <c r="E237" s="61" t="s">
        <v>108</v>
      </c>
      <c r="F237" s="61">
        <v>7.71</v>
      </c>
      <c r="G237" s="52">
        <f t="shared" si="23"/>
        <v>8.68</v>
      </c>
      <c r="H237" s="110"/>
      <c r="I237" s="81">
        <v>9.91</v>
      </c>
      <c r="J237" s="81">
        <f>VLOOKUP(C237,Recipes!$A$2:$N$4,12,FALSE())</f>
        <v>5.0137397426368718E-2</v>
      </c>
      <c r="K237" s="81">
        <f t="shared" si="24"/>
        <v>9.6091756154417887</v>
      </c>
      <c r="L237" s="81">
        <f t="shared" si="27"/>
        <v>10.210824384558212</v>
      </c>
      <c r="M237" s="81" t="str">
        <f t="shared" si="25"/>
        <v>NG</v>
      </c>
      <c r="N237" s="117">
        <f t="shared" si="28"/>
        <v>1</v>
      </c>
      <c r="O237" s="81">
        <f t="shared" si="26"/>
        <v>1.2300000000000004</v>
      </c>
      <c r="P237" s="81">
        <f>IF(G237="","",ABS(O237-Components!$C$2))</f>
        <v>1.5233333333333294</v>
      </c>
      <c r="Q237" s="81">
        <f>IF(G237="","",ABS(O237-Components!$C$3))</f>
        <v>2.8059999999999992</v>
      </c>
      <c r="R237" s="81">
        <f>IF(G237="","",ABS(O237-Components!$C$4))</f>
        <v>0.23666666666666747</v>
      </c>
      <c r="S237" s="81">
        <f>IF(G237="","",ABS(O237-Components!$C$5))</f>
        <v>3.33266666666667</v>
      </c>
      <c r="T237" s="81">
        <f>IF(G237="","",ABS(O237-Components!$C$6))</f>
        <v>7.4333333333330476E-2</v>
      </c>
      <c r="U237" s="81">
        <f>IF(G237="","",ABS(O237-Components!$C$7))</f>
        <v>0.14433333333332965</v>
      </c>
      <c r="V237" s="81" t="str">
        <f>IF(G237="","",IF(M237="OK","NONE",INDEX({"S1","S2","W1","W2","N1","N2"},MATCH(MIN(P237:U237),P237:U237,0))))</f>
        <v>N1</v>
      </c>
      <c r="W237" s="117">
        <f t="shared" si="29"/>
        <v>1</v>
      </c>
      <c r="X237" s="119"/>
    </row>
    <row r="238" spans="1:24">
      <c r="A238" s="115">
        <v>236</v>
      </c>
      <c r="B238" s="116">
        <v>8</v>
      </c>
      <c r="C238" s="81" t="s">
        <v>130</v>
      </c>
      <c r="D238" s="111" t="s">
        <v>240</v>
      </c>
      <c r="E238" s="81" t="s">
        <v>108</v>
      </c>
      <c r="F238" s="52">
        <v>7.78</v>
      </c>
      <c r="G238" s="52">
        <f t="shared" si="23"/>
        <v>8.75</v>
      </c>
      <c r="H238" s="110"/>
      <c r="I238" s="81">
        <v>9.91</v>
      </c>
      <c r="J238" s="81">
        <f>VLOOKUP(C238,Recipes!$A$2:$N$4,12,FALSE())</f>
        <v>5.0137397426368718E-2</v>
      </c>
      <c r="K238" s="81">
        <f t="shared" si="24"/>
        <v>9.6091756154417887</v>
      </c>
      <c r="L238" s="81">
        <f t="shared" si="27"/>
        <v>10.210824384558212</v>
      </c>
      <c r="M238" s="81" t="str">
        <f t="shared" si="25"/>
        <v>NG</v>
      </c>
      <c r="N238" s="117">
        <f t="shared" si="28"/>
        <v>1</v>
      </c>
      <c r="O238" s="81">
        <f t="shared" si="26"/>
        <v>1.1600000000000001</v>
      </c>
      <c r="P238" s="81">
        <f>IF(G238="","",ABS(O238-Components!$C$2))</f>
        <v>1.5933333333333297</v>
      </c>
      <c r="Q238" s="81">
        <f>IF(G238="","",ABS(O238-Components!$C$3))</f>
        <v>2.8759999999999994</v>
      </c>
      <c r="R238" s="81">
        <f>IF(G238="","",ABS(O238-Components!$C$4))</f>
        <v>0.16666666666666718</v>
      </c>
      <c r="S238" s="81">
        <f>IF(G238="","",ABS(O238-Components!$C$5))</f>
        <v>3.4026666666666703</v>
      </c>
      <c r="T238" s="81">
        <f>IF(G238="","",ABS(O238-Components!$C$6))</f>
        <v>4.3333333333301916E-3</v>
      </c>
      <c r="U238" s="81">
        <f>IF(G238="","",ABS(O238-Components!$C$7))</f>
        <v>0.21433333333332993</v>
      </c>
      <c r="V238" s="81" t="str">
        <f>IF(G238="","",IF(M238="OK","NONE",INDEX({"S1","S2","W1","W2","N1","N2"},MATCH(MIN(P238:U238),P238:U238,0))))</f>
        <v>N1</v>
      </c>
      <c r="W238" s="117">
        <f t="shared" si="29"/>
        <v>1</v>
      </c>
      <c r="X238" s="119"/>
    </row>
    <row r="239" spans="1:24">
      <c r="A239" s="115">
        <v>237</v>
      </c>
      <c r="B239" s="116">
        <v>8</v>
      </c>
      <c r="C239" s="81" t="s">
        <v>130</v>
      </c>
      <c r="D239" s="111" t="s">
        <v>240</v>
      </c>
      <c r="E239" s="81" t="s">
        <v>108</v>
      </c>
      <c r="F239" s="52">
        <v>7.79</v>
      </c>
      <c r="G239" s="52">
        <f t="shared" si="23"/>
        <v>8.76</v>
      </c>
      <c r="H239" s="110"/>
      <c r="I239" s="81">
        <v>9.91</v>
      </c>
      <c r="J239" s="81">
        <f>VLOOKUP(C239,Recipes!$A$2:$N$4,12,FALSE())</f>
        <v>5.0137397426368718E-2</v>
      </c>
      <c r="K239" s="81">
        <f t="shared" si="24"/>
        <v>9.6091756154417887</v>
      </c>
      <c r="L239" s="81">
        <f t="shared" si="27"/>
        <v>10.210824384558212</v>
      </c>
      <c r="M239" s="81" t="str">
        <f t="shared" si="25"/>
        <v>NG</v>
      </c>
      <c r="N239" s="117">
        <f t="shared" si="28"/>
        <v>1</v>
      </c>
      <c r="O239" s="81">
        <f t="shared" si="26"/>
        <v>1.1500000000000004</v>
      </c>
      <c r="P239" s="81">
        <f>IF(G239="","",ABS(O239-Components!$C$2))</f>
        <v>1.6033333333333295</v>
      </c>
      <c r="Q239" s="81">
        <f>IF(G239="","",ABS(O239-Components!$C$3))</f>
        <v>2.8859999999999992</v>
      </c>
      <c r="R239" s="81">
        <f>IF(G239="","",ABS(O239-Components!$C$4))</f>
        <v>0.1566666666666674</v>
      </c>
      <c r="S239" s="81">
        <f>IF(G239="","",ABS(O239-Components!$C$5))</f>
        <v>3.4126666666666701</v>
      </c>
      <c r="T239" s="81">
        <f>IF(G239="","",ABS(O239-Components!$C$6))</f>
        <v>5.6666666666695953E-3</v>
      </c>
      <c r="U239" s="81">
        <f>IF(G239="","",ABS(O239-Components!$C$7))</f>
        <v>0.22433333333332972</v>
      </c>
      <c r="V239" s="81" t="str">
        <f>IF(G239="","",IF(M239="OK","NONE",INDEX({"S1","S2","W1","W2","N1","N2"},MATCH(MIN(P239:U239),P239:U239,0))))</f>
        <v>N1</v>
      </c>
      <c r="W239" s="117">
        <f t="shared" si="29"/>
        <v>1</v>
      </c>
      <c r="X239" s="119"/>
    </row>
    <row r="240" spans="1:24">
      <c r="A240" s="115">
        <v>238</v>
      </c>
      <c r="B240" s="116">
        <v>8</v>
      </c>
      <c r="C240" s="81" t="s">
        <v>130</v>
      </c>
      <c r="D240" s="111" t="s">
        <v>240</v>
      </c>
      <c r="E240" s="81" t="s">
        <v>108</v>
      </c>
      <c r="F240" s="52">
        <v>7.78</v>
      </c>
      <c r="G240" s="52">
        <f t="shared" si="23"/>
        <v>8.75</v>
      </c>
      <c r="H240" s="110"/>
      <c r="I240" s="81">
        <v>9.91</v>
      </c>
      <c r="J240" s="81">
        <f>VLOOKUP(C240,Recipes!$A$2:$N$4,12,FALSE())</f>
        <v>5.0137397426368718E-2</v>
      </c>
      <c r="K240" s="81">
        <f t="shared" si="24"/>
        <v>9.6091756154417887</v>
      </c>
      <c r="L240" s="81">
        <f t="shared" si="27"/>
        <v>10.210824384558212</v>
      </c>
      <c r="M240" s="81" t="str">
        <f t="shared" si="25"/>
        <v>NG</v>
      </c>
      <c r="N240" s="117">
        <f t="shared" si="28"/>
        <v>1</v>
      </c>
      <c r="O240" s="81">
        <f t="shared" si="26"/>
        <v>1.1600000000000001</v>
      </c>
      <c r="P240" s="81">
        <f>IF(G240="","",ABS(O240-Components!$C$2))</f>
        <v>1.5933333333333297</v>
      </c>
      <c r="Q240" s="81">
        <f>IF(G240="","",ABS(O240-Components!$C$3))</f>
        <v>2.8759999999999994</v>
      </c>
      <c r="R240" s="81">
        <f>IF(G240="","",ABS(O240-Components!$C$4))</f>
        <v>0.16666666666666718</v>
      </c>
      <c r="S240" s="81">
        <f>IF(G240="","",ABS(O240-Components!$C$5))</f>
        <v>3.4026666666666703</v>
      </c>
      <c r="T240" s="81">
        <f>IF(G240="","",ABS(O240-Components!$C$6))</f>
        <v>4.3333333333301916E-3</v>
      </c>
      <c r="U240" s="81">
        <f>IF(G240="","",ABS(O240-Components!$C$7))</f>
        <v>0.21433333333332993</v>
      </c>
      <c r="V240" s="81" t="str">
        <f>IF(G240="","",IF(M240="OK","NONE",INDEX({"S1","S2","W1","W2","N1","N2"},MATCH(MIN(P240:U240),P240:U240,0))))</f>
        <v>N1</v>
      </c>
      <c r="W240" s="117">
        <f t="shared" si="29"/>
        <v>1</v>
      </c>
      <c r="X240" s="119"/>
    </row>
    <row r="241" spans="1:24">
      <c r="A241" s="115">
        <v>239</v>
      </c>
      <c r="B241" s="116">
        <v>8</v>
      </c>
      <c r="C241" s="81" t="s">
        <v>130</v>
      </c>
      <c r="D241" s="111" t="s">
        <v>240</v>
      </c>
      <c r="E241" s="81" t="s">
        <v>108</v>
      </c>
      <c r="F241" s="52">
        <v>7.78</v>
      </c>
      <c r="G241" s="52">
        <f t="shared" si="23"/>
        <v>8.75</v>
      </c>
      <c r="H241" s="110"/>
      <c r="I241" s="81">
        <v>9.91</v>
      </c>
      <c r="J241" s="81">
        <f>VLOOKUP(C241,Recipes!$A$2:$N$4,12,FALSE())</f>
        <v>5.0137397426368718E-2</v>
      </c>
      <c r="K241" s="81">
        <f t="shared" si="24"/>
        <v>9.6091756154417887</v>
      </c>
      <c r="L241" s="81">
        <f t="shared" si="27"/>
        <v>10.210824384558212</v>
      </c>
      <c r="M241" s="81" t="str">
        <f t="shared" si="25"/>
        <v>NG</v>
      </c>
      <c r="N241" s="117">
        <f t="shared" si="28"/>
        <v>1</v>
      </c>
      <c r="O241" s="81">
        <f t="shared" si="26"/>
        <v>1.1600000000000001</v>
      </c>
      <c r="P241" s="81">
        <f>IF(G241="","",ABS(O241-Components!$C$2))</f>
        <v>1.5933333333333297</v>
      </c>
      <c r="Q241" s="81">
        <f>IF(G241="","",ABS(O241-Components!$C$3))</f>
        <v>2.8759999999999994</v>
      </c>
      <c r="R241" s="81">
        <f>IF(G241="","",ABS(O241-Components!$C$4))</f>
        <v>0.16666666666666718</v>
      </c>
      <c r="S241" s="81">
        <f>IF(G241="","",ABS(O241-Components!$C$5))</f>
        <v>3.4026666666666703</v>
      </c>
      <c r="T241" s="81">
        <f>IF(G241="","",ABS(O241-Components!$C$6))</f>
        <v>4.3333333333301916E-3</v>
      </c>
      <c r="U241" s="81">
        <f>IF(G241="","",ABS(O241-Components!$C$7))</f>
        <v>0.21433333333332993</v>
      </c>
      <c r="V241" s="81" t="str">
        <f>IF(G241="","",IF(M241="OK","NONE",INDEX({"S1","S2","W1","W2","N1","N2"},MATCH(MIN(P241:U241),P241:U241,0))))</f>
        <v>N1</v>
      </c>
      <c r="W241" s="117">
        <f t="shared" si="29"/>
        <v>1</v>
      </c>
      <c r="X241" s="119"/>
    </row>
    <row r="242" spans="1:24">
      <c r="A242" s="115">
        <v>240</v>
      </c>
      <c r="B242" s="116">
        <v>8</v>
      </c>
      <c r="C242" s="61" t="s">
        <v>130</v>
      </c>
      <c r="D242" s="61" t="s">
        <v>240</v>
      </c>
      <c r="E242" s="61" t="s">
        <v>108</v>
      </c>
      <c r="F242" s="52">
        <v>7.79</v>
      </c>
      <c r="G242" s="52">
        <f t="shared" si="23"/>
        <v>8.76</v>
      </c>
      <c r="H242" s="110"/>
      <c r="I242" s="81">
        <v>9.91</v>
      </c>
      <c r="J242" s="81">
        <f>VLOOKUP(C242,Recipes!$A$2:$N$4,12,FALSE())</f>
        <v>5.0137397426368718E-2</v>
      </c>
      <c r="K242" s="81">
        <f t="shared" si="24"/>
        <v>9.6091756154417887</v>
      </c>
      <c r="L242" s="81">
        <f t="shared" si="27"/>
        <v>10.210824384558212</v>
      </c>
      <c r="M242" s="81" t="str">
        <f t="shared" si="25"/>
        <v>NG</v>
      </c>
      <c r="N242" s="117">
        <f t="shared" si="28"/>
        <v>1</v>
      </c>
      <c r="O242" s="81">
        <f t="shared" si="26"/>
        <v>1.1500000000000004</v>
      </c>
      <c r="P242" s="81">
        <f>IF(G242="","",ABS(O242-Components!$C$2))</f>
        <v>1.6033333333333295</v>
      </c>
      <c r="Q242" s="81">
        <f>IF(G242="","",ABS(O242-Components!$C$3))</f>
        <v>2.8859999999999992</v>
      </c>
      <c r="R242" s="81">
        <f>IF(G242="","",ABS(O242-Components!$C$4))</f>
        <v>0.1566666666666674</v>
      </c>
      <c r="S242" s="81">
        <f>IF(G242="","",ABS(O242-Components!$C$5))</f>
        <v>3.4126666666666701</v>
      </c>
      <c r="T242" s="81">
        <f>IF(G242="","",ABS(O242-Components!$C$6))</f>
        <v>5.6666666666695953E-3</v>
      </c>
      <c r="U242" s="81">
        <f>IF(G242="","",ABS(O242-Components!$C$7))</f>
        <v>0.22433333333332972</v>
      </c>
      <c r="V242" s="81" t="str">
        <f>IF(G242="","",IF(M242="OK","NONE",INDEX({"S1","S2","W1","W2","N1","N2"},MATCH(MIN(P242:U242),P242:U242,0))))</f>
        <v>N1</v>
      </c>
      <c r="W242" s="117">
        <f t="shared" si="29"/>
        <v>1</v>
      </c>
      <c r="X242" s="119"/>
    </row>
    <row r="243" spans="1:24">
      <c r="A243" s="115">
        <v>241</v>
      </c>
      <c r="B243" s="116">
        <v>9</v>
      </c>
      <c r="C243" s="81" t="s">
        <v>130</v>
      </c>
      <c r="D243" s="111" t="s">
        <v>240</v>
      </c>
      <c r="E243" s="81" t="s">
        <v>102</v>
      </c>
      <c r="F243" s="61">
        <v>4.9400000000000004</v>
      </c>
      <c r="G243" s="52">
        <f t="shared" si="23"/>
        <v>5.91</v>
      </c>
      <c r="H243" s="110"/>
      <c r="I243" s="81">
        <v>9.91</v>
      </c>
      <c r="J243" s="81">
        <f>VLOOKUP(C243,Recipes!$A$2:$N$4,12,FALSE())</f>
        <v>5.0137397426368718E-2</v>
      </c>
      <c r="K243" s="81">
        <f t="shared" si="24"/>
        <v>9.6091756154417887</v>
      </c>
      <c r="L243" s="81">
        <f t="shared" si="27"/>
        <v>10.210824384558212</v>
      </c>
      <c r="M243" s="81" t="str">
        <f t="shared" si="25"/>
        <v>NG</v>
      </c>
      <c r="N243" s="117">
        <f t="shared" si="28"/>
        <v>1</v>
      </c>
      <c r="O243" s="81">
        <f t="shared" si="26"/>
        <v>4</v>
      </c>
      <c r="P243" s="81">
        <f>IF(G243="","",ABS(O243-Components!$C$2))</f>
        <v>1.2466666666666701</v>
      </c>
      <c r="Q243" s="81">
        <f>IF(G243="","",ABS(O243-Components!$C$3))</f>
        <v>3.5999999999999588E-2</v>
      </c>
      <c r="R243" s="81">
        <f>IF(G243="","",ABS(O243-Components!$C$4))</f>
        <v>3.0066666666666668</v>
      </c>
      <c r="S243" s="81">
        <f>IF(G243="","",ABS(O243-Components!$C$5))</f>
        <v>0.56266666666667042</v>
      </c>
      <c r="T243" s="81">
        <f>IF(G243="","",ABS(O243-Components!$C$6))</f>
        <v>2.84433333333333</v>
      </c>
      <c r="U243" s="81">
        <f>IF(G243="","",ABS(O243-Components!$C$7))</f>
        <v>2.6256666666666701</v>
      </c>
      <c r="V243" s="81" t="str">
        <f>IF(G243="","",IF(M243="OK","NONE",INDEX({"S1","S2","W1","W2","N1","N2"},MATCH(MIN(P243:U243),P243:U243,0))))</f>
        <v>S2</v>
      </c>
      <c r="W243" s="117">
        <f t="shared" si="29"/>
        <v>1</v>
      </c>
      <c r="X243" s="119"/>
    </row>
    <row r="244" spans="1:24">
      <c r="A244" s="115">
        <v>242</v>
      </c>
      <c r="B244" s="116">
        <v>9</v>
      </c>
      <c r="C244" s="81" t="s">
        <v>130</v>
      </c>
      <c r="D244" s="111" t="s">
        <v>240</v>
      </c>
      <c r="E244" s="81" t="s">
        <v>102</v>
      </c>
      <c r="F244" s="61">
        <v>4.91</v>
      </c>
      <c r="G244" s="52">
        <f t="shared" si="23"/>
        <v>5.88</v>
      </c>
      <c r="H244" s="110"/>
      <c r="I244" s="81">
        <v>9.91</v>
      </c>
      <c r="J244" s="81">
        <f>VLOOKUP(C244,Recipes!$A$2:$N$4,12,FALSE())</f>
        <v>5.0137397426368718E-2</v>
      </c>
      <c r="K244" s="81">
        <f t="shared" si="24"/>
        <v>9.6091756154417887</v>
      </c>
      <c r="L244" s="81">
        <f t="shared" si="27"/>
        <v>10.210824384558212</v>
      </c>
      <c r="M244" s="81" t="str">
        <f t="shared" si="25"/>
        <v>NG</v>
      </c>
      <c r="N244" s="117">
        <f t="shared" si="28"/>
        <v>1</v>
      </c>
      <c r="O244" s="81">
        <f t="shared" si="26"/>
        <v>4.03</v>
      </c>
      <c r="P244" s="81">
        <f>IF(G244="","",ABS(O244-Components!$C$2))</f>
        <v>1.2766666666666704</v>
      </c>
      <c r="Q244" s="81">
        <f>IF(G244="","",ABS(O244-Components!$C$3))</f>
        <v>5.9999999999993392E-3</v>
      </c>
      <c r="R244" s="81">
        <f>IF(G244="","",ABS(O244-Components!$C$4))</f>
        <v>3.0366666666666671</v>
      </c>
      <c r="S244" s="81">
        <f>IF(G244="","",ABS(O244-Components!$C$5))</f>
        <v>0.53266666666667017</v>
      </c>
      <c r="T244" s="81">
        <f>IF(G244="","",ABS(O244-Components!$C$6))</f>
        <v>2.8743333333333303</v>
      </c>
      <c r="U244" s="81">
        <f>IF(G244="","",ABS(O244-Components!$C$7))</f>
        <v>2.6556666666666704</v>
      </c>
      <c r="V244" s="81" t="str">
        <f>IF(G244="","",IF(M244="OK","NONE",INDEX({"S1","S2","W1","W2","N1","N2"},MATCH(MIN(P244:U244),P244:U244,0))))</f>
        <v>S2</v>
      </c>
      <c r="W244" s="117">
        <f t="shared" si="29"/>
        <v>1</v>
      </c>
      <c r="X244" s="119"/>
    </row>
    <row r="245" spans="1:24">
      <c r="A245" s="115">
        <v>243</v>
      </c>
      <c r="B245" s="116">
        <v>9</v>
      </c>
      <c r="C245" s="81" t="s">
        <v>130</v>
      </c>
      <c r="D245" s="111" t="s">
        <v>240</v>
      </c>
      <c r="E245" s="81" t="s">
        <v>102</v>
      </c>
      <c r="F245" s="61">
        <v>4.8099999999999996</v>
      </c>
      <c r="G245" s="52">
        <f t="shared" si="23"/>
        <v>5.7799999999999994</v>
      </c>
      <c r="H245" s="110"/>
      <c r="I245" s="81">
        <v>9.91</v>
      </c>
      <c r="J245" s="81">
        <f>VLOOKUP(C245,Recipes!$A$2:$N$4,12,FALSE())</f>
        <v>5.0137397426368718E-2</v>
      </c>
      <c r="K245" s="81">
        <f t="shared" si="24"/>
        <v>9.6091756154417887</v>
      </c>
      <c r="L245" s="81">
        <f t="shared" si="27"/>
        <v>10.210824384558212</v>
      </c>
      <c r="M245" s="81" t="str">
        <f t="shared" si="25"/>
        <v>NG</v>
      </c>
      <c r="N245" s="117">
        <f t="shared" si="28"/>
        <v>1</v>
      </c>
      <c r="O245" s="81">
        <f t="shared" si="26"/>
        <v>4.1300000000000008</v>
      </c>
      <c r="P245" s="81">
        <f>IF(G245="","",ABS(O245-Components!$C$2))</f>
        <v>1.3766666666666709</v>
      </c>
      <c r="Q245" s="81">
        <f>IF(G245="","",ABS(O245-Components!$C$3))</f>
        <v>9.4000000000001194E-2</v>
      </c>
      <c r="R245" s="81">
        <f>IF(G245="","",ABS(O245-Components!$C$4))</f>
        <v>3.1366666666666676</v>
      </c>
      <c r="S245" s="81">
        <f>IF(G245="","",ABS(O245-Components!$C$5))</f>
        <v>0.43266666666666964</v>
      </c>
      <c r="T245" s="81">
        <f>IF(G245="","",ABS(O245-Components!$C$6))</f>
        <v>2.9743333333333308</v>
      </c>
      <c r="U245" s="81">
        <f>IF(G245="","",ABS(O245-Components!$C$7))</f>
        <v>2.7556666666666709</v>
      </c>
      <c r="V245" s="81" t="str">
        <f>IF(G245="","",IF(M245="OK","NONE",INDEX({"S1","S2","W1","W2","N1","N2"},MATCH(MIN(P245:U245),P245:U245,0))))</f>
        <v>S2</v>
      </c>
      <c r="W245" s="117">
        <f t="shared" si="29"/>
        <v>1</v>
      </c>
      <c r="X245" s="119"/>
    </row>
    <row r="246" spans="1:24">
      <c r="A246" s="115">
        <v>244</v>
      </c>
      <c r="B246" s="116">
        <v>9</v>
      </c>
      <c r="C246" s="61" t="s">
        <v>130</v>
      </c>
      <c r="D246" s="61" t="s">
        <v>240</v>
      </c>
      <c r="E246" s="61" t="s">
        <v>102</v>
      </c>
      <c r="F246" s="61">
        <v>4.92</v>
      </c>
      <c r="G246" s="52">
        <f t="shared" si="23"/>
        <v>5.89</v>
      </c>
      <c r="H246" s="110"/>
      <c r="I246" s="81">
        <v>9.91</v>
      </c>
      <c r="J246" s="81">
        <f>VLOOKUP(C246,Recipes!$A$2:$N$4,12,FALSE())</f>
        <v>5.0137397426368718E-2</v>
      </c>
      <c r="K246" s="81">
        <f t="shared" si="24"/>
        <v>9.6091756154417887</v>
      </c>
      <c r="L246" s="81">
        <f t="shared" si="27"/>
        <v>10.210824384558212</v>
      </c>
      <c r="M246" s="81" t="str">
        <f t="shared" si="25"/>
        <v>NG</v>
      </c>
      <c r="N246" s="117">
        <f t="shared" si="28"/>
        <v>1</v>
      </c>
      <c r="O246" s="81">
        <f t="shared" si="26"/>
        <v>4.0200000000000005</v>
      </c>
      <c r="P246" s="81">
        <f>IF(G246="","",ABS(O246-Components!$C$2))</f>
        <v>1.2666666666666706</v>
      </c>
      <c r="Q246" s="81">
        <f>IF(G246="","",ABS(O246-Components!$C$3))</f>
        <v>1.5999999999999126E-2</v>
      </c>
      <c r="R246" s="81">
        <f>IF(G246="","",ABS(O246-Components!$C$4))</f>
        <v>3.0266666666666673</v>
      </c>
      <c r="S246" s="81">
        <f>IF(G246="","",ABS(O246-Components!$C$5))</f>
        <v>0.54266666666666996</v>
      </c>
      <c r="T246" s="81">
        <f>IF(G246="","",ABS(O246-Components!$C$6))</f>
        <v>2.8643333333333305</v>
      </c>
      <c r="U246" s="81">
        <f>IF(G246="","",ABS(O246-Components!$C$7))</f>
        <v>2.6456666666666706</v>
      </c>
      <c r="V246" s="81" t="str">
        <f>IF(G246="","",IF(M246="OK","NONE",INDEX({"S1","S2","W1","W2","N1","N2"},MATCH(MIN(P246:U246),P246:U246,0))))</f>
        <v>S2</v>
      </c>
      <c r="W246" s="117">
        <f t="shared" si="29"/>
        <v>1</v>
      </c>
      <c r="X246" s="119"/>
    </row>
    <row r="247" spans="1:24">
      <c r="A247" s="115">
        <v>245</v>
      </c>
      <c r="B247" s="116">
        <v>9</v>
      </c>
      <c r="C247" s="61" t="s">
        <v>130</v>
      </c>
      <c r="D247" s="61" t="s">
        <v>240</v>
      </c>
      <c r="E247" s="61" t="s">
        <v>102</v>
      </c>
      <c r="F247" s="61">
        <v>4.87</v>
      </c>
      <c r="G247" s="52">
        <f t="shared" si="23"/>
        <v>5.84</v>
      </c>
      <c r="H247" s="110"/>
      <c r="I247" s="81">
        <v>9.91</v>
      </c>
      <c r="J247" s="81">
        <f>VLOOKUP(C247,Recipes!$A$2:$N$4,12,FALSE())</f>
        <v>5.0137397426368718E-2</v>
      </c>
      <c r="K247" s="81">
        <f t="shared" si="24"/>
        <v>9.6091756154417887</v>
      </c>
      <c r="L247" s="81">
        <f t="shared" si="27"/>
        <v>10.210824384558212</v>
      </c>
      <c r="M247" s="81" t="str">
        <f t="shared" si="25"/>
        <v>NG</v>
      </c>
      <c r="N247" s="117">
        <f t="shared" si="28"/>
        <v>1</v>
      </c>
      <c r="O247" s="81">
        <f t="shared" si="26"/>
        <v>4.07</v>
      </c>
      <c r="P247" s="81">
        <f>IF(G247="","",ABS(O247-Components!$C$2))</f>
        <v>1.3166666666666704</v>
      </c>
      <c r="Q247" s="81">
        <f>IF(G247="","",ABS(O247-Components!$C$3))</f>
        <v>3.4000000000000696E-2</v>
      </c>
      <c r="R247" s="81">
        <f>IF(G247="","",ABS(O247-Components!$C$4))</f>
        <v>3.0766666666666671</v>
      </c>
      <c r="S247" s="81">
        <f>IF(G247="","",ABS(O247-Components!$C$5))</f>
        <v>0.49266666666667014</v>
      </c>
      <c r="T247" s="81">
        <f>IF(G247="","",ABS(O247-Components!$C$6))</f>
        <v>2.9143333333333303</v>
      </c>
      <c r="U247" s="81">
        <f>IF(G247="","",ABS(O247-Components!$C$7))</f>
        <v>2.6956666666666704</v>
      </c>
      <c r="V247" s="81" t="str">
        <f>IF(G247="","",IF(M247="OK","NONE",INDEX({"S1","S2","W1","W2","N1","N2"},MATCH(MIN(P247:U247),P247:U247,0))))</f>
        <v>S2</v>
      </c>
      <c r="W247" s="117">
        <f t="shared" si="29"/>
        <v>1</v>
      </c>
      <c r="X247" s="119"/>
    </row>
    <row r="248" spans="1:24">
      <c r="A248" s="115">
        <v>246</v>
      </c>
      <c r="B248" s="116">
        <v>9</v>
      </c>
      <c r="C248" s="81" t="s">
        <v>130</v>
      </c>
      <c r="D248" s="111" t="s">
        <v>240</v>
      </c>
      <c r="E248" s="81" t="s">
        <v>102</v>
      </c>
      <c r="F248" s="61">
        <v>4.9400000000000004</v>
      </c>
      <c r="G248" s="52">
        <f t="shared" si="23"/>
        <v>5.91</v>
      </c>
      <c r="H248" s="110"/>
      <c r="I248" s="81">
        <v>9.91</v>
      </c>
      <c r="J248" s="81">
        <f>VLOOKUP(C248,Recipes!$A$2:$N$4,12,FALSE())</f>
        <v>5.0137397426368718E-2</v>
      </c>
      <c r="K248" s="81">
        <f t="shared" si="24"/>
        <v>9.6091756154417887</v>
      </c>
      <c r="L248" s="81">
        <f t="shared" si="27"/>
        <v>10.210824384558212</v>
      </c>
      <c r="M248" s="81" t="str">
        <f t="shared" si="25"/>
        <v>NG</v>
      </c>
      <c r="N248" s="117">
        <f t="shared" si="28"/>
        <v>1</v>
      </c>
      <c r="O248" s="81">
        <f t="shared" si="26"/>
        <v>4</v>
      </c>
      <c r="P248" s="81">
        <f>IF(G248="","",ABS(O248-Components!$C$2))</f>
        <v>1.2466666666666701</v>
      </c>
      <c r="Q248" s="81">
        <f>IF(G248="","",ABS(O248-Components!$C$3))</f>
        <v>3.5999999999999588E-2</v>
      </c>
      <c r="R248" s="81">
        <f>IF(G248="","",ABS(O248-Components!$C$4))</f>
        <v>3.0066666666666668</v>
      </c>
      <c r="S248" s="81">
        <f>IF(G248="","",ABS(O248-Components!$C$5))</f>
        <v>0.56266666666667042</v>
      </c>
      <c r="T248" s="81">
        <f>IF(G248="","",ABS(O248-Components!$C$6))</f>
        <v>2.84433333333333</v>
      </c>
      <c r="U248" s="81">
        <f>IF(G248="","",ABS(O248-Components!$C$7))</f>
        <v>2.6256666666666701</v>
      </c>
      <c r="V248" s="81" t="str">
        <f>IF(G248="","",IF(M248="OK","NONE",INDEX({"S1","S2","W1","W2","N1","N2"},MATCH(MIN(P248:U248),P248:U248,0))))</f>
        <v>S2</v>
      </c>
      <c r="W248" s="117">
        <f t="shared" si="29"/>
        <v>1</v>
      </c>
      <c r="X248" s="119"/>
    </row>
    <row r="249" spans="1:24">
      <c r="A249" s="115">
        <v>247</v>
      </c>
      <c r="B249" s="116">
        <v>9</v>
      </c>
      <c r="C249" s="81" t="s">
        <v>130</v>
      </c>
      <c r="D249" s="111" t="s">
        <v>240</v>
      </c>
      <c r="E249" s="81" t="s">
        <v>102</v>
      </c>
      <c r="F249" s="61">
        <v>4.8899999999999997</v>
      </c>
      <c r="G249" s="52">
        <f t="shared" si="23"/>
        <v>5.8599999999999994</v>
      </c>
      <c r="H249" s="110"/>
      <c r="I249" s="81">
        <v>9.91</v>
      </c>
      <c r="J249" s="81">
        <f>VLOOKUP(C249,Recipes!$A$2:$N$4,12,FALSE())</f>
        <v>5.0137397426368718E-2</v>
      </c>
      <c r="K249" s="81">
        <f t="shared" si="24"/>
        <v>9.6091756154417887</v>
      </c>
      <c r="L249" s="81">
        <f t="shared" si="27"/>
        <v>10.210824384558212</v>
      </c>
      <c r="M249" s="81" t="str">
        <f t="shared" si="25"/>
        <v>NG</v>
      </c>
      <c r="N249" s="117">
        <f t="shared" si="28"/>
        <v>1</v>
      </c>
      <c r="O249" s="81">
        <f t="shared" si="26"/>
        <v>4.0500000000000007</v>
      </c>
      <c r="P249" s="81">
        <f>IF(G249="","",ABS(O249-Components!$C$2))</f>
        <v>1.2966666666666709</v>
      </c>
      <c r="Q249" s="81">
        <f>IF(G249="","",ABS(O249-Components!$C$3))</f>
        <v>1.4000000000001123E-2</v>
      </c>
      <c r="R249" s="81">
        <f>IF(G249="","",ABS(O249-Components!$C$4))</f>
        <v>3.0566666666666675</v>
      </c>
      <c r="S249" s="81">
        <f>IF(G249="","",ABS(O249-Components!$C$5))</f>
        <v>0.51266666666666971</v>
      </c>
      <c r="T249" s="81">
        <f>IF(G249="","",ABS(O249-Components!$C$6))</f>
        <v>2.8943333333333308</v>
      </c>
      <c r="U249" s="81">
        <f>IF(G249="","",ABS(O249-Components!$C$7))</f>
        <v>2.6756666666666709</v>
      </c>
      <c r="V249" s="81" t="str">
        <f>IF(G249="","",IF(M249="OK","NONE",INDEX({"S1","S2","W1","W2","N1","N2"},MATCH(MIN(P249:U249),P249:U249,0))))</f>
        <v>S2</v>
      </c>
      <c r="W249" s="117">
        <f t="shared" si="29"/>
        <v>1</v>
      </c>
      <c r="X249" s="119"/>
    </row>
    <row r="250" spans="1:24">
      <c r="A250" s="115">
        <v>248</v>
      </c>
      <c r="B250" s="116">
        <v>9</v>
      </c>
      <c r="C250" s="81" t="s">
        <v>130</v>
      </c>
      <c r="D250" s="111" t="s">
        <v>240</v>
      </c>
      <c r="E250" s="81" t="s">
        <v>102</v>
      </c>
      <c r="F250" s="61">
        <v>4.8600000000000003</v>
      </c>
      <c r="G250" s="52">
        <f t="shared" si="23"/>
        <v>5.83</v>
      </c>
      <c r="H250" s="110"/>
      <c r="I250" s="81">
        <v>9.91</v>
      </c>
      <c r="J250" s="81">
        <f>VLOOKUP(C250,Recipes!$A$2:$N$4,12,FALSE())</f>
        <v>5.0137397426368718E-2</v>
      </c>
      <c r="K250" s="81">
        <f t="shared" si="24"/>
        <v>9.6091756154417887</v>
      </c>
      <c r="L250" s="81">
        <f t="shared" si="27"/>
        <v>10.210824384558212</v>
      </c>
      <c r="M250" s="81" t="str">
        <f t="shared" si="25"/>
        <v>NG</v>
      </c>
      <c r="N250" s="117">
        <f t="shared" si="28"/>
        <v>1</v>
      </c>
      <c r="O250" s="81">
        <f t="shared" si="26"/>
        <v>4.08</v>
      </c>
      <c r="P250" s="81">
        <f>IF(G250="","",ABS(O250-Components!$C$2))</f>
        <v>1.3266666666666702</v>
      </c>
      <c r="Q250" s="81">
        <f>IF(G250="","",ABS(O250-Components!$C$3))</f>
        <v>4.4000000000000483E-2</v>
      </c>
      <c r="R250" s="81">
        <f>IF(G250="","",ABS(O250-Components!$C$4))</f>
        <v>3.0866666666666669</v>
      </c>
      <c r="S250" s="81">
        <f>IF(G250="","",ABS(O250-Components!$C$5))</f>
        <v>0.48266666666667035</v>
      </c>
      <c r="T250" s="81">
        <f>IF(G250="","",ABS(O250-Components!$C$6))</f>
        <v>2.9243333333333301</v>
      </c>
      <c r="U250" s="81">
        <f>IF(G250="","",ABS(O250-Components!$C$7))</f>
        <v>2.7056666666666702</v>
      </c>
      <c r="V250" s="81" t="str">
        <f>IF(G250="","",IF(M250="OK","NONE",INDEX({"S1","S2","W1","W2","N1","N2"},MATCH(MIN(P250:U250),P250:U250,0))))</f>
        <v>S2</v>
      </c>
      <c r="W250" s="117">
        <f t="shared" si="29"/>
        <v>1</v>
      </c>
      <c r="X250" s="119"/>
    </row>
    <row r="251" spans="1:24">
      <c r="A251" s="115">
        <v>249</v>
      </c>
      <c r="B251" s="116">
        <v>9</v>
      </c>
      <c r="C251" s="61" t="s">
        <v>130</v>
      </c>
      <c r="D251" s="61" t="s">
        <v>240</v>
      </c>
      <c r="E251" s="61" t="s">
        <v>102</v>
      </c>
      <c r="F251" s="61">
        <v>4.97</v>
      </c>
      <c r="G251" s="52">
        <f t="shared" si="23"/>
        <v>5.9399999999999995</v>
      </c>
      <c r="H251" s="110"/>
      <c r="I251" s="81">
        <v>9.91</v>
      </c>
      <c r="J251" s="81">
        <f>VLOOKUP(C251,Recipes!$A$2:$N$4,12,FALSE())</f>
        <v>5.0137397426368718E-2</v>
      </c>
      <c r="K251" s="81">
        <f t="shared" si="24"/>
        <v>9.6091756154417887</v>
      </c>
      <c r="L251" s="81">
        <f t="shared" si="27"/>
        <v>10.210824384558212</v>
      </c>
      <c r="M251" s="81" t="str">
        <f t="shared" si="25"/>
        <v>NG</v>
      </c>
      <c r="N251" s="117">
        <f t="shared" si="28"/>
        <v>1</v>
      </c>
      <c r="O251" s="81">
        <f t="shared" si="26"/>
        <v>3.9700000000000006</v>
      </c>
      <c r="P251" s="81">
        <f>IF(G251="","",ABS(O251-Components!$C$2))</f>
        <v>1.2166666666666708</v>
      </c>
      <c r="Q251" s="81">
        <f>IF(G251="","",ABS(O251-Components!$C$3))</f>
        <v>6.5999999999998948E-2</v>
      </c>
      <c r="R251" s="81">
        <f>IF(G251="","",ABS(O251-Components!$C$4))</f>
        <v>2.9766666666666675</v>
      </c>
      <c r="S251" s="81">
        <f>IF(G251="","",ABS(O251-Components!$C$5))</f>
        <v>0.59266666666666978</v>
      </c>
      <c r="T251" s="81">
        <f>IF(G251="","",ABS(O251-Components!$C$6))</f>
        <v>2.8143333333333307</v>
      </c>
      <c r="U251" s="81">
        <f>IF(G251="","",ABS(O251-Components!$C$7))</f>
        <v>2.5956666666666708</v>
      </c>
      <c r="V251" s="81" t="str">
        <f>IF(G251="","",IF(M251="OK","NONE",INDEX({"S1","S2","W1","W2","N1","N2"},MATCH(MIN(P251:U251),P251:U251,0))))</f>
        <v>S2</v>
      </c>
      <c r="W251" s="117">
        <f t="shared" si="29"/>
        <v>1</v>
      </c>
      <c r="X251" s="119"/>
    </row>
    <row r="252" spans="1:24">
      <c r="A252" s="115">
        <v>250</v>
      </c>
      <c r="B252" s="116">
        <v>9</v>
      </c>
      <c r="C252" s="61" t="s">
        <v>130</v>
      </c>
      <c r="D252" s="61" t="s">
        <v>240</v>
      </c>
      <c r="E252" s="61" t="s">
        <v>102</v>
      </c>
      <c r="F252" s="61">
        <v>4.88</v>
      </c>
      <c r="G252" s="52">
        <f t="shared" si="23"/>
        <v>5.85</v>
      </c>
      <c r="H252" s="110"/>
      <c r="I252" s="81">
        <v>9.91</v>
      </c>
      <c r="J252" s="81">
        <f>VLOOKUP(C252,Recipes!$A$2:$N$4,12,FALSE())</f>
        <v>5.0137397426368718E-2</v>
      </c>
      <c r="K252" s="81">
        <f t="shared" si="24"/>
        <v>9.6091756154417887</v>
      </c>
      <c r="L252" s="81">
        <f t="shared" si="27"/>
        <v>10.210824384558212</v>
      </c>
      <c r="M252" s="81" t="str">
        <f t="shared" si="25"/>
        <v>NG</v>
      </c>
      <c r="N252" s="117">
        <f t="shared" si="28"/>
        <v>1</v>
      </c>
      <c r="O252" s="81">
        <f t="shared" si="26"/>
        <v>4.0600000000000005</v>
      </c>
      <c r="P252" s="81">
        <f>IF(G252="","",ABS(O252-Components!$C$2))</f>
        <v>1.3066666666666706</v>
      </c>
      <c r="Q252" s="81">
        <f>IF(G252="","",ABS(O252-Components!$C$3))</f>
        <v>2.4000000000000909E-2</v>
      </c>
      <c r="R252" s="81">
        <f>IF(G252="","",ABS(O252-Components!$C$4))</f>
        <v>3.0666666666666673</v>
      </c>
      <c r="S252" s="81">
        <f>IF(G252="","",ABS(O252-Components!$C$5))</f>
        <v>0.50266666666666993</v>
      </c>
      <c r="T252" s="81">
        <f>IF(G252="","",ABS(O252-Components!$C$6))</f>
        <v>2.9043333333333305</v>
      </c>
      <c r="U252" s="81">
        <f>IF(G252="","",ABS(O252-Components!$C$7))</f>
        <v>2.6856666666666706</v>
      </c>
      <c r="V252" s="81" t="str">
        <f>IF(G252="","",IF(M252="OK","NONE",INDEX({"S1","S2","W1","W2","N1","N2"},MATCH(MIN(P252:U252),P252:U252,0))))</f>
        <v>S2</v>
      </c>
      <c r="W252" s="117">
        <f t="shared" si="29"/>
        <v>1</v>
      </c>
      <c r="X252" s="119"/>
    </row>
    <row r="253" spans="1:24">
      <c r="A253" s="115">
        <v>251</v>
      </c>
      <c r="B253" s="116">
        <v>9</v>
      </c>
      <c r="C253" s="81" t="s">
        <v>130</v>
      </c>
      <c r="D253" s="111" t="s">
        <v>240</v>
      </c>
      <c r="E253" s="81" t="s">
        <v>102</v>
      </c>
      <c r="F253" s="61">
        <v>4.83</v>
      </c>
      <c r="G253" s="52">
        <f t="shared" si="23"/>
        <v>5.8</v>
      </c>
      <c r="H253" s="110"/>
      <c r="I253" s="81">
        <v>9.91</v>
      </c>
      <c r="J253" s="81">
        <f>VLOOKUP(C253,Recipes!$A$2:$N$4,12,FALSE())</f>
        <v>5.0137397426368718E-2</v>
      </c>
      <c r="K253" s="81">
        <f t="shared" si="24"/>
        <v>9.6091756154417887</v>
      </c>
      <c r="L253" s="81">
        <f t="shared" si="27"/>
        <v>10.210824384558212</v>
      </c>
      <c r="M253" s="81" t="str">
        <f t="shared" si="25"/>
        <v>NG</v>
      </c>
      <c r="N253" s="117">
        <f t="shared" si="28"/>
        <v>1</v>
      </c>
      <c r="O253" s="81">
        <f t="shared" si="26"/>
        <v>4.1100000000000003</v>
      </c>
      <c r="P253" s="81">
        <f>IF(G253="","",ABS(O253-Components!$C$2))</f>
        <v>1.3566666666666705</v>
      </c>
      <c r="Q253" s="81">
        <f>IF(G253="","",ABS(O253-Components!$C$3))</f>
        <v>7.4000000000000732E-2</v>
      </c>
      <c r="R253" s="81">
        <f>IF(G253="","",ABS(O253-Components!$C$4))</f>
        <v>3.1166666666666671</v>
      </c>
      <c r="S253" s="81">
        <f>IF(G253="","",ABS(O253-Components!$C$5))</f>
        <v>0.4526666666666701</v>
      </c>
      <c r="T253" s="81">
        <f>IF(G253="","",ABS(O253-Components!$C$6))</f>
        <v>2.9543333333333304</v>
      </c>
      <c r="U253" s="81">
        <f>IF(G253="","",ABS(O253-Components!$C$7))</f>
        <v>2.7356666666666705</v>
      </c>
      <c r="V253" s="81" t="str">
        <f>IF(G253="","",IF(M253="OK","NONE",INDEX({"S1","S2","W1","W2","N1","N2"},MATCH(MIN(P253:U253),P253:U253,0))))</f>
        <v>S2</v>
      </c>
      <c r="W253" s="117">
        <f t="shared" si="29"/>
        <v>1</v>
      </c>
      <c r="X253" s="119"/>
    </row>
    <row r="254" spans="1:24">
      <c r="A254" s="115">
        <v>252</v>
      </c>
      <c r="B254" s="116">
        <v>9</v>
      </c>
      <c r="C254" s="81" t="s">
        <v>130</v>
      </c>
      <c r="D254" s="111" t="s">
        <v>240</v>
      </c>
      <c r="E254" s="81" t="s">
        <v>102</v>
      </c>
      <c r="F254" s="61">
        <v>4.87</v>
      </c>
      <c r="G254" s="52">
        <f t="shared" si="23"/>
        <v>5.84</v>
      </c>
      <c r="H254" s="110"/>
      <c r="I254" s="81">
        <v>9.91</v>
      </c>
      <c r="J254" s="81">
        <f>VLOOKUP(C254,Recipes!$A$2:$N$4,12,FALSE())</f>
        <v>5.0137397426368718E-2</v>
      </c>
      <c r="K254" s="81">
        <f t="shared" si="24"/>
        <v>9.6091756154417887</v>
      </c>
      <c r="L254" s="81">
        <f t="shared" si="27"/>
        <v>10.210824384558212</v>
      </c>
      <c r="M254" s="81" t="str">
        <f t="shared" si="25"/>
        <v>NG</v>
      </c>
      <c r="N254" s="117">
        <f t="shared" si="28"/>
        <v>1</v>
      </c>
      <c r="O254" s="81">
        <f t="shared" si="26"/>
        <v>4.07</v>
      </c>
      <c r="P254" s="81">
        <f>IF(G254="","",ABS(O254-Components!$C$2))</f>
        <v>1.3166666666666704</v>
      </c>
      <c r="Q254" s="81">
        <f>IF(G254="","",ABS(O254-Components!$C$3))</f>
        <v>3.4000000000000696E-2</v>
      </c>
      <c r="R254" s="81">
        <f>IF(G254="","",ABS(O254-Components!$C$4))</f>
        <v>3.0766666666666671</v>
      </c>
      <c r="S254" s="81">
        <f>IF(G254="","",ABS(O254-Components!$C$5))</f>
        <v>0.49266666666667014</v>
      </c>
      <c r="T254" s="81">
        <f>IF(G254="","",ABS(O254-Components!$C$6))</f>
        <v>2.9143333333333303</v>
      </c>
      <c r="U254" s="81">
        <f>IF(G254="","",ABS(O254-Components!$C$7))</f>
        <v>2.6956666666666704</v>
      </c>
      <c r="V254" s="81" t="str">
        <f>IF(G254="","",IF(M254="OK","NONE",INDEX({"S1","S2","W1","W2","N1","N2"},MATCH(MIN(P254:U254),P254:U254,0))))</f>
        <v>S2</v>
      </c>
      <c r="W254" s="117">
        <f t="shared" si="29"/>
        <v>1</v>
      </c>
      <c r="X254" s="119"/>
    </row>
    <row r="255" spans="1:24">
      <c r="A255" s="115">
        <v>253</v>
      </c>
      <c r="B255" s="116">
        <v>9</v>
      </c>
      <c r="C255" s="81" t="s">
        <v>130</v>
      </c>
      <c r="D255" s="111" t="s">
        <v>240</v>
      </c>
      <c r="E255" s="81" t="s">
        <v>102</v>
      </c>
      <c r="F255" s="61">
        <v>4.93</v>
      </c>
      <c r="G255" s="52">
        <f t="shared" si="23"/>
        <v>5.8999999999999995</v>
      </c>
      <c r="H255" s="110"/>
      <c r="I255" s="81">
        <v>9.91</v>
      </c>
      <c r="J255" s="81">
        <f>VLOOKUP(C255,Recipes!$A$2:$N$4,12,FALSE())</f>
        <v>5.0137397426368718E-2</v>
      </c>
      <c r="K255" s="81">
        <f t="shared" si="24"/>
        <v>9.6091756154417887</v>
      </c>
      <c r="L255" s="81">
        <f t="shared" si="27"/>
        <v>10.210824384558212</v>
      </c>
      <c r="M255" s="81" t="str">
        <f t="shared" si="25"/>
        <v>NG</v>
      </c>
      <c r="N255" s="117">
        <f t="shared" si="28"/>
        <v>1</v>
      </c>
      <c r="O255" s="81">
        <f t="shared" si="26"/>
        <v>4.0100000000000007</v>
      </c>
      <c r="P255" s="81">
        <f>IF(G255="","",ABS(O255-Components!$C$2))</f>
        <v>1.2566666666666708</v>
      </c>
      <c r="Q255" s="81">
        <f>IF(G255="","",ABS(O255-Components!$C$3))</f>
        <v>2.5999999999998913E-2</v>
      </c>
      <c r="R255" s="81">
        <f>IF(G255="","",ABS(O255-Components!$C$4))</f>
        <v>3.0166666666666675</v>
      </c>
      <c r="S255" s="81">
        <f>IF(G255="","",ABS(O255-Components!$C$5))</f>
        <v>0.55266666666666975</v>
      </c>
      <c r="T255" s="81">
        <f>IF(G255="","",ABS(O255-Components!$C$6))</f>
        <v>2.8543333333333307</v>
      </c>
      <c r="U255" s="81">
        <f>IF(G255="","",ABS(O255-Components!$C$7))</f>
        <v>2.6356666666666708</v>
      </c>
      <c r="V255" s="81" t="str">
        <f>IF(G255="","",IF(M255="OK","NONE",INDEX({"S1","S2","W1","W2","N1","N2"},MATCH(MIN(P255:U255),P255:U255,0))))</f>
        <v>S2</v>
      </c>
      <c r="W255" s="117">
        <f t="shared" si="29"/>
        <v>1</v>
      </c>
      <c r="X255" s="119"/>
    </row>
    <row r="256" spans="1:24">
      <c r="A256" s="115">
        <v>254</v>
      </c>
      <c r="B256" s="116">
        <v>9</v>
      </c>
      <c r="C256" s="61" t="s">
        <v>130</v>
      </c>
      <c r="D256" s="61" t="s">
        <v>240</v>
      </c>
      <c r="E256" s="61" t="s">
        <v>102</v>
      </c>
      <c r="F256" s="61">
        <v>4.91</v>
      </c>
      <c r="G256" s="52">
        <f t="shared" si="23"/>
        <v>5.88</v>
      </c>
      <c r="H256" s="110"/>
      <c r="I256" s="81">
        <v>9.91</v>
      </c>
      <c r="J256" s="81">
        <f>VLOOKUP(C256,Recipes!$A$2:$N$4,12,FALSE())</f>
        <v>5.0137397426368718E-2</v>
      </c>
      <c r="K256" s="81">
        <f t="shared" si="24"/>
        <v>9.6091756154417887</v>
      </c>
      <c r="L256" s="81">
        <f t="shared" si="27"/>
        <v>10.210824384558212</v>
      </c>
      <c r="M256" s="81" t="str">
        <f t="shared" si="25"/>
        <v>NG</v>
      </c>
      <c r="N256" s="117">
        <f t="shared" si="28"/>
        <v>1</v>
      </c>
      <c r="O256" s="81">
        <f t="shared" si="26"/>
        <v>4.03</v>
      </c>
      <c r="P256" s="81">
        <f>IF(G256="","",ABS(O256-Components!$C$2))</f>
        <v>1.2766666666666704</v>
      </c>
      <c r="Q256" s="81">
        <f>IF(G256="","",ABS(O256-Components!$C$3))</f>
        <v>5.9999999999993392E-3</v>
      </c>
      <c r="R256" s="81">
        <f>IF(G256="","",ABS(O256-Components!$C$4))</f>
        <v>3.0366666666666671</v>
      </c>
      <c r="S256" s="81">
        <f>IF(G256="","",ABS(O256-Components!$C$5))</f>
        <v>0.53266666666667017</v>
      </c>
      <c r="T256" s="81">
        <f>IF(G256="","",ABS(O256-Components!$C$6))</f>
        <v>2.8743333333333303</v>
      </c>
      <c r="U256" s="81">
        <f>IF(G256="","",ABS(O256-Components!$C$7))</f>
        <v>2.6556666666666704</v>
      </c>
      <c r="V256" s="81" t="str">
        <f>IF(G256="","",IF(M256="OK","NONE",INDEX({"S1","S2","W1","W2","N1","N2"},MATCH(MIN(P256:U256),P256:U256,0))))</f>
        <v>S2</v>
      </c>
      <c r="W256" s="117">
        <f t="shared" si="29"/>
        <v>1</v>
      </c>
      <c r="X256" s="119"/>
    </row>
    <row r="257" spans="1:24">
      <c r="A257" s="115">
        <v>255</v>
      </c>
      <c r="B257" s="116">
        <v>9</v>
      </c>
      <c r="C257" s="61" t="s">
        <v>130</v>
      </c>
      <c r="D257" s="61" t="s">
        <v>240</v>
      </c>
      <c r="E257" s="61" t="s">
        <v>102</v>
      </c>
      <c r="F257" s="61">
        <v>4.88</v>
      </c>
      <c r="G257" s="52">
        <f t="shared" si="23"/>
        <v>5.85</v>
      </c>
      <c r="H257" s="110"/>
      <c r="I257" s="81">
        <v>9.91</v>
      </c>
      <c r="J257" s="81">
        <f>VLOOKUP(C257,Recipes!$A$2:$N$4,12,FALSE())</f>
        <v>5.0137397426368718E-2</v>
      </c>
      <c r="K257" s="81">
        <f t="shared" si="24"/>
        <v>9.6091756154417887</v>
      </c>
      <c r="L257" s="81">
        <f t="shared" si="27"/>
        <v>10.210824384558212</v>
      </c>
      <c r="M257" s="81" t="str">
        <f t="shared" si="25"/>
        <v>NG</v>
      </c>
      <c r="N257" s="117">
        <f t="shared" si="28"/>
        <v>1</v>
      </c>
      <c r="O257" s="81">
        <f t="shared" si="26"/>
        <v>4.0600000000000005</v>
      </c>
      <c r="P257" s="81">
        <f>IF(G257="","",ABS(O257-Components!$C$2))</f>
        <v>1.3066666666666706</v>
      </c>
      <c r="Q257" s="81">
        <f>IF(G257="","",ABS(O257-Components!$C$3))</f>
        <v>2.4000000000000909E-2</v>
      </c>
      <c r="R257" s="81">
        <f>IF(G257="","",ABS(O257-Components!$C$4))</f>
        <v>3.0666666666666673</v>
      </c>
      <c r="S257" s="81">
        <f>IF(G257="","",ABS(O257-Components!$C$5))</f>
        <v>0.50266666666666993</v>
      </c>
      <c r="T257" s="81">
        <f>IF(G257="","",ABS(O257-Components!$C$6))</f>
        <v>2.9043333333333305</v>
      </c>
      <c r="U257" s="81">
        <f>IF(G257="","",ABS(O257-Components!$C$7))</f>
        <v>2.6856666666666706</v>
      </c>
      <c r="V257" s="81" t="str">
        <f>IF(G257="","",IF(M257="OK","NONE",INDEX({"S1","S2","W1","W2","N1","N2"},MATCH(MIN(P257:U257),P257:U257,0))))</f>
        <v>S2</v>
      </c>
      <c r="W257" s="117">
        <f t="shared" si="29"/>
        <v>1</v>
      </c>
      <c r="X257" s="119"/>
    </row>
    <row r="258" spans="1:24">
      <c r="A258" s="115">
        <v>256</v>
      </c>
      <c r="B258" s="116">
        <v>9</v>
      </c>
      <c r="C258" s="81" t="s">
        <v>130</v>
      </c>
      <c r="D258" s="111" t="s">
        <v>240</v>
      </c>
      <c r="E258" s="81" t="s">
        <v>102</v>
      </c>
      <c r="F258" s="61">
        <v>4.87</v>
      </c>
      <c r="G258" s="52">
        <f t="shared" si="23"/>
        <v>5.84</v>
      </c>
      <c r="H258" s="110"/>
      <c r="I258" s="81">
        <v>9.91</v>
      </c>
      <c r="J258" s="81">
        <f>VLOOKUP(C258,Recipes!$A$2:$N$4,12,FALSE())</f>
        <v>5.0137397426368718E-2</v>
      </c>
      <c r="K258" s="81">
        <f t="shared" si="24"/>
        <v>9.6091756154417887</v>
      </c>
      <c r="L258" s="81">
        <f t="shared" si="27"/>
        <v>10.210824384558212</v>
      </c>
      <c r="M258" s="81" t="str">
        <f t="shared" si="25"/>
        <v>NG</v>
      </c>
      <c r="N258" s="117">
        <f t="shared" si="28"/>
        <v>1</v>
      </c>
      <c r="O258" s="81">
        <f t="shared" si="26"/>
        <v>4.07</v>
      </c>
      <c r="P258" s="81">
        <f>IF(G258="","",ABS(O258-Components!$C$2))</f>
        <v>1.3166666666666704</v>
      </c>
      <c r="Q258" s="81">
        <f>IF(G258="","",ABS(O258-Components!$C$3))</f>
        <v>3.4000000000000696E-2</v>
      </c>
      <c r="R258" s="81">
        <f>IF(G258="","",ABS(O258-Components!$C$4))</f>
        <v>3.0766666666666671</v>
      </c>
      <c r="S258" s="81">
        <f>IF(G258="","",ABS(O258-Components!$C$5))</f>
        <v>0.49266666666667014</v>
      </c>
      <c r="T258" s="81">
        <f>IF(G258="","",ABS(O258-Components!$C$6))</f>
        <v>2.9143333333333303</v>
      </c>
      <c r="U258" s="81">
        <f>IF(G258="","",ABS(O258-Components!$C$7))</f>
        <v>2.6956666666666704</v>
      </c>
      <c r="V258" s="81" t="str">
        <f>IF(G258="","",IF(M258="OK","NONE",INDEX({"S1","S2","W1","W2","N1","N2"},MATCH(MIN(P258:U258),P258:U258,0))))</f>
        <v>S2</v>
      </c>
      <c r="W258" s="117">
        <f t="shared" si="29"/>
        <v>1</v>
      </c>
      <c r="X258" s="119"/>
    </row>
    <row r="259" spans="1:24">
      <c r="A259" s="115">
        <v>257</v>
      </c>
      <c r="B259" s="116">
        <v>9</v>
      </c>
      <c r="C259" s="81" t="s">
        <v>130</v>
      </c>
      <c r="D259" s="111" t="s">
        <v>240</v>
      </c>
      <c r="E259" s="81" t="s">
        <v>102</v>
      </c>
      <c r="F259" s="61">
        <v>4.91</v>
      </c>
      <c r="G259" s="52">
        <f t="shared" ref="G259:G322" si="30">0.97+F259</f>
        <v>5.88</v>
      </c>
      <c r="H259" s="110"/>
      <c r="I259" s="81">
        <v>9.91</v>
      </c>
      <c r="J259" s="81">
        <f>VLOOKUP(C259,Recipes!$A$2:$N$4,12,FALSE())</f>
        <v>5.0137397426368718E-2</v>
      </c>
      <c r="K259" s="81">
        <f t="shared" ref="K259:K322" si="31">I259-6*J259</f>
        <v>9.6091756154417887</v>
      </c>
      <c r="L259" s="81">
        <f t="shared" si="27"/>
        <v>10.210824384558212</v>
      </c>
      <c r="M259" s="81" t="str">
        <f t="shared" ref="M259:M322" si="32">IF(G259="","",IF(AND(G259&gt;=K259,G259&lt;=L259),"OK","NG"))</f>
        <v>NG</v>
      </c>
      <c r="N259" s="117">
        <f t="shared" si="28"/>
        <v>1</v>
      </c>
      <c r="O259" s="81">
        <f t="shared" ref="O259:O322" si="33">IF(G259="","",I259-G259)</f>
        <v>4.03</v>
      </c>
      <c r="P259" s="81">
        <f>IF(G259="","",ABS(O259-Components!$C$2))</f>
        <v>1.2766666666666704</v>
      </c>
      <c r="Q259" s="81">
        <f>IF(G259="","",ABS(O259-Components!$C$3))</f>
        <v>5.9999999999993392E-3</v>
      </c>
      <c r="R259" s="81">
        <f>IF(G259="","",ABS(O259-Components!$C$4))</f>
        <v>3.0366666666666671</v>
      </c>
      <c r="S259" s="81">
        <f>IF(G259="","",ABS(O259-Components!$C$5))</f>
        <v>0.53266666666667017</v>
      </c>
      <c r="T259" s="81">
        <f>IF(G259="","",ABS(O259-Components!$C$6))</f>
        <v>2.8743333333333303</v>
      </c>
      <c r="U259" s="81">
        <f>IF(G259="","",ABS(O259-Components!$C$7))</f>
        <v>2.6556666666666704</v>
      </c>
      <c r="V259" s="81" t="str">
        <f>IF(G259="","",IF(M259="OK","NONE",INDEX({"S1","S2","W1","W2","N1","N2"},MATCH(MIN(P259:U259),P259:U259,0))))</f>
        <v>S2</v>
      </c>
      <c r="W259" s="117">
        <f t="shared" si="29"/>
        <v>1</v>
      </c>
      <c r="X259" s="119"/>
    </row>
    <row r="260" spans="1:24">
      <c r="A260" s="115">
        <v>258</v>
      </c>
      <c r="B260" s="116">
        <v>9</v>
      </c>
      <c r="C260" s="81" t="s">
        <v>130</v>
      </c>
      <c r="D260" s="111" t="s">
        <v>240</v>
      </c>
      <c r="E260" s="81" t="s">
        <v>102</v>
      </c>
      <c r="F260" s="61">
        <v>4.67</v>
      </c>
      <c r="G260" s="52">
        <f t="shared" si="30"/>
        <v>5.64</v>
      </c>
      <c r="H260" s="110"/>
      <c r="I260" s="81">
        <v>9.91</v>
      </c>
      <c r="J260" s="81">
        <f>VLOOKUP(C260,Recipes!$A$2:$N$4,12,FALSE())</f>
        <v>5.0137397426368718E-2</v>
      </c>
      <c r="K260" s="81">
        <f t="shared" si="31"/>
        <v>9.6091756154417887</v>
      </c>
      <c r="L260" s="81">
        <f t="shared" ref="L260:L323" si="34">I260+6*J260</f>
        <v>10.210824384558212</v>
      </c>
      <c r="M260" s="81" t="str">
        <f t="shared" si="32"/>
        <v>NG</v>
      </c>
      <c r="N260" s="117">
        <f t="shared" ref="N260:N323" si="35">IF(M260="","",IF(M260=D260,1,0))</f>
        <v>1</v>
      </c>
      <c r="O260" s="81">
        <f t="shared" si="33"/>
        <v>4.2700000000000005</v>
      </c>
      <c r="P260" s="81">
        <f>IF(G260="","",ABS(O260-Components!$C$2))</f>
        <v>1.5166666666666706</v>
      </c>
      <c r="Q260" s="81">
        <f>IF(G260="","",ABS(O260-Components!$C$3))</f>
        <v>0.23400000000000087</v>
      </c>
      <c r="R260" s="81">
        <f>IF(G260="","",ABS(O260-Components!$C$4))</f>
        <v>3.2766666666666673</v>
      </c>
      <c r="S260" s="81">
        <f>IF(G260="","",ABS(O260-Components!$C$5))</f>
        <v>0.29266666666666996</v>
      </c>
      <c r="T260" s="81">
        <f>IF(G260="","",ABS(O260-Components!$C$6))</f>
        <v>3.1143333333333305</v>
      </c>
      <c r="U260" s="81">
        <f>IF(G260="","",ABS(O260-Components!$C$7))</f>
        <v>2.8956666666666706</v>
      </c>
      <c r="V260" s="81" t="str">
        <f>IF(G260="","",IF(M260="OK","NONE",INDEX({"S1","S2","W1","W2","N1","N2"},MATCH(MIN(P260:U260),P260:U260,0))))</f>
        <v>S2</v>
      </c>
      <c r="W260" s="117">
        <f t="shared" ref="W260:W323" si="36">IF(G260="","",IF(V260=E260,1,0))</f>
        <v>1</v>
      </c>
      <c r="X260" s="119"/>
    </row>
    <row r="261" spans="1:24">
      <c r="A261" s="115">
        <v>259</v>
      </c>
      <c r="B261" s="116">
        <v>9</v>
      </c>
      <c r="C261" s="61" t="s">
        <v>130</v>
      </c>
      <c r="D261" s="61" t="s">
        <v>240</v>
      </c>
      <c r="E261" s="61" t="s">
        <v>102</v>
      </c>
      <c r="F261" s="61">
        <v>4.8600000000000003</v>
      </c>
      <c r="G261" s="52">
        <f t="shared" si="30"/>
        <v>5.83</v>
      </c>
      <c r="H261" s="110"/>
      <c r="I261" s="81">
        <v>9.91</v>
      </c>
      <c r="J261" s="81">
        <f>VLOOKUP(C261,Recipes!$A$2:$N$4,12,FALSE())</f>
        <v>5.0137397426368718E-2</v>
      </c>
      <c r="K261" s="81">
        <f t="shared" si="31"/>
        <v>9.6091756154417887</v>
      </c>
      <c r="L261" s="81">
        <f t="shared" si="34"/>
        <v>10.210824384558212</v>
      </c>
      <c r="M261" s="81" t="str">
        <f t="shared" si="32"/>
        <v>NG</v>
      </c>
      <c r="N261" s="117">
        <f t="shared" si="35"/>
        <v>1</v>
      </c>
      <c r="O261" s="81">
        <f t="shared" si="33"/>
        <v>4.08</v>
      </c>
      <c r="P261" s="81">
        <f>IF(G261="","",ABS(O261-Components!$C$2))</f>
        <v>1.3266666666666702</v>
      </c>
      <c r="Q261" s="81">
        <f>IF(G261="","",ABS(O261-Components!$C$3))</f>
        <v>4.4000000000000483E-2</v>
      </c>
      <c r="R261" s="81">
        <f>IF(G261="","",ABS(O261-Components!$C$4))</f>
        <v>3.0866666666666669</v>
      </c>
      <c r="S261" s="81">
        <f>IF(G261="","",ABS(O261-Components!$C$5))</f>
        <v>0.48266666666667035</v>
      </c>
      <c r="T261" s="81">
        <f>IF(G261="","",ABS(O261-Components!$C$6))</f>
        <v>2.9243333333333301</v>
      </c>
      <c r="U261" s="81">
        <f>IF(G261="","",ABS(O261-Components!$C$7))</f>
        <v>2.7056666666666702</v>
      </c>
      <c r="V261" s="81" t="str">
        <f>IF(G261="","",IF(M261="OK","NONE",INDEX({"S1","S2","W1","W2","N1","N2"},MATCH(MIN(P261:U261),P261:U261,0))))</f>
        <v>S2</v>
      </c>
      <c r="W261" s="117">
        <f t="shared" si="36"/>
        <v>1</v>
      </c>
      <c r="X261" s="119"/>
    </row>
    <row r="262" spans="1:24">
      <c r="A262" s="115">
        <v>260</v>
      </c>
      <c r="B262" s="116">
        <v>9</v>
      </c>
      <c r="C262" s="61" t="s">
        <v>130</v>
      </c>
      <c r="D262" s="61" t="s">
        <v>240</v>
      </c>
      <c r="E262" s="61" t="s">
        <v>102</v>
      </c>
      <c r="F262" s="61">
        <v>4.75</v>
      </c>
      <c r="G262" s="52">
        <f t="shared" si="30"/>
        <v>5.72</v>
      </c>
      <c r="H262" s="110"/>
      <c r="I262" s="81">
        <v>9.91</v>
      </c>
      <c r="J262" s="81">
        <f>VLOOKUP(C262,Recipes!$A$2:$N$4,12,FALSE())</f>
        <v>5.0137397426368718E-2</v>
      </c>
      <c r="K262" s="81">
        <f t="shared" si="31"/>
        <v>9.6091756154417887</v>
      </c>
      <c r="L262" s="81">
        <f t="shared" si="34"/>
        <v>10.210824384558212</v>
      </c>
      <c r="M262" s="81" t="str">
        <f t="shared" si="32"/>
        <v>NG</v>
      </c>
      <c r="N262" s="117">
        <f t="shared" si="35"/>
        <v>1</v>
      </c>
      <c r="O262" s="81">
        <f t="shared" si="33"/>
        <v>4.1900000000000004</v>
      </c>
      <c r="P262" s="81">
        <f>IF(G262="","",ABS(O262-Components!$C$2))</f>
        <v>1.4366666666666705</v>
      </c>
      <c r="Q262" s="81">
        <f>IF(G262="","",ABS(O262-Components!$C$3))</f>
        <v>0.1540000000000008</v>
      </c>
      <c r="R262" s="81">
        <f>IF(G262="","",ABS(O262-Components!$C$4))</f>
        <v>3.1966666666666672</v>
      </c>
      <c r="S262" s="81">
        <f>IF(G262="","",ABS(O262-Components!$C$5))</f>
        <v>0.37266666666667003</v>
      </c>
      <c r="T262" s="81">
        <f>IF(G262="","",ABS(O262-Components!$C$6))</f>
        <v>3.0343333333333304</v>
      </c>
      <c r="U262" s="81">
        <f>IF(G262="","",ABS(O262-Components!$C$7))</f>
        <v>2.8156666666666705</v>
      </c>
      <c r="V262" s="81" t="str">
        <f>IF(G262="","",IF(M262="OK","NONE",INDEX({"S1","S2","W1","W2","N1","N2"},MATCH(MIN(P262:U262),P262:U262,0))))</f>
        <v>S2</v>
      </c>
      <c r="W262" s="117">
        <f t="shared" si="36"/>
        <v>1</v>
      </c>
      <c r="X262" s="119"/>
    </row>
    <row r="263" spans="1:24">
      <c r="A263" s="115">
        <v>261</v>
      </c>
      <c r="B263" s="116">
        <v>9</v>
      </c>
      <c r="C263" s="81" t="s">
        <v>130</v>
      </c>
      <c r="D263" s="111" t="s">
        <v>240</v>
      </c>
      <c r="E263" s="81" t="s">
        <v>102</v>
      </c>
      <c r="F263" s="61">
        <v>4.91</v>
      </c>
      <c r="G263" s="52">
        <f t="shared" si="30"/>
        <v>5.88</v>
      </c>
      <c r="H263" s="110"/>
      <c r="I263" s="81">
        <v>9.91</v>
      </c>
      <c r="J263" s="81">
        <f>VLOOKUP(C263,Recipes!$A$2:$N$4,12,FALSE())</f>
        <v>5.0137397426368718E-2</v>
      </c>
      <c r="K263" s="81">
        <f t="shared" si="31"/>
        <v>9.6091756154417887</v>
      </c>
      <c r="L263" s="81">
        <f t="shared" si="34"/>
        <v>10.210824384558212</v>
      </c>
      <c r="M263" s="81" t="str">
        <f t="shared" si="32"/>
        <v>NG</v>
      </c>
      <c r="N263" s="117">
        <f t="shared" si="35"/>
        <v>1</v>
      </c>
      <c r="O263" s="81">
        <f t="shared" si="33"/>
        <v>4.03</v>
      </c>
      <c r="P263" s="81">
        <f>IF(G263="","",ABS(O263-Components!$C$2))</f>
        <v>1.2766666666666704</v>
      </c>
      <c r="Q263" s="81">
        <f>IF(G263="","",ABS(O263-Components!$C$3))</f>
        <v>5.9999999999993392E-3</v>
      </c>
      <c r="R263" s="81">
        <f>IF(G263="","",ABS(O263-Components!$C$4))</f>
        <v>3.0366666666666671</v>
      </c>
      <c r="S263" s="81">
        <f>IF(G263="","",ABS(O263-Components!$C$5))</f>
        <v>0.53266666666667017</v>
      </c>
      <c r="T263" s="81">
        <f>IF(G263="","",ABS(O263-Components!$C$6))</f>
        <v>2.8743333333333303</v>
      </c>
      <c r="U263" s="81">
        <f>IF(G263="","",ABS(O263-Components!$C$7))</f>
        <v>2.6556666666666704</v>
      </c>
      <c r="V263" s="81" t="str">
        <f>IF(G263="","",IF(M263="OK","NONE",INDEX({"S1","S2","W1","W2","N1","N2"},MATCH(MIN(P263:U263),P263:U263,0))))</f>
        <v>S2</v>
      </c>
      <c r="W263" s="117">
        <f t="shared" si="36"/>
        <v>1</v>
      </c>
      <c r="X263" s="119"/>
    </row>
    <row r="264" spans="1:24">
      <c r="A264" s="115">
        <v>262</v>
      </c>
      <c r="B264" s="116">
        <v>9</v>
      </c>
      <c r="C264" s="81" t="s">
        <v>130</v>
      </c>
      <c r="D264" s="111" t="s">
        <v>240</v>
      </c>
      <c r="E264" s="81" t="s">
        <v>102</v>
      </c>
      <c r="F264" s="61">
        <v>4.82</v>
      </c>
      <c r="G264" s="52">
        <f t="shared" si="30"/>
        <v>5.79</v>
      </c>
      <c r="H264" s="110"/>
      <c r="I264" s="81">
        <v>9.91</v>
      </c>
      <c r="J264" s="81">
        <f>VLOOKUP(C264,Recipes!$A$2:$N$4,12,FALSE())</f>
        <v>5.0137397426368718E-2</v>
      </c>
      <c r="K264" s="81">
        <f t="shared" si="31"/>
        <v>9.6091756154417887</v>
      </c>
      <c r="L264" s="81">
        <f t="shared" si="34"/>
        <v>10.210824384558212</v>
      </c>
      <c r="M264" s="81" t="str">
        <f t="shared" si="32"/>
        <v>NG</v>
      </c>
      <c r="N264" s="117">
        <f t="shared" si="35"/>
        <v>1</v>
      </c>
      <c r="O264" s="81">
        <f t="shared" si="33"/>
        <v>4.12</v>
      </c>
      <c r="P264" s="81">
        <f>IF(G264="","",ABS(O264-Components!$C$2))</f>
        <v>1.3666666666666702</v>
      </c>
      <c r="Q264" s="81">
        <f>IF(G264="","",ABS(O264-Components!$C$3))</f>
        <v>8.4000000000000519E-2</v>
      </c>
      <c r="R264" s="81">
        <f>IF(G264="","",ABS(O264-Components!$C$4))</f>
        <v>3.1266666666666669</v>
      </c>
      <c r="S264" s="81">
        <f>IF(G264="","",ABS(O264-Components!$C$5))</f>
        <v>0.44266666666667032</v>
      </c>
      <c r="T264" s="81">
        <f>IF(G264="","",ABS(O264-Components!$C$6))</f>
        <v>2.9643333333333302</v>
      </c>
      <c r="U264" s="81">
        <f>IF(G264="","",ABS(O264-Components!$C$7))</f>
        <v>2.7456666666666703</v>
      </c>
      <c r="V264" s="81" t="str">
        <f>IF(G264="","",IF(M264="OK","NONE",INDEX({"S1","S2","W1","W2","N1","N2"},MATCH(MIN(P264:U264),P264:U264,0))))</f>
        <v>S2</v>
      </c>
      <c r="W264" s="117">
        <f t="shared" si="36"/>
        <v>1</v>
      </c>
      <c r="X264" s="119"/>
    </row>
    <row r="265" spans="1:24">
      <c r="A265" s="115">
        <v>263</v>
      </c>
      <c r="B265" s="116">
        <v>9</v>
      </c>
      <c r="C265" s="81" t="s">
        <v>130</v>
      </c>
      <c r="D265" s="111" t="s">
        <v>240</v>
      </c>
      <c r="E265" s="81" t="s">
        <v>102</v>
      </c>
      <c r="F265" s="61">
        <v>4.83</v>
      </c>
      <c r="G265" s="52">
        <f t="shared" si="30"/>
        <v>5.8</v>
      </c>
      <c r="H265" s="110"/>
      <c r="I265" s="81">
        <v>9.91</v>
      </c>
      <c r="J265" s="81">
        <f>VLOOKUP(C265,Recipes!$A$2:$N$4,12,FALSE())</f>
        <v>5.0137397426368718E-2</v>
      </c>
      <c r="K265" s="81">
        <f t="shared" si="31"/>
        <v>9.6091756154417887</v>
      </c>
      <c r="L265" s="81">
        <f t="shared" si="34"/>
        <v>10.210824384558212</v>
      </c>
      <c r="M265" s="81" t="str">
        <f t="shared" si="32"/>
        <v>NG</v>
      </c>
      <c r="N265" s="117">
        <f t="shared" si="35"/>
        <v>1</v>
      </c>
      <c r="O265" s="81">
        <f t="shared" si="33"/>
        <v>4.1100000000000003</v>
      </c>
      <c r="P265" s="81">
        <f>IF(G265="","",ABS(O265-Components!$C$2))</f>
        <v>1.3566666666666705</v>
      </c>
      <c r="Q265" s="81">
        <f>IF(G265="","",ABS(O265-Components!$C$3))</f>
        <v>7.4000000000000732E-2</v>
      </c>
      <c r="R265" s="81">
        <f>IF(G265="","",ABS(O265-Components!$C$4))</f>
        <v>3.1166666666666671</v>
      </c>
      <c r="S265" s="81">
        <f>IF(G265="","",ABS(O265-Components!$C$5))</f>
        <v>0.4526666666666701</v>
      </c>
      <c r="T265" s="81">
        <f>IF(G265="","",ABS(O265-Components!$C$6))</f>
        <v>2.9543333333333304</v>
      </c>
      <c r="U265" s="81">
        <f>IF(G265="","",ABS(O265-Components!$C$7))</f>
        <v>2.7356666666666705</v>
      </c>
      <c r="V265" s="81" t="str">
        <f>IF(G265="","",IF(M265="OK","NONE",INDEX({"S1","S2","W1","W2","N1","N2"},MATCH(MIN(P265:U265),P265:U265,0))))</f>
        <v>S2</v>
      </c>
      <c r="W265" s="117">
        <f t="shared" si="36"/>
        <v>1</v>
      </c>
      <c r="X265" s="119"/>
    </row>
    <row r="266" spans="1:24">
      <c r="A266" s="115">
        <v>264</v>
      </c>
      <c r="B266" s="116">
        <v>9</v>
      </c>
      <c r="C266" s="61" t="s">
        <v>130</v>
      </c>
      <c r="D266" s="61" t="s">
        <v>240</v>
      </c>
      <c r="E266" s="61" t="s">
        <v>102</v>
      </c>
      <c r="F266" s="61">
        <v>4.78</v>
      </c>
      <c r="G266" s="52">
        <f t="shared" si="30"/>
        <v>5.75</v>
      </c>
      <c r="H266" s="110"/>
      <c r="I266" s="81">
        <v>9.91</v>
      </c>
      <c r="J266" s="81">
        <f>VLOOKUP(C266,Recipes!$A$2:$N$4,12,FALSE())</f>
        <v>5.0137397426368718E-2</v>
      </c>
      <c r="K266" s="81">
        <f t="shared" si="31"/>
        <v>9.6091756154417887</v>
      </c>
      <c r="L266" s="81">
        <f t="shared" si="34"/>
        <v>10.210824384558212</v>
      </c>
      <c r="M266" s="81" t="str">
        <f t="shared" si="32"/>
        <v>NG</v>
      </c>
      <c r="N266" s="117">
        <f t="shared" si="35"/>
        <v>1</v>
      </c>
      <c r="O266" s="81">
        <f t="shared" si="33"/>
        <v>4.16</v>
      </c>
      <c r="P266" s="81">
        <f>IF(G266="","",ABS(O266-Components!$C$2))</f>
        <v>1.4066666666666703</v>
      </c>
      <c r="Q266" s="81">
        <f>IF(G266="","",ABS(O266-Components!$C$3))</f>
        <v>0.12400000000000055</v>
      </c>
      <c r="R266" s="81">
        <f>IF(G266="","",ABS(O266-Components!$C$4))</f>
        <v>3.166666666666667</v>
      </c>
      <c r="S266" s="81">
        <f>IF(G266="","",ABS(O266-Components!$C$5))</f>
        <v>0.40266666666667028</v>
      </c>
      <c r="T266" s="81">
        <f>IF(G266="","",ABS(O266-Components!$C$6))</f>
        <v>3.0043333333333302</v>
      </c>
      <c r="U266" s="81">
        <f>IF(G266="","",ABS(O266-Components!$C$7))</f>
        <v>2.7856666666666703</v>
      </c>
      <c r="V266" s="81" t="str">
        <f>IF(G266="","",IF(M266="OK","NONE",INDEX({"S1","S2","W1","W2","N1","N2"},MATCH(MIN(P266:U266),P266:U266,0))))</f>
        <v>S2</v>
      </c>
      <c r="W266" s="117">
        <f t="shared" si="36"/>
        <v>1</v>
      </c>
      <c r="X266" s="119"/>
    </row>
    <row r="267" spans="1:24">
      <c r="A267" s="115">
        <v>265</v>
      </c>
      <c r="B267" s="116">
        <v>9</v>
      </c>
      <c r="C267" s="61" t="s">
        <v>130</v>
      </c>
      <c r="D267" s="61" t="s">
        <v>240</v>
      </c>
      <c r="E267" s="61" t="s">
        <v>102</v>
      </c>
      <c r="F267" s="61">
        <v>4.88</v>
      </c>
      <c r="G267" s="52">
        <f t="shared" si="30"/>
        <v>5.85</v>
      </c>
      <c r="H267" s="110"/>
      <c r="I267" s="81">
        <v>9.91</v>
      </c>
      <c r="J267" s="81">
        <f>VLOOKUP(C267,Recipes!$A$2:$N$4,12,FALSE())</f>
        <v>5.0137397426368718E-2</v>
      </c>
      <c r="K267" s="81">
        <f t="shared" si="31"/>
        <v>9.6091756154417887</v>
      </c>
      <c r="L267" s="81">
        <f t="shared" si="34"/>
        <v>10.210824384558212</v>
      </c>
      <c r="M267" s="81" t="str">
        <f t="shared" si="32"/>
        <v>NG</v>
      </c>
      <c r="N267" s="117">
        <f t="shared" si="35"/>
        <v>1</v>
      </c>
      <c r="O267" s="81">
        <f t="shared" si="33"/>
        <v>4.0600000000000005</v>
      </c>
      <c r="P267" s="81">
        <f>IF(G267="","",ABS(O267-Components!$C$2))</f>
        <v>1.3066666666666706</v>
      </c>
      <c r="Q267" s="81">
        <f>IF(G267="","",ABS(O267-Components!$C$3))</f>
        <v>2.4000000000000909E-2</v>
      </c>
      <c r="R267" s="81">
        <f>IF(G267="","",ABS(O267-Components!$C$4))</f>
        <v>3.0666666666666673</v>
      </c>
      <c r="S267" s="81">
        <f>IF(G267="","",ABS(O267-Components!$C$5))</f>
        <v>0.50266666666666993</v>
      </c>
      <c r="T267" s="81">
        <f>IF(G267="","",ABS(O267-Components!$C$6))</f>
        <v>2.9043333333333305</v>
      </c>
      <c r="U267" s="81">
        <f>IF(G267="","",ABS(O267-Components!$C$7))</f>
        <v>2.6856666666666706</v>
      </c>
      <c r="V267" s="81" t="str">
        <f>IF(G267="","",IF(M267="OK","NONE",INDEX({"S1","S2","W1","W2","N1","N2"},MATCH(MIN(P267:U267),P267:U267,0))))</f>
        <v>S2</v>
      </c>
      <c r="W267" s="117">
        <f t="shared" si="36"/>
        <v>1</v>
      </c>
      <c r="X267" s="119"/>
    </row>
    <row r="268" spans="1:24">
      <c r="A268" s="115">
        <v>266</v>
      </c>
      <c r="B268" s="116">
        <v>9</v>
      </c>
      <c r="C268" s="81" t="s">
        <v>130</v>
      </c>
      <c r="D268" s="111" t="s">
        <v>240</v>
      </c>
      <c r="E268" s="81" t="s">
        <v>102</v>
      </c>
      <c r="F268" s="52">
        <v>4.91</v>
      </c>
      <c r="G268" s="52">
        <f t="shared" si="30"/>
        <v>5.88</v>
      </c>
      <c r="H268" s="110"/>
      <c r="I268" s="81">
        <v>9.91</v>
      </c>
      <c r="J268" s="81">
        <f>VLOOKUP(C268,Recipes!$A$2:$N$4,12,FALSE())</f>
        <v>5.0137397426368718E-2</v>
      </c>
      <c r="K268" s="81">
        <f t="shared" si="31"/>
        <v>9.6091756154417887</v>
      </c>
      <c r="L268" s="81">
        <f t="shared" si="34"/>
        <v>10.210824384558212</v>
      </c>
      <c r="M268" s="81" t="str">
        <f t="shared" si="32"/>
        <v>NG</v>
      </c>
      <c r="N268" s="117">
        <f t="shared" si="35"/>
        <v>1</v>
      </c>
      <c r="O268" s="81">
        <f t="shared" si="33"/>
        <v>4.03</v>
      </c>
      <c r="P268" s="81">
        <f>IF(G268="","",ABS(O268-Components!$C$2))</f>
        <v>1.2766666666666704</v>
      </c>
      <c r="Q268" s="81">
        <f>IF(G268="","",ABS(O268-Components!$C$3))</f>
        <v>5.9999999999993392E-3</v>
      </c>
      <c r="R268" s="81">
        <f>IF(G268="","",ABS(O268-Components!$C$4))</f>
        <v>3.0366666666666671</v>
      </c>
      <c r="S268" s="81">
        <f>IF(G268="","",ABS(O268-Components!$C$5))</f>
        <v>0.53266666666667017</v>
      </c>
      <c r="T268" s="81">
        <f>IF(G268="","",ABS(O268-Components!$C$6))</f>
        <v>2.8743333333333303</v>
      </c>
      <c r="U268" s="81">
        <f>IF(G268="","",ABS(O268-Components!$C$7))</f>
        <v>2.6556666666666704</v>
      </c>
      <c r="V268" s="81" t="str">
        <f>IF(G268="","",IF(M268="OK","NONE",INDEX({"S1","S2","W1","W2","N1","N2"},MATCH(MIN(P268:U268),P268:U268,0))))</f>
        <v>S2</v>
      </c>
      <c r="W268" s="117">
        <f t="shared" si="36"/>
        <v>1</v>
      </c>
      <c r="X268" s="119"/>
    </row>
    <row r="269" spans="1:24">
      <c r="A269" s="115">
        <v>267</v>
      </c>
      <c r="B269" s="116">
        <v>9</v>
      </c>
      <c r="C269" s="81" t="s">
        <v>130</v>
      </c>
      <c r="D269" s="111" t="s">
        <v>240</v>
      </c>
      <c r="E269" s="81" t="s">
        <v>102</v>
      </c>
      <c r="F269" s="52">
        <v>4.8899999999999997</v>
      </c>
      <c r="G269" s="52">
        <f t="shared" si="30"/>
        <v>5.8599999999999994</v>
      </c>
      <c r="H269" s="110"/>
      <c r="I269" s="81">
        <v>9.91</v>
      </c>
      <c r="J269" s="81">
        <f>VLOOKUP(C269,Recipes!$A$2:$N$4,12,FALSE())</f>
        <v>5.0137397426368718E-2</v>
      </c>
      <c r="K269" s="81">
        <f t="shared" si="31"/>
        <v>9.6091756154417887</v>
      </c>
      <c r="L269" s="81">
        <f t="shared" si="34"/>
        <v>10.210824384558212</v>
      </c>
      <c r="M269" s="81" t="str">
        <f t="shared" si="32"/>
        <v>NG</v>
      </c>
      <c r="N269" s="117">
        <f t="shared" si="35"/>
        <v>1</v>
      </c>
      <c r="O269" s="81">
        <f t="shared" si="33"/>
        <v>4.0500000000000007</v>
      </c>
      <c r="P269" s="81">
        <f>IF(G269="","",ABS(O269-Components!$C$2))</f>
        <v>1.2966666666666709</v>
      </c>
      <c r="Q269" s="81">
        <f>IF(G269="","",ABS(O269-Components!$C$3))</f>
        <v>1.4000000000001123E-2</v>
      </c>
      <c r="R269" s="81">
        <f>IF(G269="","",ABS(O269-Components!$C$4))</f>
        <v>3.0566666666666675</v>
      </c>
      <c r="S269" s="81">
        <f>IF(G269="","",ABS(O269-Components!$C$5))</f>
        <v>0.51266666666666971</v>
      </c>
      <c r="T269" s="81">
        <f>IF(G269="","",ABS(O269-Components!$C$6))</f>
        <v>2.8943333333333308</v>
      </c>
      <c r="U269" s="81">
        <f>IF(G269="","",ABS(O269-Components!$C$7))</f>
        <v>2.6756666666666709</v>
      </c>
      <c r="V269" s="81" t="str">
        <f>IF(G269="","",IF(M269="OK","NONE",INDEX({"S1","S2","W1","W2","N1","N2"},MATCH(MIN(P269:U269),P269:U269,0))))</f>
        <v>S2</v>
      </c>
      <c r="W269" s="117">
        <f t="shared" si="36"/>
        <v>1</v>
      </c>
      <c r="X269" s="119"/>
    </row>
    <row r="270" spans="1:24">
      <c r="A270" s="115">
        <v>268</v>
      </c>
      <c r="B270" s="116">
        <v>9</v>
      </c>
      <c r="C270" s="81" t="s">
        <v>130</v>
      </c>
      <c r="D270" s="111" t="s">
        <v>240</v>
      </c>
      <c r="E270" s="81" t="s">
        <v>102</v>
      </c>
      <c r="F270" s="52">
        <v>4.8899999999999997</v>
      </c>
      <c r="G270" s="52">
        <f t="shared" si="30"/>
        <v>5.8599999999999994</v>
      </c>
      <c r="H270" s="110"/>
      <c r="I270" s="81">
        <v>9.91</v>
      </c>
      <c r="J270" s="81">
        <f>VLOOKUP(C270,Recipes!$A$2:$N$4,12,FALSE())</f>
        <v>5.0137397426368718E-2</v>
      </c>
      <c r="K270" s="81">
        <f t="shared" si="31"/>
        <v>9.6091756154417887</v>
      </c>
      <c r="L270" s="81">
        <f t="shared" si="34"/>
        <v>10.210824384558212</v>
      </c>
      <c r="M270" s="81" t="str">
        <f t="shared" si="32"/>
        <v>NG</v>
      </c>
      <c r="N270" s="117">
        <f t="shared" si="35"/>
        <v>1</v>
      </c>
      <c r="O270" s="81">
        <f t="shared" si="33"/>
        <v>4.0500000000000007</v>
      </c>
      <c r="P270" s="81">
        <f>IF(G270="","",ABS(O270-Components!$C$2))</f>
        <v>1.2966666666666709</v>
      </c>
      <c r="Q270" s="81">
        <f>IF(G270="","",ABS(O270-Components!$C$3))</f>
        <v>1.4000000000001123E-2</v>
      </c>
      <c r="R270" s="81">
        <f>IF(G270="","",ABS(O270-Components!$C$4))</f>
        <v>3.0566666666666675</v>
      </c>
      <c r="S270" s="81">
        <f>IF(G270="","",ABS(O270-Components!$C$5))</f>
        <v>0.51266666666666971</v>
      </c>
      <c r="T270" s="81">
        <f>IF(G270="","",ABS(O270-Components!$C$6))</f>
        <v>2.8943333333333308</v>
      </c>
      <c r="U270" s="81">
        <f>IF(G270="","",ABS(O270-Components!$C$7))</f>
        <v>2.6756666666666709</v>
      </c>
      <c r="V270" s="81" t="str">
        <f>IF(G270="","",IF(M270="OK","NONE",INDEX({"S1","S2","W1","W2","N1","N2"},MATCH(MIN(P270:U270),P270:U270,0))))</f>
        <v>S2</v>
      </c>
      <c r="W270" s="117">
        <f t="shared" si="36"/>
        <v>1</v>
      </c>
      <c r="X270" s="119"/>
    </row>
    <row r="271" spans="1:24">
      <c r="A271" s="115">
        <v>269</v>
      </c>
      <c r="B271" s="116">
        <v>9</v>
      </c>
      <c r="C271" s="61" t="s">
        <v>130</v>
      </c>
      <c r="D271" s="61" t="s">
        <v>240</v>
      </c>
      <c r="E271" s="61" t="s">
        <v>102</v>
      </c>
      <c r="F271" s="61">
        <v>4.9000000000000004</v>
      </c>
      <c r="G271" s="52">
        <f t="shared" si="30"/>
        <v>5.87</v>
      </c>
      <c r="H271" s="110"/>
      <c r="I271" s="81">
        <v>9.91</v>
      </c>
      <c r="J271" s="81">
        <f>VLOOKUP(C271,Recipes!$A$2:$N$4,12,FALSE())</f>
        <v>5.0137397426368718E-2</v>
      </c>
      <c r="K271" s="81">
        <f t="shared" si="31"/>
        <v>9.6091756154417887</v>
      </c>
      <c r="L271" s="81">
        <f t="shared" si="34"/>
        <v>10.210824384558212</v>
      </c>
      <c r="M271" s="81" t="str">
        <f t="shared" si="32"/>
        <v>NG</v>
      </c>
      <c r="N271" s="117">
        <f t="shared" si="35"/>
        <v>1</v>
      </c>
      <c r="O271" s="81">
        <f t="shared" si="33"/>
        <v>4.04</v>
      </c>
      <c r="P271" s="81">
        <f>IF(G271="","",ABS(O271-Components!$C$2))</f>
        <v>1.2866666666666702</v>
      </c>
      <c r="Q271" s="81">
        <f>IF(G271="","",ABS(O271-Components!$C$3))</f>
        <v>4.0000000000004476E-3</v>
      </c>
      <c r="R271" s="81">
        <f>IF(G271="","",ABS(O271-Components!$C$4))</f>
        <v>3.0466666666666669</v>
      </c>
      <c r="S271" s="81">
        <f>IF(G271="","",ABS(O271-Components!$C$5))</f>
        <v>0.52266666666667039</v>
      </c>
      <c r="T271" s="81">
        <f>IF(G271="","",ABS(O271-Components!$C$6))</f>
        <v>2.8843333333333301</v>
      </c>
      <c r="U271" s="81">
        <f>IF(G271="","",ABS(O271-Components!$C$7))</f>
        <v>2.6656666666666702</v>
      </c>
      <c r="V271" s="81" t="str">
        <f>IF(G271="","",IF(M271="OK","NONE",INDEX({"S1","S2","W1","W2","N1","N2"},MATCH(MIN(P271:U271),P271:U271,0))))</f>
        <v>S2</v>
      </c>
      <c r="W271" s="117">
        <f t="shared" si="36"/>
        <v>1</v>
      </c>
      <c r="X271" s="119"/>
    </row>
    <row r="272" spans="1:24">
      <c r="A272" s="115">
        <v>270</v>
      </c>
      <c r="B272" s="116">
        <v>9</v>
      </c>
      <c r="C272" s="61" t="s">
        <v>130</v>
      </c>
      <c r="D272" s="61" t="s">
        <v>240</v>
      </c>
      <c r="E272" s="61" t="s">
        <v>102</v>
      </c>
      <c r="F272" s="61">
        <v>4.91</v>
      </c>
      <c r="G272" s="52">
        <f t="shared" si="30"/>
        <v>5.88</v>
      </c>
      <c r="H272" s="110"/>
      <c r="I272" s="81">
        <v>9.91</v>
      </c>
      <c r="J272" s="81">
        <f>VLOOKUP(C272,Recipes!$A$2:$N$4,12,FALSE())</f>
        <v>5.0137397426368718E-2</v>
      </c>
      <c r="K272" s="81">
        <f t="shared" si="31"/>
        <v>9.6091756154417887</v>
      </c>
      <c r="L272" s="81">
        <f t="shared" si="34"/>
        <v>10.210824384558212</v>
      </c>
      <c r="M272" s="81" t="str">
        <f t="shared" si="32"/>
        <v>NG</v>
      </c>
      <c r="N272" s="117">
        <f t="shared" si="35"/>
        <v>1</v>
      </c>
      <c r="O272" s="81">
        <f t="shared" si="33"/>
        <v>4.03</v>
      </c>
      <c r="P272" s="81">
        <f>IF(G272="","",ABS(O272-Components!$C$2))</f>
        <v>1.2766666666666704</v>
      </c>
      <c r="Q272" s="81">
        <f>IF(G272="","",ABS(O272-Components!$C$3))</f>
        <v>5.9999999999993392E-3</v>
      </c>
      <c r="R272" s="81">
        <f>IF(G272="","",ABS(O272-Components!$C$4))</f>
        <v>3.0366666666666671</v>
      </c>
      <c r="S272" s="81">
        <f>IF(G272="","",ABS(O272-Components!$C$5))</f>
        <v>0.53266666666667017</v>
      </c>
      <c r="T272" s="81">
        <f>IF(G272="","",ABS(O272-Components!$C$6))</f>
        <v>2.8743333333333303</v>
      </c>
      <c r="U272" s="81">
        <f>IF(G272="","",ABS(O272-Components!$C$7))</f>
        <v>2.6556666666666704</v>
      </c>
      <c r="V272" s="81" t="str">
        <f>IF(G272="","",IF(M272="OK","NONE",INDEX({"S1","S2","W1","W2","N1","N2"},MATCH(MIN(P272:U272),P272:U272,0))))</f>
        <v>S2</v>
      </c>
      <c r="W272" s="117">
        <f t="shared" si="36"/>
        <v>1</v>
      </c>
      <c r="X272" s="119"/>
    </row>
    <row r="273" spans="1:24">
      <c r="A273" s="115">
        <v>271</v>
      </c>
      <c r="B273" s="116">
        <v>10</v>
      </c>
      <c r="C273" s="81" t="s">
        <v>132</v>
      </c>
      <c r="D273" s="109" t="s">
        <v>238</v>
      </c>
      <c r="E273" s="81" t="s">
        <v>239</v>
      </c>
      <c r="F273" s="52">
        <v>8.65</v>
      </c>
      <c r="G273" s="52">
        <f t="shared" si="30"/>
        <v>9.620000000000001</v>
      </c>
      <c r="H273" s="110"/>
      <c r="I273" s="81">
        <v>9.61</v>
      </c>
      <c r="J273" s="81">
        <f>VLOOKUP(C273,Recipes!$A$2:$N$4,12,FALSE())</f>
        <v>6.1509461004819709E-2</v>
      </c>
      <c r="K273" s="81">
        <f t="shared" si="31"/>
        <v>9.2409432339710804</v>
      </c>
      <c r="L273" s="81">
        <f t="shared" si="34"/>
        <v>9.9790567660289184</v>
      </c>
      <c r="M273" s="81" t="str">
        <f t="shared" si="32"/>
        <v>OK</v>
      </c>
      <c r="N273" s="117">
        <f t="shared" si="35"/>
        <v>1</v>
      </c>
      <c r="O273" s="81">
        <f t="shared" si="33"/>
        <v>-1.0000000000001563E-2</v>
      </c>
      <c r="P273" s="81">
        <f>IF(G273="","",ABS(O273-Components!$C$2))</f>
        <v>2.7633333333333314</v>
      </c>
      <c r="Q273" s="81">
        <f>IF(G273="","",ABS(O273-Components!$C$3))</f>
        <v>4.0460000000000012</v>
      </c>
      <c r="R273" s="81">
        <f>IF(G273="","",ABS(O273-Components!$C$4))</f>
        <v>1.0033333333333345</v>
      </c>
      <c r="S273" s="81">
        <f>IF(G273="","",ABS(O273-Components!$C$5))</f>
        <v>4.572666666666672</v>
      </c>
      <c r="T273" s="81">
        <f>IF(G273="","",ABS(O273-Components!$C$6))</f>
        <v>1.1656666666666715</v>
      </c>
      <c r="U273" s="81">
        <f>IF(G273="","",ABS(O273-Components!$C$7))</f>
        <v>1.3843333333333316</v>
      </c>
      <c r="V273" s="81" t="str">
        <f>IF(G273="","",IF(M273="OK","NONE",INDEX({"S1","S2","W1","W2","N1","N2"},MATCH(MIN(P273:U273),P273:U273,0))))</f>
        <v>NONE</v>
      </c>
      <c r="W273" s="117">
        <f t="shared" si="36"/>
        <v>1</v>
      </c>
      <c r="X273" s="119"/>
    </row>
    <row r="274" spans="1:24">
      <c r="A274" s="115">
        <v>272</v>
      </c>
      <c r="B274" s="116">
        <v>10</v>
      </c>
      <c r="C274" s="81" t="s">
        <v>132</v>
      </c>
      <c r="D274" s="109" t="s">
        <v>238</v>
      </c>
      <c r="E274" s="81" t="s">
        <v>239</v>
      </c>
      <c r="F274" s="52">
        <v>8.5299999999999994</v>
      </c>
      <c r="G274" s="52">
        <f t="shared" si="30"/>
        <v>9.5</v>
      </c>
      <c r="H274" s="110"/>
      <c r="I274" s="81">
        <v>9.61</v>
      </c>
      <c r="J274" s="81">
        <f>VLOOKUP(C274,Recipes!$A$2:$N$4,12,FALSE())</f>
        <v>6.1509461004819709E-2</v>
      </c>
      <c r="K274" s="81">
        <f t="shared" si="31"/>
        <v>9.2409432339710804</v>
      </c>
      <c r="L274" s="81">
        <f t="shared" si="34"/>
        <v>9.9790567660289184</v>
      </c>
      <c r="M274" s="81" t="str">
        <f t="shared" si="32"/>
        <v>OK</v>
      </c>
      <c r="N274" s="117">
        <f t="shared" si="35"/>
        <v>1</v>
      </c>
      <c r="O274" s="81">
        <f t="shared" si="33"/>
        <v>0.10999999999999943</v>
      </c>
      <c r="P274" s="81">
        <f>IF(G274="","",ABS(O274-Components!$C$2))</f>
        <v>2.6433333333333304</v>
      </c>
      <c r="Q274" s="81">
        <f>IF(G274="","",ABS(O274-Components!$C$3))</f>
        <v>3.9260000000000002</v>
      </c>
      <c r="R274" s="81">
        <f>IF(G274="","",ABS(O274-Components!$C$4))</f>
        <v>0.88333333333333353</v>
      </c>
      <c r="S274" s="81">
        <f>IF(G274="","",ABS(O274-Components!$C$5))</f>
        <v>4.452666666666671</v>
      </c>
      <c r="T274" s="81">
        <f>IF(G274="","",ABS(O274-Components!$C$6))</f>
        <v>1.0456666666666705</v>
      </c>
      <c r="U274" s="81">
        <f>IF(G274="","",ABS(O274-Components!$C$7))</f>
        <v>1.2643333333333306</v>
      </c>
      <c r="V274" s="81" t="str">
        <f>IF(G274="","",IF(M274="OK","NONE",INDEX({"S1","S2","W1","W2","N1","N2"},MATCH(MIN(P274:U274),P274:U274,0))))</f>
        <v>NONE</v>
      </c>
      <c r="W274" s="117">
        <f t="shared" si="36"/>
        <v>1</v>
      </c>
      <c r="X274" s="119"/>
    </row>
    <row r="275" spans="1:24">
      <c r="A275" s="115">
        <v>273</v>
      </c>
      <c r="B275" s="116">
        <v>10</v>
      </c>
      <c r="C275" s="81" t="s">
        <v>132</v>
      </c>
      <c r="D275" s="109" t="s">
        <v>238</v>
      </c>
      <c r="E275" s="81" t="s">
        <v>239</v>
      </c>
      <c r="F275" s="61">
        <v>8.58</v>
      </c>
      <c r="G275" s="52">
        <f t="shared" si="30"/>
        <v>9.5500000000000007</v>
      </c>
      <c r="H275" s="110"/>
      <c r="I275" s="81">
        <v>9.61</v>
      </c>
      <c r="J275" s="81">
        <f>VLOOKUP(C275,Recipes!$A$2:$N$4,12,FALSE())</f>
        <v>6.1509461004819709E-2</v>
      </c>
      <c r="K275" s="81">
        <f t="shared" si="31"/>
        <v>9.2409432339710804</v>
      </c>
      <c r="L275" s="81">
        <f t="shared" si="34"/>
        <v>9.9790567660289184</v>
      </c>
      <c r="M275" s="81" t="str">
        <f t="shared" si="32"/>
        <v>OK</v>
      </c>
      <c r="N275" s="117">
        <f t="shared" si="35"/>
        <v>1</v>
      </c>
      <c r="O275" s="81">
        <f t="shared" si="33"/>
        <v>5.9999999999998721E-2</v>
      </c>
      <c r="P275" s="81">
        <f>IF(G275="","",ABS(O275-Components!$C$2))</f>
        <v>2.6933333333333311</v>
      </c>
      <c r="Q275" s="81">
        <f>IF(G275="","",ABS(O275-Components!$C$3))</f>
        <v>3.9760000000000009</v>
      </c>
      <c r="R275" s="81">
        <f>IF(G275="","",ABS(O275-Components!$C$4))</f>
        <v>0.93333333333333424</v>
      </c>
      <c r="S275" s="81">
        <f>IF(G275="","",ABS(O275-Components!$C$5))</f>
        <v>4.5026666666666717</v>
      </c>
      <c r="T275" s="81">
        <f>IF(G275="","",ABS(O275-Components!$C$6))</f>
        <v>1.0956666666666712</v>
      </c>
      <c r="U275" s="81">
        <f>IF(G275="","",ABS(O275-Components!$C$7))</f>
        <v>1.3143333333333314</v>
      </c>
      <c r="V275" s="81" t="str">
        <f>IF(G275="","",IF(M275="OK","NONE",INDEX({"S1","S2","W1","W2","N1","N2"},MATCH(MIN(P275:U275),P275:U275,0))))</f>
        <v>NONE</v>
      </c>
      <c r="W275" s="117">
        <f t="shared" si="36"/>
        <v>1</v>
      </c>
      <c r="X275" s="119"/>
    </row>
    <row r="276" spans="1:24">
      <c r="A276" s="115">
        <v>274</v>
      </c>
      <c r="B276" s="116">
        <v>10</v>
      </c>
      <c r="C276" s="81" t="s">
        <v>132</v>
      </c>
      <c r="D276" s="109" t="s">
        <v>238</v>
      </c>
      <c r="E276" s="81" t="s">
        <v>239</v>
      </c>
      <c r="F276" s="61">
        <v>8.66</v>
      </c>
      <c r="G276" s="52">
        <f t="shared" si="30"/>
        <v>9.6300000000000008</v>
      </c>
      <c r="H276" s="110"/>
      <c r="I276" s="81">
        <v>9.61</v>
      </c>
      <c r="J276" s="81">
        <f>VLOOKUP(C276,Recipes!$A$2:$N$4,12,FALSE())</f>
        <v>6.1509461004819709E-2</v>
      </c>
      <c r="K276" s="81">
        <f t="shared" si="31"/>
        <v>9.2409432339710804</v>
      </c>
      <c r="L276" s="81">
        <f t="shared" si="34"/>
        <v>9.9790567660289184</v>
      </c>
      <c r="M276" s="81" t="str">
        <f t="shared" si="32"/>
        <v>OK</v>
      </c>
      <c r="N276" s="117">
        <f t="shared" si="35"/>
        <v>1</v>
      </c>
      <c r="O276" s="81">
        <f t="shared" si="33"/>
        <v>-2.000000000000135E-2</v>
      </c>
      <c r="P276" s="81">
        <f>IF(G276="","",ABS(O276-Components!$C$2))</f>
        <v>2.7733333333333312</v>
      </c>
      <c r="Q276" s="81">
        <f>IF(G276="","",ABS(O276-Components!$C$3))</f>
        <v>4.0560000000000009</v>
      </c>
      <c r="R276" s="81">
        <f>IF(G276="","",ABS(O276-Components!$C$4))</f>
        <v>1.0133333333333343</v>
      </c>
      <c r="S276" s="81">
        <f>IF(G276="","",ABS(O276-Components!$C$5))</f>
        <v>4.5826666666666718</v>
      </c>
      <c r="T276" s="81">
        <f>IF(G276="","",ABS(O276-Components!$C$6))</f>
        <v>1.1756666666666713</v>
      </c>
      <c r="U276" s="81">
        <f>IF(G276="","",ABS(O276-Components!$C$7))</f>
        <v>1.3943333333333314</v>
      </c>
      <c r="V276" s="81" t="str">
        <f>IF(G276="","",IF(M276="OK","NONE",INDEX({"S1","S2","W1","W2","N1","N2"},MATCH(MIN(P276:U276),P276:U276,0))))</f>
        <v>NONE</v>
      </c>
      <c r="W276" s="117">
        <f t="shared" si="36"/>
        <v>1</v>
      </c>
      <c r="X276" s="119"/>
    </row>
    <row r="277" spans="1:24">
      <c r="A277" s="115">
        <v>275</v>
      </c>
      <c r="B277" s="116">
        <v>10</v>
      </c>
      <c r="C277" s="81" t="s">
        <v>132</v>
      </c>
      <c r="D277" s="109" t="s">
        <v>238</v>
      </c>
      <c r="E277" s="81" t="s">
        <v>239</v>
      </c>
      <c r="F277" s="61">
        <v>8.57</v>
      </c>
      <c r="G277" s="52">
        <f t="shared" si="30"/>
        <v>9.5400000000000009</v>
      </c>
      <c r="H277" s="110"/>
      <c r="I277" s="81">
        <v>9.61</v>
      </c>
      <c r="J277" s="81">
        <f>VLOOKUP(C277,Recipes!$A$2:$N$4,12,FALSE())</f>
        <v>6.1509461004819709E-2</v>
      </c>
      <c r="K277" s="81">
        <f t="shared" si="31"/>
        <v>9.2409432339710804</v>
      </c>
      <c r="L277" s="81">
        <f t="shared" si="34"/>
        <v>9.9790567660289184</v>
      </c>
      <c r="M277" s="81" t="str">
        <f t="shared" si="32"/>
        <v>OK</v>
      </c>
      <c r="N277" s="117">
        <f t="shared" si="35"/>
        <v>1</v>
      </c>
      <c r="O277" s="81">
        <f t="shared" si="33"/>
        <v>6.9999999999998508E-2</v>
      </c>
      <c r="P277" s="81">
        <f>IF(G277="","",ABS(O277-Components!$C$2))</f>
        <v>2.6833333333333313</v>
      </c>
      <c r="Q277" s="81">
        <f>IF(G277="","",ABS(O277-Components!$C$3))</f>
        <v>3.9660000000000011</v>
      </c>
      <c r="R277" s="81">
        <f>IF(G277="","",ABS(O277-Components!$C$4))</f>
        <v>0.92333333333333445</v>
      </c>
      <c r="S277" s="81">
        <f>IF(G277="","",ABS(O277-Components!$C$5))</f>
        <v>4.4926666666666719</v>
      </c>
      <c r="T277" s="81">
        <f>IF(G277="","",ABS(O277-Components!$C$6))</f>
        <v>1.0856666666666714</v>
      </c>
      <c r="U277" s="81">
        <f>IF(G277="","",ABS(O277-Components!$C$7))</f>
        <v>1.3043333333333316</v>
      </c>
      <c r="V277" s="81" t="str">
        <f>IF(G277="","",IF(M277="OK","NONE",INDEX({"S1","S2","W1","W2","N1","N2"},MATCH(MIN(P277:U277),P277:U277,0))))</f>
        <v>NONE</v>
      </c>
      <c r="W277" s="117">
        <f t="shared" si="36"/>
        <v>1</v>
      </c>
      <c r="X277" s="119"/>
    </row>
    <row r="278" spans="1:24">
      <c r="A278" s="115">
        <v>276</v>
      </c>
      <c r="B278" s="116">
        <v>10</v>
      </c>
      <c r="C278" s="81" t="s">
        <v>132</v>
      </c>
      <c r="D278" s="109" t="s">
        <v>238</v>
      </c>
      <c r="E278" s="81" t="s">
        <v>239</v>
      </c>
      <c r="F278" s="61">
        <v>8.6</v>
      </c>
      <c r="G278" s="52">
        <f t="shared" si="30"/>
        <v>9.57</v>
      </c>
      <c r="H278" s="110"/>
      <c r="I278" s="81">
        <v>9.61</v>
      </c>
      <c r="J278" s="81">
        <f>VLOOKUP(C278,Recipes!$A$2:$N$4,12,FALSE())</f>
        <v>6.1509461004819709E-2</v>
      </c>
      <c r="K278" s="81">
        <f t="shared" si="31"/>
        <v>9.2409432339710804</v>
      </c>
      <c r="L278" s="81">
        <f t="shared" si="34"/>
        <v>9.9790567660289184</v>
      </c>
      <c r="M278" s="81" t="str">
        <f t="shared" si="32"/>
        <v>OK</v>
      </c>
      <c r="N278" s="117">
        <f t="shared" si="35"/>
        <v>1</v>
      </c>
      <c r="O278" s="81">
        <f t="shared" si="33"/>
        <v>3.9999999999999147E-2</v>
      </c>
      <c r="P278" s="81">
        <f>IF(G278="","",ABS(O278-Components!$C$2))</f>
        <v>2.7133333333333307</v>
      </c>
      <c r="Q278" s="81">
        <f>IF(G278="","",ABS(O278-Components!$C$3))</f>
        <v>3.9960000000000004</v>
      </c>
      <c r="R278" s="81">
        <f>IF(G278="","",ABS(O278-Components!$C$4))</f>
        <v>0.95333333333333381</v>
      </c>
      <c r="S278" s="81">
        <f>IF(G278="","",ABS(O278-Components!$C$5))</f>
        <v>4.5226666666666713</v>
      </c>
      <c r="T278" s="81">
        <f>IF(G278="","",ABS(O278-Components!$C$6))</f>
        <v>1.1156666666666708</v>
      </c>
      <c r="U278" s="81">
        <f>IF(G278="","",ABS(O278-Components!$C$7))</f>
        <v>1.3343333333333309</v>
      </c>
      <c r="V278" s="81" t="str">
        <f>IF(G278="","",IF(M278="OK","NONE",INDEX({"S1","S2","W1","W2","N1","N2"},MATCH(MIN(P278:U278),P278:U278,0))))</f>
        <v>NONE</v>
      </c>
      <c r="W278" s="117">
        <f t="shared" si="36"/>
        <v>1</v>
      </c>
      <c r="X278" s="119"/>
    </row>
    <row r="279" spans="1:24">
      <c r="A279" s="115">
        <v>277</v>
      </c>
      <c r="B279" s="116">
        <v>10</v>
      </c>
      <c r="C279" s="81" t="s">
        <v>132</v>
      </c>
      <c r="D279" s="109" t="s">
        <v>238</v>
      </c>
      <c r="E279" s="81" t="s">
        <v>239</v>
      </c>
      <c r="F279" s="61">
        <v>8.65</v>
      </c>
      <c r="G279" s="52">
        <f t="shared" si="30"/>
        <v>9.620000000000001</v>
      </c>
      <c r="H279" s="110"/>
      <c r="I279" s="81">
        <v>9.61</v>
      </c>
      <c r="J279" s="81">
        <f>VLOOKUP(C279,Recipes!$A$2:$N$4,12,FALSE())</f>
        <v>6.1509461004819709E-2</v>
      </c>
      <c r="K279" s="81">
        <f t="shared" si="31"/>
        <v>9.2409432339710804</v>
      </c>
      <c r="L279" s="81">
        <f t="shared" si="34"/>
        <v>9.9790567660289184</v>
      </c>
      <c r="M279" s="81" t="str">
        <f t="shared" si="32"/>
        <v>OK</v>
      </c>
      <c r="N279" s="117">
        <f t="shared" si="35"/>
        <v>1</v>
      </c>
      <c r="O279" s="81">
        <f t="shared" si="33"/>
        <v>-1.0000000000001563E-2</v>
      </c>
      <c r="P279" s="81">
        <f>IF(G279="","",ABS(O279-Components!$C$2))</f>
        <v>2.7633333333333314</v>
      </c>
      <c r="Q279" s="81">
        <f>IF(G279="","",ABS(O279-Components!$C$3))</f>
        <v>4.0460000000000012</v>
      </c>
      <c r="R279" s="81">
        <f>IF(G279="","",ABS(O279-Components!$C$4))</f>
        <v>1.0033333333333345</v>
      </c>
      <c r="S279" s="81">
        <f>IF(G279="","",ABS(O279-Components!$C$5))</f>
        <v>4.572666666666672</v>
      </c>
      <c r="T279" s="81">
        <f>IF(G279="","",ABS(O279-Components!$C$6))</f>
        <v>1.1656666666666715</v>
      </c>
      <c r="U279" s="81">
        <f>IF(G279="","",ABS(O279-Components!$C$7))</f>
        <v>1.3843333333333316</v>
      </c>
      <c r="V279" s="81" t="str">
        <f>IF(G279="","",IF(M279="OK","NONE",INDEX({"S1","S2","W1","W2","N1","N2"},MATCH(MIN(P279:U279),P279:U279,0))))</f>
        <v>NONE</v>
      </c>
      <c r="W279" s="117">
        <f t="shared" si="36"/>
        <v>1</v>
      </c>
      <c r="X279" s="119"/>
    </row>
    <row r="280" spans="1:24">
      <c r="A280" s="115">
        <v>278</v>
      </c>
      <c r="B280" s="116">
        <v>10</v>
      </c>
      <c r="C280" s="81" t="s">
        <v>132</v>
      </c>
      <c r="D280" s="109" t="s">
        <v>238</v>
      </c>
      <c r="E280" s="81" t="s">
        <v>239</v>
      </c>
      <c r="F280" s="61">
        <v>8.58</v>
      </c>
      <c r="G280" s="52">
        <f t="shared" si="30"/>
        <v>9.5500000000000007</v>
      </c>
      <c r="H280" s="110"/>
      <c r="I280" s="81">
        <v>9.61</v>
      </c>
      <c r="J280" s="81">
        <f>VLOOKUP(C280,Recipes!$A$2:$N$4,12,FALSE())</f>
        <v>6.1509461004819709E-2</v>
      </c>
      <c r="K280" s="81">
        <f t="shared" si="31"/>
        <v>9.2409432339710804</v>
      </c>
      <c r="L280" s="81">
        <f t="shared" si="34"/>
        <v>9.9790567660289184</v>
      </c>
      <c r="M280" s="81" t="str">
        <f t="shared" si="32"/>
        <v>OK</v>
      </c>
      <c r="N280" s="117">
        <f t="shared" si="35"/>
        <v>1</v>
      </c>
      <c r="O280" s="81">
        <f t="shared" si="33"/>
        <v>5.9999999999998721E-2</v>
      </c>
      <c r="P280" s="81">
        <f>IF(G280="","",ABS(O280-Components!$C$2))</f>
        <v>2.6933333333333311</v>
      </c>
      <c r="Q280" s="81">
        <f>IF(G280="","",ABS(O280-Components!$C$3))</f>
        <v>3.9760000000000009</v>
      </c>
      <c r="R280" s="81">
        <f>IF(G280="","",ABS(O280-Components!$C$4))</f>
        <v>0.93333333333333424</v>
      </c>
      <c r="S280" s="81">
        <f>IF(G280="","",ABS(O280-Components!$C$5))</f>
        <v>4.5026666666666717</v>
      </c>
      <c r="T280" s="81">
        <f>IF(G280="","",ABS(O280-Components!$C$6))</f>
        <v>1.0956666666666712</v>
      </c>
      <c r="U280" s="81">
        <f>IF(G280="","",ABS(O280-Components!$C$7))</f>
        <v>1.3143333333333314</v>
      </c>
      <c r="V280" s="81" t="str">
        <f>IF(G280="","",IF(M280="OK","NONE",INDEX({"S1","S2","W1","W2","N1","N2"},MATCH(MIN(P280:U280),P280:U280,0))))</f>
        <v>NONE</v>
      </c>
      <c r="W280" s="117">
        <f t="shared" si="36"/>
        <v>1</v>
      </c>
      <c r="X280" s="119"/>
    </row>
    <row r="281" spans="1:24">
      <c r="A281" s="115">
        <v>279</v>
      </c>
      <c r="B281" s="116">
        <v>10</v>
      </c>
      <c r="C281" s="81" t="s">
        <v>132</v>
      </c>
      <c r="D281" s="109" t="s">
        <v>238</v>
      </c>
      <c r="E281" s="81" t="s">
        <v>239</v>
      </c>
      <c r="F281" s="61">
        <v>8.58</v>
      </c>
      <c r="G281" s="52">
        <f t="shared" si="30"/>
        <v>9.5500000000000007</v>
      </c>
      <c r="H281" s="110"/>
      <c r="I281" s="81">
        <v>9.61</v>
      </c>
      <c r="J281" s="81">
        <f>VLOOKUP(C281,Recipes!$A$2:$N$4,12,FALSE())</f>
        <v>6.1509461004819709E-2</v>
      </c>
      <c r="K281" s="81">
        <f t="shared" si="31"/>
        <v>9.2409432339710804</v>
      </c>
      <c r="L281" s="81">
        <f t="shared" si="34"/>
        <v>9.9790567660289184</v>
      </c>
      <c r="M281" s="81" t="str">
        <f t="shared" si="32"/>
        <v>OK</v>
      </c>
      <c r="N281" s="117">
        <f t="shared" si="35"/>
        <v>1</v>
      </c>
      <c r="O281" s="81">
        <f t="shared" si="33"/>
        <v>5.9999999999998721E-2</v>
      </c>
      <c r="P281" s="81">
        <f>IF(G281="","",ABS(O281-Components!$C$2))</f>
        <v>2.6933333333333311</v>
      </c>
      <c r="Q281" s="81">
        <f>IF(G281="","",ABS(O281-Components!$C$3))</f>
        <v>3.9760000000000009</v>
      </c>
      <c r="R281" s="81">
        <f>IF(G281="","",ABS(O281-Components!$C$4))</f>
        <v>0.93333333333333424</v>
      </c>
      <c r="S281" s="81">
        <f>IF(G281="","",ABS(O281-Components!$C$5))</f>
        <v>4.5026666666666717</v>
      </c>
      <c r="T281" s="81">
        <f>IF(G281="","",ABS(O281-Components!$C$6))</f>
        <v>1.0956666666666712</v>
      </c>
      <c r="U281" s="81">
        <f>IF(G281="","",ABS(O281-Components!$C$7))</f>
        <v>1.3143333333333314</v>
      </c>
      <c r="V281" s="81" t="str">
        <f>IF(G281="","",IF(M281="OK","NONE",INDEX({"S1","S2","W1","W2","N1","N2"},MATCH(MIN(P281:U281),P281:U281,0))))</f>
        <v>NONE</v>
      </c>
      <c r="W281" s="117">
        <f t="shared" si="36"/>
        <v>1</v>
      </c>
      <c r="X281" s="119"/>
    </row>
    <row r="282" spans="1:24">
      <c r="A282" s="115">
        <v>280</v>
      </c>
      <c r="B282" s="116">
        <v>10</v>
      </c>
      <c r="C282" s="81" t="s">
        <v>132</v>
      </c>
      <c r="D282" s="109" t="s">
        <v>238</v>
      </c>
      <c r="E282" s="81" t="s">
        <v>239</v>
      </c>
      <c r="F282" s="61">
        <v>8.57</v>
      </c>
      <c r="G282" s="52">
        <f t="shared" si="30"/>
        <v>9.5400000000000009</v>
      </c>
      <c r="H282" s="110"/>
      <c r="I282" s="81">
        <v>9.61</v>
      </c>
      <c r="J282" s="81">
        <f>VLOOKUP(C282,Recipes!$A$2:$N$4,12,FALSE())</f>
        <v>6.1509461004819709E-2</v>
      </c>
      <c r="K282" s="81">
        <f t="shared" si="31"/>
        <v>9.2409432339710804</v>
      </c>
      <c r="L282" s="81">
        <f t="shared" si="34"/>
        <v>9.9790567660289184</v>
      </c>
      <c r="M282" s="81" t="str">
        <f t="shared" si="32"/>
        <v>OK</v>
      </c>
      <c r="N282" s="117">
        <f t="shared" si="35"/>
        <v>1</v>
      </c>
      <c r="O282" s="81">
        <f t="shared" si="33"/>
        <v>6.9999999999998508E-2</v>
      </c>
      <c r="P282" s="81">
        <f>IF(G282="","",ABS(O282-Components!$C$2))</f>
        <v>2.6833333333333313</v>
      </c>
      <c r="Q282" s="81">
        <f>IF(G282="","",ABS(O282-Components!$C$3))</f>
        <v>3.9660000000000011</v>
      </c>
      <c r="R282" s="81">
        <f>IF(G282="","",ABS(O282-Components!$C$4))</f>
        <v>0.92333333333333445</v>
      </c>
      <c r="S282" s="81">
        <f>IF(G282="","",ABS(O282-Components!$C$5))</f>
        <v>4.4926666666666719</v>
      </c>
      <c r="T282" s="81">
        <f>IF(G282="","",ABS(O282-Components!$C$6))</f>
        <v>1.0856666666666714</v>
      </c>
      <c r="U282" s="81">
        <f>IF(G282="","",ABS(O282-Components!$C$7))</f>
        <v>1.3043333333333316</v>
      </c>
      <c r="V282" s="81" t="str">
        <f>IF(G282="","",IF(M282="OK","NONE",INDEX({"S1","S2","W1","W2","N1","N2"},MATCH(MIN(P282:U282),P282:U282,0))))</f>
        <v>NONE</v>
      </c>
      <c r="W282" s="117">
        <f t="shared" si="36"/>
        <v>1</v>
      </c>
      <c r="X282" s="119"/>
    </row>
    <row r="283" spans="1:24">
      <c r="A283" s="115">
        <v>281</v>
      </c>
      <c r="B283" s="116">
        <v>10</v>
      </c>
      <c r="C283" s="81" t="s">
        <v>132</v>
      </c>
      <c r="D283" s="109" t="s">
        <v>238</v>
      </c>
      <c r="E283" s="81" t="s">
        <v>239</v>
      </c>
      <c r="F283" s="61">
        <v>8.5299999999999994</v>
      </c>
      <c r="G283" s="52">
        <f t="shared" si="30"/>
        <v>9.5</v>
      </c>
      <c r="H283" s="110"/>
      <c r="I283" s="81">
        <v>9.61</v>
      </c>
      <c r="J283" s="81">
        <f>VLOOKUP(C283,Recipes!$A$2:$N$4,12,FALSE())</f>
        <v>6.1509461004819709E-2</v>
      </c>
      <c r="K283" s="81">
        <f t="shared" si="31"/>
        <v>9.2409432339710804</v>
      </c>
      <c r="L283" s="81">
        <f t="shared" si="34"/>
        <v>9.9790567660289184</v>
      </c>
      <c r="M283" s="81" t="str">
        <f t="shared" si="32"/>
        <v>OK</v>
      </c>
      <c r="N283" s="117">
        <f t="shared" si="35"/>
        <v>1</v>
      </c>
      <c r="O283" s="81">
        <f t="shared" si="33"/>
        <v>0.10999999999999943</v>
      </c>
      <c r="P283" s="81">
        <f>IF(G283="","",ABS(O283-Components!$C$2))</f>
        <v>2.6433333333333304</v>
      </c>
      <c r="Q283" s="81">
        <f>IF(G283="","",ABS(O283-Components!$C$3))</f>
        <v>3.9260000000000002</v>
      </c>
      <c r="R283" s="81">
        <f>IF(G283="","",ABS(O283-Components!$C$4))</f>
        <v>0.88333333333333353</v>
      </c>
      <c r="S283" s="81">
        <f>IF(G283="","",ABS(O283-Components!$C$5))</f>
        <v>4.452666666666671</v>
      </c>
      <c r="T283" s="81">
        <f>IF(G283="","",ABS(O283-Components!$C$6))</f>
        <v>1.0456666666666705</v>
      </c>
      <c r="U283" s="81">
        <f>IF(G283="","",ABS(O283-Components!$C$7))</f>
        <v>1.2643333333333306</v>
      </c>
      <c r="V283" s="81" t="str">
        <f>IF(G283="","",IF(M283="OK","NONE",INDEX({"S1","S2","W1","W2","N1","N2"},MATCH(MIN(P283:U283),P283:U283,0))))</f>
        <v>NONE</v>
      </c>
      <c r="W283" s="117">
        <f t="shared" si="36"/>
        <v>1</v>
      </c>
      <c r="X283" s="119"/>
    </row>
    <row r="284" spans="1:24">
      <c r="A284" s="115">
        <v>282</v>
      </c>
      <c r="B284" s="116">
        <v>10</v>
      </c>
      <c r="C284" s="81" t="s">
        <v>132</v>
      </c>
      <c r="D284" s="109" t="s">
        <v>238</v>
      </c>
      <c r="E284" s="81" t="s">
        <v>239</v>
      </c>
      <c r="F284" s="61">
        <v>8.64</v>
      </c>
      <c r="G284" s="52">
        <f t="shared" si="30"/>
        <v>9.6100000000000012</v>
      </c>
      <c r="H284" s="110"/>
      <c r="I284" s="81">
        <v>9.61</v>
      </c>
      <c r="J284" s="81">
        <f>VLOOKUP(C284,Recipes!$A$2:$N$4,12,FALSE())</f>
        <v>6.1509461004819709E-2</v>
      </c>
      <c r="K284" s="81">
        <f t="shared" si="31"/>
        <v>9.2409432339710804</v>
      </c>
      <c r="L284" s="81">
        <f t="shared" si="34"/>
        <v>9.9790567660289184</v>
      </c>
      <c r="M284" s="81" t="str">
        <f t="shared" si="32"/>
        <v>OK</v>
      </c>
      <c r="N284" s="117">
        <f t="shared" si="35"/>
        <v>1</v>
      </c>
      <c r="O284" s="81">
        <f t="shared" si="33"/>
        <v>-1.7763568394002505E-15</v>
      </c>
      <c r="P284" s="81">
        <f>IF(G284="","",ABS(O284-Components!$C$2))</f>
        <v>2.7533333333333316</v>
      </c>
      <c r="Q284" s="81">
        <f>IF(G284="","",ABS(O284-Components!$C$3))</f>
        <v>4.0360000000000014</v>
      </c>
      <c r="R284" s="81">
        <f>IF(G284="","",ABS(O284-Components!$C$4))</f>
        <v>0.99333333333333473</v>
      </c>
      <c r="S284" s="81">
        <f>IF(G284="","",ABS(O284-Components!$C$5))</f>
        <v>4.5626666666666722</v>
      </c>
      <c r="T284" s="81">
        <f>IF(G284="","",ABS(O284-Components!$C$6))</f>
        <v>1.1556666666666717</v>
      </c>
      <c r="U284" s="81">
        <f>IF(G284="","",ABS(O284-Components!$C$7))</f>
        <v>1.3743333333333319</v>
      </c>
      <c r="V284" s="81" t="str">
        <f>IF(G284="","",IF(M284="OK","NONE",INDEX({"S1","S2","W1","W2","N1","N2"},MATCH(MIN(P284:U284),P284:U284,0))))</f>
        <v>NONE</v>
      </c>
      <c r="W284" s="117">
        <f t="shared" si="36"/>
        <v>1</v>
      </c>
      <c r="X284" s="119"/>
    </row>
    <row r="285" spans="1:24">
      <c r="A285" s="115">
        <v>283</v>
      </c>
      <c r="B285" s="116">
        <v>10</v>
      </c>
      <c r="C285" s="81" t="s">
        <v>132</v>
      </c>
      <c r="D285" s="109" t="s">
        <v>238</v>
      </c>
      <c r="E285" s="81" t="s">
        <v>239</v>
      </c>
      <c r="F285" s="61">
        <v>8.57</v>
      </c>
      <c r="G285" s="52">
        <f t="shared" si="30"/>
        <v>9.5400000000000009</v>
      </c>
      <c r="H285" s="110"/>
      <c r="I285" s="81">
        <v>9.61</v>
      </c>
      <c r="J285" s="81">
        <f>VLOOKUP(C285,Recipes!$A$2:$N$4,12,FALSE())</f>
        <v>6.1509461004819709E-2</v>
      </c>
      <c r="K285" s="81">
        <f t="shared" si="31"/>
        <v>9.2409432339710804</v>
      </c>
      <c r="L285" s="81">
        <f t="shared" si="34"/>
        <v>9.9790567660289184</v>
      </c>
      <c r="M285" s="81" t="str">
        <f t="shared" si="32"/>
        <v>OK</v>
      </c>
      <c r="N285" s="117">
        <f t="shared" si="35"/>
        <v>1</v>
      </c>
      <c r="O285" s="81">
        <f t="shared" si="33"/>
        <v>6.9999999999998508E-2</v>
      </c>
      <c r="P285" s="81">
        <f>IF(G285="","",ABS(O285-Components!$C$2))</f>
        <v>2.6833333333333313</v>
      </c>
      <c r="Q285" s="81">
        <f>IF(G285="","",ABS(O285-Components!$C$3))</f>
        <v>3.9660000000000011</v>
      </c>
      <c r="R285" s="81">
        <f>IF(G285="","",ABS(O285-Components!$C$4))</f>
        <v>0.92333333333333445</v>
      </c>
      <c r="S285" s="81">
        <f>IF(G285="","",ABS(O285-Components!$C$5))</f>
        <v>4.4926666666666719</v>
      </c>
      <c r="T285" s="81">
        <f>IF(G285="","",ABS(O285-Components!$C$6))</f>
        <v>1.0856666666666714</v>
      </c>
      <c r="U285" s="81">
        <f>IF(G285="","",ABS(O285-Components!$C$7))</f>
        <v>1.3043333333333316</v>
      </c>
      <c r="V285" s="81" t="str">
        <f>IF(G285="","",IF(M285="OK","NONE",INDEX({"S1","S2","W1","W2","N1","N2"},MATCH(MIN(P285:U285),P285:U285,0))))</f>
        <v>NONE</v>
      </c>
      <c r="W285" s="117">
        <f t="shared" si="36"/>
        <v>1</v>
      </c>
      <c r="X285" s="119"/>
    </row>
    <row r="286" spans="1:24">
      <c r="A286" s="115">
        <v>284</v>
      </c>
      <c r="B286" s="116">
        <v>10</v>
      </c>
      <c r="C286" s="81" t="s">
        <v>132</v>
      </c>
      <c r="D286" s="109" t="s">
        <v>238</v>
      </c>
      <c r="E286" s="81" t="s">
        <v>239</v>
      </c>
      <c r="F286" s="61">
        <v>8.58</v>
      </c>
      <c r="G286" s="52">
        <f t="shared" si="30"/>
        <v>9.5500000000000007</v>
      </c>
      <c r="H286" s="110"/>
      <c r="I286" s="81">
        <v>9.61</v>
      </c>
      <c r="J286" s="81">
        <f>VLOOKUP(C286,Recipes!$A$2:$N$4,12,FALSE())</f>
        <v>6.1509461004819709E-2</v>
      </c>
      <c r="K286" s="81">
        <f t="shared" si="31"/>
        <v>9.2409432339710804</v>
      </c>
      <c r="L286" s="81">
        <f t="shared" si="34"/>
        <v>9.9790567660289184</v>
      </c>
      <c r="M286" s="81" t="str">
        <f t="shared" si="32"/>
        <v>OK</v>
      </c>
      <c r="N286" s="117">
        <f t="shared" si="35"/>
        <v>1</v>
      </c>
      <c r="O286" s="81">
        <f t="shared" si="33"/>
        <v>5.9999999999998721E-2</v>
      </c>
      <c r="P286" s="81">
        <f>IF(G286="","",ABS(O286-Components!$C$2))</f>
        <v>2.6933333333333311</v>
      </c>
      <c r="Q286" s="81">
        <f>IF(G286="","",ABS(O286-Components!$C$3))</f>
        <v>3.9760000000000009</v>
      </c>
      <c r="R286" s="81">
        <f>IF(G286="","",ABS(O286-Components!$C$4))</f>
        <v>0.93333333333333424</v>
      </c>
      <c r="S286" s="81">
        <f>IF(G286="","",ABS(O286-Components!$C$5))</f>
        <v>4.5026666666666717</v>
      </c>
      <c r="T286" s="81">
        <f>IF(G286="","",ABS(O286-Components!$C$6))</f>
        <v>1.0956666666666712</v>
      </c>
      <c r="U286" s="81">
        <f>IF(G286="","",ABS(O286-Components!$C$7))</f>
        <v>1.3143333333333314</v>
      </c>
      <c r="V286" s="81" t="str">
        <f>IF(G286="","",IF(M286="OK","NONE",INDEX({"S1","S2","W1","W2","N1","N2"},MATCH(MIN(P286:U286),P286:U286,0))))</f>
        <v>NONE</v>
      </c>
      <c r="W286" s="117">
        <f t="shared" si="36"/>
        <v>1</v>
      </c>
      <c r="X286" s="119"/>
    </row>
    <row r="287" spans="1:24">
      <c r="A287" s="115">
        <v>285</v>
      </c>
      <c r="B287" s="116">
        <v>10</v>
      </c>
      <c r="C287" s="81" t="s">
        <v>132</v>
      </c>
      <c r="D287" s="109" t="s">
        <v>238</v>
      </c>
      <c r="E287" s="81" t="s">
        <v>239</v>
      </c>
      <c r="F287" s="61">
        <v>8.6300000000000008</v>
      </c>
      <c r="G287" s="52">
        <f t="shared" si="30"/>
        <v>9.6000000000000014</v>
      </c>
      <c r="H287" s="110"/>
      <c r="I287" s="81">
        <v>9.61</v>
      </c>
      <c r="J287" s="81">
        <f>VLOOKUP(C287,Recipes!$A$2:$N$4,12,FALSE())</f>
        <v>6.1509461004819709E-2</v>
      </c>
      <c r="K287" s="81">
        <f t="shared" si="31"/>
        <v>9.2409432339710804</v>
      </c>
      <c r="L287" s="81">
        <f t="shared" si="34"/>
        <v>9.9790567660289184</v>
      </c>
      <c r="M287" s="81" t="str">
        <f t="shared" si="32"/>
        <v>OK</v>
      </c>
      <c r="N287" s="117">
        <f t="shared" si="35"/>
        <v>1</v>
      </c>
      <c r="O287" s="81">
        <f t="shared" si="33"/>
        <v>9.9999999999980105E-3</v>
      </c>
      <c r="P287" s="81">
        <f>IF(G287="","",ABS(O287-Components!$C$2))</f>
        <v>2.7433333333333318</v>
      </c>
      <c r="Q287" s="81">
        <f>IF(G287="","",ABS(O287-Components!$C$3))</f>
        <v>4.0260000000000016</v>
      </c>
      <c r="R287" s="81">
        <f>IF(G287="","",ABS(O287-Components!$C$4))</f>
        <v>0.98333333333333495</v>
      </c>
      <c r="S287" s="81">
        <f>IF(G287="","",ABS(O287-Components!$C$5))</f>
        <v>4.5526666666666724</v>
      </c>
      <c r="T287" s="81">
        <f>IF(G287="","",ABS(O287-Components!$C$6))</f>
        <v>1.1456666666666719</v>
      </c>
      <c r="U287" s="81">
        <f>IF(G287="","",ABS(O287-Components!$C$7))</f>
        <v>1.3643333333333321</v>
      </c>
      <c r="V287" s="81" t="str">
        <f>IF(G287="","",IF(M287="OK","NONE",INDEX({"S1","S2","W1","W2","N1","N2"},MATCH(MIN(P287:U287),P287:U287,0))))</f>
        <v>NONE</v>
      </c>
      <c r="W287" s="117">
        <f t="shared" si="36"/>
        <v>1</v>
      </c>
      <c r="X287" s="119"/>
    </row>
    <row r="288" spans="1:24">
      <c r="A288" s="115">
        <v>286</v>
      </c>
      <c r="B288" s="116">
        <v>10</v>
      </c>
      <c r="C288" s="81" t="s">
        <v>132</v>
      </c>
      <c r="D288" s="109" t="s">
        <v>238</v>
      </c>
      <c r="E288" s="81" t="s">
        <v>239</v>
      </c>
      <c r="F288" s="61">
        <v>8.6</v>
      </c>
      <c r="G288" s="52">
        <f t="shared" si="30"/>
        <v>9.57</v>
      </c>
      <c r="H288" s="110"/>
      <c r="I288" s="81">
        <v>9.61</v>
      </c>
      <c r="J288" s="81">
        <f>VLOOKUP(C288,Recipes!$A$2:$N$4,12,FALSE())</f>
        <v>6.1509461004819709E-2</v>
      </c>
      <c r="K288" s="81">
        <f t="shared" si="31"/>
        <v>9.2409432339710804</v>
      </c>
      <c r="L288" s="81">
        <f t="shared" si="34"/>
        <v>9.9790567660289184</v>
      </c>
      <c r="M288" s="81" t="str">
        <f t="shared" si="32"/>
        <v>OK</v>
      </c>
      <c r="N288" s="117">
        <f t="shared" si="35"/>
        <v>1</v>
      </c>
      <c r="O288" s="81">
        <f t="shared" si="33"/>
        <v>3.9999999999999147E-2</v>
      </c>
      <c r="P288" s="81">
        <f>IF(G288="","",ABS(O288-Components!$C$2))</f>
        <v>2.7133333333333307</v>
      </c>
      <c r="Q288" s="81">
        <f>IF(G288="","",ABS(O288-Components!$C$3))</f>
        <v>3.9960000000000004</v>
      </c>
      <c r="R288" s="81">
        <f>IF(G288="","",ABS(O288-Components!$C$4))</f>
        <v>0.95333333333333381</v>
      </c>
      <c r="S288" s="81">
        <f>IF(G288="","",ABS(O288-Components!$C$5))</f>
        <v>4.5226666666666713</v>
      </c>
      <c r="T288" s="81">
        <f>IF(G288="","",ABS(O288-Components!$C$6))</f>
        <v>1.1156666666666708</v>
      </c>
      <c r="U288" s="81">
        <f>IF(G288="","",ABS(O288-Components!$C$7))</f>
        <v>1.3343333333333309</v>
      </c>
      <c r="V288" s="81" t="str">
        <f>IF(G288="","",IF(M288="OK","NONE",INDEX({"S1","S2","W1","W2","N1","N2"},MATCH(MIN(P288:U288),P288:U288,0))))</f>
        <v>NONE</v>
      </c>
      <c r="W288" s="117">
        <f t="shared" si="36"/>
        <v>1</v>
      </c>
      <c r="X288" s="119"/>
    </row>
    <row r="289" spans="1:24">
      <c r="A289" s="115">
        <v>287</v>
      </c>
      <c r="B289" s="116">
        <v>10</v>
      </c>
      <c r="C289" s="81" t="s">
        <v>132</v>
      </c>
      <c r="D289" s="109" t="s">
        <v>238</v>
      </c>
      <c r="E289" s="81" t="s">
        <v>239</v>
      </c>
      <c r="F289" s="61">
        <v>8.6199999999999992</v>
      </c>
      <c r="G289" s="52">
        <f t="shared" si="30"/>
        <v>9.59</v>
      </c>
      <c r="H289" s="110"/>
      <c r="I289" s="81">
        <v>9.61</v>
      </c>
      <c r="J289" s="81">
        <f>VLOOKUP(C289,Recipes!$A$2:$N$4,12,FALSE())</f>
        <v>6.1509461004819709E-2</v>
      </c>
      <c r="K289" s="81">
        <f t="shared" si="31"/>
        <v>9.2409432339710804</v>
      </c>
      <c r="L289" s="81">
        <f t="shared" si="34"/>
        <v>9.9790567660289184</v>
      </c>
      <c r="M289" s="81" t="str">
        <f t="shared" si="32"/>
        <v>OK</v>
      </c>
      <c r="N289" s="117">
        <f t="shared" si="35"/>
        <v>1</v>
      </c>
      <c r="O289" s="81">
        <f t="shared" si="33"/>
        <v>1.9999999999999574E-2</v>
      </c>
      <c r="P289" s="81">
        <f>IF(G289="","",ABS(O289-Components!$C$2))</f>
        <v>2.7333333333333303</v>
      </c>
      <c r="Q289" s="81">
        <f>IF(G289="","",ABS(O289-Components!$C$3))</f>
        <v>4.016</v>
      </c>
      <c r="R289" s="81">
        <f>IF(G289="","",ABS(O289-Components!$C$4))</f>
        <v>0.97333333333333338</v>
      </c>
      <c r="S289" s="81">
        <f>IF(G289="","",ABS(O289-Components!$C$5))</f>
        <v>4.5426666666666708</v>
      </c>
      <c r="T289" s="81">
        <f>IF(G289="","",ABS(O289-Components!$C$6))</f>
        <v>1.1356666666666704</v>
      </c>
      <c r="U289" s="81">
        <f>IF(G289="","",ABS(O289-Components!$C$7))</f>
        <v>1.3543333333333305</v>
      </c>
      <c r="V289" s="81" t="str">
        <f>IF(G289="","",IF(M289="OK","NONE",INDEX({"S1","S2","W1","W2","N1","N2"},MATCH(MIN(P289:U289),P289:U289,0))))</f>
        <v>NONE</v>
      </c>
      <c r="W289" s="117">
        <f t="shared" si="36"/>
        <v>1</v>
      </c>
      <c r="X289" s="119"/>
    </row>
    <row r="290" spans="1:24">
      <c r="A290" s="115">
        <v>288</v>
      </c>
      <c r="B290" s="116">
        <v>10</v>
      </c>
      <c r="C290" s="81" t="s">
        <v>132</v>
      </c>
      <c r="D290" s="109" t="s">
        <v>238</v>
      </c>
      <c r="E290" s="81" t="s">
        <v>239</v>
      </c>
      <c r="F290" s="61">
        <v>8.41</v>
      </c>
      <c r="G290" s="52">
        <f t="shared" si="30"/>
        <v>9.3800000000000008</v>
      </c>
      <c r="H290" s="110"/>
      <c r="I290" s="81">
        <v>9.61</v>
      </c>
      <c r="J290" s="81">
        <f>VLOOKUP(C290,Recipes!$A$2:$N$4,12,FALSE())</f>
        <v>6.1509461004819709E-2</v>
      </c>
      <c r="K290" s="81">
        <f t="shared" si="31"/>
        <v>9.2409432339710804</v>
      </c>
      <c r="L290" s="81">
        <f t="shared" si="34"/>
        <v>9.9790567660289184</v>
      </c>
      <c r="M290" s="81" t="str">
        <f t="shared" si="32"/>
        <v>OK</v>
      </c>
      <c r="N290" s="117">
        <f t="shared" si="35"/>
        <v>1</v>
      </c>
      <c r="O290" s="81">
        <f t="shared" si="33"/>
        <v>0.22999999999999865</v>
      </c>
      <c r="P290" s="81">
        <f>IF(G290="","",ABS(O290-Components!$C$2))</f>
        <v>2.5233333333333312</v>
      </c>
      <c r="Q290" s="81">
        <f>IF(G290="","",ABS(O290-Components!$C$3))</f>
        <v>3.8060000000000009</v>
      </c>
      <c r="R290" s="81">
        <f>IF(G290="","",ABS(O290-Components!$C$4))</f>
        <v>0.76333333333333431</v>
      </c>
      <c r="S290" s="81">
        <f>IF(G290="","",ABS(O290-Components!$C$5))</f>
        <v>4.3326666666666718</v>
      </c>
      <c r="T290" s="81">
        <f>IF(G290="","",ABS(O290-Components!$C$6))</f>
        <v>0.9256666666666713</v>
      </c>
      <c r="U290" s="81">
        <f>IF(G290="","",ABS(O290-Components!$C$7))</f>
        <v>1.1443333333333314</v>
      </c>
      <c r="V290" s="81" t="str">
        <f>IF(G290="","",IF(M290="OK","NONE",INDEX({"S1","S2","W1","W2","N1","N2"},MATCH(MIN(P290:U290),P290:U290,0))))</f>
        <v>NONE</v>
      </c>
      <c r="W290" s="117">
        <f t="shared" si="36"/>
        <v>1</v>
      </c>
      <c r="X290" s="119"/>
    </row>
    <row r="291" spans="1:24">
      <c r="A291" s="115">
        <v>289</v>
      </c>
      <c r="B291" s="116">
        <v>10</v>
      </c>
      <c r="C291" s="81" t="s">
        <v>132</v>
      </c>
      <c r="D291" s="109" t="s">
        <v>238</v>
      </c>
      <c r="E291" s="81" t="s">
        <v>239</v>
      </c>
      <c r="F291" s="61">
        <v>8.61</v>
      </c>
      <c r="G291" s="52">
        <f t="shared" si="30"/>
        <v>9.58</v>
      </c>
      <c r="H291" s="110"/>
      <c r="I291" s="81">
        <v>9.61</v>
      </c>
      <c r="J291" s="81">
        <f>VLOOKUP(C291,Recipes!$A$2:$N$4,12,FALSE())</f>
        <v>6.1509461004819709E-2</v>
      </c>
      <c r="K291" s="81">
        <f t="shared" si="31"/>
        <v>9.2409432339710804</v>
      </c>
      <c r="L291" s="81">
        <f t="shared" si="34"/>
        <v>9.9790567660289184</v>
      </c>
      <c r="M291" s="81" t="str">
        <f t="shared" si="32"/>
        <v>OK</v>
      </c>
      <c r="N291" s="117">
        <f t="shared" si="35"/>
        <v>1</v>
      </c>
      <c r="O291" s="81">
        <f t="shared" si="33"/>
        <v>2.9999999999999361E-2</v>
      </c>
      <c r="P291" s="81">
        <f>IF(G291="","",ABS(O291-Components!$C$2))</f>
        <v>2.7233333333333305</v>
      </c>
      <c r="Q291" s="81">
        <f>IF(G291="","",ABS(O291-Components!$C$3))</f>
        <v>4.0060000000000002</v>
      </c>
      <c r="R291" s="81">
        <f>IF(G291="","",ABS(O291-Components!$C$4))</f>
        <v>0.9633333333333336</v>
      </c>
      <c r="S291" s="81">
        <f>IF(G291="","",ABS(O291-Components!$C$5))</f>
        <v>4.5326666666666711</v>
      </c>
      <c r="T291" s="81">
        <f>IF(G291="","",ABS(O291-Components!$C$6))</f>
        <v>1.1256666666666706</v>
      </c>
      <c r="U291" s="81">
        <f>IF(G291="","",ABS(O291-Components!$C$7))</f>
        <v>1.3443333333333307</v>
      </c>
      <c r="V291" s="81" t="str">
        <f>IF(G291="","",IF(M291="OK","NONE",INDEX({"S1","S2","W1","W2","N1","N2"},MATCH(MIN(P291:U291),P291:U291,0))))</f>
        <v>NONE</v>
      </c>
      <c r="W291" s="117">
        <f t="shared" si="36"/>
        <v>1</v>
      </c>
      <c r="X291" s="119"/>
    </row>
    <row r="292" spans="1:24">
      <c r="A292" s="115">
        <v>290</v>
      </c>
      <c r="B292" s="116">
        <v>10</v>
      </c>
      <c r="C292" s="81" t="s">
        <v>132</v>
      </c>
      <c r="D292" s="109" t="s">
        <v>238</v>
      </c>
      <c r="E292" s="81" t="s">
        <v>239</v>
      </c>
      <c r="F292" s="61">
        <v>8.61</v>
      </c>
      <c r="G292" s="52">
        <f t="shared" si="30"/>
        <v>9.58</v>
      </c>
      <c r="H292" s="110"/>
      <c r="I292" s="81">
        <v>9.61</v>
      </c>
      <c r="J292" s="81">
        <f>VLOOKUP(C292,Recipes!$A$2:$N$4,12,FALSE())</f>
        <v>6.1509461004819709E-2</v>
      </c>
      <c r="K292" s="81">
        <f t="shared" si="31"/>
        <v>9.2409432339710804</v>
      </c>
      <c r="L292" s="81">
        <f t="shared" si="34"/>
        <v>9.9790567660289184</v>
      </c>
      <c r="M292" s="81" t="str">
        <f t="shared" si="32"/>
        <v>OK</v>
      </c>
      <c r="N292" s="117">
        <f t="shared" si="35"/>
        <v>1</v>
      </c>
      <c r="O292" s="81">
        <f t="shared" si="33"/>
        <v>2.9999999999999361E-2</v>
      </c>
      <c r="P292" s="81">
        <f>IF(G292="","",ABS(O292-Components!$C$2))</f>
        <v>2.7233333333333305</v>
      </c>
      <c r="Q292" s="81">
        <f>IF(G292="","",ABS(O292-Components!$C$3))</f>
        <v>4.0060000000000002</v>
      </c>
      <c r="R292" s="81">
        <f>IF(G292="","",ABS(O292-Components!$C$4))</f>
        <v>0.9633333333333336</v>
      </c>
      <c r="S292" s="81">
        <f>IF(G292="","",ABS(O292-Components!$C$5))</f>
        <v>4.5326666666666711</v>
      </c>
      <c r="T292" s="81">
        <f>IF(G292="","",ABS(O292-Components!$C$6))</f>
        <v>1.1256666666666706</v>
      </c>
      <c r="U292" s="81">
        <f>IF(G292="","",ABS(O292-Components!$C$7))</f>
        <v>1.3443333333333307</v>
      </c>
      <c r="V292" s="81" t="str">
        <f>IF(G292="","",IF(M292="OK","NONE",INDEX({"S1","S2","W1","W2","N1","N2"},MATCH(MIN(P292:U292),P292:U292,0))))</f>
        <v>NONE</v>
      </c>
      <c r="W292" s="117">
        <f t="shared" si="36"/>
        <v>1</v>
      </c>
      <c r="X292" s="119"/>
    </row>
    <row r="293" spans="1:24">
      <c r="A293" s="115">
        <v>291</v>
      </c>
      <c r="B293" s="116">
        <v>10</v>
      </c>
      <c r="C293" s="81" t="s">
        <v>132</v>
      </c>
      <c r="D293" s="109" t="s">
        <v>238</v>
      </c>
      <c r="E293" s="81" t="s">
        <v>239</v>
      </c>
      <c r="F293" s="61">
        <v>8.5399999999999991</v>
      </c>
      <c r="G293" s="52">
        <f t="shared" si="30"/>
        <v>9.51</v>
      </c>
      <c r="H293" s="110"/>
      <c r="I293" s="81">
        <v>9.61</v>
      </c>
      <c r="J293" s="81">
        <f>VLOOKUP(C293,Recipes!$A$2:$N$4,12,FALSE())</f>
        <v>6.1509461004819709E-2</v>
      </c>
      <c r="K293" s="81">
        <f t="shared" si="31"/>
        <v>9.2409432339710804</v>
      </c>
      <c r="L293" s="81">
        <f t="shared" si="34"/>
        <v>9.9790567660289184</v>
      </c>
      <c r="M293" s="81" t="str">
        <f t="shared" si="32"/>
        <v>OK</v>
      </c>
      <c r="N293" s="117">
        <f t="shared" si="35"/>
        <v>1</v>
      </c>
      <c r="O293" s="81">
        <f t="shared" si="33"/>
        <v>9.9999999999999645E-2</v>
      </c>
      <c r="P293" s="81">
        <f>IF(G293="","",ABS(O293-Components!$C$2))</f>
        <v>2.6533333333333302</v>
      </c>
      <c r="Q293" s="81">
        <f>IF(G293="","",ABS(O293-Components!$C$3))</f>
        <v>3.9359999999999999</v>
      </c>
      <c r="R293" s="81">
        <f>IF(G293="","",ABS(O293-Components!$C$4))</f>
        <v>0.89333333333333331</v>
      </c>
      <c r="S293" s="81">
        <f>IF(G293="","",ABS(O293-Components!$C$5))</f>
        <v>4.4626666666666708</v>
      </c>
      <c r="T293" s="81">
        <f>IF(G293="","",ABS(O293-Components!$C$6))</f>
        <v>1.0556666666666703</v>
      </c>
      <c r="U293" s="81">
        <f>IF(G293="","",ABS(O293-Components!$C$7))</f>
        <v>1.2743333333333304</v>
      </c>
      <c r="V293" s="81" t="str">
        <f>IF(G293="","",IF(M293="OK","NONE",INDEX({"S1","S2","W1","W2","N1","N2"},MATCH(MIN(P293:U293),P293:U293,0))))</f>
        <v>NONE</v>
      </c>
      <c r="W293" s="117">
        <f t="shared" si="36"/>
        <v>1</v>
      </c>
      <c r="X293" s="119"/>
    </row>
    <row r="294" spans="1:24">
      <c r="A294" s="115">
        <v>292</v>
      </c>
      <c r="B294" s="116">
        <v>10</v>
      </c>
      <c r="C294" s="81" t="s">
        <v>132</v>
      </c>
      <c r="D294" s="109" t="s">
        <v>238</v>
      </c>
      <c r="E294" s="81" t="s">
        <v>239</v>
      </c>
      <c r="F294" s="61">
        <v>8.59</v>
      </c>
      <c r="G294" s="52">
        <f t="shared" si="30"/>
        <v>9.56</v>
      </c>
      <c r="H294" s="110"/>
      <c r="I294" s="81">
        <v>9.61</v>
      </c>
      <c r="J294" s="81">
        <f>VLOOKUP(C294,Recipes!$A$2:$N$4,12,FALSE())</f>
        <v>6.1509461004819709E-2</v>
      </c>
      <c r="K294" s="81">
        <f t="shared" si="31"/>
        <v>9.2409432339710804</v>
      </c>
      <c r="L294" s="81">
        <f t="shared" si="34"/>
        <v>9.9790567660289184</v>
      </c>
      <c r="M294" s="81" t="str">
        <f t="shared" si="32"/>
        <v>OK</v>
      </c>
      <c r="N294" s="117">
        <f t="shared" si="35"/>
        <v>1</v>
      </c>
      <c r="O294" s="81">
        <f t="shared" si="33"/>
        <v>4.9999999999998934E-2</v>
      </c>
      <c r="P294" s="81">
        <f>IF(G294="","",ABS(O294-Components!$C$2))</f>
        <v>2.7033333333333309</v>
      </c>
      <c r="Q294" s="81">
        <f>IF(G294="","",ABS(O294-Components!$C$3))</f>
        <v>3.9860000000000007</v>
      </c>
      <c r="R294" s="81">
        <f>IF(G294="","",ABS(O294-Components!$C$4))</f>
        <v>0.94333333333333402</v>
      </c>
      <c r="S294" s="81">
        <f>IF(G294="","",ABS(O294-Components!$C$5))</f>
        <v>4.5126666666666715</v>
      </c>
      <c r="T294" s="81">
        <f>IF(G294="","",ABS(O294-Components!$C$6))</f>
        <v>1.105666666666671</v>
      </c>
      <c r="U294" s="81">
        <f>IF(G294="","",ABS(O294-Components!$C$7))</f>
        <v>1.3243333333333311</v>
      </c>
      <c r="V294" s="81" t="str">
        <f>IF(G294="","",IF(M294="OK","NONE",INDEX({"S1","S2","W1","W2","N1","N2"},MATCH(MIN(P294:U294),P294:U294,0))))</f>
        <v>NONE</v>
      </c>
      <c r="W294" s="117">
        <f t="shared" si="36"/>
        <v>1</v>
      </c>
      <c r="X294" s="119"/>
    </row>
    <row r="295" spans="1:24">
      <c r="A295" s="115">
        <v>293</v>
      </c>
      <c r="B295" s="116">
        <v>10</v>
      </c>
      <c r="C295" s="81" t="s">
        <v>132</v>
      </c>
      <c r="D295" s="109" t="s">
        <v>238</v>
      </c>
      <c r="E295" s="81" t="s">
        <v>239</v>
      </c>
      <c r="F295" s="61">
        <v>8.64</v>
      </c>
      <c r="G295" s="52">
        <f t="shared" si="30"/>
        <v>9.6100000000000012</v>
      </c>
      <c r="H295" s="110"/>
      <c r="I295" s="81">
        <v>9.61</v>
      </c>
      <c r="J295" s="81">
        <f>VLOOKUP(C295,Recipes!$A$2:$N$4,12,FALSE())</f>
        <v>6.1509461004819709E-2</v>
      </c>
      <c r="K295" s="81">
        <f t="shared" si="31"/>
        <v>9.2409432339710804</v>
      </c>
      <c r="L295" s="81">
        <f t="shared" si="34"/>
        <v>9.9790567660289184</v>
      </c>
      <c r="M295" s="81" t="str">
        <f t="shared" si="32"/>
        <v>OK</v>
      </c>
      <c r="N295" s="117">
        <f t="shared" si="35"/>
        <v>1</v>
      </c>
      <c r="O295" s="81">
        <f t="shared" si="33"/>
        <v>-1.7763568394002505E-15</v>
      </c>
      <c r="P295" s="81">
        <f>IF(G295="","",ABS(O295-Components!$C$2))</f>
        <v>2.7533333333333316</v>
      </c>
      <c r="Q295" s="81">
        <f>IF(G295="","",ABS(O295-Components!$C$3))</f>
        <v>4.0360000000000014</v>
      </c>
      <c r="R295" s="81">
        <f>IF(G295="","",ABS(O295-Components!$C$4))</f>
        <v>0.99333333333333473</v>
      </c>
      <c r="S295" s="81">
        <f>IF(G295="","",ABS(O295-Components!$C$5))</f>
        <v>4.5626666666666722</v>
      </c>
      <c r="T295" s="81">
        <f>IF(G295="","",ABS(O295-Components!$C$6))</f>
        <v>1.1556666666666717</v>
      </c>
      <c r="U295" s="81">
        <f>IF(G295="","",ABS(O295-Components!$C$7))</f>
        <v>1.3743333333333319</v>
      </c>
      <c r="V295" s="81" t="str">
        <f>IF(G295="","",IF(M295="OK","NONE",INDEX({"S1","S2","W1","W2","N1","N2"},MATCH(MIN(P295:U295),P295:U295,0))))</f>
        <v>NONE</v>
      </c>
      <c r="W295" s="117">
        <f t="shared" si="36"/>
        <v>1</v>
      </c>
      <c r="X295" s="119"/>
    </row>
    <row r="296" spans="1:24">
      <c r="A296" s="115">
        <v>294</v>
      </c>
      <c r="B296" s="116">
        <v>10</v>
      </c>
      <c r="C296" s="81" t="s">
        <v>132</v>
      </c>
      <c r="D296" s="109" t="s">
        <v>238</v>
      </c>
      <c r="E296" s="81" t="s">
        <v>239</v>
      </c>
      <c r="F296" s="61">
        <v>8.64</v>
      </c>
      <c r="G296" s="52">
        <f t="shared" si="30"/>
        <v>9.6100000000000012</v>
      </c>
      <c r="H296" s="110"/>
      <c r="I296" s="81">
        <v>9.61</v>
      </c>
      <c r="J296" s="81">
        <f>VLOOKUP(C296,Recipes!$A$2:$N$4,12,FALSE())</f>
        <v>6.1509461004819709E-2</v>
      </c>
      <c r="K296" s="81">
        <f t="shared" si="31"/>
        <v>9.2409432339710804</v>
      </c>
      <c r="L296" s="81">
        <f t="shared" si="34"/>
        <v>9.9790567660289184</v>
      </c>
      <c r="M296" s="81" t="str">
        <f t="shared" si="32"/>
        <v>OK</v>
      </c>
      <c r="N296" s="117">
        <f t="shared" si="35"/>
        <v>1</v>
      </c>
      <c r="O296" s="81">
        <f t="shared" si="33"/>
        <v>-1.7763568394002505E-15</v>
      </c>
      <c r="P296" s="81">
        <f>IF(G296="","",ABS(O296-Components!$C$2))</f>
        <v>2.7533333333333316</v>
      </c>
      <c r="Q296" s="81">
        <f>IF(G296="","",ABS(O296-Components!$C$3))</f>
        <v>4.0360000000000014</v>
      </c>
      <c r="R296" s="81">
        <f>IF(G296="","",ABS(O296-Components!$C$4))</f>
        <v>0.99333333333333473</v>
      </c>
      <c r="S296" s="81">
        <f>IF(G296="","",ABS(O296-Components!$C$5))</f>
        <v>4.5626666666666722</v>
      </c>
      <c r="T296" s="81">
        <f>IF(G296="","",ABS(O296-Components!$C$6))</f>
        <v>1.1556666666666717</v>
      </c>
      <c r="U296" s="81">
        <f>IF(G296="","",ABS(O296-Components!$C$7))</f>
        <v>1.3743333333333319</v>
      </c>
      <c r="V296" s="81" t="str">
        <f>IF(G296="","",IF(M296="OK","NONE",INDEX({"S1","S2","W1","W2","N1","N2"},MATCH(MIN(P296:U296),P296:U296,0))))</f>
        <v>NONE</v>
      </c>
      <c r="W296" s="117">
        <f t="shared" si="36"/>
        <v>1</v>
      </c>
      <c r="X296" s="119"/>
    </row>
    <row r="297" spans="1:24">
      <c r="A297" s="115">
        <v>295</v>
      </c>
      <c r="B297" s="116">
        <v>10</v>
      </c>
      <c r="C297" s="81" t="s">
        <v>132</v>
      </c>
      <c r="D297" s="109" t="s">
        <v>238</v>
      </c>
      <c r="E297" s="81" t="s">
        <v>239</v>
      </c>
      <c r="F297" s="61">
        <v>8.68</v>
      </c>
      <c r="G297" s="52">
        <f t="shared" si="30"/>
        <v>9.65</v>
      </c>
      <c r="H297" s="110"/>
      <c r="I297" s="81">
        <v>9.61</v>
      </c>
      <c r="J297" s="81">
        <f>VLOOKUP(C297,Recipes!$A$2:$N$4,12,FALSE())</f>
        <v>6.1509461004819709E-2</v>
      </c>
      <c r="K297" s="81">
        <f t="shared" si="31"/>
        <v>9.2409432339710804</v>
      </c>
      <c r="L297" s="81">
        <f t="shared" si="34"/>
        <v>9.9790567660289184</v>
      </c>
      <c r="M297" s="81" t="str">
        <f t="shared" si="32"/>
        <v>OK</v>
      </c>
      <c r="N297" s="117">
        <f t="shared" si="35"/>
        <v>1</v>
      </c>
      <c r="O297" s="81">
        <f t="shared" si="33"/>
        <v>-4.0000000000000924E-2</v>
      </c>
      <c r="P297" s="81">
        <f>IF(G297="","",ABS(O297-Components!$C$2))</f>
        <v>2.7933333333333308</v>
      </c>
      <c r="Q297" s="81">
        <f>IF(G297="","",ABS(O297-Components!$C$3))</f>
        <v>4.0760000000000005</v>
      </c>
      <c r="R297" s="81">
        <f>IF(G297="","",ABS(O297-Components!$C$4))</f>
        <v>1.0333333333333339</v>
      </c>
      <c r="S297" s="81">
        <f>IF(G297="","",ABS(O297-Components!$C$5))</f>
        <v>4.6026666666666713</v>
      </c>
      <c r="T297" s="81">
        <f>IF(G297="","",ABS(O297-Components!$C$6))</f>
        <v>1.1956666666666709</v>
      </c>
      <c r="U297" s="81">
        <f>IF(G297="","",ABS(O297-Components!$C$7))</f>
        <v>1.414333333333331</v>
      </c>
      <c r="V297" s="81" t="str">
        <f>IF(G297="","",IF(M297="OK","NONE",INDEX({"S1","S2","W1","W2","N1","N2"},MATCH(MIN(P297:U297),P297:U297,0))))</f>
        <v>NONE</v>
      </c>
      <c r="W297" s="117">
        <f t="shared" si="36"/>
        <v>1</v>
      </c>
      <c r="X297" s="119"/>
    </row>
    <row r="298" spans="1:24">
      <c r="A298" s="115">
        <v>296</v>
      </c>
      <c r="B298" s="116">
        <v>10</v>
      </c>
      <c r="C298" s="81" t="s">
        <v>132</v>
      </c>
      <c r="D298" s="109" t="s">
        <v>238</v>
      </c>
      <c r="E298" s="81" t="s">
        <v>239</v>
      </c>
      <c r="F298" s="61">
        <v>8.66</v>
      </c>
      <c r="G298" s="52">
        <f t="shared" si="30"/>
        <v>9.6300000000000008</v>
      </c>
      <c r="H298" s="110"/>
      <c r="I298" s="81">
        <v>9.61</v>
      </c>
      <c r="J298" s="81">
        <f>VLOOKUP(C298,Recipes!$A$2:$N$4,12,FALSE())</f>
        <v>6.1509461004819709E-2</v>
      </c>
      <c r="K298" s="81">
        <f t="shared" si="31"/>
        <v>9.2409432339710804</v>
      </c>
      <c r="L298" s="81">
        <f t="shared" si="34"/>
        <v>9.9790567660289184</v>
      </c>
      <c r="M298" s="81" t="str">
        <f t="shared" si="32"/>
        <v>OK</v>
      </c>
      <c r="N298" s="117">
        <f t="shared" si="35"/>
        <v>1</v>
      </c>
      <c r="O298" s="81">
        <f t="shared" si="33"/>
        <v>-2.000000000000135E-2</v>
      </c>
      <c r="P298" s="81">
        <f>IF(G298="","",ABS(O298-Components!$C$2))</f>
        <v>2.7733333333333312</v>
      </c>
      <c r="Q298" s="81">
        <f>IF(G298="","",ABS(O298-Components!$C$3))</f>
        <v>4.0560000000000009</v>
      </c>
      <c r="R298" s="81">
        <f>IF(G298="","",ABS(O298-Components!$C$4))</f>
        <v>1.0133333333333343</v>
      </c>
      <c r="S298" s="81">
        <f>IF(G298="","",ABS(O298-Components!$C$5))</f>
        <v>4.5826666666666718</v>
      </c>
      <c r="T298" s="81">
        <f>IF(G298="","",ABS(O298-Components!$C$6))</f>
        <v>1.1756666666666713</v>
      </c>
      <c r="U298" s="81">
        <f>IF(G298="","",ABS(O298-Components!$C$7))</f>
        <v>1.3943333333333314</v>
      </c>
      <c r="V298" s="81" t="str">
        <f>IF(G298="","",IF(M298="OK","NONE",INDEX({"S1","S2","W1","W2","N1","N2"},MATCH(MIN(P298:U298),P298:U298,0))))</f>
        <v>NONE</v>
      </c>
      <c r="W298" s="117">
        <f t="shared" si="36"/>
        <v>1</v>
      </c>
      <c r="X298" s="119"/>
    </row>
    <row r="299" spans="1:24">
      <c r="A299" s="115">
        <v>297</v>
      </c>
      <c r="B299" s="116">
        <v>10</v>
      </c>
      <c r="C299" s="81" t="s">
        <v>132</v>
      </c>
      <c r="D299" s="109" t="s">
        <v>238</v>
      </c>
      <c r="E299" s="81" t="s">
        <v>239</v>
      </c>
      <c r="F299" s="61">
        <v>8.58</v>
      </c>
      <c r="G299" s="52">
        <f t="shared" si="30"/>
        <v>9.5500000000000007</v>
      </c>
      <c r="H299" s="110"/>
      <c r="I299" s="81">
        <v>9.61</v>
      </c>
      <c r="J299" s="81">
        <f>VLOOKUP(C299,Recipes!$A$2:$N$4,12,FALSE())</f>
        <v>6.1509461004819709E-2</v>
      </c>
      <c r="K299" s="81">
        <f t="shared" si="31"/>
        <v>9.2409432339710804</v>
      </c>
      <c r="L299" s="81">
        <f t="shared" si="34"/>
        <v>9.9790567660289184</v>
      </c>
      <c r="M299" s="81" t="str">
        <f t="shared" si="32"/>
        <v>OK</v>
      </c>
      <c r="N299" s="117">
        <f t="shared" si="35"/>
        <v>1</v>
      </c>
      <c r="O299" s="81">
        <f t="shared" si="33"/>
        <v>5.9999999999998721E-2</v>
      </c>
      <c r="P299" s="81">
        <f>IF(G299="","",ABS(O299-Components!$C$2))</f>
        <v>2.6933333333333311</v>
      </c>
      <c r="Q299" s="81">
        <f>IF(G299="","",ABS(O299-Components!$C$3))</f>
        <v>3.9760000000000009</v>
      </c>
      <c r="R299" s="81">
        <f>IF(G299="","",ABS(O299-Components!$C$4))</f>
        <v>0.93333333333333424</v>
      </c>
      <c r="S299" s="81">
        <f>IF(G299="","",ABS(O299-Components!$C$5))</f>
        <v>4.5026666666666717</v>
      </c>
      <c r="T299" s="81">
        <f>IF(G299="","",ABS(O299-Components!$C$6))</f>
        <v>1.0956666666666712</v>
      </c>
      <c r="U299" s="81">
        <f>IF(G299="","",ABS(O299-Components!$C$7))</f>
        <v>1.3143333333333314</v>
      </c>
      <c r="V299" s="81" t="str">
        <f>IF(G299="","",IF(M299="OK","NONE",INDEX({"S1","S2","W1","W2","N1","N2"},MATCH(MIN(P299:U299),P299:U299,0))))</f>
        <v>NONE</v>
      </c>
      <c r="W299" s="117">
        <f t="shared" si="36"/>
        <v>1</v>
      </c>
      <c r="X299" s="119"/>
    </row>
    <row r="300" spans="1:24">
      <c r="A300" s="115">
        <v>298</v>
      </c>
      <c r="B300" s="116">
        <v>10</v>
      </c>
      <c r="C300" s="81" t="s">
        <v>132</v>
      </c>
      <c r="D300" s="109" t="s">
        <v>238</v>
      </c>
      <c r="E300" s="81" t="s">
        <v>239</v>
      </c>
      <c r="F300" s="52">
        <v>8.6300000000000008</v>
      </c>
      <c r="G300" s="52">
        <f t="shared" si="30"/>
        <v>9.6000000000000014</v>
      </c>
      <c r="H300" s="110"/>
      <c r="I300" s="81">
        <v>9.61</v>
      </c>
      <c r="J300" s="81">
        <f>VLOOKUP(C300,Recipes!$A$2:$N$4,12,FALSE())</f>
        <v>6.1509461004819709E-2</v>
      </c>
      <c r="K300" s="81">
        <f t="shared" si="31"/>
        <v>9.2409432339710804</v>
      </c>
      <c r="L300" s="81">
        <f t="shared" si="34"/>
        <v>9.9790567660289184</v>
      </c>
      <c r="M300" s="81" t="str">
        <f t="shared" si="32"/>
        <v>OK</v>
      </c>
      <c r="N300" s="117">
        <f t="shared" si="35"/>
        <v>1</v>
      </c>
      <c r="O300" s="81">
        <f t="shared" si="33"/>
        <v>9.9999999999980105E-3</v>
      </c>
      <c r="P300" s="81">
        <f>IF(G300="","",ABS(O300-Components!$C$2))</f>
        <v>2.7433333333333318</v>
      </c>
      <c r="Q300" s="81">
        <f>IF(G300="","",ABS(O300-Components!$C$3))</f>
        <v>4.0260000000000016</v>
      </c>
      <c r="R300" s="81">
        <f>IF(G300="","",ABS(O300-Components!$C$4))</f>
        <v>0.98333333333333495</v>
      </c>
      <c r="S300" s="81">
        <f>IF(G300="","",ABS(O300-Components!$C$5))</f>
        <v>4.5526666666666724</v>
      </c>
      <c r="T300" s="81">
        <f>IF(G300="","",ABS(O300-Components!$C$6))</f>
        <v>1.1456666666666719</v>
      </c>
      <c r="U300" s="81">
        <f>IF(G300="","",ABS(O300-Components!$C$7))</f>
        <v>1.3643333333333321</v>
      </c>
      <c r="V300" s="81" t="str">
        <f>IF(G300="","",IF(M300="OK","NONE",INDEX({"S1","S2","W1","W2","N1","N2"},MATCH(MIN(P300:U300),P300:U300,0))))</f>
        <v>NONE</v>
      </c>
      <c r="W300" s="117">
        <f t="shared" si="36"/>
        <v>1</v>
      </c>
      <c r="X300" s="119"/>
    </row>
    <row r="301" spans="1:24">
      <c r="A301" s="115">
        <v>299</v>
      </c>
      <c r="B301" s="116">
        <v>10</v>
      </c>
      <c r="C301" s="61" t="s">
        <v>132</v>
      </c>
      <c r="D301" s="61" t="s">
        <v>238</v>
      </c>
      <c r="E301" s="61" t="s">
        <v>239</v>
      </c>
      <c r="F301" s="61">
        <v>8.6199999999999992</v>
      </c>
      <c r="G301" s="52">
        <f t="shared" si="30"/>
        <v>9.59</v>
      </c>
      <c r="H301" s="110"/>
      <c r="I301" s="81">
        <v>9.61</v>
      </c>
      <c r="J301" s="81">
        <f>VLOOKUP(C301,Recipes!$A$2:$N$4,12,FALSE())</f>
        <v>6.1509461004819709E-2</v>
      </c>
      <c r="K301" s="81">
        <f t="shared" si="31"/>
        <v>9.2409432339710804</v>
      </c>
      <c r="L301" s="81">
        <f t="shared" si="34"/>
        <v>9.9790567660289184</v>
      </c>
      <c r="M301" s="81" t="str">
        <f t="shared" si="32"/>
        <v>OK</v>
      </c>
      <c r="N301" s="117">
        <f t="shared" si="35"/>
        <v>1</v>
      </c>
      <c r="O301" s="81">
        <f t="shared" si="33"/>
        <v>1.9999999999999574E-2</v>
      </c>
      <c r="P301" s="81">
        <f>IF(G301="","",ABS(O301-Components!$C$2))</f>
        <v>2.7333333333333303</v>
      </c>
      <c r="Q301" s="81">
        <f>IF(G301="","",ABS(O301-Components!$C$3))</f>
        <v>4.016</v>
      </c>
      <c r="R301" s="81">
        <f>IF(G301="","",ABS(O301-Components!$C$4))</f>
        <v>0.97333333333333338</v>
      </c>
      <c r="S301" s="81">
        <f>IF(G301="","",ABS(O301-Components!$C$5))</f>
        <v>4.5426666666666708</v>
      </c>
      <c r="T301" s="81">
        <f>IF(G301="","",ABS(O301-Components!$C$6))</f>
        <v>1.1356666666666704</v>
      </c>
      <c r="U301" s="81">
        <f>IF(G301="","",ABS(O301-Components!$C$7))</f>
        <v>1.3543333333333305</v>
      </c>
      <c r="V301" s="81" t="str">
        <f>IF(G301="","",IF(M301="OK","NONE",INDEX({"S1","S2","W1","W2","N1","N2"},MATCH(MIN(P301:U301),P301:U301,0))))</f>
        <v>NONE</v>
      </c>
      <c r="W301" s="117">
        <f t="shared" si="36"/>
        <v>1</v>
      </c>
      <c r="X301" s="119"/>
    </row>
    <row r="302" spans="1:24">
      <c r="A302" s="115">
        <v>300</v>
      </c>
      <c r="B302" s="116">
        <v>10</v>
      </c>
      <c r="C302" s="61" t="s">
        <v>132</v>
      </c>
      <c r="D302" s="61" t="s">
        <v>238</v>
      </c>
      <c r="E302" s="61" t="s">
        <v>239</v>
      </c>
      <c r="F302" s="61">
        <v>8.58</v>
      </c>
      <c r="G302" s="52">
        <f t="shared" si="30"/>
        <v>9.5500000000000007</v>
      </c>
      <c r="H302" s="110"/>
      <c r="I302" s="81">
        <v>9.61</v>
      </c>
      <c r="J302" s="81">
        <f>VLOOKUP(C302,Recipes!$A$2:$N$4,12,FALSE())</f>
        <v>6.1509461004819709E-2</v>
      </c>
      <c r="K302" s="81">
        <f t="shared" si="31"/>
        <v>9.2409432339710804</v>
      </c>
      <c r="L302" s="81">
        <f t="shared" si="34"/>
        <v>9.9790567660289184</v>
      </c>
      <c r="M302" s="81" t="str">
        <f t="shared" si="32"/>
        <v>OK</v>
      </c>
      <c r="N302" s="117">
        <f t="shared" si="35"/>
        <v>1</v>
      </c>
      <c r="O302" s="81">
        <f t="shared" si="33"/>
        <v>5.9999999999998721E-2</v>
      </c>
      <c r="P302" s="81">
        <f>IF(G302="","",ABS(O302-Components!$C$2))</f>
        <v>2.6933333333333311</v>
      </c>
      <c r="Q302" s="81">
        <f>IF(G302="","",ABS(O302-Components!$C$3))</f>
        <v>3.9760000000000009</v>
      </c>
      <c r="R302" s="81">
        <f>IF(G302="","",ABS(O302-Components!$C$4))</f>
        <v>0.93333333333333424</v>
      </c>
      <c r="S302" s="81">
        <f>IF(G302="","",ABS(O302-Components!$C$5))</f>
        <v>4.5026666666666717</v>
      </c>
      <c r="T302" s="81">
        <f>IF(G302="","",ABS(O302-Components!$C$6))</f>
        <v>1.0956666666666712</v>
      </c>
      <c r="U302" s="81">
        <f>IF(G302="","",ABS(O302-Components!$C$7))</f>
        <v>1.3143333333333314</v>
      </c>
      <c r="V302" s="81" t="str">
        <f>IF(G302="","",IF(M302="OK","NONE",INDEX({"S1","S2","W1","W2","N1","N2"},MATCH(MIN(P302:U302),P302:U302,0))))</f>
        <v>NONE</v>
      </c>
      <c r="W302" s="117">
        <f t="shared" si="36"/>
        <v>1</v>
      </c>
      <c r="X302" s="119"/>
    </row>
    <row r="303" spans="1:24">
      <c r="A303" s="115">
        <v>301</v>
      </c>
      <c r="B303" s="116">
        <v>11</v>
      </c>
      <c r="C303" s="81" t="s">
        <v>132</v>
      </c>
      <c r="D303" s="111" t="s">
        <v>240</v>
      </c>
      <c r="E303" s="81" t="s">
        <v>99</v>
      </c>
      <c r="F303" s="52">
        <v>5.89</v>
      </c>
      <c r="G303" s="52">
        <f t="shared" si="30"/>
        <v>6.8599999999999994</v>
      </c>
      <c r="H303" s="110"/>
      <c r="I303" s="81">
        <v>9.61</v>
      </c>
      <c r="J303" s="81">
        <f>VLOOKUP(C303,Recipes!$A$2:$N$4,12,FALSE())</f>
        <v>6.1509461004819709E-2</v>
      </c>
      <c r="K303" s="81">
        <f t="shared" si="31"/>
        <v>9.2409432339710804</v>
      </c>
      <c r="L303" s="81">
        <f t="shared" si="34"/>
        <v>9.9790567660289184</v>
      </c>
      <c r="M303" s="81" t="str">
        <f t="shared" si="32"/>
        <v>NG</v>
      </c>
      <c r="N303" s="117">
        <f t="shared" si="35"/>
        <v>1</v>
      </c>
      <c r="O303" s="81">
        <f t="shared" si="33"/>
        <v>2.75</v>
      </c>
      <c r="P303" s="81">
        <f>IF(G303="","",ABS(O303-Components!$C$2))</f>
        <v>3.3333333333298576E-3</v>
      </c>
      <c r="Q303" s="81">
        <f>IF(G303="","",ABS(O303-Components!$C$3))</f>
        <v>1.2859999999999996</v>
      </c>
      <c r="R303" s="81">
        <f>IF(G303="","",ABS(O303-Components!$C$4))</f>
        <v>1.756666666666667</v>
      </c>
      <c r="S303" s="81">
        <f>IF(G303="","",ABS(O303-Components!$C$5))</f>
        <v>1.8126666666666704</v>
      </c>
      <c r="T303" s="81">
        <f>IF(G303="","",ABS(O303-Components!$C$6))</f>
        <v>1.59433333333333</v>
      </c>
      <c r="U303" s="81">
        <f>IF(G303="","",ABS(O303-Components!$C$7))</f>
        <v>1.3756666666666699</v>
      </c>
      <c r="V303" s="81" t="str">
        <f>IF(G303="","",IF(M303="OK","NONE",INDEX({"S1","S2","W1","W2","N1","N2"},MATCH(MIN(P303:U303),P303:U303,0))))</f>
        <v>S1</v>
      </c>
      <c r="W303" s="117">
        <f t="shared" si="36"/>
        <v>1</v>
      </c>
      <c r="X303" s="119"/>
    </row>
    <row r="304" spans="1:24">
      <c r="A304" s="115">
        <v>302</v>
      </c>
      <c r="B304" s="116">
        <v>11</v>
      </c>
      <c r="C304" s="81" t="s">
        <v>132</v>
      </c>
      <c r="D304" s="111" t="s">
        <v>240</v>
      </c>
      <c r="E304" s="81" t="s">
        <v>99</v>
      </c>
      <c r="F304" s="52">
        <v>5.89</v>
      </c>
      <c r="G304" s="52">
        <f t="shared" si="30"/>
        <v>6.8599999999999994</v>
      </c>
      <c r="H304" s="110"/>
      <c r="I304" s="81">
        <v>9.61</v>
      </c>
      <c r="J304" s="81">
        <f>VLOOKUP(C304,Recipes!$A$2:$N$4,12,FALSE())</f>
        <v>6.1509461004819709E-2</v>
      </c>
      <c r="K304" s="81">
        <f t="shared" si="31"/>
        <v>9.2409432339710804</v>
      </c>
      <c r="L304" s="81">
        <f t="shared" si="34"/>
        <v>9.9790567660289184</v>
      </c>
      <c r="M304" s="81" t="str">
        <f t="shared" si="32"/>
        <v>NG</v>
      </c>
      <c r="N304" s="117">
        <f t="shared" si="35"/>
        <v>1</v>
      </c>
      <c r="O304" s="81">
        <f t="shared" si="33"/>
        <v>2.75</v>
      </c>
      <c r="P304" s="81">
        <f>IF(G304="","",ABS(O304-Components!$C$2))</f>
        <v>3.3333333333298576E-3</v>
      </c>
      <c r="Q304" s="81">
        <f>IF(G304="","",ABS(O304-Components!$C$3))</f>
        <v>1.2859999999999996</v>
      </c>
      <c r="R304" s="81">
        <f>IF(G304="","",ABS(O304-Components!$C$4))</f>
        <v>1.756666666666667</v>
      </c>
      <c r="S304" s="81">
        <f>IF(G304="","",ABS(O304-Components!$C$5))</f>
        <v>1.8126666666666704</v>
      </c>
      <c r="T304" s="81">
        <f>IF(G304="","",ABS(O304-Components!$C$6))</f>
        <v>1.59433333333333</v>
      </c>
      <c r="U304" s="81">
        <f>IF(G304="","",ABS(O304-Components!$C$7))</f>
        <v>1.3756666666666699</v>
      </c>
      <c r="V304" s="81" t="str">
        <f>IF(G304="","",IF(M304="OK","NONE",INDEX({"S1","S2","W1","W2","N1","N2"},MATCH(MIN(P304:U304),P304:U304,0))))</f>
        <v>S1</v>
      </c>
      <c r="W304" s="117">
        <f t="shared" si="36"/>
        <v>1</v>
      </c>
      <c r="X304" s="119"/>
    </row>
    <row r="305" spans="1:24">
      <c r="A305" s="115">
        <v>303</v>
      </c>
      <c r="B305" s="116">
        <v>11</v>
      </c>
      <c r="C305" s="81" t="s">
        <v>132</v>
      </c>
      <c r="D305" s="111" t="s">
        <v>240</v>
      </c>
      <c r="E305" s="81" t="s">
        <v>99</v>
      </c>
      <c r="F305" s="61">
        <v>5.9</v>
      </c>
      <c r="G305" s="52">
        <f t="shared" si="30"/>
        <v>6.87</v>
      </c>
      <c r="H305" s="110"/>
      <c r="I305" s="81">
        <v>9.61</v>
      </c>
      <c r="J305" s="81">
        <f>VLOOKUP(C305,Recipes!$A$2:$N$4,12,FALSE())</f>
        <v>6.1509461004819709E-2</v>
      </c>
      <c r="K305" s="81">
        <f t="shared" si="31"/>
        <v>9.2409432339710804</v>
      </c>
      <c r="L305" s="81">
        <f t="shared" si="34"/>
        <v>9.9790567660289184</v>
      </c>
      <c r="M305" s="81" t="str">
        <f t="shared" si="32"/>
        <v>NG</v>
      </c>
      <c r="N305" s="117">
        <f t="shared" si="35"/>
        <v>1</v>
      </c>
      <c r="O305" s="81">
        <f t="shared" si="33"/>
        <v>2.7399999999999993</v>
      </c>
      <c r="P305" s="81">
        <f>IF(G305="","",ABS(O305-Components!$C$2))</f>
        <v>1.3333333333330533E-2</v>
      </c>
      <c r="Q305" s="81">
        <f>IF(G305="","",ABS(O305-Components!$C$3))</f>
        <v>1.2960000000000003</v>
      </c>
      <c r="R305" s="81">
        <f>IF(G305="","",ABS(O305-Components!$C$4))</f>
        <v>1.7466666666666664</v>
      </c>
      <c r="S305" s="81">
        <f>IF(G305="","",ABS(O305-Components!$C$5))</f>
        <v>1.8226666666666711</v>
      </c>
      <c r="T305" s="81">
        <f>IF(G305="","",ABS(O305-Components!$C$6))</f>
        <v>1.5843333333333294</v>
      </c>
      <c r="U305" s="81">
        <f>IF(G305="","",ABS(O305-Components!$C$7))</f>
        <v>1.3656666666666692</v>
      </c>
      <c r="V305" s="81" t="str">
        <f>IF(G305="","",IF(M305="OK","NONE",INDEX({"S1","S2","W1","W2","N1","N2"},MATCH(MIN(P305:U305),P305:U305,0))))</f>
        <v>S1</v>
      </c>
      <c r="W305" s="117">
        <f t="shared" si="36"/>
        <v>1</v>
      </c>
      <c r="X305" s="119"/>
    </row>
    <row r="306" spans="1:24">
      <c r="A306" s="115">
        <v>304</v>
      </c>
      <c r="B306" s="116">
        <v>11</v>
      </c>
      <c r="C306" s="81" t="s">
        <v>132</v>
      </c>
      <c r="D306" s="111" t="s">
        <v>240</v>
      </c>
      <c r="E306" s="81" t="s">
        <v>99</v>
      </c>
      <c r="F306" s="61">
        <v>5.88</v>
      </c>
      <c r="G306" s="52">
        <f t="shared" si="30"/>
        <v>6.85</v>
      </c>
      <c r="H306" s="110"/>
      <c r="I306" s="81">
        <v>9.61</v>
      </c>
      <c r="J306" s="81">
        <f>VLOOKUP(C306,Recipes!$A$2:$N$4,12,FALSE())</f>
        <v>6.1509461004819709E-2</v>
      </c>
      <c r="K306" s="81">
        <f t="shared" si="31"/>
        <v>9.2409432339710804</v>
      </c>
      <c r="L306" s="81">
        <f t="shared" si="34"/>
        <v>9.9790567660289184</v>
      </c>
      <c r="M306" s="81" t="str">
        <f t="shared" si="32"/>
        <v>NG</v>
      </c>
      <c r="N306" s="117">
        <f t="shared" si="35"/>
        <v>1</v>
      </c>
      <c r="O306" s="81">
        <f t="shared" si="33"/>
        <v>2.76</v>
      </c>
      <c r="P306" s="81">
        <f>IF(G306="","",ABS(O306-Components!$C$2))</f>
        <v>6.6666666666699292E-3</v>
      </c>
      <c r="Q306" s="81">
        <f>IF(G306="","",ABS(O306-Components!$C$3))</f>
        <v>1.2759999999999998</v>
      </c>
      <c r="R306" s="81">
        <f>IF(G306="","",ABS(O306-Components!$C$4))</f>
        <v>1.7666666666666668</v>
      </c>
      <c r="S306" s="81">
        <f>IF(G306="","",ABS(O306-Components!$C$5))</f>
        <v>1.8026666666666706</v>
      </c>
      <c r="T306" s="81">
        <f>IF(G306="","",ABS(O306-Components!$C$6))</f>
        <v>1.6043333333333298</v>
      </c>
      <c r="U306" s="81">
        <f>IF(G306="","",ABS(O306-Components!$C$7))</f>
        <v>1.3856666666666697</v>
      </c>
      <c r="V306" s="81" t="str">
        <f>IF(G306="","",IF(M306="OK","NONE",INDEX({"S1","S2","W1","W2","N1","N2"},MATCH(MIN(P306:U306),P306:U306,0))))</f>
        <v>S1</v>
      </c>
      <c r="W306" s="117">
        <f t="shared" si="36"/>
        <v>1</v>
      </c>
      <c r="X306" s="119"/>
    </row>
    <row r="307" spans="1:24">
      <c r="A307" s="115">
        <v>305</v>
      </c>
      <c r="B307" s="116">
        <v>11</v>
      </c>
      <c r="C307" s="81" t="s">
        <v>132</v>
      </c>
      <c r="D307" s="111" t="s">
        <v>240</v>
      </c>
      <c r="E307" s="81" t="s">
        <v>99</v>
      </c>
      <c r="F307" s="61">
        <v>5.91</v>
      </c>
      <c r="G307" s="52">
        <f t="shared" si="30"/>
        <v>6.88</v>
      </c>
      <c r="H307" s="110"/>
      <c r="I307" s="81">
        <v>9.61</v>
      </c>
      <c r="J307" s="81">
        <f>VLOOKUP(C307,Recipes!$A$2:$N$4,12,FALSE())</f>
        <v>6.1509461004819709E-2</v>
      </c>
      <c r="K307" s="81">
        <f t="shared" si="31"/>
        <v>9.2409432339710804</v>
      </c>
      <c r="L307" s="81">
        <f t="shared" si="34"/>
        <v>9.9790567660289184</v>
      </c>
      <c r="M307" s="81" t="str">
        <f t="shared" si="32"/>
        <v>NG</v>
      </c>
      <c r="N307" s="117">
        <f t="shared" si="35"/>
        <v>1</v>
      </c>
      <c r="O307" s="81">
        <f t="shared" si="33"/>
        <v>2.7299999999999995</v>
      </c>
      <c r="P307" s="81">
        <f>IF(G307="","",ABS(O307-Components!$C$2))</f>
        <v>2.3333333333330319E-2</v>
      </c>
      <c r="Q307" s="81">
        <f>IF(G307="","",ABS(O307-Components!$C$3))</f>
        <v>1.306</v>
      </c>
      <c r="R307" s="81">
        <f>IF(G307="","",ABS(O307-Components!$C$4))</f>
        <v>1.7366666666666666</v>
      </c>
      <c r="S307" s="81">
        <f>IF(G307="","",ABS(O307-Components!$C$5))</f>
        <v>1.8326666666666709</v>
      </c>
      <c r="T307" s="81">
        <f>IF(G307="","",ABS(O307-Components!$C$6))</f>
        <v>1.5743333333333296</v>
      </c>
      <c r="U307" s="81">
        <f>IF(G307="","",ABS(O307-Components!$C$7))</f>
        <v>1.3556666666666695</v>
      </c>
      <c r="V307" s="81" t="str">
        <f>IF(G307="","",IF(M307="OK","NONE",INDEX({"S1","S2","W1","W2","N1","N2"},MATCH(MIN(P307:U307),P307:U307,0))))</f>
        <v>S1</v>
      </c>
      <c r="W307" s="117">
        <f t="shared" si="36"/>
        <v>1</v>
      </c>
      <c r="X307" s="119"/>
    </row>
    <row r="308" spans="1:24">
      <c r="A308" s="115">
        <v>306</v>
      </c>
      <c r="B308" s="116">
        <v>11</v>
      </c>
      <c r="C308" s="81" t="s">
        <v>132</v>
      </c>
      <c r="D308" s="111" t="s">
        <v>240</v>
      </c>
      <c r="E308" s="81" t="s">
        <v>99</v>
      </c>
      <c r="F308" s="61">
        <v>5.86</v>
      </c>
      <c r="G308" s="52">
        <f t="shared" si="30"/>
        <v>6.83</v>
      </c>
      <c r="H308" s="110"/>
      <c r="I308" s="81">
        <v>9.61</v>
      </c>
      <c r="J308" s="81">
        <f>VLOOKUP(C308,Recipes!$A$2:$N$4,12,FALSE())</f>
        <v>6.1509461004819709E-2</v>
      </c>
      <c r="K308" s="81">
        <f t="shared" si="31"/>
        <v>9.2409432339710804</v>
      </c>
      <c r="L308" s="81">
        <f t="shared" si="34"/>
        <v>9.9790567660289184</v>
      </c>
      <c r="M308" s="81" t="str">
        <f t="shared" si="32"/>
        <v>NG</v>
      </c>
      <c r="N308" s="117">
        <f t="shared" si="35"/>
        <v>1</v>
      </c>
      <c r="O308" s="81">
        <f t="shared" si="33"/>
        <v>2.7799999999999994</v>
      </c>
      <c r="P308" s="81">
        <f>IF(G308="","",ABS(O308-Components!$C$2))</f>
        <v>2.6666666666669503E-2</v>
      </c>
      <c r="Q308" s="81">
        <f>IF(G308="","",ABS(O308-Components!$C$3))</f>
        <v>1.2560000000000002</v>
      </c>
      <c r="R308" s="81">
        <f>IF(G308="","",ABS(O308-Components!$C$4))</f>
        <v>1.7866666666666664</v>
      </c>
      <c r="S308" s="81">
        <f>IF(G308="","",ABS(O308-Components!$C$5))</f>
        <v>1.7826666666666711</v>
      </c>
      <c r="T308" s="81">
        <f>IF(G308="","",ABS(O308-Components!$C$6))</f>
        <v>1.6243333333333294</v>
      </c>
      <c r="U308" s="81">
        <f>IF(G308="","",ABS(O308-Components!$C$7))</f>
        <v>1.4056666666666693</v>
      </c>
      <c r="V308" s="81" t="str">
        <f>IF(G308="","",IF(M308="OK","NONE",INDEX({"S1","S2","W1","W2","N1","N2"},MATCH(MIN(P308:U308),P308:U308,0))))</f>
        <v>S1</v>
      </c>
      <c r="W308" s="117">
        <f t="shared" si="36"/>
        <v>1</v>
      </c>
      <c r="X308" s="119"/>
    </row>
    <row r="309" spans="1:24">
      <c r="A309" s="115">
        <v>307</v>
      </c>
      <c r="B309" s="116">
        <v>11</v>
      </c>
      <c r="C309" s="81" t="s">
        <v>132</v>
      </c>
      <c r="D309" s="111" t="s">
        <v>240</v>
      </c>
      <c r="E309" s="81" t="s">
        <v>99</v>
      </c>
      <c r="F309" s="61">
        <v>5.9</v>
      </c>
      <c r="G309" s="52">
        <f t="shared" si="30"/>
        <v>6.87</v>
      </c>
      <c r="H309" s="110"/>
      <c r="I309" s="81">
        <v>9.61</v>
      </c>
      <c r="J309" s="81">
        <f>VLOOKUP(C309,Recipes!$A$2:$N$4,12,FALSE())</f>
        <v>6.1509461004819709E-2</v>
      </c>
      <c r="K309" s="81">
        <f t="shared" si="31"/>
        <v>9.2409432339710804</v>
      </c>
      <c r="L309" s="81">
        <f t="shared" si="34"/>
        <v>9.9790567660289184</v>
      </c>
      <c r="M309" s="81" t="str">
        <f t="shared" si="32"/>
        <v>NG</v>
      </c>
      <c r="N309" s="117">
        <f t="shared" si="35"/>
        <v>1</v>
      </c>
      <c r="O309" s="81">
        <f t="shared" si="33"/>
        <v>2.7399999999999993</v>
      </c>
      <c r="P309" s="81">
        <f>IF(G309="","",ABS(O309-Components!$C$2))</f>
        <v>1.3333333333330533E-2</v>
      </c>
      <c r="Q309" s="81">
        <f>IF(G309="","",ABS(O309-Components!$C$3))</f>
        <v>1.2960000000000003</v>
      </c>
      <c r="R309" s="81">
        <f>IF(G309="","",ABS(O309-Components!$C$4))</f>
        <v>1.7466666666666664</v>
      </c>
      <c r="S309" s="81">
        <f>IF(G309="","",ABS(O309-Components!$C$5))</f>
        <v>1.8226666666666711</v>
      </c>
      <c r="T309" s="81">
        <f>IF(G309="","",ABS(O309-Components!$C$6))</f>
        <v>1.5843333333333294</v>
      </c>
      <c r="U309" s="81">
        <f>IF(G309="","",ABS(O309-Components!$C$7))</f>
        <v>1.3656666666666692</v>
      </c>
      <c r="V309" s="81" t="str">
        <f>IF(G309="","",IF(M309="OK","NONE",INDEX({"S1","S2","W1","W2","N1","N2"},MATCH(MIN(P309:U309),P309:U309,0))))</f>
        <v>S1</v>
      </c>
      <c r="W309" s="117">
        <f t="shared" si="36"/>
        <v>1</v>
      </c>
      <c r="X309" s="119"/>
    </row>
    <row r="310" spans="1:24">
      <c r="A310" s="115">
        <v>308</v>
      </c>
      <c r="B310" s="116">
        <v>11</v>
      </c>
      <c r="C310" s="81" t="s">
        <v>132</v>
      </c>
      <c r="D310" s="111" t="s">
        <v>240</v>
      </c>
      <c r="E310" s="81" t="s">
        <v>99</v>
      </c>
      <c r="F310" s="61">
        <v>5.8</v>
      </c>
      <c r="G310" s="52">
        <f t="shared" si="30"/>
        <v>6.77</v>
      </c>
      <c r="H310" s="110"/>
      <c r="I310" s="81">
        <v>9.61</v>
      </c>
      <c r="J310" s="81">
        <f>VLOOKUP(C310,Recipes!$A$2:$N$4,12,FALSE())</f>
        <v>6.1509461004819709E-2</v>
      </c>
      <c r="K310" s="81">
        <f t="shared" si="31"/>
        <v>9.2409432339710804</v>
      </c>
      <c r="L310" s="81">
        <f t="shared" si="34"/>
        <v>9.9790567660289184</v>
      </c>
      <c r="M310" s="81" t="str">
        <f t="shared" si="32"/>
        <v>NG</v>
      </c>
      <c r="N310" s="117">
        <f t="shared" si="35"/>
        <v>1</v>
      </c>
      <c r="O310" s="81">
        <f t="shared" si="33"/>
        <v>2.84</v>
      </c>
      <c r="P310" s="81">
        <f>IF(G310="","",ABS(O310-Components!$C$2))</f>
        <v>8.666666666667E-2</v>
      </c>
      <c r="Q310" s="81">
        <f>IF(G310="","",ABS(O310-Components!$C$3))</f>
        <v>1.1959999999999997</v>
      </c>
      <c r="R310" s="81">
        <f>IF(G310="","",ABS(O310-Components!$C$4))</f>
        <v>1.8466666666666669</v>
      </c>
      <c r="S310" s="81">
        <f>IF(G310="","",ABS(O310-Components!$C$5))</f>
        <v>1.7226666666666706</v>
      </c>
      <c r="T310" s="81">
        <f>IF(G310="","",ABS(O310-Components!$C$6))</f>
        <v>1.6843333333333299</v>
      </c>
      <c r="U310" s="81">
        <f>IF(G310="","",ABS(O310-Components!$C$7))</f>
        <v>1.4656666666666698</v>
      </c>
      <c r="V310" s="81" t="str">
        <f>IF(G310="","",IF(M310="OK","NONE",INDEX({"S1","S2","W1","W2","N1","N2"},MATCH(MIN(P310:U310),P310:U310,0))))</f>
        <v>S1</v>
      </c>
      <c r="W310" s="117">
        <f t="shared" si="36"/>
        <v>1</v>
      </c>
      <c r="X310" s="119"/>
    </row>
    <row r="311" spans="1:24">
      <c r="A311" s="115">
        <v>309</v>
      </c>
      <c r="B311" s="116">
        <v>11</v>
      </c>
      <c r="C311" s="81" t="s">
        <v>132</v>
      </c>
      <c r="D311" s="111" t="s">
        <v>240</v>
      </c>
      <c r="E311" s="81" t="s">
        <v>99</v>
      </c>
      <c r="F311" s="61">
        <v>5.94</v>
      </c>
      <c r="G311" s="52">
        <f t="shared" si="30"/>
        <v>6.91</v>
      </c>
      <c r="H311" s="110"/>
      <c r="I311" s="81">
        <v>9.61</v>
      </c>
      <c r="J311" s="81">
        <f>VLOOKUP(C311,Recipes!$A$2:$N$4,12,FALSE())</f>
        <v>6.1509461004819709E-2</v>
      </c>
      <c r="K311" s="81">
        <f t="shared" si="31"/>
        <v>9.2409432339710804</v>
      </c>
      <c r="L311" s="81">
        <f t="shared" si="34"/>
        <v>9.9790567660289184</v>
      </c>
      <c r="M311" s="81" t="str">
        <f t="shared" si="32"/>
        <v>NG</v>
      </c>
      <c r="N311" s="117">
        <f t="shared" si="35"/>
        <v>1</v>
      </c>
      <c r="O311" s="81">
        <f t="shared" si="33"/>
        <v>2.6999999999999993</v>
      </c>
      <c r="P311" s="81">
        <f>IF(G311="","",ABS(O311-Components!$C$2))</f>
        <v>5.3333333333330568E-2</v>
      </c>
      <c r="Q311" s="81">
        <f>IF(G311="","",ABS(O311-Components!$C$3))</f>
        <v>1.3360000000000003</v>
      </c>
      <c r="R311" s="81">
        <f>IF(G311="","",ABS(O311-Components!$C$4))</f>
        <v>1.7066666666666663</v>
      </c>
      <c r="S311" s="81">
        <f>IF(G311="","",ABS(O311-Components!$C$5))</f>
        <v>1.8626666666666711</v>
      </c>
      <c r="T311" s="81">
        <f>IF(G311="","",ABS(O311-Components!$C$6))</f>
        <v>1.5443333333333293</v>
      </c>
      <c r="U311" s="81">
        <f>IF(G311="","",ABS(O311-Components!$C$7))</f>
        <v>1.3256666666666692</v>
      </c>
      <c r="V311" s="81" t="str">
        <f>IF(G311="","",IF(M311="OK","NONE",INDEX({"S1","S2","W1","W2","N1","N2"},MATCH(MIN(P311:U311),P311:U311,0))))</f>
        <v>S1</v>
      </c>
      <c r="W311" s="117">
        <f t="shared" si="36"/>
        <v>1</v>
      </c>
      <c r="X311" s="119"/>
    </row>
    <row r="312" spans="1:24">
      <c r="A312" s="115">
        <v>310</v>
      </c>
      <c r="B312" s="116">
        <v>11</v>
      </c>
      <c r="C312" s="81" t="s">
        <v>132</v>
      </c>
      <c r="D312" s="111" t="s">
        <v>240</v>
      </c>
      <c r="E312" s="81" t="s">
        <v>99</v>
      </c>
      <c r="F312" s="61">
        <v>5.94</v>
      </c>
      <c r="G312" s="52">
        <f t="shared" si="30"/>
        <v>6.91</v>
      </c>
      <c r="H312" s="110"/>
      <c r="I312" s="81">
        <v>9.61</v>
      </c>
      <c r="J312" s="81">
        <f>VLOOKUP(C312,Recipes!$A$2:$N$4,12,FALSE())</f>
        <v>6.1509461004819709E-2</v>
      </c>
      <c r="K312" s="81">
        <f t="shared" si="31"/>
        <v>9.2409432339710804</v>
      </c>
      <c r="L312" s="81">
        <f t="shared" si="34"/>
        <v>9.9790567660289184</v>
      </c>
      <c r="M312" s="81" t="str">
        <f t="shared" si="32"/>
        <v>NG</v>
      </c>
      <c r="N312" s="117">
        <f t="shared" si="35"/>
        <v>1</v>
      </c>
      <c r="O312" s="81">
        <f t="shared" si="33"/>
        <v>2.6999999999999993</v>
      </c>
      <c r="P312" s="81">
        <f>IF(G312="","",ABS(O312-Components!$C$2))</f>
        <v>5.3333333333330568E-2</v>
      </c>
      <c r="Q312" s="81">
        <f>IF(G312="","",ABS(O312-Components!$C$3))</f>
        <v>1.3360000000000003</v>
      </c>
      <c r="R312" s="81">
        <f>IF(G312="","",ABS(O312-Components!$C$4))</f>
        <v>1.7066666666666663</v>
      </c>
      <c r="S312" s="81">
        <f>IF(G312="","",ABS(O312-Components!$C$5))</f>
        <v>1.8626666666666711</v>
      </c>
      <c r="T312" s="81">
        <f>IF(G312="","",ABS(O312-Components!$C$6))</f>
        <v>1.5443333333333293</v>
      </c>
      <c r="U312" s="81">
        <f>IF(G312="","",ABS(O312-Components!$C$7))</f>
        <v>1.3256666666666692</v>
      </c>
      <c r="V312" s="81" t="str">
        <f>IF(G312="","",IF(M312="OK","NONE",INDEX({"S1","S2","W1","W2","N1","N2"},MATCH(MIN(P312:U312),P312:U312,0))))</f>
        <v>S1</v>
      </c>
      <c r="W312" s="117">
        <f t="shared" si="36"/>
        <v>1</v>
      </c>
      <c r="X312" s="119"/>
    </row>
    <row r="313" spans="1:24">
      <c r="A313" s="115">
        <v>311</v>
      </c>
      <c r="B313" s="116">
        <v>11</v>
      </c>
      <c r="C313" s="81" t="s">
        <v>132</v>
      </c>
      <c r="D313" s="111" t="s">
        <v>240</v>
      </c>
      <c r="E313" s="81" t="s">
        <v>99</v>
      </c>
      <c r="F313" s="61">
        <v>5.87</v>
      </c>
      <c r="G313" s="52">
        <f t="shared" si="30"/>
        <v>6.84</v>
      </c>
      <c r="H313" s="110"/>
      <c r="I313" s="81">
        <v>9.61</v>
      </c>
      <c r="J313" s="81">
        <f>VLOOKUP(C313,Recipes!$A$2:$N$4,12,FALSE())</f>
        <v>6.1509461004819709E-2</v>
      </c>
      <c r="K313" s="81">
        <f t="shared" si="31"/>
        <v>9.2409432339710804</v>
      </c>
      <c r="L313" s="81">
        <f t="shared" si="34"/>
        <v>9.9790567660289184</v>
      </c>
      <c r="M313" s="81" t="str">
        <f t="shared" si="32"/>
        <v>NG</v>
      </c>
      <c r="N313" s="117">
        <f t="shared" si="35"/>
        <v>1</v>
      </c>
      <c r="O313" s="81">
        <f t="shared" si="33"/>
        <v>2.7699999999999996</v>
      </c>
      <c r="P313" s="81">
        <f>IF(G313="","",ABS(O313-Components!$C$2))</f>
        <v>1.6666666666669716E-2</v>
      </c>
      <c r="Q313" s="81">
        <f>IF(G313="","",ABS(O313-Components!$C$3))</f>
        <v>1.266</v>
      </c>
      <c r="R313" s="81">
        <f>IF(G313="","",ABS(O313-Components!$C$4))</f>
        <v>1.7766666666666666</v>
      </c>
      <c r="S313" s="81">
        <f>IF(G313="","",ABS(O313-Components!$C$5))</f>
        <v>1.7926666666666708</v>
      </c>
      <c r="T313" s="81">
        <f>IF(G313="","",ABS(O313-Components!$C$6))</f>
        <v>1.6143333333333296</v>
      </c>
      <c r="U313" s="81">
        <f>IF(G313="","",ABS(O313-Components!$C$7))</f>
        <v>1.3956666666666695</v>
      </c>
      <c r="V313" s="81" t="str">
        <f>IF(G313="","",IF(M313="OK","NONE",INDEX({"S1","S2","W1","W2","N1","N2"},MATCH(MIN(P313:U313),P313:U313,0))))</f>
        <v>S1</v>
      </c>
      <c r="W313" s="117">
        <f t="shared" si="36"/>
        <v>1</v>
      </c>
      <c r="X313" s="119"/>
    </row>
    <row r="314" spans="1:24">
      <c r="A314" s="115">
        <v>312</v>
      </c>
      <c r="B314" s="116">
        <v>11</v>
      </c>
      <c r="C314" s="81" t="s">
        <v>132</v>
      </c>
      <c r="D314" s="111" t="s">
        <v>240</v>
      </c>
      <c r="E314" s="81" t="s">
        <v>99</v>
      </c>
      <c r="F314" s="61">
        <v>5.88</v>
      </c>
      <c r="G314" s="52">
        <f t="shared" si="30"/>
        <v>6.85</v>
      </c>
      <c r="H314" s="110"/>
      <c r="I314" s="81">
        <v>9.61</v>
      </c>
      <c r="J314" s="81">
        <f>VLOOKUP(C314,Recipes!$A$2:$N$4,12,FALSE())</f>
        <v>6.1509461004819709E-2</v>
      </c>
      <c r="K314" s="81">
        <f t="shared" si="31"/>
        <v>9.2409432339710804</v>
      </c>
      <c r="L314" s="81">
        <f t="shared" si="34"/>
        <v>9.9790567660289184</v>
      </c>
      <c r="M314" s="81" t="str">
        <f t="shared" si="32"/>
        <v>NG</v>
      </c>
      <c r="N314" s="117">
        <f t="shared" si="35"/>
        <v>1</v>
      </c>
      <c r="O314" s="81">
        <f t="shared" si="33"/>
        <v>2.76</v>
      </c>
      <c r="P314" s="81">
        <f>IF(G314="","",ABS(O314-Components!$C$2))</f>
        <v>6.6666666666699292E-3</v>
      </c>
      <c r="Q314" s="81">
        <f>IF(G314="","",ABS(O314-Components!$C$3))</f>
        <v>1.2759999999999998</v>
      </c>
      <c r="R314" s="81">
        <f>IF(G314="","",ABS(O314-Components!$C$4))</f>
        <v>1.7666666666666668</v>
      </c>
      <c r="S314" s="81">
        <f>IF(G314="","",ABS(O314-Components!$C$5))</f>
        <v>1.8026666666666706</v>
      </c>
      <c r="T314" s="81">
        <f>IF(G314="","",ABS(O314-Components!$C$6))</f>
        <v>1.6043333333333298</v>
      </c>
      <c r="U314" s="81">
        <f>IF(G314="","",ABS(O314-Components!$C$7))</f>
        <v>1.3856666666666697</v>
      </c>
      <c r="V314" s="81" t="str">
        <f>IF(G314="","",IF(M314="OK","NONE",INDEX({"S1","S2","W1","W2","N1","N2"},MATCH(MIN(P314:U314),P314:U314,0))))</f>
        <v>S1</v>
      </c>
      <c r="W314" s="117">
        <f t="shared" si="36"/>
        <v>1</v>
      </c>
      <c r="X314" s="119"/>
    </row>
    <row r="315" spans="1:24">
      <c r="A315" s="115">
        <v>313</v>
      </c>
      <c r="B315" s="116">
        <v>11</v>
      </c>
      <c r="C315" s="81" t="s">
        <v>132</v>
      </c>
      <c r="D315" s="111" t="s">
        <v>240</v>
      </c>
      <c r="E315" s="81" t="s">
        <v>99</v>
      </c>
      <c r="F315" s="61">
        <v>5.87</v>
      </c>
      <c r="G315" s="52">
        <f t="shared" si="30"/>
        <v>6.84</v>
      </c>
      <c r="H315" s="110"/>
      <c r="I315" s="81">
        <v>9.61</v>
      </c>
      <c r="J315" s="81">
        <f>VLOOKUP(C315,Recipes!$A$2:$N$4,12,FALSE())</f>
        <v>6.1509461004819709E-2</v>
      </c>
      <c r="K315" s="81">
        <f t="shared" si="31"/>
        <v>9.2409432339710804</v>
      </c>
      <c r="L315" s="81">
        <f t="shared" si="34"/>
        <v>9.9790567660289184</v>
      </c>
      <c r="M315" s="81" t="str">
        <f t="shared" si="32"/>
        <v>NG</v>
      </c>
      <c r="N315" s="117">
        <f t="shared" si="35"/>
        <v>1</v>
      </c>
      <c r="O315" s="81">
        <f t="shared" si="33"/>
        <v>2.7699999999999996</v>
      </c>
      <c r="P315" s="81">
        <f>IF(G315="","",ABS(O315-Components!$C$2))</f>
        <v>1.6666666666669716E-2</v>
      </c>
      <c r="Q315" s="81">
        <f>IF(G315="","",ABS(O315-Components!$C$3))</f>
        <v>1.266</v>
      </c>
      <c r="R315" s="81">
        <f>IF(G315="","",ABS(O315-Components!$C$4))</f>
        <v>1.7766666666666666</v>
      </c>
      <c r="S315" s="81">
        <f>IF(G315="","",ABS(O315-Components!$C$5))</f>
        <v>1.7926666666666708</v>
      </c>
      <c r="T315" s="81">
        <f>IF(G315="","",ABS(O315-Components!$C$6))</f>
        <v>1.6143333333333296</v>
      </c>
      <c r="U315" s="81">
        <f>IF(G315="","",ABS(O315-Components!$C$7))</f>
        <v>1.3956666666666695</v>
      </c>
      <c r="V315" s="81" t="str">
        <f>IF(G315="","",IF(M315="OK","NONE",INDEX({"S1","S2","W1","W2","N1","N2"},MATCH(MIN(P315:U315),P315:U315,0))))</f>
        <v>S1</v>
      </c>
      <c r="W315" s="117">
        <f t="shared" si="36"/>
        <v>1</v>
      </c>
      <c r="X315" s="119"/>
    </row>
    <row r="316" spans="1:24">
      <c r="A316" s="115">
        <v>314</v>
      </c>
      <c r="B316" s="116">
        <v>11</v>
      </c>
      <c r="C316" s="81" t="s">
        <v>132</v>
      </c>
      <c r="D316" s="111" t="s">
        <v>240</v>
      </c>
      <c r="E316" s="81" t="s">
        <v>99</v>
      </c>
      <c r="F316" s="61">
        <v>5.87</v>
      </c>
      <c r="G316" s="52">
        <f t="shared" si="30"/>
        <v>6.84</v>
      </c>
      <c r="H316" s="110"/>
      <c r="I316" s="81">
        <v>9.61</v>
      </c>
      <c r="J316" s="81">
        <f>VLOOKUP(C316,Recipes!$A$2:$N$4,12,FALSE())</f>
        <v>6.1509461004819709E-2</v>
      </c>
      <c r="K316" s="81">
        <f t="shared" si="31"/>
        <v>9.2409432339710804</v>
      </c>
      <c r="L316" s="81">
        <f t="shared" si="34"/>
        <v>9.9790567660289184</v>
      </c>
      <c r="M316" s="81" t="str">
        <f t="shared" si="32"/>
        <v>NG</v>
      </c>
      <c r="N316" s="117">
        <f t="shared" si="35"/>
        <v>1</v>
      </c>
      <c r="O316" s="81">
        <f t="shared" si="33"/>
        <v>2.7699999999999996</v>
      </c>
      <c r="P316" s="81">
        <f>IF(G316="","",ABS(O316-Components!$C$2))</f>
        <v>1.6666666666669716E-2</v>
      </c>
      <c r="Q316" s="81">
        <f>IF(G316="","",ABS(O316-Components!$C$3))</f>
        <v>1.266</v>
      </c>
      <c r="R316" s="81">
        <f>IF(G316="","",ABS(O316-Components!$C$4))</f>
        <v>1.7766666666666666</v>
      </c>
      <c r="S316" s="81">
        <f>IF(G316="","",ABS(O316-Components!$C$5))</f>
        <v>1.7926666666666708</v>
      </c>
      <c r="T316" s="81">
        <f>IF(G316="","",ABS(O316-Components!$C$6))</f>
        <v>1.6143333333333296</v>
      </c>
      <c r="U316" s="81">
        <f>IF(G316="","",ABS(O316-Components!$C$7))</f>
        <v>1.3956666666666695</v>
      </c>
      <c r="V316" s="81" t="str">
        <f>IF(G316="","",IF(M316="OK","NONE",INDEX({"S1","S2","W1","W2","N1","N2"},MATCH(MIN(P316:U316),P316:U316,0))))</f>
        <v>S1</v>
      </c>
      <c r="W316" s="117">
        <f t="shared" si="36"/>
        <v>1</v>
      </c>
      <c r="X316" s="119"/>
    </row>
    <row r="317" spans="1:24">
      <c r="A317" s="115">
        <v>315</v>
      </c>
      <c r="B317" s="116">
        <v>11</v>
      </c>
      <c r="C317" s="81" t="s">
        <v>132</v>
      </c>
      <c r="D317" s="111" t="s">
        <v>240</v>
      </c>
      <c r="E317" s="81" t="s">
        <v>99</v>
      </c>
      <c r="F317" s="61">
        <v>5.82</v>
      </c>
      <c r="G317" s="52">
        <f t="shared" si="30"/>
        <v>6.79</v>
      </c>
      <c r="H317" s="110"/>
      <c r="I317" s="81">
        <v>9.61</v>
      </c>
      <c r="J317" s="81">
        <f>VLOOKUP(C317,Recipes!$A$2:$N$4,12,FALSE())</f>
        <v>6.1509461004819709E-2</v>
      </c>
      <c r="K317" s="81">
        <f t="shared" si="31"/>
        <v>9.2409432339710804</v>
      </c>
      <c r="L317" s="81">
        <f t="shared" si="34"/>
        <v>9.9790567660289184</v>
      </c>
      <c r="M317" s="81" t="str">
        <f t="shared" si="32"/>
        <v>NG</v>
      </c>
      <c r="N317" s="117">
        <f t="shared" si="35"/>
        <v>1</v>
      </c>
      <c r="O317" s="81">
        <f t="shared" si="33"/>
        <v>2.8199999999999994</v>
      </c>
      <c r="P317" s="81">
        <f>IF(G317="","",ABS(O317-Components!$C$2))</f>
        <v>6.6666666666669538E-2</v>
      </c>
      <c r="Q317" s="81">
        <f>IF(G317="","",ABS(O317-Components!$C$3))</f>
        <v>1.2160000000000002</v>
      </c>
      <c r="R317" s="81">
        <f>IF(G317="","",ABS(O317-Components!$C$4))</f>
        <v>1.8266666666666664</v>
      </c>
      <c r="S317" s="81">
        <f>IF(G317="","",ABS(O317-Components!$C$5))</f>
        <v>1.742666666666671</v>
      </c>
      <c r="T317" s="81">
        <f>IF(G317="","",ABS(O317-Components!$C$6))</f>
        <v>1.6643333333333294</v>
      </c>
      <c r="U317" s="81">
        <f>IF(G317="","",ABS(O317-Components!$C$7))</f>
        <v>1.4456666666666693</v>
      </c>
      <c r="V317" s="81" t="str">
        <f>IF(G317="","",IF(M317="OK","NONE",INDEX({"S1","S2","W1","W2","N1","N2"},MATCH(MIN(P317:U317),P317:U317,0))))</f>
        <v>S1</v>
      </c>
      <c r="W317" s="117">
        <f t="shared" si="36"/>
        <v>1</v>
      </c>
      <c r="X317" s="119"/>
    </row>
    <row r="318" spans="1:24">
      <c r="A318" s="115">
        <v>316</v>
      </c>
      <c r="B318" s="116">
        <v>11</v>
      </c>
      <c r="C318" s="81" t="s">
        <v>132</v>
      </c>
      <c r="D318" s="111" t="s">
        <v>240</v>
      </c>
      <c r="E318" s="81" t="s">
        <v>99</v>
      </c>
      <c r="F318" s="61">
        <v>5.92</v>
      </c>
      <c r="G318" s="52">
        <f t="shared" si="30"/>
        <v>6.89</v>
      </c>
      <c r="H318" s="110"/>
      <c r="I318" s="81">
        <v>9.61</v>
      </c>
      <c r="J318" s="81">
        <f>VLOOKUP(C318,Recipes!$A$2:$N$4,12,FALSE())</f>
        <v>6.1509461004819709E-2</v>
      </c>
      <c r="K318" s="81">
        <f t="shared" si="31"/>
        <v>9.2409432339710804</v>
      </c>
      <c r="L318" s="81">
        <f t="shared" si="34"/>
        <v>9.9790567660289184</v>
      </c>
      <c r="M318" s="81" t="str">
        <f t="shared" si="32"/>
        <v>NG</v>
      </c>
      <c r="N318" s="117">
        <f t="shared" si="35"/>
        <v>1</v>
      </c>
      <c r="O318" s="81">
        <f t="shared" si="33"/>
        <v>2.7199999999999998</v>
      </c>
      <c r="P318" s="81">
        <f>IF(G318="","",ABS(O318-Components!$C$2))</f>
        <v>3.3333333333330106E-2</v>
      </c>
      <c r="Q318" s="81">
        <f>IF(G318="","",ABS(O318-Components!$C$3))</f>
        <v>1.3159999999999998</v>
      </c>
      <c r="R318" s="81">
        <f>IF(G318="","",ABS(O318-Components!$C$4))</f>
        <v>1.7266666666666668</v>
      </c>
      <c r="S318" s="81">
        <f>IF(G318="","",ABS(O318-Components!$C$5))</f>
        <v>1.8426666666666707</v>
      </c>
      <c r="T318" s="81">
        <f>IF(G318="","",ABS(O318-Components!$C$6))</f>
        <v>1.5643333333333298</v>
      </c>
      <c r="U318" s="81">
        <f>IF(G318="","",ABS(O318-Components!$C$7))</f>
        <v>1.3456666666666697</v>
      </c>
      <c r="V318" s="81" t="str">
        <f>IF(G318="","",IF(M318="OK","NONE",INDEX({"S1","S2","W1","W2","N1","N2"},MATCH(MIN(P318:U318),P318:U318,0))))</f>
        <v>S1</v>
      </c>
      <c r="W318" s="117">
        <f t="shared" si="36"/>
        <v>1</v>
      </c>
      <c r="X318" s="119"/>
    </row>
    <row r="319" spans="1:24">
      <c r="A319" s="115">
        <v>317</v>
      </c>
      <c r="B319" s="116">
        <v>11</v>
      </c>
      <c r="C319" s="81" t="s">
        <v>132</v>
      </c>
      <c r="D319" s="111" t="s">
        <v>240</v>
      </c>
      <c r="E319" s="81" t="s">
        <v>99</v>
      </c>
      <c r="F319" s="61">
        <v>5.84</v>
      </c>
      <c r="G319" s="52">
        <f t="shared" si="30"/>
        <v>6.81</v>
      </c>
      <c r="H319" s="110"/>
      <c r="I319" s="81">
        <v>9.61</v>
      </c>
      <c r="J319" s="81">
        <f>VLOOKUP(C319,Recipes!$A$2:$N$4,12,FALSE())</f>
        <v>6.1509461004819709E-2</v>
      </c>
      <c r="K319" s="81">
        <f t="shared" si="31"/>
        <v>9.2409432339710804</v>
      </c>
      <c r="L319" s="81">
        <f t="shared" si="34"/>
        <v>9.9790567660289184</v>
      </c>
      <c r="M319" s="81" t="str">
        <f t="shared" si="32"/>
        <v>NG</v>
      </c>
      <c r="N319" s="117">
        <f t="shared" si="35"/>
        <v>1</v>
      </c>
      <c r="O319" s="81">
        <f t="shared" si="33"/>
        <v>2.8</v>
      </c>
      <c r="P319" s="81">
        <f>IF(G319="","",ABS(O319-Components!$C$2))</f>
        <v>4.6666666666669965E-2</v>
      </c>
      <c r="Q319" s="81">
        <f>IF(G319="","",ABS(O319-Components!$C$3))</f>
        <v>1.2359999999999998</v>
      </c>
      <c r="R319" s="81">
        <f>IF(G319="","",ABS(O319-Components!$C$4))</f>
        <v>1.8066666666666669</v>
      </c>
      <c r="S319" s="81">
        <f>IF(G319="","",ABS(O319-Components!$C$5))</f>
        <v>1.7626666666666706</v>
      </c>
      <c r="T319" s="81">
        <f>IF(G319="","",ABS(O319-Components!$C$6))</f>
        <v>1.6443333333333299</v>
      </c>
      <c r="U319" s="81">
        <f>IF(G319="","",ABS(O319-Components!$C$7))</f>
        <v>1.4256666666666697</v>
      </c>
      <c r="V319" s="81" t="str">
        <f>IF(G319="","",IF(M319="OK","NONE",INDEX({"S1","S2","W1","W2","N1","N2"},MATCH(MIN(P319:U319),P319:U319,0))))</f>
        <v>S1</v>
      </c>
      <c r="W319" s="117">
        <f t="shared" si="36"/>
        <v>1</v>
      </c>
      <c r="X319" s="119"/>
    </row>
    <row r="320" spans="1:24">
      <c r="A320" s="115">
        <v>318</v>
      </c>
      <c r="B320" s="116">
        <v>11</v>
      </c>
      <c r="C320" s="81" t="s">
        <v>132</v>
      </c>
      <c r="D320" s="111" t="s">
        <v>240</v>
      </c>
      <c r="E320" s="81" t="s">
        <v>99</v>
      </c>
      <c r="F320" s="61">
        <v>5.92</v>
      </c>
      <c r="G320" s="52">
        <f t="shared" si="30"/>
        <v>6.89</v>
      </c>
      <c r="H320" s="110"/>
      <c r="I320" s="81">
        <v>9.61</v>
      </c>
      <c r="J320" s="81">
        <f>VLOOKUP(C320,Recipes!$A$2:$N$4,12,FALSE())</f>
        <v>6.1509461004819709E-2</v>
      </c>
      <c r="K320" s="81">
        <f t="shared" si="31"/>
        <v>9.2409432339710804</v>
      </c>
      <c r="L320" s="81">
        <f t="shared" si="34"/>
        <v>9.9790567660289184</v>
      </c>
      <c r="M320" s="81" t="str">
        <f t="shared" si="32"/>
        <v>NG</v>
      </c>
      <c r="N320" s="117">
        <f t="shared" si="35"/>
        <v>1</v>
      </c>
      <c r="O320" s="81">
        <f t="shared" si="33"/>
        <v>2.7199999999999998</v>
      </c>
      <c r="P320" s="81">
        <f>IF(G320="","",ABS(O320-Components!$C$2))</f>
        <v>3.3333333333330106E-2</v>
      </c>
      <c r="Q320" s="81">
        <f>IF(G320="","",ABS(O320-Components!$C$3))</f>
        <v>1.3159999999999998</v>
      </c>
      <c r="R320" s="81">
        <f>IF(G320="","",ABS(O320-Components!$C$4))</f>
        <v>1.7266666666666668</v>
      </c>
      <c r="S320" s="81">
        <f>IF(G320="","",ABS(O320-Components!$C$5))</f>
        <v>1.8426666666666707</v>
      </c>
      <c r="T320" s="81">
        <f>IF(G320="","",ABS(O320-Components!$C$6))</f>
        <v>1.5643333333333298</v>
      </c>
      <c r="U320" s="81">
        <f>IF(G320="","",ABS(O320-Components!$C$7))</f>
        <v>1.3456666666666697</v>
      </c>
      <c r="V320" s="81" t="str">
        <f>IF(G320="","",IF(M320="OK","NONE",INDEX({"S1","S2","W1","W2","N1","N2"},MATCH(MIN(P320:U320),P320:U320,0))))</f>
        <v>S1</v>
      </c>
      <c r="W320" s="117">
        <f t="shared" si="36"/>
        <v>1</v>
      </c>
      <c r="X320" s="119"/>
    </row>
    <row r="321" spans="1:24">
      <c r="A321" s="115">
        <v>319</v>
      </c>
      <c r="B321" s="116">
        <v>11</v>
      </c>
      <c r="C321" s="81" t="s">
        <v>132</v>
      </c>
      <c r="D321" s="111" t="s">
        <v>240</v>
      </c>
      <c r="E321" s="81" t="s">
        <v>99</v>
      </c>
      <c r="F321" s="61">
        <v>5.87</v>
      </c>
      <c r="G321" s="52">
        <f t="shared" si="30"/>
        <v>6.84</v>
      </c>
      <c r="H321" s="110"/>
      <c r="I321" s="81">
        <v>9.61</v>
      </c>
      <c r="J321" s="81">
        <f>VLOOKUP(C321,Recipes!$A$2:$N$4,12,FALSE())</f>
        <v>6.1509461004819709E-2</v>
      </c>
      <c r="K321" s="81">
        <f t="shared" si="31"/>
        <v>9.2409432339710804</v>
      </c>
      <c r="L321" s="81">
        <f t="shared" si="34"/>
        <v>9.9790567660289184</v>
      </c>
      <c r="M321" s="81" t="str">
        <f t="shared" si="32"/>
        <v>NG</v>
      </c>
      <c r="N321" s="117">
        <f t="shared" si="35"/>
        <v>1</v>
      </c>
      <c r="O321" s="81">
        <f t="shared" si="33"/>
        <v>2.7699999999999996</v>
      </c>
      <c r="P321" s="81">
        <f>IF(G321="","",ABS(O321-Components!$C$2))</f>
        <v>1.6666666666669716E-2</v>
      </c>
      <c r="Q321" s="81">
        <f>IF(G321="","",ABS(O321-Components!$C$3))</f>
        <v>1.266</v>
      </c>
      <c r="R321" s="81">
        <f>IF(G321="","",ABS(O321-Components!$C$4))</f>
        <v>1.7766666666666666</v>
      </c>
      <c r="S321" s="81">
        <f>IF(G321="","",ABS(O321-Components!$C$5))</f>
        <v>1.7926666666666708</v>
      </c>
      <c r="T321" s="81">
        <f>IF(G321="","",ABS(O321-Components!$C$6))</f>
        <v>1.6143333333333296</v>
      </c>
      <c r="U321" s="81">
        <f>IF(G321="","",ABS(O321-Components!$C$7))</f>
        <v>1.3956666666666695</v>
      </c>
      <c r="V321" s="81" t="str">
        <f>IF(G321="","",IF(M321="OK","NONE",INDEX({"S1","S2","W1","W2","N1","N2"},MATCH(MIN(P321:U321),P321:U321,0))))</f>
        <v>S1</v>
      </c>
      <c r="W321" s="117">
        <f t="shared" si="36"/>
        <v>1</v>
      </c>
      <c r="X321" s="119"/>
    </row>
    <row r="322" spans="1:24">
      <c r="A322" s="115">
        <v>320</v>
      </c>
      <c r="B322" s="116">
        <v>11</v>
      </c>
      <c r="C322" s="81" t="s">
        <v>132</v>
      </c>
      <c r="D322" s="111" t="s">
        <v>240</v>
      </c>
      <c r="E322" s="81" t="s">
        <v>99</v>
      </c>
      <c r="F322" s="61">
        <v>5.82</v>
      </c>
      <c r="G322" s="52">
        <f t="shared" si="30"/>
        <v>6.79</v>
      </c>
      <c r="H322" s="110"/>
      <c r="I322" s="81">
        <v>9.61</v>
      </c>
      <c r="J322" s="81">
        <f>VLOOKUP(C322,Recipes!$A$2:$N$4,12,FALSE())</f>
        <v>6.1509461004819709E-2</v>
      </c>
      <c r="K322" s="81">
        <f t="shared" si="31"/>
        <v>9.2409432339710804</v>
      </c>
      <c r="L322" s="81">
        <f t="shared" si="34"/>
        <v>9.9790567660289184</v>
      </c>
      <c r="M322" s="81" t="str">
        <f t="shared" si="32"/>
        <v>NG</v>
      </c>
      <c r="N322" s="117">
        <f t="shared" si="35"/>
        <v>1</v>
      </c>
      <c r="O322" s="81">
        <f t="shared" si="33"/>
        <v>2.8199999999999994</v>
      </c>
      <c r="P322" s="81">
        <f>IF(G322="","",ABS(O322-Components!$C$2))</f>
        <v>6.6666666666669538E-2</v>
      </c>
      <c r="Q322" s="81">
        <f>IF(G322="","",ABS(O322-Components!$C$3))</f>
        <v>1.2160000000000002</v>
      </c>
      <c r="R322" s="81">
        <f>IF(G322="","",ABS(O322-Components!$C$4))</f>
        <v>1.8266666666666664</v>
      </c>
      <c r="S322" s="81">
        <f>IF(G322="","",ABS(O322-Components!$C$5))</f>
        <v>1.742666666666671</v>
      </c>
      <c r="T322" s="81">
        <f>IF(G322="","",ABS(O322-Components!$C$6))</f>
        <v>1.6643333333333294</v>
      </c>
      <c r="U322" s="81">
        <f>IF(G322="","",ABS(O322-Components!$C$7))</f>
        <v>1.4456666666666693</v>
      </c>
      <c r="V322" s="81" t="str">
        <f>IF(G322="","",IF(M322="OK","NONE",INDEX({"S1","S2","W1","W2","N1","N2"},MATCH(MIN(P322:U322),P322:U322,0))))</f>
        <v>S1</v>
      </c>
      <c r="W322" s="117">
        <f t="shared" si="36"/>
        <v>1</v>
      </c>
      <c r="X322" s="119"/>
    </row>
    <row r="323" spans="1:24">
      <c r="A323" s="115">
        <v>321</v>
      </c>
      <c r="B323" s="116">
        <v>11</v>
      </c>
      <c r="C323" s="81" t="s">
        <v>132</v>
      </c>
      <c r="D323" s="111" t="s">
        <v>240</v>
      </c>
      <c r="E323" s="81" t="s">
        <v>99</v>
      </c>
      <c r="F323" s="61">
        <v>5.77</v>
      </c>
      <c r="G323" s="52">
        <f t="shared" ref="G323:G386" si="37">0.97+F323</f>
        <v>6.7399999999999993</v>
      </c>
      <c r="H323" s="110"/>
      <c r="I323" s="81">
        <v>9.61</v>
      </c>
      <c r="J323" s="81">
        <f>VLOOKUP(C323,Recipes!$A$2:$N$4,12,FALSE())</f>
        <v>6.1509461004819709E-2</v>
      </c>
      <c r="K323" s="81">
        <f t="shared" ref="K323:K386" si="38">I323-6*J323</f>
        <v>9.2409432339710804</v>
      </c>
      <c r="L323" s="81">
        <f t="shared" si="34"/>
        <v>9.9790567660289184</v>
      </c>
      <c r="M323" s="81" t="str">
        <f t="shared" ref="M323:M386" si="39">IF(G323="","",IF(AND(G323&gt;=K323,G323&lt;=L323),"OK","NG"))</f>
        <v>NG</v>
      </c>
      <c r="N323" s="117">
        <f t="shared" si="35"/>
        <v>1</v>
      </c>
      <c r="O323" s="81">
        <f t="shared" ref="O323:O386" si="40">IF(G323="","",I323-G323)</f>
        <v>2.87</v>
      </c>
      <c r="P323" s="81">
        <f>IF(G323="","",ABS(O323-Components!$C$2))</f>
        <v>0.11666666666667025</v>
      </c>
      <c r="Q323" s="81">
        <f>IF(G323="","",ABS(O323-Components!$C$3))</f>
        <v>1.1659999999999995</v>
      </c>
      <c r="R323" s="81">
        <f>IF(G323="","",ABS(O323-Components!$C$4))</f>
        <v>1.8766666666666671</v>
      </c>
      <c r="S323" s="81">
        <f>IF(G323="","",ABS(O323-Components!$C$5))</f>
        <v>1.6926666666666703</v>
      </c>
      <c r="T323" s="81">
        <f>IF(G323="","",ABS(O323-Components!$C$6))</f>
        <v>1.7143333333333302</v>
      </c>
      <c r="U323" s="81">
        <f>IF(G323="","",ABS(O323-Components!$C$7))</f>
        <v>1.49566666666667</v>
      </c>
      <c r="V323" s="81" t="str">
        <f>IF(G323="","",IF(M323="OK","NONE",INDEX({"S1","S2","W1","W2","N1","N2"},MATCH(MIN(P323:U323),P323:U323,0))))</f>
        <v>S1</v>
      </c>
      <c r="W323" s="117">
        <f t="shared" si="36"/>
        <v>1</v>
      </c>
      <c r="X323" s="119"/>
    </row>
    <row r="324" spans="1:24">
      <c r="A324" s="115">
        <v>322</v>
      </c>
      <c r="B324" s="116">
        <v>11</v>
      </c>
      <c r="C324" s="81" t="s">
        <v>132</v>
      </c>
      <c r="D324" s="111" t="s">
        <v>240</v>
      </c>
      <c r="E324" s="81" t="s">
        <v>99</v>
      </c>
      <c r="F324" s="61">
        <v>5.83</v>
      </c>
      <c r="G324" s="52">
        <f t="shared" si="37"/>
        <v>6.8</v>
      </c>
      <c r="H324" s="110"/>
      <c r="I324" s="81">
        <v>9.61</v>
      </c>
      <c r="J324" s="81">
        <f>VLOOKUP(C324,Recipes!$A$2:$N$4,12,FALSE())</f>
        <v>6.1509461004819709E-2</v>
      </c>
      <c r="K324" s="81">
        <f t="shared" si="38"/>
        <v>9.2409432339710804</v>
      </c>
      <c r="L324" s="81">
        <f t="shared" ref="L324:L387" si="41">I324+6*J324</f>
        <v>9.9790567660289184</v>
      </c>
      <c r="M324" s="81" t="str">
        <f t="shared" si="39"/>
        <v>NG</v>
      </c>
      <c r="N324" s="117">
        <f t="shared" ref="N324:N387" si="42">IF(M324="","",IF(M324=D324,1,0))</f>
        <v>1</v>
      </c>
      <c r="O324" s="81">
        <f t="shared" si="40"/>
        <v>2.8099999999999996</v>
      </c>
      <c r="P324" s="81">
        <f>IF(G324="","",ABS(O324-Components!$C$2))</f>
        <v>5.6666666666669752E-2</v>
      </c>
      <c r="Q324" s="81">
        <f>IF(G324="","",ABS(O324-Components!$C$3))</f>
        <v>1.226</v>
      </c>
      <c r="R324" s="81">
        <f>IF(G324="","",ABS(O324-Components!$C$4))</f>
        <v>1.8166666666666667</v>
      </c>
      <c r="S324" s="81">
        <f>IF(G324="","",ABS(O324-Components!$C$5))</f>
        <v>1.7526666666666708</v>
      </c>
      <c r="T324" s="81">
        <f>IF(G324="","",ABS(O324-Components!$C$6))</f>
        <v>1.6543333333333297</v>
      </c>
      <c r="U324" s="81">
        <f>IF(G324="","",ABS(O324-Components!$C$7))</f>
        <v>1.4356666666666695</v>
      </c>
      <c r="V324" s="81" t="str">
        <f>IF(G324="","",IF(M324="OK","NONE",INDEX({"S1","S2","W1","W2","N1","N2"},MATCH(MIN(P324:U324),P324:U324,0))))</f>
        <v>S1</v>
      </c>
      <c r="W324" s="117">
        <f t="shared" ref="W324:W387" si="43">IF(G324="","",IF(V324=E324,1,0))</f>
        <v>1</v>
      </c>
      <c r="X324" s="119"/>
    </row>
    <row r="325" spans="1:24">
      <c r="A325" s="115">
        <v>323</v>
      </c>
      <c r="B325" s="116">
        <v>11</v>
      </c>
      <c r="C325" s="81" t="s">
        <v>132</v>
      </c>
      <c r="D325" s="111" t="s">
        <v>240</v>
      </c>
      <c r="E325" s="81" t="s">
        <v>99</v>
      </c>
      <c r="F325" s="61">
        <v>5.85</v>
      </c>
      <c r="G325" s="52">
        <f t="shared" si="37"/>
        <v>6.8199999999999994</v>
      </c>
      <c r="H325" s="110"/>
      <c r="I325" s="81">
        <v>9.61</v>
      </c>
      <c r="J325" s="81">
        <f>VLOOKUP(C325,Recipes!$A$2:$N$4,12,FALSE())</f>
        <v>6.1509461004819709E-2</v>
      </c>
      <c r="K325" s="81">
        <f t="shared" si="38"/>
        <v>9.2409432339710804</v>
      </c>
      <c r="L325" s="81">
        <f t="shared" si="41"/>
        <v>9.9790567660289184</v>
      </c>
      <c r="M325" s="81" t="str">
        <f t="shared" si="39"/>
        <v>NG</v>
      </c>
      <c r="N325" s="117">
        <f t="shared" si="42"/>
        <v>1</v>
      </c>
      <c r="O325" s="81">
        <f t="shared" si="40"/>
        <v>2.79</v>
      </c>
      <c r="P325" s="81">
        <f>IF(G325="","",ABS(O325-Components!$C$2))</f>
        <v>3.6666666666670178E-2</v>
      </c>
      <c r="Q325" s="81">
        <f>IF(G325="","",ABS(O325-Components!$C$3))</f>
        <v>1.2459999999999996</v>
      </c>
      <c r="R325" s="81">
        <f>IF(G325="","",ABS(O325-Components!$C$4))</f>
        <v>1.7966666666666671</v>
      </c>
      <c r="S325" s="81">
        <f>IF(G325="","",ABS(O325-Components!$C$5))</f>
        <v>1.7726666666666704</v>
      </c>
      <c r="T325" s="81">
        <f>IF(G325="","",ABS(O325-Components!$C$6))</f>
        <v>1.6343333333333301</v>
      </c>
      <c r="U325" s="81">
        <f>IF(G325="","",ABS(O325-Components!$C$7))</f>
        <v>1.41566666666667</v>
      </c>
      <c r="V325" s="81" t="str">
        <f>IF(G325="","",IF(M325="OK","NONE",INDEX({"S1","S2","W1","W2","N1","N2"},MATCH(MIN(P325:U325),P325:U325,0))))</f>
        <v>S1</v>
      </c>
      <c r="W325" s="117">
        <f t="shared" si="43"/>
        <v>1</v>
      </c>
      <c r="X325" s="119"/>
    </row>
    <row r="326" spans="1:24">
      <c r="A326" s="115">
        <v>324</v>
      </c>
      <c r="B326" s="116">
        <v>11</v>
      </c>
      <c r="C326" s="81" t="s">
        <v>132</v>
      </c>
      <c r="D326" s="111" t="s">
        <v>240</v>
      </c>
      <c r="E326" s="81" t="s">
        <v>99</v>
      </c>
      <c r="F326" s="61">
        <v>5.86</v>
      </c>
      <c r="G326" s="52">
        <f t="shared" si="37"/>
        <v>6.83</v>
      </c>
      <c r="H326" s="110"/>
      <c r="I326" s="81">
        <v>9.61</v>
      </c>
      <c r="J326" s="81">
        <f>VLOOKUP(C326,Recipes!$A$2:$N$4,12,FALSE())</f>
        <v>6.1509461004819709E-2</v>
      </c>
      <c r="K326" s="81">
        <f t="shared" si="38"/>
        <v>9.2409432339710804</v>
      </c>
      <c r="L326" s="81">
        <f t="shared" si="41"/>
        <v>9.9790567660289184</v>
      </c>
      <c r="M326" s="81" t="str">
        <f t="shared" si="39"/>
        <v>NG</v>
      </c>
      <c r="N326" s="117">
        <f t="shared" si="42"/>
        <v>1</v>
      </c>
      <c r="O326" s="81">
        <f t="shared" si="40"/>
        <v>2.7799999999999994</v>
      </c>
      <c r="P326" s="81">
        <f>IF(G326="","",ABS(O326-Components!$C$2))</f>
        <v>2.6666666666669503E-2</v>
      </c>
      <c r="Q326" s="81">
        <f>IF(G326="","",ABS(O326-Components!$C$3))</f>
        <v>1.2560000000000002</v>
      </c>
      <c r="R326" s="81">
        <f>IF(G326="","",ABS(O326-Components!$C$4))</f>
        <v>1.7866666666666664</v>
      </c>
      <c r="S326" s="81">
        <f>IF(G326="","",ABS(O326-Components!$C$5))</f>
        <v>1.7826666666666711</v>
      </c>
      <c r="T326" s="81">
        <f>IF(G326="","",ABS(O326-Components!$C$6))</f>
        <v>1.6243333333333294</v>
      </c>
      <c r="U326" s="81">
        <f>IF(G326="","",ABS(O326-Components!$C$7))</f>
        <v>1.4056666666666693</v>
      </c>
      <c r="V326" s="81" t="str">
        <f>IF(G326="","",IF(M326="OK","NONE",INDEX({"S1","S2","W1","W2","N1","N2"},MATCH(MIN(P326:U326),P326:U326,0))))</f>
        <v>S1</v>
      </c>
      <c r="W326" s="117">
        <f t="shared" si="43"/>
        <v>1</v>
      </c>
      <c r="X326" s="119"/>
    </row>
    <row r="327" spans="1:24">
      <c r="A327" s="115">
        <v>325</v>
      </c>
      <c r="B327" s="116">
        <v>11</v>
      </c>
      <c r="C327" s="81" t="s">
        <v>132</v>
      </c>
      <c r="D327" s="111" t="s">
        <v>240</v>
      </c>
      <c r="E327" s="81" t="s">
        <v>99</v>
      </c>
      <c r="F327" s="61">
        <v>5.87</v>
      </c>
      <c r="G327" s="52">
        <f t="shared" si="37"/>
        <v>6.84</v>
      </c>
      <c r="H327" s="110"/>
      <c r="I327" s="81">
        <v>9.61</v>
      </c>
      <c r="J327" s="81">
        <f>VLOOKUP(C327,Recipes!$A$2:$N$4,12,FALSE())</f>
        <v>6.1509461004819709E-2</v>
      </c>
      <c r="K327" s="81">
        <f t="shared" si="38"/>
        <v>9.2409432339710804</v>
      </c>
      <c r="L327" s="81">
        <f t="shared" si="41"/>
        <v>9.9790567660289184</v>
      </c>
      <c r="M327" s="81" t="str">
        <f t="shared" si="39"/>
        <v>NG</v>
      </c>
      <c r="N327" s="117">
        <f t="shared" si="42"/>
        <v>1</v>
      </c>
      <c r="O327" s="81">
        <f t="shared" si="40"/>
        <v>2.7699999999999996</v>
      </c>
      <c r="P327" s="81">
        <f>IF(G327="","",ABS(O327-Components!$C$2))</f>
        <v>1.6666666666669716E-2</v>
      </c>
      <c r="Q327" s="81">
        <f>IF(G327="","",ABS(O327-Components!$C$3))</f>
        <v>1.266</v>
      </c>
      <c r="R327" s="81">
        <f>IF(G327="","",ABS(O327-Components!$C$4))</f>
        <v>1.7766666666666666</v>
      </c>
      <c r="S327" s="81">
        <f>IF(G327="","",ABS(O327-Components!$C$5))</f>
        <v>1.7926666666666708</v>
      </c>
      <c r="T327" s="81">
        <f>IF(G327="","",ABS(O327-Components!$C$6))</f>
        <v>1.6143333333333296</v>
      </c>
      <c r="U327" s="81">
        <f>IF(G327="","",ABS(O327-Components!$C$7))</f>
        <v>1.3956666666666695</v>
      </c>
      <c r="V327" s="81" t="str">
        <f>IF(G327="","",IF(M327="OK","NONE",INDEX({"S1","S2","W1","W2","N1","N2"},MATCH(MIN(P327:U327),P327:U327,0))))</f>
        <v>S1</v>
      </c>
      <c r="W327" s="117">
        <f t="shared" si="43"/>
        <v>1</v>
      </c>
      <c r="X327" s="119"/>
    </row>
    <row r="328" spans="1:24">
      <c r="A328" s="115">
        <v>326</v>
      </c>
      <c r="B328" s="116">
        <v>11</v>
      </c>
      <c r="C328" s="81" t="s">
        <v>132</v>
      </c>
      <c r="D328" s="111" t="s">
        <v>240</v>
      </c>
      <c r="E328" s="81" t="s">
        <v>99</v>
      </c>
      <c r="F328" s="61">
        <v>5.81</v>
      </c>
      <c r="G328" s="52">
        <f t="shared" si="37"/>
        <v>6.7799999999999994</v>
      </c>
      <c r="H328" s="110"/>
      <c r="I328" s="81">
        <v>9.61</v>
      </c>
      <c r="J328" s="81">
        <f>VLOOKUP(C328,Recipes!$A$2:$N$4,12,FALSE())</f>
        <v>6.1509461004819709E-2</v>
      </c>
      <c r="K328" s="81">
        <f t="shared" si="38"/>
        <v>9.2409432339710804</v>
      </c>
      <c r="L328" s="81">
        <f t="shared" si="41"/>
        <v>9.9790567660289184</v>
      </c>
      <c r="M328" s="81" t="str">
        <f t="shared" si="39"/>
        <v>NG</v>
      </c>
      <c r="N328" s="117">
        <f t="shared" si="42"/>
        <v>1</v>
      </c>
      <c r="O328" s="81">
        <f t="shared" si="40"/>
        <v>2.83</v>
      </c>
      <c r="P328" s="81">
        <f>IF(G328="","",ABS(O328-Components!$C$2))</f>
        <v>7.6666666666670213E-2</v>
      </c>
      <c r="Q328" s="81">
        <f>IF(G328="","",ABS(O328-Components!$C$3))</f>
        <v>1.2059999999999995</v>
      </c>
      <c r="R328" s="81">
        <f>IF(G328="","",ABS(O328-Components!$C$4))</f>
        <v>1.8366666666666671</v>
      </c>
      <c r="S328" s="81">
        <f>IF(G328="","",ABS(O328-Components!$C$5))</f>
        <v>1.7326666666666704</v>
      </c>
      <c r="T328" s="81">
        <f>IF(G328="","",ABS(O328-Components!$C$6))</f>
        <v>1.6743333333333301</v>
      </c>
      <c r="U328" s="81">
        <f>IF(G328="","",ABS(O328-Components!$C$7))</f>
        <v>1.45566666666667</v>
      </c>
      <c r="V328" s="81" t="str">
        <f>IF(G328="","",IF(M328="OK","NONE",INDEX({"S1","S2","W1","W2","N1","N2"},MATCH(MIN(P328:U328),P328:U328,0))))</f>
        <v>S1</v>
      </c>
      <c r="W328" s="117">
        <f t="shared" si="43"/>
        <v>1</v>
      </c>
      <c r="X328" s="119"/>
    </row>
    <row r="329" spans="1:24">
      <c r="A329" s="115">
        <v>327</v>
      </c>
      <c r="B329" s="116">
        <v>11</v>
      </c>
      <c r="C329" s="81" t="s">
        <v>132</v>
      </c>
      <c r="D329" s="111" t="s">
        <v>240</v>
      </c>
      <c r="E329" s="81" t="s">
        <v>99</v>
      </c>
      <c r="F329" s="61">
        <v>5.83</v>
      </c>
      <c r="G329" s="52">
        <f t="shared" si="37"/>
        <v>6.8</v>
      </c>
      <c r="H329" s="110"/>
      <c r="I329" s="81">
        <v>9.61</v>
      </c>
      <c r="J329" s="81">
        <f>VLOOKUP(C329,Recipes!$A$2:$N$4,12,FALSE())</f>
        <v>6.1509461004819709E-2</v>
      </c>
      <c r="K329" s="81">
        <f t="shared" si="38"/>
        <v>9.2409432339710804</v>
      </c>
      <c r="L329" s="81">
        <f t="shared" si="41"/>
        <v>9.9790567660289184</v>
      </c>
      <c r="M329" s="81" t="str">
        <f t="shared" si="39"/>
        <v>NG</v>
      </c>
      <c r="N329" s="117">
        <f t="shared" si="42"/>
        <v>1</v>
      </c>
      <c r="O329" s="81">
        <f t="shared" si="40"/>
        <v>2.8099999999999996</v>
      </c>
      <c r="P329" s="81">
        <f>IF(G329="","",ABS(O329-Components!$C$2))</f>
        <v>5.6666666666669752E-2</v>
      </c>
      <c r="Q329" s="81">
        <f>IF(G329="","",ABS(O329-Components!$C$3))</f>
        <v>1.226</v>
      </c>
      <c r="R329" s="81">
        <f>IF(G329="","",ABS(O329-Components!$C$4))</f>
        <v>1.8166666666666667</v>
      </c>
      <c r="S329" s="81">
        <f>IF(G329="","",ABS(O329-Components!$C$5))</f>
        <v>1.7526666666666708</v>
      </c>
      <c r="T329" s="81">
        <f>IF(G329="","",ABS(O329-Components!$C$6))</f>
        <v>1.6543333333333297</v>
      </c>
      <c r="U329" s="81">
        <f>IF(G329="","",ABS(O329-Components!$C$7))</f>
        <v>1.4356666666666695</v>
      </c>
      <c r="V329" s="81" t="str">
        <f>IF(G329="","",IF(M329="OK","NONE",INDEX({"S1","S2","W1","W2","N1","N2"},MATCH(MIN(P329:U329),P329:U329,0))))</f>
        <v>S1</v>
      </c>
      <c r="W329" s="117">
        <f t="shared" si="43"/>
        <v>1</v>
      </c>
      <c r="X329" s="119"/>
    </row>
    <row r="330" spans="1:24">
      <c r="A330" s="115">
        <v>328</v>
      </c>
      <c r="B330" s="116">
        <v>11</v>
      </c>
      <c r="C330" s="81" t="s">
        <v>132</v>
      </c>
      <c r="D330" s="111" t="s">
        <v>240</v>
      </c>
      <c r="E330" s="81" t="s">
        <v>99</v>
      </c>
      <c r="F330" s="61">
        <v>5.87</v>
      </c>
      <c r="G330" s="52">
        <f t="shared" si="37"/>
        <v>6.84</v>
      </c>
      <c r="H330" s="110"/>
      <c r="I330" s="81">
        <v>9.61</v>
      </c>
      <c r="J330" s="81">
        <f>VLOOKUP(C330,Recipes!$A$2:$N$4,12,FALSE())</f>
        <v>6.1509461004819709E-2</v>
      </c>
      <c r="K330" s="81">
        <f t="shared" si="38"/>
        <v>9.2409432339710804</v>
      </c>
      <c r="L330" s="81">
        <f t="shared" si="41"/>
        <v>9.9790567660289184</v>
      </c>
      <c r="M330" s="81" t="str">
        <f t="shared" si="39"/>
        <v>NG</v>
      </c>
      <c r="N330" s="117">
        <f t="shared" si="42"/>
        <v>1</v>
      </c>
      <c r="O330" s="81">
        <f t="shared" si="40"/>
        <v>2.7699999999999996</v>
      </c>
      <c r="P330" s="81">
        <f>IF(G330="","",ABS(O330-Components!$C$2))</f>
        <v>1.6666666666669716E-2</v>
      </c>
      <c r="Q330" s="81">
        <f>IF(G330="","",ABS(O330-Components!$C$3))</f>
        <v>1.266</v>
      </c>
      <c r="R330" s="81">
        <f>IF(G330="","",ABS(O330-Components!$C$4))</f>
        <v>1.7766666666666666</v>
      </c>
      <c r="S330" s="81">
        <f>IF(G330="","",ABS(O330-Components!$C$5))</f>
        <v>1.7926666666666708</v>
      </c>
      <c r="T330" s="81">
        <f>IF(G330="","",ABS(O330-Components!$C$6))</f>
        <v>1.6143333333333296</v>
      </c>
      <c r="U330" s="81">
        <f>IF(G330="","",ABS(O330-Components!$C$7))</f>
        <v>1.3956666666666695</v>
      </c>
      <c r="V330" s="81" t="str">
        <f>IF(G330="","",IF(M330="OK","NONE",INDEX({"S1","S2","W1","W2","N1","N2"},MATCH(MIN(P330:U330),P330:U330,0))))</f>
        <v>S1</v>
      </c>
      <c r="W330" s="117">
        <f t="shared" si="43"/>
        <v>1</v>
      </c>
      <c r="X330" s="119"/>
    </row>
    <row r="331" spans="1:24">
      <c r="A331" s="115">
        <v>329</v>
      </c>
      <c r="B331" s="116">
        <v>11</v>
      </c>
      <c r="C331" s="81" t="s">
        <v>132</v>
      </c>
      <c r="D331" s="111" t="s">
        <v>240</v>
      </c>
      <c r="E331" s="81" t="s">
        <v>99</v>
      </c>
      <c r="F331" s="61">
        <v>5.8</v>
      </c>
      <c r="G331" s="52">
        <f t="shared" si="37"/>
        <v>6.77</v>
      </c>
      <c r="H331" s="110"/>
      <c r="I331" s="81">
        <v>9.61</v>
      </c>
      <c r="J331" s="81">
        <f>VLOOKUP(C331,Recipes!$A$2:$N$4,12,FALSE())</f>
        <v>6.1509461004819709E-2</v>
      </c>
      <c r="K331" s="81">
        <f t="shared" si="38"/>
        <v>9.2409432339710804</v>
      </c>
      <c r="L331" s="81">
        <f t="shared" si="41"/>
        <v>9.9790567660289184</v>
      </c>
      <c r="M331" s="81" t="str">
        <f t="shared" si="39"/>
        <v>NG</v>
      </c>
      <c r="N331" s="117">
        <f t="shared" si="42"/>
        <v>1</v>
      </c>
      <c r="O331" s="81">
        <f t="shared" si="40"/>
        <v>2.84</v>
      </c>
      <c r="P331" s="81">
        <f>IF(G331="","",ABS(O331-Components!$C$2))</f>
        <v>8.666666666667E-2</v>
      </c>
      <c r="Q331" s="81">
        <f>IF(G331="","",ABS(O331-Components!$C$3))</f>
        <v>1.1959999999999997</v>
      </c>
      <c r="R331" s="81">
        <f>IF(G331="","",ABS(O331-Components!$C$4))</f>
        <v>1.8466666666666669</v>
      </c>
      <c r="S331" s="81">
        <f>IF(G331="","",ABS(O331-Components!$C$5))</f>
        <v>1.7226666666666706</v>
      </c>
      <c r="T331" s="81">
        <f>IF(G331="","",ABS(O331-Components!$C$6))</f>
        <v>1.6843333333333299</v>
      </c>
      <c r="U331" s="81">
        <f>IF(G331="","",ABS(O331-Components!$C$7))</f>
        <v>1.4656666666666698</v>
      </c>
      <c r="V331" s="81" t="str">
        <f>IF(G331="","",IF(M331="OK","NONE",INDEX({"S1","S2","W1","W2","N1","N2"},MATCH(MIN(P331:U331),P331:U331,0))))</f>
        <v>S1</v>
      </c>
      <c r="W331" s="117">
        <f t="shared" si="43"/>
        <v>1</v>
      </c>
      <c r="X331" s="119"/>
    </row>
    <row r="332" spans="1:24">
      <c r="A332" s="115">
        <v>330</v>
      </c>
      <c r="B332" s="116">
        <v>11</v>
      </c>
      <c r="C332" s="81" t="s">
        <v>132</v>
      </c>
      <c r="D332" s="111" t="s">
        <v>240</v>
      </c>
      <c r="E332" s="81" t="s">
        <v>99</v>
      </c>
      <c r="F332" s="61">
        <v>5.86</v>
      </c>
      <c r="G332" s="52">
        <f t="shared" si="37"/>
        <v>6.83</v>
      </c>
      <c r="H332" s="110"/>
      <c r="I332" s="81">
        <v>9.61</v>
      </c>
      <c r="J332" s="81">
        <f>VLOOKUP(C332,Recipes!$A$2:$N$4,12,FALSE())</f>
        <v>6.1509461004819709E-2</v>
      </c>
      <c r="K332" s="81">
        <f t="shared" si="38"/>
        <v>9.2409432339710804</v>
      </c>
      <c r="L332" s="81">
        <f t="shared" si="41"/>
        <v>9.9790567660289184</v>
      </c>
      <c r="M332" s="81" t="str">
        <f t="shared" si="39"/>
        <v>NG</v>
      </c>
      <c r="N332" s="117">
        <f t="shared" si="42"/>
        <v>1</v>
      </c>
      <c r="O332" s="81">
        <f t="shared" si="40"/>
        <v>2.7799999999999994</v>
      </c>
      <c r="P332" s="81">
        <f>IF(G332="","",ABS(O332-Components!$C$2))</f>
        <v>2.6666666666669503E-2</v>
      </c>
      <c r="Q332" s="81">
        <f>IF(G332="","",ABS(O332-Components!$C$3))</f>
        <v>1.2560000000000002</v>
      </c>
      <c r="R332" s="81">
        <f>IF(G332="","",ABS(O332-Components!$C$4))</f>
        <v>1.7866666666666664</v>
      </c>
      <c r="S332" s="81">
        <f>IF(G332="","",ABS(O332-Components!$C$5))</f>
        <v>1.7826666666666711</v>
      </c>
      <c r="T332" s="81">
        <f>IF(G332="","",ABS(O332-Components!$C$6))</f>
        <v>1.6243333333333294</v>
      </c>
      <c r="U332" s="81">
        <f>IF(G332="","",ABS(O332-Components!$C$7))</f>
        <v>1.4056666666666693</v>
      </c>
      <c r="V332" s="81" t="str">
        <f>IF(G332="","",IF(M332="OK","NONE",INDEX({"S1","S2","W1","W2","N1","N2"},MATCH(MIN(P332:U332),P332:U332,0))))</f>
        <v>S1</v>
      </c>
      <c r="W332" s="117">
        <f t="shared" si="43"/>
        <v>1</v>
      </c>
      <c r="X332" s="119"/>
    </row>
    <row r="333" spans="1:24">
      <c r="A333" s="115">
        <v>331</v>
      </c>
      <c r="B333" s="116">
        <v>12</v>
      </c>
      <c r="C333" s="81" t="s">
        <v>132</v>
      </c>
      <c r="D333" s="111" t="s">
        <v>240</v>
      </c>
      <c r="E333" s="81" t="s">
        <v>104</v>
      </c>
      <c r="F333" s="61">
        <v>7.6</v>
      </c>
      <c r="G333" s="52">
        <f t="shared" si="37"/>
        <v>8.57</v>
      </c>
      <c r="H333" s="110"/>
      <c r="I333" s="81">
        <v>9.61</v>
      </c>
      <c r="J333" s="81">
        <f>VLOOKUP(C333,Recipes!$A$2:$N$4,12,FALSE())</f>
        <v>6.1509461004819709E-2</v>
      </c>
      <c r="K333" s="81">
        <f t="shared" si="38"/>
        <v>9.2409432339710804</v>
      </c>
      <c r="L333" s="81">
        <f t="shared" si="41"/>
        <v>9.9790567660289184</v>
      </c>
      <c r="M333" s="81" t="str">
        <f t="shared" si="39"/>
        <v>NG</v>
      </c>
      <c r="N333" s="117">
        <f t="shared" si="42"/>
        <v>1</v>
      </c>
      <c r="O333" s="81">
        <f t="shared" si="40"/>
        <v>1.0399999999999991</v>
      </c>
      <c r="P333" s="81">
        <f>IF(G333="","",ABS(O333-Components!$C$2))</f>
        <v>1.7133333333333307</v>
      </c>
      <c r="Q333" s="81">
        <f>IF(G333="","",ABS(O333-Components!$C$3))</f>
        <v>2.9960000000000004</v>
      </c>
      <c r="R333" s="81">
        <f>IF(G333="","",ABS(O333-Components!$C$4))</f>
        <v>4.666666666666619E-2</v>
      </c>
      <c r="S333" s="81">
        <f>IF(G333="","",ABS(O333-Components!$C$5))</f>
        <v>3.5226666666666713</v>
      </c>
      <c r="T333" s="81">
        <f>IF(G333="","",ABS(O333-Components!$C$6))</f>
        <v>0.1156666666666708</v>
      </c>
      <c r="U333" s="81">
        <f>IF(G333="","",ABS(O333-Components!$C$7))</f>
        <v>0.33433333333333093</v>
      </c>
      <c r="V333" s="81" t="str">
        <f>IF(G333="","",IF(M333="OK","NONE",INDEX({"S1","S2","W1","W2","N1","N2"},MATCH(MIN(P333:U333),P333:U333,0))))</f>
        <v>W1</v>
      </c>
      <c r="W333" s="117">
        <f t="shared" si="43"/>
        <v>1</v>
      </c>
      <c r="X333" s="119"/>
    </row>
    <row r="334" spans="1:24">
      <c r="A334" s="115">
        <v>332</v>
      </c>
      <c r="B334" s="116">
        <v>12</v>
      </c>
      <c r="C334" s="81" t="s">
        <v>132</v>
      </c>
      <c r="D334" s="111" t="s">
        <v>240</v>
      </c>
      <c r="E334" s="81" t="s">
        <v>104</v>
      </c>
      <c r="F334" s="61">
        <v>7.68</v>
      </c>
      <c r="G334" s="52">
        <f t="shared" si="37"/>
        <v>8.65</v>
      </c>
      <c r="H334" s="110"/>
      <c r="I334" s="81">
        <v>9.61</v>
      </c>
      <c r="J334" s="81">
        <f>VLOOKUP(C334,Recipes!$A$2:$N$4,12,FALSE())</f>
        <v>6.1509461004819709E-2</v>
      </c>
      <c r="K334" s="81">
        <f t="shared" si="38"/>
        <v>9.2409432339710804</v>
      </c>
      <c r="L334" s="81">
        <f t="shared" si="41"/>
        <v>9.9790567660289184</v>
      </c>
      <c r="M334" s="81" t="str">
        <f t="shared" si="39"/>
        <v>NG</v>
      </c>
      <c r="N334" s="117">
        <f t="shared" si="42"/>
        <v>1</v>
      </c>
      <c r="O334" s="81">
        <f t="shared" si="40"/>
        <v>0.95999999999999908</v>
      </c>
      <c r="P334" s="81">
        <f>IF(G334="","",ABS(O334-Components!$C$2))</f>
        <v>1.7933333333333308</v>
      </c>
      <c r="Q334" s="81">
        <f>IF(G334="","",ABS(O334-Components!$C$3))</f>
        <v>3.0760000000000005</v>
      </c>
      <c r="R334" s="81">
        <f>IF(G334="","",ABS(O334-Components!$C$4))</f>
        <v>3.3333333333333881E-2</v>
      </c>
      <c r="S334" s="81">
        <f>IF(G334="","",ABS(O334-Components!$C$5))</f>
        <v>3.6026666666666713</v>
      </c>
      <c r="T334" s="81">
        <f>IF(G334="","",ABS(O334-Components!$C$6))</f>
        <v>0.19566666666667087</v>
      </c>
      <c r="U334" s="81">
        <f>IF(G334="","",ABS(O334-Components!$C$7))</f>
        <v>0.414333333333331</v>
      </c>
      <c r="V334" s="81" t="str">
        <f>IF(G334="","",IF(M334="OK","NONE",INDEX({"S1","S2","W1","W2","N1","N2"},MATCH(MIN(P334:U334),P334:U334,0))))</f>
        <v>W1</v>
      </c>
      <c r="W334" s="117">
        <f t="shared" si="43"/>
        <v>1</v>
      </c>
      <c r="X334" s="119"/>
    </row>
    <row r="335" spans="1:24">
      <c r="A335" s="115">
        <v>333</v>
      </c>
      <c r="B335" s="116">
        <v>12</v>
      </c>
      <c r="C335" s="81" t="s">
        <v>132</v>
      </c>
      <c r="D335" s="111" t="s">
        <v>240</v>
      </c>
      <c r="E335" s="81" t="s">
        <v>104</v>
      </c>
      <c r="F335" s="61">
        <v>7.4</v>
      </c>
      <c r="G335" s="52">
        <f t="shared" si="37"/>
        <v>8.370000000000001</v>
      </c>
      <c r="H335" s="110"/>
      <c r="I335" s="81">
        <v>9.61</v>
      </c>
      <c r="J335" s="81">
        <f>VLOOKUP(C335,Recipes!$A$2:$N$4,12,FALSE())</f>
        <v>6.1509461004819709E-2</v>
      </c>
      <c r="K335" s="81">
        <f t="shared" si="38"/>
        <v>9.2409432339710804</v>
      </c>
      <c r="L335" s="81">
        <f t="shared" si="41"/>
        <v>9.9790567660289184</v>
      </c>
      <c r="M335" s="81" t="str">
        <f t="shared" si="39"/>
        <v>NG</v>
      </c>
      <c r="N335" s="117">
        <f t="shared" si="42"/>
        <v>1</v>
      </c>
      <c r="O335" s="81">
        <f t="shared" si="40"/>
        <v>1.2399999999999984</v>
      </c>
      <c r="P335" s="81">
        <f>IF(G335="","",ABS(O335-Components!$C$2))</f>
        <v>1.5133333333333314</v>
      </c>
      <c r="Q335" s="81">
        <f>IF(G335="","",ABS(O335-Components!$C$3))</f>
        <v>2.7960000000000012</v>
      </c>
      <c r="R335" s="81">
        <f>IF(G335="","",ABS(O335-Components!$C$4))</f>
        <v>0.24666666666666548</v>
      </c>
      <c r="S335" s="81">
        <f>IF(G335="","",ABS(O335-Components!$C$5))</f>
        <v>3.322666666666672</v>
      </c>
      <c r="T335" s="81">
        <f>IF(G335="","",ABS(O335-Components!$C$6))</f>
        <v>8.4333333333328486E-2</v>
      </c>
      <c r="U335" s="81">
        <f>IF(G335="","",ABS(O335-Components!$C$7))</f>
        <v>0.13433333333333164</v>
      </c>
      <c r="V335" s="81" t="str">
        <f>IF(G335="","",IF(M335="OK","NONE",INDEX({"S1","S2","W1","W2","N1","N2"},MATCH(MIN(P335:U335),P335:U335,0))))</f>
        <v>N1</v>
      </c>
      <c r="W335" s="118">
        <f t="shared" si="43"/>
        <v>0</v>
      </c>
      <c r="X335" s="119"/>
    </row>
    <row r="336" spans="1:24">
      <c r="A336" s="115">
        <v>334</v>
      </c>
      <c r="B336" s="116">
        <v>12</v>
      </c>
      <c r="C336" s="81" t="s">
        <v>132</v>
      </c>
      <c r="D336" s="111" t="s">
        <v>240</v>
      </c>
      <c r="E336" s="81" t="s">
        <v>104</v>
      </c>
      <c r="F336" s="61">
        <v>7.59</v>
      </c>
      <c r="G336" s="52">
        <f t="shared" si="37"/>
        <v>8.56</v>
      </c>
      <c r="H336" s="110"/>
      <c r="I336" s="81">
        <v>9.61</v>
      </c>
      <c r="J336" s="81">
        <f>VLOOKUP(C336,Recipes!$A$2:$N$4,12,FALSE())</f>
        <v>6.1509461004819709E-2</v>
      </c>
      <c r="K336" s="81">
        <f t="shared" si="38"/>
        <v>9.2409432339710804</v>
      </c>
      <c r="L336" s="81">
        <f t="shared" si="41"/>
        <v>9.9790567660289184</v>
      </c>
      <c r="M336" s="81" t="str">
        <f t="shared" si="39"/>
        <v>NG</v>
      </c>
      <c r="N336" s="117">
        <f t="shared" si="42"/>
        <v>1</v>
      </c>
      <c r="O336" s="81">
        <f t="shared" si="40"/>
        <v>1.0499999999999989</v>
      </c>
      <c r="P336" s="81">
        <f>IF(G336="","",ABS(O336-Components!$C$2))</f>
        <v>1.7033333333333309</v>
      </c>
      <c r="Q336" s="81">
        <f>IF(G336="","",ABS(O336-Components!$C$3))</f>
        <v>2.9860000000000007</v>
      </c>
      <c r="R336" s="81">
        <f>IF(G336="","",ABS(O336-Components!$C$4))</f>
        <v>5.6666666666665977E-2</v>
      </c>
      <c r="S336" s="81">
        <f>IF(G336="","",ABS(O336-Components!$C$5))</f>
        <v>3.5126666666666715</v>
      </c>
      <c r="T336" s="81">
        <f>IF(G336="","",ABS(O336-Components!$C$6))</f>
        <v>0.10566666666667102</v>
      </c>
      <c r="U336" s="81">
        <f>IF(G336="","",ABS(O336-Components!$C$7))</f>
        <v>0.32433333333333114</v>
      </c>
      <c r="V336" s="81" t="str">
        <f>IF(G336="","",IF(M336="OK","NONE",INDEX({"S1","S2","W1","W2","N1","N2"},MATCH(MIN(P336:U336),P336:U336,0))))</f>
        <v>W1</v>
      </c>
      <c r="W336" s="117">
        <f t="shared" si="43"/>
        <v>1</v>
      </c>
      <c r="X336" s="119"/>
    </row>
    <row r="337" spans="1:24">
      <c r="A337" s="115">
        <v>335</v>
      </c>
      <c r="B337" s="116">
        <v>12</v>
      </c>
      <c r="C337" s="81" t="s">
        <v>132</v>
      </c>
      <c r="D337" s="111" t="s">
        <v>240</v>
      </c>
      <c r="E337" s="81" t="s">
        <v>104</v>
      </c>
      <c r="F337" s="61">
        <v>7.53</v>
      </c>
      <c r="G337" s="52">
        <f t="shared" si="37"/>
        <v>8.5</v>
      </c>
      <c r="H337" s="110"/>
      <c r="I337" s="81">
        <v>9.61</v>
      </c>
      <c r="J337" s="81">
        <f>VLOOKUP(C337,Recipes!$A$2:$N$4,12,FALSE())</f>
        <v>6.1509461004819709E-2</v>
      </c>
      <c r="K337" s="81">
        <f t="shared" si="38"/>
        <v>9.2409432339710804</v>
      </c>
      <c r="L337" s="81">
        <f t="shared" si="41"/>
        <v>9.9790567660289184</v>
      </c>
      <c r="M337" s="81" t="str">
        <f t="shared" si="39"/>
        <v>NG</v>
      </c>
      <c r="N337" s="117">
        <f t="shared" si="42"/>
        <v>1</v>
      </c>
      <c r="O337" s="81">
        <f t="shared" si="40"/>
        <v>1.1099999999999994</v>
      </c>
      <c r="P337" s="81">
        <f>IF(G337="","",ABS(O337-Components!$C$2))</f>
        <v>1.6433333333333304</v>
      </c>
      <c r="Q337" s="81">
        <f>IF(G337="","",ABS(O337-Components!$C$3))</f>
        <v>2.9260000000000002</v>
      </c>
      <c r="R337" s="81">
        <f>IF(G337="","",ABS(O337-Components!$C$4))</f>
        <v>0.11666666666666647</v>
      </c>
      <c r="S337" s="81">
        <f>IF(G337="","",ABS(O337-Components!$C$5))</f>
        <v>3.452666666666671</v>
      </c>
      <c r="T337" s="81">
        <f>IF(G337="","",ABS(O337-Components!$C$6))</f>
        <v>4.5666666666670519E-2</v>
      </c>
      <c r="U337" s="81">
        <f>IF(G337="","",ABS(O337-Components!$C$7))</f>
        <v>0.26433333333333064</v>
      </c>
      <c r="V337" s="81" t="str">
        <f>IF(G337="","",IF(M337="OK","NONE",INDEX({"S1","S2","W1","W2","N1","N2"},MATCH(MIN(P337:U337),P337:U337,0))))</f>
        <v>N1</v>
      </c>
      <c r="W337" s="118">
        <f t="shared" si="43"/>
        <v>0</v>
      </c>
      <c r="X337" s="119"/>
    </row>
    <row r="338" spans="1:24">
      <c r="A338" s="115">
        <v>336</v>
      </c>
      <c r="B338" s="116">
        <v>12</v>
      </c>
      <c r="C338" s="81" t="s">
        <v>132</v>
      </c>
      <c r="D338" s="111" t="s">
        <v>240</v>
      </c>
      <c r="E338" s="81" t="s">
        <v>104</v>
      </c>
      <c r="F338" s="61">
        <v>7.53</v>
      </c>
      <c r="G338" s="52">
        <f t="shared" si="37"/>
        <v>8.5</v>
      </c>
      <c r="H338" s="110"/>
      <c r="I338" s="81">
        <v>9.61</v>
      </c>
      <c r="J338" s="81">
        <f>VLOOKUP(C338,Recipes!$A$2:$N$4,12,FALSE())</f>
        <v>6.1509461004819709E-2</v>
      </c>
      <c r="K338" s="81">
        <f t="shared" si="38"/>
        <v>9.2409432339710804</v>
      </c>
      <c r="L338" s="81">
        <f t="shared" si="41"/>
        <v>9.9790567660289184</v>
      </c>
      <c r="M338" s="81" t="str">
        <f t="shared" si="39"/>
        <v>NG</v>
      </c>
      <c r="N338" s="117">
        <f t="shared" si="42"/>
        <v>1</v>
      </c>
      <c r="O338" s="81">
        <f t="shared" si="40"/>
        <v>1.1099999999999994</v>
      </c>
      <c r="P338" s="81">
        <f>IF(G338="","",ABS(O338-Components!$C$2))</f>
        <v>1.6433333333333304</v>
      </c>
      <c r="Q338" s="81">
        <f>IF(G338="","",ABS(O338-Components!$C$3))</f>
        <v>2.9260000000000002</v>
      </c>
      <c r="R338" s="81">
        <f>IF(G338="","",ABS(O338-Components!$C$4))</f>
        <v>0.11666666666666647</v>
      </c>
      <c r="S338" s="81">
        <f>IF(G338="","",ABS(O338-Components!$C$5))</f>
        <v>3.452666666666671</v>
      </c>
      <c r="T338" s="81">
        <f>IF(G338="","",ABS(O338-Components!$C$6))</f>
        <v>4.5666666666670519E-2</v>
      </c>
      <c r="U338" s="81">
        <f>IF(G338="","",ABS(O338-Components!$C$7))</f>
        <v>0.26433333333333064</v>
      </c>
      <c r="V338" s="81" t="str">
        <f>IF(G338="","",IF(M338="OK","NONE",INDEX({"S1","S2","W1","W2","N1","N2"},MATCH(MIN(P338:U338),P338:U338,0))))</f>
        <v>N1</v>
      </c>
      <c r="W338" s="118">
        <f t="shared" si="43"/>
        <v>0</v>
      </c>
      <c r="X338" s="119"/>
    </row>
    <row r="339" spans="1:24">
      <c r="A339" s="115">
        <v>337</v>
      </c>
      <c r="B339" s="116">
        <v>12</v>
      </c>
      <c r="C339" s="81" t="s">
        <v>132</v>
      </c>
      <c r="D339" s="111" t="s">
        <v>240</v>
      </c>
      <c r="E339" s="81" t="s">
        <v>104</v>
      </c>
      <c r="F339" s="61">
        <v>7.63</v>
      </c>
      <c r="G339" s="52">
        <f t="shared" si="37"/>
        <v>8.6</v>
      </c>
      <c r="H339" s="110"/>
      <c r="I339" s="81">
        <v>9.61</v>
      </c>
      <c r="J339" s="81">
        <f>VLOOKUP(C339,Recipes!$A$2:$N$4,12,FALSE())</f>
        <v>6.1509461004819709E-2</v>
      </c>
      <c r="K339" s="81">
        <f t="shared" si="38"/>
        <v>9.2409432339710804</v>
      </c>
      <c r="L339" s="81">
        <f t="shared" si="41"/>
        <v>9.9790567660289184</v>
      </c>
      <c r="M339" s="81" t="str">
        <f t="shared" si="39"/>
        <v>NG</v>
      </c>
      <c r="N339" s="117">
        <f t="shared" si="42"/>
        <v>1</v>
      </c>
      <c r="O339" s="81">
        <f t="shared" si="40"/>
        <v>1.0099999999999998</v>
      </c>
      <c r="P339" s="81">
        <f>IF(G339="","",ABS(O339-Components!$C$2))</f>
        <v>1.7433333333333301</v>
      </c>
      <c r="Q339" s="81">
        <f>IF(G339="","",ABS(O339-Components!$C$3))</f>
        <v>3.0259999999999998</v>
      </c>
      <c r="R339" s="81">
        <f>IF(G339="","",ABS(O339-Components!$C$4))</f>
        <v>1.6666666666666829E-2</v>
      </c>
      <c r="S339" s="81">
        <f>IF(G339="","",ABS(O339-Components!$C$5))</f>
        <v>3.5526666666666706</v>
      </c>
      <c r="T339" s="81">
        <f>IF(G339="","",ABS(O339-Components!$C$6))</f>
        <v>0.14566666666667016</v>
      </c>
      <c r="U339" s="81">
        <f>IF(G339="","",ABS(O339-Components!$C$7))</f>
        <v>0.36433333333333029</v>
      </c>
      <c r="V339" s="81" t="str">
        <f>IF(G339="","",IF(M339="OK","NONE",INDEX({"S1","S2","W1","W2","N1","N2"},MATCH(MIN(P339:U339),P339:U339,0))))</f>
        <v>W1</v>
      </c>
      <c r="W339" s="117">
        <f t="shared" si="43"/>
        <v>1</v>
      </c>
      <c r="X339" s="119"/>
    </row>
    <row r="340" spans="1:24">
      <c r="A340" s="115">
        <v>338</v>
      </c>
      <c r="B340" s="116">
        <v>12</v>
      </c>
      <c r="C340" s="81" t="s">
        <v>132</v>
      </c>
      <c r="D340" s="111" t="s">
        <v>240</v>
      </c>
      <c r="E340" s="81" t="s">
        <v>104</v>
      </c>
      <c r="F340" s="61">
        <v>7.62</v>
      </c>
      <c r="G340" s="52">
        <f t="shared" si="37"/>
        <v>8.59</v>
      </c>
      <c r="H340" s="110"/>
      <c r="I340" s="81">
        <v>9.61</v>
      </c>
      <c r="J340" s="81">
        <f>VLOOKUP(C340,Recipes!$A$2:$N$4,12,FALSE())</f>
        <v>6.1509461004819709E-2</v>
      </c>
      <c r="K340" s="81">
        <f t="shared" si="38"/>
        <v>9.2409432339710804</v>
      </c>
      <c r="L340" s="81">
        <f t="shared" si="41"/>
        <v>9.9790567660289184</v>
      </c>
      <c r="M340" s="81" t="str">
        <f t="shared" si="39"/>
        <v>NG</v>
      </c>
      <c r="N340" s="117">
        <f t="shared" si="42"/>
        <v>1</v>
      </c>
      <c r="O340" s="81">
        <f t="shared" si="40"/>
        <v>1.0199999999999996</v>
      </c>
      <c r="P340" s="81">
        <f>IF(G340="","",ABS(O340-Components!$C$2))</f>
        <v>1.7333333333333303</v>
      </c>
      <c r="Q340" s="81">
        <f>IF(G340="","",ABS(O340-Components!$C$3))</f>
        <v>3.016</v>
      </c>
      <c r="R340" s="81">
        <f>IF(G340="","",ABS(O340-Components!$C$4))</f>
        <v>2.6666666666666616E-2</v>
      </c>
      <c r="S340" s="81">
        <f>IF(G340="","",ABS(O340-Components!$C$5))</f>
        <v>3.5426666666666708</v>
      </c>
      <c r="T340" s="81">
        <f>IF(G340="","",ABS(O340-Components!$C$6))</f>
        <v>0.13566666666667038</v>
      </c>
      <c r="U340" s="81">
        <f>IF(G340="","",ABS(O340-Components!$C$7))</f>
        <v>0.3543333333333305</v>
      </c>
      <c r="V340" s="81" t="str">
        <f>IF(G340="","",IF(M340="OK","NONE",INDEX({"S1","S2","W1","W2","N1","N2"},MATCH(MIN(P340:U340),P340:U340,0))))</f>
        <v>W1</v>
      </c>
      <c r="W340" s="117">
        <f t="shared" si="43"/>
        <v>1</v>
      </c>
      <c r="X340" s="119"/>
    </row>
    <row r="341" spans="1:24">
      <c r="A341" s="115">
        <v>339</v>
      </c>
      <c r="B341" s="116">
        <v>12</v>
      </c>
      <c r="C341" s="81" t="s">
        <v>132</v>
      </c>
      <c r="D341" s="111" t="s">
        <v>240</v>
      </c>
      <c r="E341" s="81" t="s">
        <v>104</v>
      </c>
      <c r="F341" s="61">
        <v>7.59</v>
      </c>
      <c r="G341" s="52">
        <f t="shared" si="37"/>
        <v>8.56</v>
      </c>
      <c r="H341" s="110"/>
      <c r="I341" s="81">
        <v>9.61</v>
      </c>
      <c r="J341" s="81">
        <f>VLOOKUP(C341,Recipes!$A$2:$N$4,12,FALSE())</f>
        <v>6.1509461004819709E-2</v>
      </c>
      <c r="K341" s="81">
        <f t="shared" si="38"/>
        <v>9.2409432339710804</v>
      </c>
      <c r="L341" s="81">
        <f t="shared" si="41"/>
        <v>9.9790567660289184</v>
      </c>
      <c r="M341" s="81" t="str">
        <f t="shared" si="39"/>
        <v>NG</v>
      </c>
      <c r="N341" s="117">
        <f t="shared" si="42"/>
        <v>1</v>
      </c>
      <c r="O341" s="81">
        <f t="shared" si="40"/>
        <v>1.0499999999999989</v>
      </c>
      <c r="P341" s="81">
        <f>IF(G341="","",ABS(O341-Components!$C$2))</f>
        <v>1.7033333333333309</v>
      </c>
      <c r="Q341" s="81">
        <f>IF(G341="","",ABS(O341-Components!$C$3))</f>
        <v>2.9860000000000007</v>
      </c>
      <c r="R341" s="81">
        <f>IF(G341="","",ABS(O341-Components!$C$4))</f>
        <v>5.6666666666665977E-2</v>
      </c>
      <c r="S341" s="81">
        <f>IF(G341="","",ABS(O341-Components!$C$5))</f>
        <v>3.5126666666666715</v>
      </c>
      <c r="T341" s="81">
        <f>IF(G341="","",ABS(O341-Components!$C$6))</f>
        <v>0.10566666666667102</v>
      </c>
      <c r="U341" s="81">
        <f>IF(G341="","",ABS(O341-Components!$C$7))</f>
        <v>0.32433333333333114</v>
      </c>
      <c r="V341" s="81" t="str">
        <f>IF(G341="","",IF(M341="OK","NONE",INDEX({"S1","S2","W1","W2","N1","N2"},MATCH(MIN(P341:U341),P341:U341,0))))</f>
        <v>W1</v>
      </c>
      <c r="W341" s="117">
        <f t="shared" si="43"/>
        <v>1</v>
      </c>
      <c r="X341" s="119"/>
    </row>
    <row r="342" spans="1:24">
      <c r="A342" s="115">
        <v>340</v>
      </c>
      <c r="B342" s="116">
        <v>12</v>
      </c>
      <c r="C342" s="81" t="s">
        <v>132</v>
      </c>
      <c r="D342" s="111" t="s">
        <v>240</v>
      </c>
      <c r="E342" s="81" t="s">
        <v>104</v>
      </c>
      <c r="F342" s="61">
        <v>7.64</v>
      </c>
      <c r="G342" s="52">
        <f t="shared" si="37"/>
        <v>8.61</v>
      </c>
      <c r="H342" s="110"/>
      <c r="I342" s="81">
        <v>9.61</v>
      </c>
      <c r="J342" s="81">
        <f>VLOOKUP(C342,Recipes!$A$2:$N$4,12,FALSE())</f>
        <v>6.1509461004819709E-2</v>
      </c>
      <c r="K342" s="81">
        <f t="shared" si="38"/>
        <v>9.2409432339710804</v>
      </c>
      <c r="L342" s="81">
        <f t="shared" si="41"/>
        <v>9.9790567660289184</v>
      </c>
      <c r="M342" s="81" t="str">
        <f t="shared" si="39"/>
        <v>NG</v>
      </c>
      <c r="N342" s="117">
        <f t="shared" si="42"/>
        <v>1</v>
      </c>
      <c r="O342" s="81">
        <f t="shared" si="40"/>
        <v>1</v>
      </c>
      <c r="P342" s="81">
        <f>IF(G342="","",ABS(O342-Components!$C$2))</f>
        <v>1.7533333333333299</v>
      </c>
      <c r="Q342" s="81">
        <f>IF(G342="","",ABS(O342-Components!$C$3))</f>
        <v>3.0359999999999996</v>
      </c>
      <c r="R342" s="81">
        <f>IF(G342="","",ABS(O342-Components!$C$4))</f>
        <v>6.6666666666670427E-3</v>
      </c>
      <c r="S342" s="81">
        <f>IF(G342="","",ABS(O342-Components!$C$5))</f>
        <v>3.5626666666666704</v>
      </c>
      <c r="T342" s="81">
        <f>IF(G342="","",ABS(O342-Components!$C$6))</f>
        <v>0.15566666666666995</v>
      </c>
      <c r="U342" s="81">
        <f>IF(G342="","",ABS(O342-Components!$C$7))</f>
        <v>0.37433333333333008</v>
      </c>
      <c r="V342" s="81" t="str">
        <f>IF(G342="","",IF(M342="OK","NONE",INDEX({"S1","S2","W1","W2","N1","N2"},MATCH(MIN(P342:U342),P342:U342,0))))</f>
        <v>W1</v>
      </c>
      <c r="W342" s="117">
        <f t="shared" si="43"/>
        <v>1</v>
      </c>
      <c r="X342" s="119"/>
    </row>
    <row r="343" spans="1:24">
      <c r="A343" s="115">
        <v>341</v>
      </c>
      <c r="B343" s="116">
        <v>12</v>
      </c>
      <c r="C343" s="81" t="s">
        <v>132</v>
      </c>
      <c r="D343" s="111" t="s">
        <v>240</v>
      </c>
      <c r="E343" s="81" t="s">
        <v>104</v>
      </c>
      <c r="F343" s="61">
        <v>7.65</v>
      </c>
      <c r="G343" s="52">
        <f t="shared" si="37"/>
        <v>8.620000000000001</v>
      </c>
      <c r="H343" s="110"/>
      <c r="I343" s="81">
        <v>9.61</v>
      </c>
      <c r="J343" s="81">
        <f>VLOOKUP(C343,Recipes!$A$2:$N$4,12,FALSE())</f>
        <v>6.1509461004819709E-2</v>
      </c>
      <c r="K343" s="81">
        <f t="shared" si="38"/>
        <v>9.2409432339710804</v>
      </c>
      <c r="L343" s="81">
        <f t="shared" si="41"/>
        <v>9.9790567660289184</v>
      </c>
      <c r="M343" s="81" t="str">
        <f t="shared" si="39"/>
        <v>NG</v>
      </c>
      <c r="N343" s="117">
        <f t="shared" si="42"/>
        <v>1</v>
      </c>
      <c r="O343" s="81">
        <f t="shared" si="40"/>
        <v>0.98999999999999844</v>
      </c>
      <c r="P343" s="81">
        <f>IF(G343="","",ABS(O343-Components!$C$2))</f>
        <v>1.7633333333333314</v>
      </c>
      <c r="Q343" s="81">
        <f>IF(G343="","",ABS(O343-Components!$C$3))</f>
        <v>3.0460000000000012</v>
      </c>
      <c r="R343" s="81">
        <f>IF(G343="","",ABS(O343-Components!$C$4))</f>
        <v>3.3333333333345205E-3</v>
      </c>
      <c r="S343" s="81">
        <f>IF(G343="","",ABS(O343-Components!$C$5))</f>
        <v>3.572666666666672</v>
      </c>
      <c r="T343" s="81">
        <f>IF(G343="","",ABS(O343-Components!$C$6))</f>
        <v>0.16566666666667151</v>
      </c>
      <c r="U343" s="81">
        <f>IF(G343="","",ABS(O343-Components!$C$7))</f>
        <v>0.38433333333333164</v>
      </c>
      <c r="V343" s="81" t="str">
        <f>IF(G343="","",IF(M343="OK","NONE",INDEX({"S1","S2","W1","W2","N1","N2"},MATCH(MIN(P343:U343),P343:U343,0))))</f>
        <v>W1</v>
      </c>
      <c r="W343" s="117">
        <f t="shared" si="43"/>
        <v>1</v>
      </c>
      <c r="X343" s="119"/>
    </row>
    <row r="344" spans="1:24">
      <c r="A344" s="115">
        <v>342</v>
      </c>
      <c r="B344" s="116">
        <v>12</v>
      </c>
      <c r="C344" s="81" t="s">
        <v>132</v>
      </c>
      <c r="D344" s="111" t="s">
        <v>240</v>
      </c>
      <c r="E344" s="81" t="s">
        <v>104</v>
      </c>
      <c r="F344" s="61">
        <v>7.6</v>
      </c>
      <c r="G344" s="52">
        <f t="shared" si="37"/>
        <v>8.57</v>
      </c>
      <c r="H344" s="110"/>
      <c r="I344" s="81">
        <v>9.61</v>
      </c>
      <c r="J344" s="81">
        <f>VLOOKUP(C344,Recipes!$A$2:$N$4,12,FALSE())</f>
        <v>6.1509461004819709E-2</v>
      </c>
      <c r="K344" s="81">
        <f t="shared" si="38"/>
        <v>9.2409432339710804</v>
      </c>
      <c r="L344" s="81">
        <f t="shared" si="41"/>
        <v>9.9790567660289184</v>
      </c>
      <c r="M344" s="81" t="str">
        <f t="shared" si="39"/>
        <v>NG</v>
      </c>
      <c r="N344" s="117">
        <f t="shared" si="42"/>
        <v>1</v>
      </c>
      <c r="O344" s="81">
        <f t="shared" si="40"/>
        <v>1.0399999999999991</v>
      </c>
      <c r="P344" s="81">
        <f>IF(G344="","",ABS(O344-Components!$C$2))</f>
        <v>1.7133333333333307</v>
      </c>
      <c r="Q344" s="81">
        <f>IF(G344="","",ABS(O344-Components!$C$3))</f>
        <v>2.9960000000000004</v>
      </c>
      <c r="R344" s="81">
        <f>IF(G344="","",ABS(O344-Components!$C$4))</f>
        <v>4.666666666666619E-2</v>
      </c>
      <c r="S344" s="81">
        <f>IF(G344="","",ABS(O344-Components!$C$5))</f>
        <v>3.5226666666666713</v>
      </c>
      <c r="T344" s="81">
        <f>IF(G344="","",ABS(O344-Components!$C$6))</f>
        <v>0.1156666666666708</v>
      </c>
      <c r="U344" s="81">
        <f>IF(G344="","",ABS(O344-Components!$C$7))</f>
        <v>0.33433333333333093</v>
      </c>
      <c r="V344" s="81" t="str">
        <f>IF(G344="","",IF(M344="OK","NONE",INDEX({"S1","S2","W1","W2","N1","N2"},MATCH(MIN(P344:U344),P344:U344,0))))</f>
        <v>W1</v>
      </c>
      <c r="W344" s="117">
        <f t="shared" si="43"/>
        <v>1</v>
      </c>
      <c r="X344" s="119"/>
    </row>
    <row r="345" spans="1:24">
      <c r="A345" s="115">
        <v>343</v>
      </c>
      <c r="B345" s="116">
        <v>12</v>
      </c>
      <c r="C345" s="81" t="s">
        <v>132</v>
      </c>
      <c r="D345" s="111" t="s">
        <v>240</v>
      </c>
      <c r="E345" s="81" t="s">
        <v>104</v>
      </c>
      <c r="F345" s="61">
        <v>7.6</v>
      </c>
      <c r="G345" s="52">
        <f t="shared" si="37"/>
        <v>8.57</v>
      </c>
      <c r="H345" s="110"/>
      <c r="I345" s="81">
        <v>9.61</v>
      </c>
      <c r="J345" s="81">
        <f>VLOOKUP(C345,Recipes!$A$2:$N$4,12,FALSE())</f>
        <v>6.1509461004819709E-2</v>
      </c>
      <c r="K345" s="81">
        <f t="shared" si="38"/>
        <v>9.2409432339710804</v>
      </c>
      <c r="L345" s="81">
        <f t="shared" si="41"/>
        <v>9.9790567660289184</v>
      </c>
      <c r="M345" s="81" t="str">
        <f t="shared" si="39"/>
        <v>NG</v>
      </c>
      <c r="N345" s="117">
        <f t="shared" si="42"/>
        <v>1</v>
      </c>
      <c r="O345" s="81">
        <f t="shared" si="40"/>
        <v>1.0399999999999991</v>
      </c>
      <c r="P345" s="81">
        <f>IF(G345="","",ABS(O345-Components!$C$2))</f>
        <v>1.7133333333333307</v>
      </c>
      <c r="Q345" s="81">
        <f>IF(G345="","",ABS(O345-Components!$C$3))</f>
        <v>2.9960000000000004</v>
      </c>
      <c r="R345" s="81">
        <f>IF(G345="","",ABS(O345-Components!$C$4))</f>
        <v>4.666666666666619E-2</v>
      </c>
      <c r="S345" s="81">
        <f>IF(G345="","",ABS(O345-Components!$C$5))</f>
        <v>3.5226666666666713</v>
      </c>
      <c r="T345" s="81">
        <f>IF(G345="","",ABS(O345-Components!$C$6))</f>
        <v>0.1156666666666708</v>
      </c>
      <c r="U345" s="81">
        <f>IF(G345="","",ABS(O345-Components!$C$7))</f>
        <v>0.33433333333333093</v>
      </c>
      <c r="V345" s="81" t="str">
        <f>IF(G345="","",IF(M345="OK","NONE",INDEX({"S1","S2","W1","W2","N1","N2"},MATCH(MIN(P345:U345),P345:U345,0))))</f>
        <v>W1</v>
      </c>
      <c r="W345" s="117">
        <f t="shared" si="43"/>
        <v>1</v>
      </c>
      <c r="X345" s="119"/>
    </row>
    <row r="346" spans="1:24">
      <c r="A346" s="115">
        <v>344</v>
      </c>
      <c r="B346" s="116">
        <v>12</v>
      </c>
      <c r="C346" s="81" t="s">
        <v>132</v>
      </c>
      <c r="D346" s="111" t="s">
        <v>240</v>
      </c>
      <c r="E346" s="81" t="s">
        <v>104</v>
      </c>
      <c r="F346" s="61">
        <v>7.59</v>
      </c>
      <c r="G346" s="52">
        <f t="shared" si="37"/>
        <v>8.56</v>
      </c>
      <c r="H346" s="110"/>
      <c r="I346" s="81">
        <v>9.61</v>
      </c>
      <c r="J346" s="81">
        <f>VLOOKUP(C346,Recipes!$A$2:$N$4,12,FALSE())</f>
        <v>6.1509461004819709E-2</v>
      </c>
      <c r="K346" s="81">
        <f t="shared" si="38"/>
        <v>9.2409432339710804</v>
      </c>
      <c r="L346" s="81">
        <f t="shared" si="41"/>
        <v>9.9790567660289184</v>
      </c>
      <c r="M346" s="81" t="str">
        <f t="shared" si="39"/>
        <v>NG</v>
      </c>
      <c r="N346" s="117">
        <f t="shared" si="42"/>
        <v>1</v>
      </c>
      <c r="O346" s="81">
        <f t="shared" si="40"/>
        <v>1.0499999999999989</v>
      </c>
      <c r="P346" s="81">
        <f>IF(G346="","",ABS(O346-Components!$C$2))</f>
        <v>1.7033333333333309</v>
      </c>
      <c r="Q346" s="81">
        <f>IF(G346="","",ABS(O346-Components!$C$3))</f>
        <v>2.9860000000000007</v>
      </c>
      <c r="R346" s="81">
        <f>IF(G346="","",ABS(O346-Components!$C$4))</f>
        <v>5.6666666666665977E-2</v>
      </c>
      <c r="S346" s="81">
        <f>IF(G346="","",ABS(O346-Components!$C$5))</f>
        <v>3.5126666666666715</v>
      </c>
      <c r="T346" s="81">
        <f>IF(G346="","",ABS(O346-Components!$C$6))</f>
        <v>0.10566666666667102</v>
      </c>
      <c r="U346" s="81">
        <f>IF(G346="","",ABS(O346-Components!$C$7))</f>
        <v>0.32433333333333114</v>
      </c>
      <c r="V346" s="81" t="str">
        <f>IF(G346="","",IF(M346="OK","NONE",INDEX({"S1","S2","W1","W2","N1","N2"},MATCH(MIN(P346:U346),P346:U346,0))))</f>
        <v>W1</v>
      </c>
      <c r="W346" s="117">
        <f t="shared" si="43"/>
        <v>1</v>
      </c>
      <c r="X346" s="119"/>
    </row>
    <row r="347" spans="1:24">
      <c r="A347" s="115">
        <v>345</v>
      </c>
      <c r="B347" s="116">
        <v>12</v>
      </c>
      <c r="C347" s="81" t="s">
        <v>132</v>
      </c>
      <c r="D347" s="111" t="s">
        <v>240</v>
      </c>
      <c r="E347" s="81" t="s">
        <v>104</v>
      </c>
      <c r="F347" s="61">
        <v>7.63</v>
      </c>
      <c r="G347" s="52">
        <f t="shared" si="37"/>
        <v>8.6</v>
      </c>
      <c r="H347" s="110"/>
      <c r="I347" s="81">
        <v>9.61</v>
      </c>
      <c r="J347" s="81">
        <f>VLOOKUP(C347,Recipes!$A$2:$N$4,12,FALSE())</f>
        <v>6.1509461004819709E-2</v>
      </c>
      <c r="K347" s="81">
        <f t="shared" si="38"/>
        <v>9.2409432339710804</v>
      </c>
      <c r="L347" s="81">
        <f t="shared" si="41"/>
        <v>9.9790567660289184</v>
      </c>
      <c r="M347" s="81" t="str">
        <f t="shared" si="39"/>
        <v>NG</v>
      </c>
      <c r="N347" s="117">
        <f t="shared" si="42"/>
        <v>1</v>
      </c>
      <c r="O347" s="81">
        <f t="shared" si="40"/>
        <v>1.0099999999999998</v>
      </c>
      <c r="P347" s="81">
        <f>IF(G347="","",ABS(O347-Components!$C$2))</f>
        <v>1.7433333333333301</v>
      </c>
      <c r="Q347" s="81">
        <f>IF(G347="","",ABS(O347-Components!$C$3))</f>
        <v>3.0259999999999998</v>
      </c>
      <c r="R347" s="81">
        <f>IF(G347="","",ABS(O347-Components!$C$4))</f>
        <v>1.6666666666666829E-2</v>
      </c>
      <c r="S347" s="81">
        <f>IF(G347="","",ABS(O347-Components!$C$5))</f>
        <v>3.5526666666666706</v>
      </c>
      <c r="T347" s="81">
        <f>IF(G347="","",ABS(O347-Components!$C$6))</f>
        <v>0.14566666666667016</v>
      </c>
      <c r="U347" s="81">
        <f>IF(G347="","",ABS(O347-Components!$C$7))</f>
        <v>0.36433333333333029</v>
      </c>
      <c r="V347" s="81" t="str">
        <f>IF(G347="","",IF(M347="OK","NONE",INDEX({"S1","S2","W1","W2","N1","N2"},MATCH(MIN(P347:U347),P347:U347,0))))</f>
        <v>W1</v>
      </c>
      <c r="W347" s="117">
        <f t="shared" si="43"/>
        <v>1</v>
      </c>
      <c r="X347" s="119"/>
    </row>
    <row r="348" spans="1:24">
      <c r="A348" s="115">
        <v>346</v>
      </c>
      <c r="B348" s="116">
        <v>12</v>
      </c>
      <c r="C348" s="81" t="s">
        <v>132</v>
      </c>
      <c r="D348" s="111" t="s">
        <v>240</v>
      </c>
      <c r="E348" s="81" t="s">
        <v>104</v>
      </c>
      <c r="F348" s="61">
        <v>7.6</v>
      </c>
      <c r="G348" s="52">
        <f t="shared" si="37"/>
        <v>8.57</v>
      </c>
      <c r="H348" s="110"/>
      <c r="I348" s="81">
        <v>9.61</v>
      </c>
      <c r="J348" s="81">
        <f>VLOOKUP(C348,Recipes!$A$2:$N$4,12,FALSE())</f>
        <v>6.1509461004819709E-2</v>
      </c>
      <c r="K348" s="81">
        <f t="shared" si="38"/>
        <v>9.2409432339710804</v>
      </c>
      <c r="L348" s="81">
        <f t="shared" si="41"/>
        <v>9.9790567660289184</v>
      </c>
      <c r="M348" s="81" t="str">
        <f t="shared" si="39"/>
        <v>NG</v>
      </c>
      <c r="N348" s="117">
        <f t="shared" si="42"/>
        <v>1</v>
      </c>
      <c r="O348" s="81">
        <f t="shared" si="40"/>
        <v>1.0399999999999991</v>
      </c>
      <c r="P348" s="81">
        <f>IF(G348="","",ABS(O348-Components!$C$2))</f>
        <v>1.7133333333333307</v>
      </c>
      <c r="Q348" s="81">
        <f>IF(G348="","",ABS(O348-Components!$C$3))</f>
        <v>2.9960000000000004</v>
      </c>
      <c r="R348" s="81">
        <f>IF(G348="","",ABS(O348-Components!$C$4))</f>
        <v>4.666666666666619E-2</v>
      </c>
      <c r="S348" s="81">
        <f>IF(G348="","",ABS(O348-Components!$C$5))</f>
        <v>3.5226666666666713</v>
      </c>
      <c r="T348" s="81">
        <f>IF(G348="","",ABS(O348-Components!$C$6))</f>
        <v>0.1156666666666708</v>
      </c>
      <c r="U348" s="81">
        <f>IF(G348="","",ABS(O348-Components!$C$7))</f>
        <v>0.33433333333333093</v>
      </c>
      <c r="V348" s="81" t="str">
        <f>IF(G348="","",IF(M348="OK","NONE",INDEX({"S1","S2","W1","W2","N1","N2"},MATCH(MIN(P348:U348),P348:U348,0))))</f>
        <v>W1</v>
      </c>
      <c r="W348" s="117">
        <f t="shared" si="43"/>
        <v>1</v>
      </c>
      <c r="X348" s="119"/>
    </row>
    <row r="349" spans="1:24">
      <c r="A349" s="115">
        <v>347</v>
      </c>
      <c r="B349" s="116">
        <v>12</v>
      </c>
      <c r="C349" s="81" t="s">
        <v>132</v>
      </c>
      <c r="D349" s="111" t="s">
        <v>240</v>
      </c>
      <c r="E349" s="81" t="s">
        <v>104</v>
      </c>
      <c r="F349" s="61">
        <v>7.56</v>
      </c>
      <c r="G349" s="52">
        <f t="shared" si="37"/>
        <v>8.5299999999999994</v>
      </c>
      <c r="H349" s="110"/>
      <c r="I349" s="81">
        <v>9.61</v>
      </c>
      <c r="J349" s="81">
        <f>VLOOKUP(C349,Recipes!$A$2:$N$4,12,FALSE())</f>
        <v>6.1509461004819709E-2</v>
      </c>
      <c r="K349" s="81">
        <f t="shared" si="38"/>
        <v>9.2409432339710804</v>
      </c>
      <c r="L349" s="81">
        <f t="shared" si="41"/>
        <v>9.9790567660289184</v>
      </c>
      <c r="M349" s="81" t="str">
        <f t="shared" si="39"/>
        <v>NG</v>
      </c>
      <c r="N349" s="117">
        <f t="shared" si="42"/>
        <v>1</v>
      </c>
      <c r="O349" s="81">
        <f t="shared" si="40"/>
        <v>1.08</v>
      </c>
      <c r="P349" s="81">
        <f>IF(G349="","",ABS(O349-Components!$C$2))</f>
        <v>1.6733333333333298</v>
      </c>
      <c r="Q349" s="81">
        <f>IF(G349="","",ABS(O349-Components!$C$3))</f>
        <v>2.9559999999999995</v>
      </c>
      <c r="R349" s="81">
        <f>IF(G349="","",ABS(O349-Components!$C$4))</f>
        <v>8.6666666666667114E-2</v>
      </c>
      <c r="S349" s="81">
        <f>IF(G349="","",ABS(O349-Components!$C$5))</f>
        <v>3.4826666666666704</v>
      </c>
      <c r="T349" s="81">
        <f>IF(G349="","",ABS(O349-Components!$C$6))</f>
        <v>7.566666666666988E-2</v>
      </c>
      <c r="U349" s="81">
        <f>IF(G349="","",ABS(O349-Components!$C$7))</f>
        <v>0.29433333333333001</v>
      </c>
      <c r="V349" s="81" t="str">
        <f>IF(G349="","",IF(M349="OK","NONE",INDEX({"S1","S2","W1","W2","N1","N2"},MATCH(MIN(P349:U349),P349:U349,0))))</f>
        <v>N1</v>
      </c>
      <c r="W349" s="118">
        <f t="shared" si="43"/>
        <v>0</v>
      </c>
      <c r="X349" s="119"/>
    </row>
    <row r="350" spans="1:24">
      <c r="A350" s="115">
        <v>348</v>
      </c>
      <c r="B350" s="116">
        <v>12</v>
      </c>
      <c r="C350" s="81" t="s">
        <v>132</v>
      </c>
      <c r="D350" s="111" t="s">
        <v>240</v>
      </c>
      <c r="E350" s="81" t="s">
        <v>104</v>
      </c>
      <c r="F350" s="61">
        <v>7.63</v>
      </c>
      <c r="G350" s="52">
        <f t="shared" si="37"/>
        <v>8.6</v>
      </c>
      <c r="H350" s="110"/>
      <c r="I350" s="81">
        <v>9.61</v>
      </c>
      <c r="J350" s="81">
        <f>VLOOKUP(C350,Recipes!$A$2:$N$4,12,FALSE())</f>
        <v>6.1509461004819709E-2</v>
      </c>
      <c r="K350" s="81">
        <f t="shared" si="38"/>
        <v>9.2409432339710804</v>
      </c>
      <c r="L350" s="81">
        <f t="shared" si="41"/>
        <v>9.9790567660289184</v>
      </c>
      <c r="M350" s="81" t="str">
        <f t="shared" si="39"/>
        <v>NG</v>
      </c>
      <c r="N350" s="117">
        <f t="shared" si="42"/>
        <v>1</v>
      </c>
      <c r="O350" s="81">
        <f t="shared" si="40"/>
        <v>1.0099999999999998</v>
      </c>
      <c r="P350" s="81">
        <f>IF(G350="","",ABS(O350-Components!$C$2))</f>
        <v>1.7433333333333301</v>
      </c>
      <c r="Q350" s="81">
        <f>IF(G350="","",ABS(O350-Components!$C$3))</f>
        <v>3.0259999999999998</v>
      </c>
      <c r="R350" s="81">
        <f>IF(G350="","",ABS(O350-Components!$C$4))</f>
        <v>1.6666666666666829E-2</v>
      </c>
      <c r="S350" s="81">
        <f>IF(G350="","",ABS(O350-Components!$C$5))</f>
        <v>3.5526666666666706</v>
      </c>
      <c r="T350" s="81">
        <f>IF(G350="","",ABS(O350-Components!$C$6))</f>
        <v>0.14566666666667016</v>
      </c>
      <c r="U350" s="81">
        <f>IF(G350="","",ABS(O350-Components!$C$7))</f>
        <v>0.36433333333333029</v>
      </c>
      <c r="V350" s="81" t="str">
        <f>IF(G350="","",IF(M350="OK","NONE",INDEX({"S1","S2","W1","W2","N1","N2"},MATCH(MIN(P350:U350),P350:U350,0))))</f>
        <v>W1</v>
      </c>
      <c r="W350" s="117">
        <f t="shared" si="43"/>
        <v>1</v>
      </c>
      <c r="X350" s="119"/>
    </row>
    <row r="351" spans="1:24">
      <c r="A351" s="115">
        <v>349</v>
      </c>
      <c r="B351" s="116">
        <v>12</v>
      </c>
      <c r="C351" s="81" t="s">
        <v>132</v>
      </c>
      <c r="D351" s="111" t="s">
        <v>240</v>
      </c>
      <c r="E351" s="81" t="s">
        <v>104</v>
      </c>
      <c r="F351" s="61">
        <v>7.6</v>
      </c>
      <c r="G351" s="52">
        <f t="shared" si="37"/>
        <v>8.57</v>
      </c>
      <c r="H351" s="110"/>
      <c r="I351" s="81">
        <v>9.61</v>
      </c>
      <c r="J351" s="81">
        <f>VLOOKUP(C351,Recipes!$A$2:$N$4,12,FALSE())</f>
        <v>6.1509461004819709E-2</v>
      </c>
      <c r="K351" s="81">
        <f t="shared" si="38"/>
        <v>9.2409432339710804</v>
      </c>
      <c r="L351" s="81">
        <f t="shared" si="41"/>
        <v>9.9790567660289184</v>
      </c>
      <c r="M351" s="81" t="str">
        <f t="shared" si="39"/>
        <v>NG</v>
      </c>
      <c r="N351" s="117">
        <f t="shared" si="42"/>
        <v>1</v>
      </c>
      <c r="O351" s="81">
        <f t="shared" si="40"/>
        <v>1.0399999999999991</v>
      </c>
      <c r="P351" s="81">
        <f>IF(G351="","",ABS(O351-Components!$C$2))</f>
        <v>1.7133333333333307</v>
      </c>
      <c r="Q351" s="81">
        <f>IF(G351="","",ABS(O351-Components!$C$3))</f>
        <v>2.9960000000000004</v>
      </c>
      <c r="R351" s="81">
        <f>IF(G351="","",ABS(O351-Components!$C$4))</f>
        <v>4.666666666666619E-2</v>
      </c>
      <c r="S351" s="81">
        <f>IF(G351="","",ABS(O351-Components!$C$5))</f>
        <v>3.5226666666666713</v>
      </c>
      <c r="T351" s="81">
        <f>IF(G351="","",ABS(O351-Components!$C$6))</f>
        <v>0.1156666666666708</v>
      </c>
      <c r="U351" s="81">
        <f>IF(G351="","",ABS(O351-Components!$C$7))</f>
        <v>0.33433333333333093</v>
      </c>
      <c r="V351" s="81" t="str">
        <f>IF(G351="","",IF(M351="OK","NONE",INDEX({"S1","S2","W1","W2","N1","N2"},MATCH(MIN(P351:U351),P351:U351,0))))</f>
        <v>W1</v>
      </c>
      <c r="W351" s="117">
        <f t="shared" si="43"/>
        <v>1</v>
      </c>
      <c r="X351" s="119"/>
    </row>
    <row r="352" spans="1:24">
      <c r="A352" s="115">
        <v>350</v>
      </c>
      <c r="B352" s="116">
        <v>12</v>
      </c>
      <c r="C352" s="81" t="s">
        <v>132</v>
      </c>
      <c r="D352" s="111" t="s">
        <v>240</v>
      </c>
      <c r="E352" s="81" t="s">
        <v>104</v>
      </c>
      <c r="F352" s="61">
        <v>7.58</v>
      </c>
      <c r="G352" s="52">
        <f t="shared" si="37"/>
        <v>8.5500000000000007</v>
      </c>
      <c r="H352" s="110"/>
      <c r="I352" s="81">
        <v>9.61</v>
      </c>
      <c r="J352" s="81">
        <f>VLOOKUP(C352,Recipes!$A$2:$N$4,12,FALSE())</f>
        <v>6.1509461004819709E-2</v>
      </c>
      <c r="K352" s="81">
        <f t="shared" si="38"/>
        <v>9.2409432339710804</v>
      </c>
      <c r="L352" s="81">
        <f t="shared" si="41"/>
        <v>9.9790567660289184</v>
      </c>
      <c r="M352" s="81" t="str">
        <f t="shared" si="39"/>
        <v>NG</v>
      </c>
      <c r="N352" s="117">
        <f t="shared" si="42"/>
        <v>1</v>
      </c>
      <c r="O352" s="81">
        <f t="shared" si="40"/>
        <v>1.0599999999999987</v>
      </c>
      <c r="P352" s="81">
        <f>IF(G352="","",ABS(O352-Components!$C$2))</f>
        <v>1.6933333333333311</v>
      </c>
      <c r="Q352" s="81">
        <f>IF(G352="","",ABS(O352-Components!$C$3))</f>
        <v>2.9760000000000009</v>
      </c>
      <c r="R352" s="81">
        <f>IF(G352="","",ABS(O352-Components!$C$4))</f>
        <v>6.6666666666665764E-2</v>
      </c>
      <c r="S352" s="81">
        <f>IF(G352="","",ABS(O352-Components!$C$5))</f>
        <v>3.5026666666666717</v>
      </c>
      <c r="T352" s="81">
        <f>IF(G352="","",ABS(O352-Components!$C$6))</f>
        <v>9.566666666667123E-2</v>
      </c>
      <c r="U352" s="81">
        <f>IF(G352="","",ABS(O352-Components!$C$7))</f>
        <v>0.31433333333333136</v>
      </c>
      <c r="V352" s="81" t="str">
        <f>IF(G352="","",IF(M352="OK","NONE",INDEX({"S1","S2","W1","W2","N1","N2"},MATCH(MIN(P352:U352),P352:U352,0))))</f>
        <v>W1</v>
      </c>
      <c r="W352" s="117">
        <f t="shared" si="43"/>
        <v>1</v>
      </c>
      <c r="X352" s="119"/>
    </row>
    <row r="353" spans="1:24">
      <c r="A353" s="115">
        <v>351</v>
      </c>
      <c r="B353" s="116">
        <v>12</v>
      </c>
      <c r="C353" s="81" t="s">
        <v>132</v>
      </c>
      <c r="D353" s="111" t="s">
        <v>240</v>
      </c>
      <c r="E353" s="81" t="s">
        <v>104</v>
      </c>
      <c r="F353" s="61">
        <v>7.61</v>
      </c>
      <c r="G353" s="52">
        <f t="shared" si="37"/>
        <v>8.58</v>
      </c>
      <c r="H353" s="110"/>
      <c r="I353" s="81">
        <v>9.61</v>
      </c>
      <c r="J353" s="81">
        <f>VLOOKUP(C353,Recipes!$A$2:$N$4,12,FALSE())</f>
        <v>6.1509461004819709E-2</v>
      </c>
      <c r="K353" s="81">
        <f t="shared" si="38"/>
        <v>9.2409432339710804</v>
      </c>
      <c r="L353" s="81">
        <f t="shared" si="41"/>
        <v>9.9790567660289184</v>
      </c>
      <c r="M353" s="81" t="str">
        <f t="shared" si="39"/>
        <v>NG</v>
      </c>
      <c r="N353" s="117">
        <f t="shared" si="42"/>
        <v>1</v>
      </c>
      <c r="O353" s="81">
        <f t="shared" si="40"/>
        <v>1.0299999999999994</v>
      </c>
      <c r="P353" s="81">
        <f>IF(G353="","",ABS(O353-Components!$C$2))</f>
        <v>1.7233333333333305</v>
      </c>
      <c r="Q353" s="81">
        <f>IF(G353="","",ABS(O353-Components!$C$3))</f>
        <v>3.0060000000000002</v>
      </c>
      <c r="R353" s="81">
        <f>IF(G353="","",ABS(O353-Components!$C$4))</f>
        <v>3.6666666666666403E-2</v>
      </c>
      <c r="S353" s="81">
        <f>IF(G353="","",ABS(O353-Components!$C$5))</f>
        <v>3.5326666666666711</v>
      </c>
      <c r="T353" s="81">
        <f>IF(G353="","",ABS(O353-Components!$C$6))</f>
        <v>0.12566666666667059</v>
      </c>
      <c r="U353" s="81">
        <f>IF(G353="","",ABS(O353-Components!$C$7))</f>
        <v>0.34433333333333072</v>
      </c>
      <c r="V353" s="81" t="str">
        <f>IF(G353="","",IF(M353="OK","NONE",INDEX({"S1","S2","W1","W2","N1","N2"},MATCH(MIN(P353:U353),P353:U353,0))))</f>
        <v>W1</v>
      </c>
      <c r="W353" s="117">
        <f t="shared" si="43"/>
        <v>1</v>
      </c>
      <c r="X353" s="119"/>
    </row>
    <row r="354" spans="1:24">
      <c r="A354" s="115">
        <v>352</v>
      </c>
      <c r="B354" s="116">
        <v>12</v>
      </c>
      <c r="C354" s="81" t="s">
        <v>132</v>
      </c>
      <c r="D354" s="111" t="s">
        <v>240</v>
      </c>
      <c r="E354" s="81" t="s">
        <v>104</v>
      </c>
      <c r="F354" s="61">
        <v>7.67</v>
      </c>
      <c r="G354" s="52">
        <f t="shared" si="37"/>
        <v>8.64</v>
      </c>
      <c r="H354" s="110"/>
      <c r="I354" s="81">
        <v>9.61</v>
      </c>
      <c r="J354" s="81">
        <f>VLOOKUP(C354,Recipes!$A$2:$N$4,12,FALSE())</f>
        <v>6.1509461004819709E-2</v>
      </c>
      <c r="K354" s="81">
        <f t="shared" si="38"/>
        <v>9.2409432339710804</v>
      </c>
      <c r="L354" s="81">
        <f t="shared" si="41"/>
        <v>9.9790567660289184</v>
      </c>
      <c r="M354" s="81" t="str">
        <f t="shared" si="39"/>
        <v>NG</v>
      </c>
      <c r="N354" s="117">
        <f t="shared" si="42"/>
        <v>1</v>
      </c>
      <c r="O354" s="81">
        <f t="shared" si="40"/>
        <v>0.96999999999999886</v>
      </c>
      <c r="P354" s="81">
        <f>IF(G354="","",ABS(O354-Components!$C$2))</f>
        <v>1.783333333333331</v>
      </c>
      <c r="Q354" s="81">
        <f>IF(G354="","",ABS(O354-Components!$C$3))</f>
        <v>3.0660000000000007</v>
      </c>
      <c r="R354" s="81">
        <f>IF(G354="","",ABS(O354-Components!$C$4))</f>
        <v>2.3333333333334094E-2</v>
      </c>
      <c r="S354" s="81">
        <f>IF(G354="","",ABS(O354-Components!$C$5))</f>
        <v>3.5926666666666716</v>
      </c>
      <c r="T354" s="81">
        <f>IF(G354="","",ABS(O354-Components!$C$6))</f>
        <v>0.18566666666667109</v>
      </c>
      <c r="U354" s="81">
        <f>IF(G354="","",ABS(O354-Components!$C$7))</f>
        <v>0.40433333333333121</v>
      </c>
      <c r="V354" s="81" t="str">
        <f>IF(G354="","",IF(M354="OK","NONE",INDEX({"S1","S2","W1","W2","N1","N2"},MATCH(MIN(P354:U354),P354:U354,0))))</f>
        <v>W1</v>
      </c>
      <c r="W354" s="117">
        <f t="shared" si="43"/>
        <v>1</v>
      </c>
      <c r="X354" s="119"/>
    </row>
    <row r="355" spans="1:24">
      <c r="A355" s="115">
        <v>353</v>
      </c>
      <c r="B355" s="116">
        <v>12</v>
      </c>
      <c r="C355" s="81" t="s">
        <v>132</v>
      </c>
      <c r="D355" s="111" t="s">
        <v>240</v>
      </c>
      <c r="E355" s="81" t="s">
        <v>104</v>
      </c>
      <c r="F355" s="61">
        <v>7.42</v>
      </c>
      <c r="G355" s="52">
        <f t="shared" si="37"/>
        <v>8.39</v>
      </c>
      <c r="H355" s="110"/>
      <c r="I355" s="81">
        <v>9.61</v>
      </c>
      <c r="J355" s="81">
        <f>VLOOKUP(C355,Recipes!$A$2:$N$4,12,FALSE())</f>
        <v>6.1509461004819709E-2</v>
      </c>
      <c r="K355" s="81">
        <f t="shared" si="38"/>
        <v>9.2409432339710804</v>
      </c>
      <c r="L355" s="81">
        <f t="shared" si="41"/>
        <v>9.9790567660289184</v>
      </c>
      <c r="M355" s="81" t="str">
        <f t="shared" si="39"/>
        <v>NG</v>
      </c>
      <c r="N355" s="117">
        <f t="shared" si="42"/>
        <v>1</v>
      </c>
      <c r="O355" s="81">
        <f t="shared" si="40"/>
        <v>1.2199999999999989</v>
      </c>
      <c r="P355" s="81">
        <f>IF(G355="","",ABS(O355-Components!$C$2))</f>
        <v>1.533333333333331</v>
      </c>
      <c r="Q355" s="81">
        <f>IF(G355="","",ABS(O355-Components!$C$3))</f>
        <v>2.8160000000000007</v>
      </c>
      <c r="R355" s="81">
        <f>IF(G355="","",ABS(O355-Components!$C$4))</f>
        <v>0.22666666666666591</v>
      </c>
      <c r="S355" s="81">
        <f>IF(G355="","",ABS(O355-Components!$C$5))</f>
        <v>3.3426666666666716</v>
      </c>
      <c r="T355" s="81">
        <f>IF(G355="","",ABS(O355-Components!$C$6))</f>
        <v>6.4333333333328913E-2</v>
      </c>
      <c r="U355" s="81">
        <f>IF(G355="","",ABS(O355-Components!$C$7))</f>
        <v>0.15433333333333121</v>
      </c>
      <c r="V355" s="81" t="str">
        <f>IF(G355="","",IF(M355="OK","NONE",INDEX({"S1","S2","W1","W2","N1","N2"},MATCH(MIN(P355:U355),P355:U355,0))))</f>
        <v>N1</v>
      </c>
      <c r="W355" s="118">
        <f t="shared" si="43"/>
        <v>0</v>
      </c>
      <c r="X355" s="119"/>
    </row>
    <row r="356" spans="1:24">
      <c r="A356" s="115">
        <v>354</v>
      </c>
      <c r="B356" s="116">
        <v>12</v>
      </c>
      <c r="C356" s="81" t="s">
        <v>132</v>
      </c>
      <c r="D356" s="111" t="s">
        <v>240</v>
      </c>
      <c r="E356" s="81" t="s">
        <v>104</v>
      </c>
      <c r="F356" s="61">
        <v>7.69</v>
      </c>
      <c r="G356" s="52">
        <f t="shared" si="37"/>
        <v>8.66</v>
      </c>
      <c r="H356" s="110"/>
      <c r="I356" s="81">
        <v>9.61</v>
      </c>
      <c r="J356" s="81">
        <f>VLOOKUP(C356,Recipes!$A$2:$N$4,12,FALSE())</f>
        <v>6.1509461004819709E-2</v>
      </c>
      <c r="K356" s="81">
        <f t="shared" si="38"/>
        <v>9.2409432339710804</v>
      </c>
      <c r="L356" s="81">
        <f t="shared" si="41"/>
        <v>9.9790567660289184</v>
      </c>
      <c r="M356" s="81" t="str">
        <f t="shared" si="39"/>
        <v>NG</v>
      </c>
      <c r="N356" s="117">
        <f t="shared" si="42"/>
        <v>1</v>
      </c>
      <c r="O356" s="81">
        <f t="shared" si="40"/>
        <v>0.94999999999999929</v>
      </c>
      <c r="P356" s="81">
        <f>IF(G356="","",ABS(O356-Components!$C$2))</f>
        <v>1.8033333333333306</v>
      </c>
      <c r="Q356" s="81">
        <f>IF(G356="","",ABS(O356-Components!$C$3))</f>
        <v>3.0860000000000003</v>
      </c>
      <c r="R356" s="81">
        <f>IF(G356="","",ABS(O356-Components!$C$4))</f>
        <v>4.3333333333333668E-2</v>
      </c>
      <c r="S356" s="81">
        <f>IF(G356="","",ABS(O356-Components!$C$5))</f>
        <v>3.6126666666666711</v>
      </c>
      <c r="T356" s="81">
        <f>IF(G356="","",ABS(O356-Components!$C$6))</f>
        <v>0.20566666666667066</v>
      </c>
      <c r="U356" s="81">
        <f>IF(G356="","",ABS(O356-Components!$C$7))</f>
        <v>0.42433333333333079</v>
      </c>
      <c r="V356" s="81" t="str">
        <f>IF(G356="","",IF(M356="OK","NONE",INDEX({"S1","S2","W1","W2","N1","N2"},MATCH(MIN(P356:U356),P356:U356,0))))</f>
        <v>W1</v>
      </c>
      <c r="W356" s="117">
        <f t="shared" si="43"/>
        <v>1</v>
      </c>
      <c r="X356" s="119"/>
    </row>
    <row r="357" spans="1:24">
      <c r="A357" s="115">
        <v>355</v>
      </c>
      <c r="B357" s="116">
        <v>12</v>
      </c>
      <c r="C357" s="81" t="s">
        <v>132</v>
      </c>
      <c r="D357" s="111" t="s">
        <v>240</v>
      </c>
      <c r="E357" s="81" t="s">
        <v>104</v>
      </c>
      <c r="F357" s="61">
        <v>7.63</v>
      </c>
      <c r="G357" s="52">
        <f t="shared" si="37"/>
        <v>8.6</v>
      </c>
      <c r="H357" s="110"/>
      <c r="I357" s="81">
        <v>9.61</v>
      </c>
      <c r="J357" s="81">
        <f>VLOOKUP(C357,Recipes!$A$2:$N$4,12,FALSE())</f>
        <v>6.1509461004819709E-2</v>
      </c>
      <c r="K357" s="81">
        <f t="shared" si="38"/>
        <v>9.2409432339710804</v>
      </c>
      <c r="L357" s="81">
        <f t="shared" si="41"/>
        <v>9.9790567660289184</v>
      </c>
      <c r="M357" s="81" t="str">
        <f t="shared" si="39"/>
        <v>NG</v>
      </c>
      <c r="N357" s="117">
        <f t="shared" si="42"/>
        <v>1</v>
      </c>
      <c r="O357" s="81">
        <f t="shared" si="40"/>
        <v>1.0099999999999998</v>
      </c>
      <c r="P357" s="81">
        <f>IF(G357="","",ABS(O357-Components!$C$2))</f>
        <v>1.7433333333333301</v>
      </c>
      <c r="Q357" s="81">
        <f>IF(G357="","",ABS(O357-Components!$C$3))</f>
        <v>3.0259999999999998</v>
      </c>
      <c r="R357" s="81">
        <f>IF(G357="","",ABS(O357-Components!$C$4))</f>
        <v>1.6666666666666829E-2</v>
      </c>
      <c r="S357" s="81">
        <f>IF(G357="","",ABS(O357-Components!$C$5))</f>
        <v>3.5526666666666706</v>
      </c>
      <c r="T357" s="81">
        <f>IF(G357="","",ABS(O357-Components!$C$6))</f>
        <v>0.14566666666667016</v>
      </c>
      <c r="U357" s="81">
        <f>IF(G357="","",ABS(O357-Components!$C$7))</f>
        <v>0.36433333333333029</v>
      </c>
      <c r="V357" s="81" t="str">
        <f>IF(G357="","",IF(M357="OK","NONE",INDEX({"S1","S2","W1","W2","N1","N2"},MATCH(MIN(P357:U357),P357:U357,0))))</f>
        <v>W1</v>
      </c>
      <c r="W357" s="117">
        <f t="shared" si="43"/>
        <v>1</v>
      </c>
      <c r="X357" s="119"/>
    </row>
    <row r="358" spans="1:24">
      <c r="A358" s="115">
        <v>356</v>
      </c>
      <c r="B358" s="116">
        <v>12</v>
      </c>
      <c r="C358" s="81" t="s">
        <v>132</v>
      </c>
      <c r="D358" s="111" t="s">
        <v>240</v>
      </c>
      <c r="E358" s="81" t="s">
        <v>104</v>
      </c>
      <c r="F358" s="52">
        <v>7.38</v>
      </c>
      <c r="G358" s="52">
        <f t="shared" si="37"/>
        <v>8.35</v>
      </c>
      <c r="H358" s="110"/>
      <c r="I358" s="81">
        <v>9.61</v>
      </c>
      <c r="J358" s="81">
        <f>VLOOKUP(C358,Recipes!$A$2:$N$4,12,FALSE())</f>
        <v>6.1509461004819709E-2</v>
      </c>
      <c r="K358" s="81">
        <f t="shared" si="38"/>
        <v>9.2409432339710804</v>
      </c>
      <c r="L358" s="81">
        <f t="shared" si="41"/>
        <v>9.9790567660289184</v>
      </c>
      <c r="M358" s="81" t="str">
        <f t="shared" si="39"/>
        <v>NG</v>
      </c>
      <c r="N358" s="117">
        <f t="shared" si="42"/>
        <v>1</v>
      </c>
      <c r="O358" s="81">
        <f t="shared" si="40"/>
        <v>1.2599999999999998</v>
      </c>
      <c r="P358" s="81">
        <f>IF(G358="","",ABS(O358-Components!$C$2))</f>
        <v>1.4933333333333301</v>
      </c>
      <c r="Q358" s="81">
        <f>IF(G358="","",ABS(O358-Components!$C$3))</f>
        <v>2.7759999999999998</v>
      </c>
      <c r="R358" s="81">
        <f>IF(G358="","",ABS(O358-Components!$C$4))</f>
        <v>0.26666666666666683</v>
      </c>
      <c r="S358" s="81">
        <f>IF(G358="","",ABS(O358-Components!$C$5))</f>
        <v>3.3026666666666706</v>
      </c>
      <c r="T358" s="81">
        <f>IF(G358="","",ABS(O358-Components!$C$6))</f>
        <v>0.10433333333332984</v>
      </c>
      <c r="U358" s="81">
        <f>IF(G358="","",ABS(O358-Components!$C$7))</f>
        <v>0.11433333333333029</v>
      </c>
      <c r="V358" s="81" t="str">
        <f>IF(G358="","",IF(M358="OK","NONE",INDEX({"S1","S2","W1","W2","N1","N2"},MATCH(MIN(P358:U358),P358:U358,0))))</f>
        <v>N1</v>
      </c>
      <c r="W358" s="118">
        <f t="shared" si="43"/>
        <v>0</v>
      </c>
      <c r="X358" s="119"/>
    </row>
    <row r="359" spans="1:24">
      <c r="A359" s="115">
        <v>357</v>
      </c>
      <c r="B359" s="116">
        <v>12</v>
      </c>
      <c r="C359" s="81" t="s">
        <v>132</v>
      </c>
      <c r="D359" s="111" t="s">
        <v>240</v>
      </c>
      <c r="E359" s="81" t="s">
        <v>104</v>
      </c>
      <c r="F359" s="52">
        <v>7.54</v>
      </c>
      <c r="G359" s="52">
        <f t="shared" si="37"/>
        <v>8.51</v>
      </c>
      <c r="H359" s="110"/>
      <c r="I359" s="81">
        <v>9.61</v>
      </c>
      <c r="J359" s="81">
        <f>VLOOKUP(C359,Recipes!$A$2:$N$4,12,FALSE())</f>
        <v>6.1509461004819709E-2</v>
      </c>
      <c r="K359" s="81">
        <f t="shared" si="38"/>
        <v>9.2409432339710804</v>
      </c>
      <c r="L359" s="81">
        <f t="shared" si="41"/>
        <v>9.9790567660289184</v>
      </c>
      <c r="M359" s="81" t="str">
        <f t="shared" si="39"/>
        <v>NG</v>
      </c>
      <c r="N359" s="117">
        <f t="shared" si="42"/>
        <v>1</v>
      </c>
      <c r="O359" s="81">
        <f t="shared" si="40"/>
        <v>1.0999999999999996</v>
      </c>
      <c r="P359" s="81">
        <f>IF(G359="","",ABS(O359-Components!$C$2))</f>
        <v>1.6533333333333302</v>
      </c>
      <c r="Q359" s="81">
        <f>IF(G359="","",ABS(O359-Components!$C$3))</f>
        <v>2.9359999999999999</v>
      </c>
      <c r="R359" s="81">
        <f>IF(G359="","",ABS(O359-Components!$C$4))</f>
        <v>0.10666666666666669</v>
      </c>
      <c r="S359" s="81">
        <f>IF(G359="","",ABS(O359-Components!$C$5))</f>
        <v>3.4626666666666708</v>
      </c>
      <c r="T359" s="81">
        <f>IF(G359="","",ABS(O359-Components!$C$6))</f>
        <v>5.5666666666670306E-2</v>
      </c>
      <c r="U359" s="81">
        <f>IF(G359="","",ABS(O359-Components!$C$7))</f>
        <v>0.27433333333333043</v>
      </c>
      <c r="V359" s="81" t="str">
        <f>IF(G359="","",IF(M359="OK","NONE",INDEX({"S1","S2","W1","W2","N1","N2"},MATCH(MIN(P359:U359),P359:U359,0))))</f>
        <v>N1</v>
      </c>
      <c r="W359" s="118">
        <f t="shared" si="43"/>
        <v>0</v>
      </c>
      <c r="X359" s="119"/>
    </row>
    <row r="360" spans="1:24">
      <c r="A360" s="115">
        <v>358</v>
      </c>
      <c r="B360" s="116">
        <v>12</v>
      </c>
      <c r="C360" s="81" t="s">
        <v>132</v>
      </c>
      <c r="D360" s="111" t="s">
        <v>240</v>
      </c>
      <c r="E360" s="81" t="s">
        <v>104</v>
      </c>
      <c r="F360" s="52">
        <v>7.65</v>
      </c>
      <c r="G360" s="52">
        <f t="shared" si="37"/>
        <v>8.620000000000001</v>
      </c>
      <c r="H360" s="110"/>
      <c r="I360" s="81">
        <v>9.61</v>
      </c>
      <c r="J360" s="81">
        <f>VLOOKUP(C360,Recipes!$A$2:$N$4,12,FALSE())</f>
        <v>6.1509461004819709E-2</v>
      </c>
      <c r="K360" s="81">
        <f t="shared" si="38"/>
        <v>9.2409432339710804</v>
      </c>
      <c r="L360" s="81">
        <f t="shared" si="41"/>
        <v>9.9790567660289184</v>
      </c>
      <c r="M360" s="81" t="str">
        <f t="shared" si="39"/>
        <v>NG</v>
      </c>
      <c r="N360" s="117">
        <f t="shared" si="42"/>
        <v>1</v>
      </c>
      <c r="O360" s="81">
        <f t="shared" si="40"/>
        <v>0.98999999999999844</v>
      </c>
      <c r="P360" s="81">
        <f>IF(G360="","",ABS(O360-Components!$C$2))</f>
        <v>1.7633333333333314</v>
      </c>
      <c r="Q360" s="81">
        <f>IF(G360="","",ABS(O360-Components!$C$3))</f>
        <v>3.0460000000000012</v>
      </c>
      <c r="R360" s="81">
        <f>IF(G360="","",ABS(O360-Components!$C$4))</f>
        <v>3.3333333333345205E-3</v>
      </c>
      <c r="S360" s="81">
        <f>IF(G360="","",ABS(O360-Components!$C$5))</f>
        <v>3.572666666666672</v>
      </c>
      <c r="T360" s="81">
        <f>IF(G360="","",ABS(O360-Components!$C$6))</f>
        <v>0.16566666666667151</v>
      </c>
      <c r="U360" s="81">
        <f>IF(G360="","",ABS(O360-Components!$C$7))</f>
        <v>0.38433333333333164</v>
      </c>
      <c r="V360" s="81" t="str">
        <f>IF(G360="","",IF(M360="OK","NONE",INDEX({"S1","S2","W1","W2","N1","N2"},MATCH(MIN(P360:U360),P360:U360,0))))</f>
        <v>W1</v>
      </c>
      <c r="W360" s="117">
        <f t="shared" si="43"/>
        <v>1</v>
      </c>
      <c r="X360" s="119"/>
    </row>
    <row r="361" spans="1:24">
      <c r="A361" s="115">
        <v>359</v>
      </c>
      <c r="B361" s="116">
        <v>12</v>
      </c>
      <c r="C361" s="81" t="s">
        <v>132</v>
      </c>
      <c r="D361" s="111" t="s">
        <v>240</v>
      </c>
      <c r="E361" s="81" t="s">
        <v>104</v>
      </c>
      <c r="F361" s="52">
        <v>7.34</v>
      </c>
      <c r="G361" s="52">
        <f t="shared" si="37"/>
        <v>8.31</v>
      </c>
      <c r="H361" s="110"/>
      <c r="I361" s="81">
        <v>9.61</v>
      </c>
      <c r="J361" s="81">
        <f>VLOOKUP(C361,Recipes!$A$2:$N$4,12,FALSE())</f>
        <v>6.1509461004819709E-2</v>
      </c>
      <c r="K361" s="81">
        <f t="shared" si="38"/>
        <v>9.2409432339710804</v>
      </c>
      <c r="L361" s="81">
        <f t="shared" si="41"/>
        <v>9.9790567660289184</v>
      </c>
      <c r="M361" s="81" t="str">
        <f t="shared" si="39"/>
        <v>NG</v>
      </c>
      <c r="N361" s="117">
        <f t="shared" si="42"/>
        <v>1</v>
      </c>
      <c r="O361" s="81">
        <f t="shared" si="40"/>
        <v>1.2999999999999989</v>
      </c>
      <c r="P361" s="81">
        <f>IF(G361="","",ABS(O361-Components!$C$2))</f>
        <v>1.4533333333333309</v>
      </c>
      <c r="Q361" s="81">
        <f>IF(G361="","",ABS(O361-Components!$C$3))</f>
        <v>2.7360000000000007</v>
      </c>
      <c r="R361" s="81">
        <f>IF(G361="","",ABS(O361-Components!$C$4))</f>
        <v>0.30666666666666598</v>
      </c>
      <c r="S361" s="81">
        <f>IF(G361="","",ABS(O361-Components!$C$5))</f>
        <v>3.2626666666666715</v>
      </c>
      <c r="T361" s="81">
        <f>IF(G361="","",ABS(O361-Components!$C$6))</f>
        <v>0.14433333333332898</v>
      </c>
      <c r="U361" s="81">
        <f>IF(G361="","",ABS(O361-Components!$C$7))</f>
        <v>7.4333333333331142E-2</v>
      </c>
      <c r="V361" s="81" t="str">
        <f>IF(G361="","",IF(M361="OK","NONE",INDEX({"S1","S2","W1","W2","N1","N2"},MATCH(MIN(P361:U361),P361:U361,0))))</f>
        <v>N2</v>
      </c>
      <c r="W361" s="118">
        <f t="shared" si="43"/>
        <v>0</v>
      </c>
      <c r="X361" s="119"/>
    </row>
    <row r="362" spans="1:24">
      <c r="A362" s="115">
        <v>360</v>
      </c>
      <c r="B362" s="116">
        <v>12</v>
      </c>
      <c r="C362" s="81" t="s">
        <v>132</v>
      </c>
      <c r="D362" s="111" t="s">
        <v>240</v>
      </c>
      <c r="E362" s="81" t="s">
        <v>104</v>
      </c>
      <c r="F362" s="52">
        <v>7.68</v>
      </c>
      <c r="G362" s="52">
        <f t="shared" si="37"/>
        <v>8.65</v>
      </c>
      <c r="H362" s="110"/>
      <c r="I362" s="81">
        <v>9.61</v>
      </c>
      <c r="J362" s="81">
        <f>VLOOKUP(C362,Recipes!$A$2:$N$4,12,FALSE())</f>
        <v>6.1509461004819709E-2</v>
      </c>
      <c r="K362" s="81">
        <f t="shared" si="38"/>
        <v>9.2409432339710804</v>
      </c>
      <c r="L362" s="81">
        <f t="shared" si="41"/>
        <v>9.9790567660289184</v>
      </c>
      <c r="M362" s="81" t="str">
        <f t="shared" si="39"/>
        <v>NG</v>
      </c>
      <c r="N362" s="117">
        <f t="shared" si="42"/>
        <v>1</v>
      </c>
      <c r="O362" s="81">
        <f t="shared" si="40"/>
        <v>0.95999999999999908</v>
      </c>
      <c r="P362" s="81">
        <f>IF(G362="","",ABS(O362-Components!$C$2))</f>
        <v>1.7933333333333308</v>
      </c>
      <c r="Q362" s="81">
        <f>IF(G362="","",ABS(O362-Components!$C$3))</f>
        <v>3.0760000000000005</v>
      </c>
      <c r="R362" s="81">
        <f>IF(G362="","",ABS(O362-Components!$C$4))</f>
        <v>3.3333333333333881E-2</v>
      </c>
      <c r="S362" s="81">
        <f>IF(G362="","",ABS(O362-Components!$C$5))</f>
        <v>3.6026666666666713</v>
      </c>
      <c r="T362" s="81">
        <f>IF(G362="","",ABS(O362-Components!$C$6))</f>
        <v>0.19566666666667087</v>
      </c>
      <c r="U362" s="81">
        <f>IF(G362="","",ABS(O362-Components!$C$7))</f>
        <v>0.414333333333331</v>
      </c>
      <c r="V362" s="81" t="str">
        <f>IF(G362="","",IF(M362="OK","NONE",INDEX({"S1","S2","W1","W2","N1","N2"},MATCH(MIN(P362:U362),P362:U362,0))))</f>
        <v>W1</v>
      </c>
      <c r="W362" s="117">
        <f t="shared" si="43"/>
        <v>1</v>
      </c>
      <c r="X362" s="119"/>
    </row>
    <row r="363" spans="1:24">
      <c r="A363" s="115">
        <v>361</v>
      </c>
      <c r="B363" s="116">
        <v>13</v>
      </c>
      <c r="C363" s="81" t="s">
        <v>132</v>
      </c>
      <c r="D363" s="111" t="s">
        <v>240</v>
      </c>
      <c r="E363" s="81" t="s">
        <v>110</v>
      </c>
      <c r="F363" s="61">
        <v>7.21</v>
      </c>
      <c r="G363" s="52">
        <f t="shared" si="37"/>
        <v>8.18</v>
      </c>
      <c r="H363" s="110"/>
      <c r="I363" s="81">
        <v>9.61</v>
      </c>
      <c r="J363" s="81">
        <f>VLOOKUP(C363,Recipes!$A$2:$N$4,12,FALSE())</f>
        <v>6.1509461004819709E-2</v>
      </c>
      <c r="K363" s="81">
        <f t="shared" si="38"/>
        <v>9.2409432339710804</v>
      </c>
      <c r="L363" s="81">
        <f t="shared" si="41"/>
        <v>9.9790567660289184</v>
      </c>
      <c r="M363" s="81" t="str">
        <f t="shared" si="39"/>
        <v>NG</v>
      </c>
      <c r="N363" s="117">
        <f t="shared" si="42"/>
        <v>1</v>
      </c>
      <c r="O363" s="81">
        <f t="shared" si="40"/>
        <v>1.4299999999999997</v>
      </c>
      <c r="P363" s="81">
        <f>IF(G363="","",ABS(O363-Components!$C$2))</f>
        <v>1.3233333333333301</v>
      </c>
      <c r="Q363" s="81">
        <f>IF(G363="","",ABS(O363-Components!$C$3))</f>
        <v>2.6059999999999999</v>
      </c>
      <c r="R363" s="81">
        <f>IF(G363="","",ABS(O363-Components!$C$4))</f>
        <v>0.43666666666666676</v>
      </c>
      <c r="S363" s="81">
        <f>IF(G363="","",ABS(O363-Components!$C$5))</f>
        <v>3.1326666666666707</v>
      </c>
      <c r="T363" s="81">
        <f>IF(G363="","",ABS(O363-Components!$C$6))</f>
        <v>0.27433333333332977</v>
      </c>
      <c r="U363" s="81">
        <f>IF(G363="","",ABS(O363-Components!$C$7))</f>
        <v>5.566666666666964E-2</v>
      </c>
      <c r="V363" s="81" t="str">
        <f>IF(G363="","",IF(M363="OK","NONE",INDEX({"S1","S2","W1","W2","N1","N2"},MATCH(MIN(P363:U363),P363:U363,0))))</f>
        <v>N2</v>
      </c>
      <c r="W363" s="117">
        <f t="shared" si="43"/>
        <v>1</v>
      </c>
      <c r="X363" s="119"/>
    </row>
    <row r="364" spans="1:24">
      <c r="A364" s="115">
        <v>362</v>
      </c>
      <c r="B364" s="116">
        <v>13</v>
      </c>
      <c r="C364" s="81" t="s">
        <v>132</v>
      </c>
      <c r="D364" s="111" t="s">
        <v>240</v>
      </c>
      <c r="E364" s="81" t="s">
        <v>110</v>
      </c>
      <c r="F364" s="61">
        <v>7.27</v>
      </c>
      <c r="G364" s="52">
        <f t="shared" si="37"/>
        <v>8.24</v>
      </c>
      <c r="H364" s="110"/>
      <c r="I364" s="81">
        <v>9.61</v>
      </c>
      <c r="J364" s="81">
        <f>VLOOKUP(C364,Recipes!$A$2:$N$4,12,FALSE())</f>
        <v>6.1509461004819709E-2</v>
      </c>
      <c r="K364" s="81">
        <f t="shared" si="38"/>
        <v>9.2409432339710804</v>
      </c>
      <c r="L364" s="81">
        <f t="shared" si="41"/>
        <v>9.9790567660289184</v>
      </c>
      <c r="M364" s="81" t="str">
        <f t="shared" si="39"/>
        <v>NG</v>
      </c>
      <c r="N364" s="117">
        <f t="shared" si="42"/>
        <v>1</v>
      </c>
      <c r="O364" s="81">
        <f t="shared" si="40"/>
        <v>1.3699999999999992</v>
      </c>
      <c r="P364" s="81">
        <f>IF(G364="","",ABS(O364-Components!$C$2))</f>
        <v>1.3833333333333306</v>
      </c>
      <c r="Q364" s="81">
        <f>IF(G364="","",ABS(O364-Components!$C$3))</f>
        <v>2.6660000000000004</v>
      </c>
      <c r="R364" s="81">
        <f>IF(G364="","",ABS(O364-Components!$C$4))</f>
        <v>0.37666666666666626</v>
      </c>
      <c r="S364" s="81">
        <f>IF(G364="","",ABS(O364-Components!$C$5))</f>
        <v>3.1926666666666712</v>
      </c>
      <c r="T364" s="81">
        <f>IF(G364="","",ABS(O364-Components!$C$6))</f>
        <v>0.21433333333332927</v>
      </c>
      <c r="U364" s="81">
        <f>IF(G364="","",ABS(O364-Components!$C$7))</f>
        <v>4.3333333333308577E-3</v>
      </c>
      <c r="V364" s="81" t="str">
        <f>IF(G364="","",IF(M364="OK","NONE",INDEX({"S1","S2","W1","W2","N1","N2"},MATCH(MIN(P364:U364),P364:U364,0))))</f>
        <v>N2</v>
      </c>
      <c r="W364" s="117">
        <f t="shared" si="43"/>
        <v>1</v>
      </c>
      <c r="X364" s="119"/>
    </row>
    <row r="365" spans="1:24">
      <c r="A365" s="115">
        <v>363</v>
      </c>
      <c r="B365" s="116">
        <v>13</v>
      </c>
      <c r="C365" s="81" t="s">
        <v>132</v>
      </c>
      <c r="D365" s="111" t="s">
        <v>240</v>
      </c>
      <c r="E365" s="81" t="s">
        <v>110</v>
      </c>
      <c r="F365" s="61">
        <v>7.3</v>
      </c>
      <c r="G365" s="52">
        <f t="shared" si="37"/>
        <v>8.27</v>
      </c>
      <c r="H365" s="110"/>
      <c r="I365" s="81">
        <v>9.61</v>
      </c>
      <c r="J365" s="81">
        <f>VLOOKUP(C365,Recipes!$A$2:$N$4,12,FALSE())</f>
        <v>6.1509461004819709E-2</v>
      </c>
      <c r="K365" s="81">
        <f t="shared" si="38"/>
        <v>9.2409432339710804</v>
      </c>
      <c r="L365" s="81">
        <f t="shared" si="41"/>
        <v>9.9790567660289184</v>
      </c>
      <c r="M365" s="81" t="str">
        <f t="shared" si="39"/>
        <v>NG</v>
      </c>
      <c r="N365" s="117">
        <f t="shared" si="42"/>
        <v>1</v>
      </c>
      <c r="O365" s="81">
        <f t="shared" si="40"/>
        <v>1.3399999999999999</v>
      </c>
      <c r="P365" s="81">
        <f>IF(G365="","",ABS(O365-Components!$C$2))</f>
        <v>1.41333333333333</v>
      </c>
      <c r="Q365" s="81">
        <f>IF(G365="","",ABS(O365-Components!$C$3))</f>
        <v>2.6959999999999997</v>
      </c>
      <c r="R365" s="81">
        <f>IF(G365="","",ABS(O365-Components!$C$4))</f>
        <v>0.3466666666666669</v>
      </c>
      <c r="S365" s="81">
        <f>IF(G365="","",ABS(O365-Components!$C$5))</f>
        <v>3.2226666666666706</v>
      </c>
      <c r="T365" s="81">
        <f>IF(G365="","",ABS(O365-Components!$C$6))</f>
        <v>0.18433333333332991</v>
      </c>
      <c r="U365" s="81">
        <f>IF(G365="","",ABS(O365-Components!$C$7))</f>
        <v>3.4333333333330218E-2</v>
      </c>
      <c r="V365" s="81" t="str">
        <f>IF(G365="","",IF(M365="OK","NONE",INDEX({"S1","S2","W1","W2","N1","N2"},MATCH(MIN(P365:U365),P365:U365,0))))</f>
        <v>N2</v>
      </c>
      <c r="W365" s="117">
        <f t="shared" si="43"/>
        <v>1</v>
      </c>
      <c r="X365" s="119"/>
    </row>
    <row r="366" spans="1:24">
      <c r="A366" s="115">
        <v>364</v>
      </c>
      <c r="B366" s="116">
        <v>13</v>
      </c>
      <c r="C366" s="81" t="s">
        <v>132</v>
      </c>
      <c r="D366" s="111" t="s">
        <v>240</v>
      </c>
      <c r="E366" s="81" t="s">
        <v>110</v>
      </c>
      <c r="F366" s="61">
        <v>7.31</v>
      </c>
      <c r="G366" s="52">
        <f t="shared" si="37"/>
        <v>8.2799999999999994</v>
      </c>
      <c r="H366" s="110"/>
      <c r="I366" s="81">
        <v>9.61</v>
      </c>
      <c r="J366" s="81">
        <f>VLOOKUP(C366,Recipes!$A$2:$N$4,12,FALSE())</f>
        <v>6.1509461004819709E-2</v>
      </c>
      <c r="K366" s="81">
        <f t="shared" si="38"/>
        <v>9.2409432339710804</v>
      </c>
      <c r="L366" s="81">
        <f t="shared" si="41"/>
        <v>9.9790567660289184</v>
      </c>
      <c r="M366" s="81" t="str">
        <f t="shared" si="39"/>
        <v>NG</v>
      </c>
      <c r="N366" s="117">
        <f t="shared" si="42"/>
        <v>1</v>
      </c>
      <c r="O366" s="81">
        <f t="shared" si="40"/>
        <v>1.33</v>
      </c>
      <c r="P366" s="81">
        <f>IF(G366="","",ABS(O366-Components!$C$2))</f>
        <v>1.4233333333333298</v>
      </c>
      <c r="Q366" s="81">
        <f>IF(G366="","",ABS(O366-Components!$C$3))</f>
        <v>2.7059999999999995</v>
      </c>
      <c r="R366" s="81">
        <f>IF(G366="","",ABS(O366-Components!$C$4))</f>
        <v>0.33666666666666711</v>
      </c>
      <c r="S366" s="81">
        <f>IF(G366="","",ABS(O366-Components!$C$5))</f>
        <v>3.2326666666666704</v>
      </c>
      <c r="T366" s="81">
        <f>IF(G366="","",ABS(O366-Components!$C$6))</f>
        <v>0.17433333333333012</v>
      </c>
      <c r="U366" s="81">
        <f>IF(G366="","",ABS(O366-Components!$C$7))</f>
        <v>4.4333333333330005E-2</v>
      </c>
      <c r="V366" s="81" t="str">
        <f>IF(G366="","",IF(M366="OK","NONE",INDEX({"S1","S2","W1","W2","N1","N2"},MATCH(MIN(P366:U366),P366:U366,0))))</f>
        <v>N2</v>
      </c>
      <c r="W366" s="117">
        <f t="shared" si="43"/>
        <v>1</v>
      </c>
      <c r="X366" s="119"/>
    </row>
    <row r="367" spans="1:24">
      <c r="A367" s="115">
        <v>365</v>
      </c>
      <c r="B367" s="116">
        <v>13</v>
      </c>
      <c r="C367" s="81" t="s">
        <v>132</v>
      </c>
      <c r="D367" s="111" t="s">
        <v>240</v>
      </c>
      <c r="E367" s="81" t="s">
        <v>110</v>
      </c>
      <c r="F367" s="61">
        <v>7.17</v>
      </c>
      <c r="G367" s="52">
        <f t="shared" si="37"/>
        <v>8.14</v>
      </c>
      <c r="H367" s="110"/>
      <c r="I367" s="81">
        <v>9.61</v>
      </c>
      <c r="J367" s="81">
        <f>VLOOKUP(C367,Recipes!$A$2:$N$4,12,FALSE())</f>
        <v>6.1509461004819709E-2</v>
      </c>
      <c r="K367" s="81">
        <f t="shared" si="38"/>
        <v>9.2409432339710804</v>
      </c>
      <c r="L367" s="81">
        <f t="shared" si="41"/>
        <v>9.9790567660289184</v>
      </c>
      <c r="M367" s="81" t="str">
        <f t="shared" si="39"/>
        <v>NG</v>
      </c>
      <c r="N367" s="117">
        <f t="shared" si="42"/>
        <v>1</v>
      </c>
      <c r="O367" s="81">
        <f t="shared" si="40"/>
        <v>1.4699999999999989</v>
      </c>
      <c r="P367" s="81">
        <f>IF(G367="","",ABS(O367-Components!$C$2))</f>
        <v>1.283333333333331</v>
      </c>
      <c r="Q367" s="81">
        <f>IF(G367="","",ABS(O367-Components!$C$3))</f>
        <v>2.5660000000000007</v>
      </c>
      <c r="R367" s="81">
        <f>IF(G367="","",ABS(O367-Components!$C$4))</f>
        <v>0.47666666666666591</v>
      </c>
      <c r="S367" s="81">
        <f>IF(G367="","",ABS(O367-Components!$C$5))</f>
        <v>3.0926666666666716</v>
      </c>
      <c r="T367" s="81">
        <f>IF(G367="","",ABS(O367-Components!$C$6))</f>
        <v>0.31433333333332891</v>
      </c>
      <c r="U367" s="81">
        <f>IF(G367="","",ABS(O367-Components!$C$7))</f>
        <v>9.5666666666668787E-2</v>
      </c>
      <c r="V367" s="81" t="str">
        <f>IF(G367="","",IF(M367="OK","NONE",INDEX({"S1","S2","W1","W2","N1","N2"},MATCH(MIN(P367:U367),P367:U367,0))))</f>
        <v>N2</v>
      </c>
      <c r="W367" s="117">
        <f t="shared" si="43"/>
        <v>1</v>
      </c>
      <c r="X367" s="119"/>
    </row>
    <row r="368" spans="1:24">
      <c r="A368" s="115">
        <v>366</v>
      </c>
      <c r="B368" s="116">
        <v>13</v>
      </c>
      <c r="C368" s="81" t="s">
        <v>132</v>
      </c>
      <c r="D368" s="111" t="s">
        <v>240</v>
      </c>
      <c r="E368" s="81" t="s">
        <v>110</v>
      </c>
      <c r="F368" s="61">
        <v>7.23</v>
      </c>
      <c r="G368" s="52">
        <f t="shared" si="37"/>
        <v>8.2000000000000011</v>
      </c>
      <c r="H368" s="110"/>
      <c r="I368" s="81">
        <v>9.61</v>
      </c>
      <c r="J368" s="81">
        <f>VLOOKUP(C368,Recipes!$A$2:$N$4,12,FALSE())</f>
        <v>6.1509461004819709E-2</v>
      </c>
      <c r="K368" s="81">
        <f t="shared" si="38"/>
        <v>9.2409432339710804</v>
      </c>
      <c r="L368" s="81">
        <f t="shared" si="41"/>
        <v>9.9790567660289184</v>
      </c>
      <c r="M368" s="81" t="str">
        <f t="shared" si="39"/>
        <v>NG</v>
      </c>
      <c r="N368" s="117">
        <f t="shared" si="42"/>
        <v>1</v>
      </c>
      <c r="O368" s="81">
        <f t="shared" si="40"/>
        <v>1.4099999999999984</v>
      </c>
      <c r="P368" s="81">
        <f>IF(G368="","",ABS(O368-Components!$C$2))</f>
        <v>1.3433333333333315</v>
      </c>
      <c r="Q368" s="81">
        <f>IF(G368="","",ABS(O368-Components!$C$3))</f>
        <v>2.6260000000000012</v>
      </c>
      <c r="R368" s="81">
        <f>IF(G368="","",ABS(O368-Components!$C$4))</f>
        <v>0.41666666666666541</v>
      </c>
      <c r="S368" s="81">
        <f>IF(G368="","",ABS(O368-Components!$C$5))</f>
        <v>3.1526666666666721</v>
      </c>
      <c r="T368" s="81">
        <f>IF(G368="","",ABS(O368-Components!$C$6))</f>
        <v>0.25433333333332842</v>
      </c>
      <c r="U368" s="81">
        <f>IF(G368="","",ABS(O368-Components!$C$7))</f>
        <v>3.566666666666829E-2</v>
      </c>
      <c r="V368" s="81" t="str">
        <f>IF(G368="","",IF(M368="OK","NONE",INDEX({"S1","S2","W1","W2","N1","N2"},MATCH(MIN(P368:U368),P368:U368,0))))</f>
        <v>N2</v>
      </c>
      <c r="W368" s="117">
        <f t="shared" si="43"/>
        <v>1</v>
      </c>
      <c r="X368" s="119"/>
    </row>
    <row r="369" spans="1:24">
      <c r="A369" s="115">
        <v>367</v>
      </c>
      <c r="B369" s="116">
        <v>13</v>
      </c>
      <c r="C369" s="81" t="s">
        <v>132</v>
      </c>
      <c r="D369" s="111" t="s">
        <v>240</v>
      </c>
      <c r="E369" s="81" t="s">
        <v>110</v>
      </c>
      <c r="F369" s="61">
        <v>7.23</v>
      </c>
      <c r="G369" s="52">
        <f t="shared" si="37"/>
        <v>8.2000000000000011</v>
      </c>
      <c r="H369" s="110"/>
      <c r="I369" s="81">
        <v>9.61</v>
      </c>
      <c r="J369" s="81">
        <f>VLOOKUP(C369,Recipes!$A$2:$N$4,12,FALSE())</f>
        <v>6.1509461004819709E-2</v>
      </c>
      <c r="K369" s="81">
        <f t="shared" si="38"/>
        <v>9.2409432339710804</v>
      </c>
      <c r="L369" s="81">
        <f t="shared" si="41"/>
        <v>9.9790567660289184</v>
      </c>
      <c r="M369" s="81" t="str">
        <f t="shared" si="39"/>
        <v>NG</v>
      </c>
      <c r="N369" s="117">
        <f t="shared" si="42"/>
        <v>1</v>
      </c>
      <c r="O369" s="81">
        <f t="shared" si="40"/>
        <v>1.4099999999999984</v>
      </c>
      <c r="P369" s="81">
        <f>IF(G369="","",ABS(O369-Components!$C$2))</f>
        <v>1.3433333333333315</v>
      </c>
      <c r="Q369" s="81">
        <f>IF(G369="","",ABS(O369-Components!$C$3))</f>
        <v>2.6260000000000012</v>
      </c>
      <c r="R369" s="81">
        <f>IF(G369="","",ABS(O369-Components!$C$4))</f>
        <v>0.41666666666666541</v>
      </c>
      <c r="S369" s="81">
        <f>IF(G369="","",ABS(O369-Components!$C$5))</f>
        <v>3.1526666666666721</v>
      </c>
      <c r="T369" s="81">
        <f>IF(G369="","",ABS(O369-Components!$C$6))</f>
        <v>0.25433333333332842</v>
      </c>
      <c r="U369" s="81">
        <f>IF(G369="","",ABS(O369-Components!$C$7))</f>
        <v>3.566666666666829E-2</v>
      </c>
      <c r="V369" s="81" t="str">
        <f>IF(G369="","",IF(M369="OK","NONE",INDEX({"S1","S2","W1","W2","N1","N2"},MATCH(MIN(P369:U369),P369:U369,0))))</f>
        <v>N2</v>
      </c>
      <c r="W369" s="117">
        <f t="shared" si="43"/>
        <v>1</v>
      </c>
      <c r="X369" s="119"/>
    </row>
    <row r="370" spans="1:24">
      <c r="A370" s="115">
        <v>368</v>
      </c>
      <c r="B370" s="116">
        <v>13</v>
      </c>
      <c r="C370" s="81" t="s">
        <v>132</v>
      </c>
      <c r="D370" s="111" t="s">
        <v>240</v>
      </c>
      <c r="E370" s="81" t="s">
        <v>110</v>
      </c>
      <c r="F370" s="61">
        <v>7.3</v>
      </c>
      <c r="G370" s="52">
        <f t="shared" si="37"/>
        <v>8.27</v>
      </c>
      <c r="H370" s="110"/>
      <c r="I370" s="81">
        <v>9.61</v>
      </c>
      <c r="J370" s="81">
        <f>VLOOKUP(C370,Recipes!$A$2:$N$4,12,FALSE())</f>
        <v>6.1509461004819709E-2</v>
      </c>
      <c r="K370" s="81">
        <f t="shared" si="38"/>
        <v>9.2409432339710804</v>
      </c>
      <c r="L370" s="81">
        <f t="shared" si="41"/>
        <v>9.9790567660289184</v>
      </c>
      <c r="M370" s="81" t="str">
        <f t="shared" si="39"/>
        <v>NG</v>
      </c>
      <c r="N370" s="117">
        <f t="shared" si="42"/>
        <v>1</v>
      </c>
      <c r="O370" s="81">
        <f t="shared" si="40"/>
        <v>1.3399999999999999</v>
      </c>
      <c r="P370" s="81">
        <f>IF(G370="","",ABS(O370-Components!$C$2))</f>
        <v>1.41333333333333</v>
      </c>
      <c r="Q370" s="81">
        <f>IF(G370="","",ABS(O370-Components!$C$3))</f>
        <v>2.6959999999999997</v>
      </c>
      <c r="R370" s="81">
        <f>IF(G370="","",ABS(O370-Components!$C$4))</f>
        <v>0.3466666666666669</v>
      </c>
      <c r="S370" s="81">
        <f>IF(G370="","",ABS(O370-Components!$C$5))</f>
        <v>3.2226666666666706</v>
      </c>
      <c r="T370" s="81">
        <f>IF(G370="","",ABS(O370-Components!$C$6))</f>
        <v>0.18433333333332991</v>
      </c>
      <c r="U370" s="81">
        <f>IF(G370="","",ABS(O370-Components!$C$7))</f>
        <v>3.4333333333330218E-2</v>
      </c>
      <c r="V370" s="81" t="str">
        <f>IF(G370="","",IF(M370="OK","NONE",INDEX({"S1","S2","W1","W2","N1","N2"},MATCH(MIN(P370:U370),P370:U370,0))))</f>
        <v>N2</v>
      </c>
      <c r="W370" s="117">
        <f t="shared" si="43"/>
        <v>1</v>
      </c>
      <c r="X370" s="119"/>
    </row>
    <row r="371" spans="1:24">
      <c r="A371" s="115">
        <v>369</v>
      </c>
      <c r="B371" s="116">
        <v>13</v>
      </c>
      <c r="C371" s="81" t="s">
        <v>132</v>
      </c>
      <c r="D371" s="111" t="s">
        <v>240</v>
      </c>
      <c r="E371" s="81" t="s">
        <v>110</v>
      </c>
      <c r="F371" s="61">
        <v>7.25</v>
      </c>
      <c r="G371" s="52">
        <f t="shared" si="37"/>
        <v>8.2200000000000006</v>
      </c>
      <c r="H371" s="110"/>
      <c r="I371" s="81">
        <v>9.61</v>
      </c>
      <c r="J371" s="81">
        <f>VLOOKUP(C371,Recipes!$A$2:$N$4,12,FALSE())</f>
        <v>6.1509461004819709E-2</v>
      </c>
      <c r="K371" s="81">
        <f t="shared" si="38"/>
        <v>9.2409432339710804</v>
      </c>
      <c r="L371" s="81">
        <f t="shared" si="41"/>
        <v>9.9790567660289184</v>
      </c>
      <c r="M371" s="81" t="str">
        <f t="shared" si="39"/>
        <v>NG</v>
      </c>
      <c r="N371" s="117">
        <f t="shared" si="42"/>
        <v>1</v>
      </c>
      <c r="O371" s="81">
        <f t="shared" si="40"/>
        <v>1.3899999999999988</v>
      </c>
      <c r="P371" s="81">
        <f>IF(G371="","",ABS(O371-Components!$C$2))</f>
        <v>1.3633333333333311</v>
      </c>
      <c r="Q371" s="81">
        <f>IF(G371="","",ABS(O371-Components!$C$3))</f>
        <v>2.6460000000000008</v>
      </c>
      <c r="R371" s="81">
        <f>IF(G371="","",ABS(O371-Components!$C$4))</f>
        <v>0.39666666666666583</v>
      </c>
      <c r="S371" s="81">
        <f>IF(G371="","",ABS(O371-Components!$C$5))</f>
        <v>3.1726666666666716</v>
      </c>
      <c r="T371" s="81">
        <f>IF(G371="","",ABS(O371-Components!$C$6))</f>
        <v>0.23433333333332884</v>
      </c>
      <c r="U371" s="81">
        <f>IF(G371="","",ABS(O371-Components!$C$7))</f>
        <v>1.5666666666668716E-2</v>
      </c>
      <c r="V371" s="81" t="str">
        <f>IF(G371="","",IF(M371="OK","NONE",INDEX({"S1","S2","W1","W2","N1","N2"},MATCH(MIN(P371:U371),P371:U371,0))))</f>
        <v>N2</v>
      </c>
      <c r="W371" s="117">
        <f t="shared" si="43"/>
        <v>1</v>
      </c>
      <c r="X371" s="119"/>
    </row>
    <row r="372" spans="1:24">
      <c r="A372" s="115">
        <v>370</v>
      </c>
      <c r="B372" s="116">
        <v>13</v>
      </c>
      <c r="C372" s="81" t="s">
        <v>132</v>
      </c>
      <c r="D372" s="111" t="s">
        <v>240</v>
      </c>
      <c r="E372" s="81" t="s">
        <v>110</v>
      </c>
      <c r="F372" s="61">
        <v>7.25</v>
      </c>
      <c r="G372" s="52">
        <f t="shared" si="37"/>
        <v>8.2200000000000006</v>
      </c>
      <c r="H372" s="110"/>
      <c r="I372" s="81">
        <v>9.61</v>
      </c>
      <c r="J372" s="81">
        <f>VLOOKUP(C372,Recipes!$A$2:$N$4,12,FALSE())</f>
        <v>6.1509461004819709E-2</v>
      </c>
      <c r="K372" s="81">
        <f t="shared" si="38"/>
        <v>9.2409432339710804</v>
      </c>
      <c r="L372" s="81">
        <f t="shared" si="41"/>
        <v>9.9790567660289184</v>
      </c>
      <c r="M372" s="81" t="str">
        <f t="shared" si="39"/>
        <v>NG</v>
      </c>
      <c r="N372" s="117">
        <f t="shared" si="42"/>
        <v>1</v>
      </c>
      <c r="O372" s="81">
        <f t="shared" si="40"/>
        <v>1.3899999999999988</v>
      </c>
      <c r="P372" s="81">
        <f>IF(G372="","",ABS(O372-Components!$C$2))</f>
        <v>1.3633333333333311</v>
      </c>
      <c r="Q372" s="81">
        <f>IF(G372="","",ABS(O372-Components!$C$3))</f>
        <v>2.6460000000000008</v>
      </c>
      <c r="R372" s="81">
        <f>IF(G372="","",ABS(O372-Components!$C$4))</f>
        <v>0.39666666666666583</v>
      </c>
      <c r="S372" s="81">
        <f>IF(G372="","",ABS(O372-Components!$C$5))</f>
        <v>3.1726666666666716</v>
      </c>
      <c r="T372" s="81">
        <f>IF(G372="","",ABS(O372-Components!$C$6))</f>
        <v>0.23433333333332884</v>
      </c>
      <c r="U372" s="81">
        <f>IF(G372="","",ABS(O372-Components!$C$7))</f>
        <v>1.5666666666668716E-2</v>
      </c>
      <c r="V372" s="81" t="str">
        <f>IF(G372="","",IF(M372="OK","NONE",INDEX({"S1","S2","W1","W2","N1","N2"},MATCH(MIN(P372:U372),P372:U372,0))))</f>
        <v>N2</v>
      </c>
      <c r="W372" s="117">
        <f t="shared" si="43"/>
        <v>1</v>
      </c>
      <c r="X372" s="119"/>
    </row>
    <row r="373" spans="1:24">
      <c r="A373" s="115">
        <v>371</v>
      </c>
      <c r="B373" s="116">
        <v>13</v>
      </c>
      <c r="C373" s="81" t="s">
        <v>132</v>
      </c>
      <c r="D373" s="111" t="s">
        <v>240</v>
      </c>
      <c r="E373" s="81" t="s">
        <v>110</v>
      </c>
      <c r="F373" s="61">
        <v>7.19</v>
      </c>
      <c r="G373" s="52">
        <f t="shared" si="37"/>
        <v>8.16</v>
      </c>
      <c r="H373" s="110"/>
      <c r="I373" s="81">
        <v>9.61</v>
      </c>
      <c r="J373" s="81">
        <f>VLOOKUP(C373,Recipes!$A$2:$N$4,12,FALSE())</f>
        <v>6.1509461004819709E-2</v>
      </c>
      <c r="K373" s="81">
        <f t="shared" si="38"/>
        <v>9.2409432339710804</v>
      </c>
      <c r="L373" s="81">
        <f t="shared" si="41"/>
        <v>9.9790567660289184</v>
      </c>
      <c r="M373" s="81" t="str">
        <f t="shared" si="39"/>
        <v>NG</v>
      </c>
      <c r="N373" s="117">
        <f t="shared" si="42"/>
        <v>1</v>
      </c>
      <c r="O373" s="81">
        <f t="shared" si="40"/>
        <v>1.4499999999999993</v>
      </c>
      <c r="P373" s="81">
        <f>IF(G373="","",ABS(O373-Components!$C$2))</f>
        <v>1.3033333333333306</v>
      </c>
      <c r="Q373" s="81">
        <f>IF(G373="","",ABS(O373-Components!$C$3))</f>
        <v>2.5860000000000003</v>
      </c>
      <c r="R373" s="81">
        <f>IF(G373="","",ABS(O373-Components!$C$4))</f>
        <v>0.45666666666666633</v>
      </c>
      <c r="S373" s="81">
        <f>IF(G373="","",ABS(O373-Components!$C$5))</f>
        <v>3.1126666666666711</v>
      </c>
      <c r="T373" s="81">
        <f>IF(G373="","",ABS(O373-Components!$C$6))</f>
        <v>0.29433333333332934</v>
      </c>
      <c r="U373" s="81">
        <f>IF(G373="","",ABS(O373-Components!$C$7))</f>
        <v>7.5666666666669213E-2</v>
      </c>
      <c r="V373" s="81" t="str">
        <f>IF(G373="","",IF(M373="OK","NONE",INDEX({"S1","S2","W1","W2","N1","N2"},MATCH(MIN(P373:U373),P373:U373,0))))</f>
        <v>N2</v>
      </c>
      <c r="W373" s="117">
        <f t="shared" si="43"/>
        <v>1</v>
      </c>
      <c r="X373" s="119"/>
    </row>
    <row r="374" spans="1:24">
      <c r="A374" s="115">
        <v>372</v>
      </c>
      <c r="B374" s="116">
        <v>13</v>
      </c>
      <c r="C374" s="81" t="s">
        <v>132</v>
      </c>
      <c r="D374" s="111" t="s">
        <v>240</v>
      </c>
      <c r="E374" s="81" t="s">
        <v>110</v>
      </c>
      <c r="F374" s="61">
        <v>7.26</v>
      </c>
      <c r="G374" s="52">
        <f t="shared" si="37"/>
        <v>8.23</v>
      </c>
      <c r="H374" s="110"/>
      <c r="I374" s="81">
        <v>9.61</v>
      </c>
      <c r="J374" s="81">
        <f>VLOOKUP(C374,Recipes!$A$2:$N$4,12,FALSE())</f>
        <v>6.1509461004819709E-2</v>
      </c>
      <c r="K374" s="81">
        <f t="shared" si="38"/>
        <v>9.2409432339710804</v>
      </c>
      <c r="L374" s="81">
        <f t="shared" si="41"/>
        <v>9.9790567660289184</v>
      </c>
      <c r="M374" s="81" t="str">
        <f t="shared" si="39"/>
        <v>NG</v>
      </c>
      <c r="N374" s="117">
        <f t="shared" si="42"/>
        <v>1</v>
      </c>
      <c r="O374" s="81">
        <f t="shared" si="40"/>
        <v>1.379999999999999</v>
      </c>
      <c r="P374" s="81">
        <f>IF(G374="","",ABS(O374-Components!$C$2))</f>
        <v>1.3733333333333309</v>
      </c>
      <c r="Q374" s="81">
        <f>IF(G374="","",ABS(O374-Components!$C$3))</f>
        <v>2.6560000000000006</v>
      </c>
      <c r="R374" s="81">
        <f>IF(G374="","",ABS(O374-Components!$C$4))</f>
        <v>0.38666666666666605</v>
      </c>
      <c r="S374" s="81">
        <f>IF(G374="","",ABS(O374-Components!$C$5))</f>
        <v>3.1826666666666714</v>
      </c>
      <c r="T374" s="81">
        <f>IF(G374="","",ABS(O374-Components!$C$6))</f>
        <v>0.22433333333332905</v>
      </c>
      <c r="U374" s="81">
        <f>IF(G374="","",ABS(O374-Components!$C$7))</f>
        <v>5.6666666666689292E-3</v>
      </c>
      <c r="V374" s="81" t="str">
        <f>IF(G374="","",IF(M374="OK","NONE",INDEX({"S1","S2","W1","W2","N1","N2"},MATCH(MIN(P374:U374),P374:U374,0))))</f>
        <v>N2</v>
      </c>
      <c r="W374" s="117">
        <f t="shared" si="43"/>
        <v>1</v>
      </c>
      <c r="X374" s="119"/>
    </row>
    <row r="375" spans="1:24">
      <c r="A375" s="115">
        <v>373</v>
      </c>
      <c r="B375" s="116">
        <v>13</v>
      </c>
      <c r="C375" s="81" t="s">
        <v>132</v>
      </c>
      <c r="D375" s="111" t="s">
        <v>240</v>
      </c>
      <c r="E375" s="81" t="s">
        <v>110</v>
      </c>
      <c r="F375" s="61">
        <v>7.23</v>
      </c>
      <c r="G375" s="52">
        <f t="shared" si="37"/>
        <v>8.2000000000000011</v>
      </c>
      <c r="H375" s="110"/>
      <c r="I375" s="81">
        <v>9.61</v>
      </c>
      <c r="J375" s="81">
        <f>VLOOKUP(C375,Recipes!$A$2:$N$4,12,FALSE())</f>
        <v>6.1509461004819709E-2</v>
      </c>
      <c r="K375" s="81">
        <f t="shared" si="38"/>
        <v>9.2409432339710804</v>
      </c>
      <c r="L375" s="81">
        <f t="shared" si="41"/>
        <v>9.9790567660289184</v>
      </c>
      <c r="M375" s="81" t="str">
        <f t="shared" si="39"/>
        <v>NG</v>
      </c>
      <c r="N375" s="117">
        <f t="shared" si="42"/>
        <v>1</v>
      </c>
      <c r="O375" s="81">
        <f t="shared" si="40"/>
        <v>1.4099999999999984</v>
      </c>
      <c r="P375" s="81">
        <f>IF(G375="","",ABS(O375-Components!$C$2))</f>
        <v>1.3433333333333315</v>
      </c>
      <c r="Q375" s="81">
        <f>IF(G375="","",ABS(O375-Components!$C$3))</f>
        <v>2.6260000000000012</v>
      </c>
      <c r="R375" s="81">
        <f>IF(G375="","",ABS(O375-Components!$C$4))</f>
        <v>0.41666666666666541</v>
      </c>
      <c r="S375" s="81">
        <f>IF(G375="","",ABS(O375-Components!$C$5))</f>
        <v>3.1526666666666721</v>
      </c>
      <c r="T375" s="81">
        <f>IF(G375="","",ABS(O375-Components!$C$6))</f>
        <v>0.25433333333332842</v>
      </c>
      <c r="U375" s="81">
        <f>IF(G375="","",ABS(O375-Components!$C$7))</f>
        <v>3.566666666666829E-2</v>
      </c>
      <c r="V375" s="81" t="str">
        <f>IF(G375="","",IF(M375="OK","NONE",INDEX({"S1","S2","W1","W2","N1","N2"},MATCH(MIN(P375:U375),P375:U375,0))))</f>
        <v>N2</v>
      </c>
      <c r="W375" s="117">
        <f t="shared" si="43"/>
        <v>1</v>
      </c>
      <c r="X375" s="119"/>
    </row>
    <row r="376" spans="1:24">
      <c r="A376" s="115">
        <v>374</v>
      </c>
      <c r="B376" s="116">
        <v>13</v>
      </c>
      <c r="C376" s="81" t="s">
        <v>132</v>
      </c>
      <c r="D376" s="111" t="s">
        <v>240</v>
      </c>
      <c r="E376" s="81" t="s">
        <v>110</v>
      </c>
      <c r="F376" s="61">
        <v>7.06</v>
      </c>
      <c r="G376" s="52">
        <f t="shared" si="37"/>
        <v>8.0299999999999994</v>
      </c>
      <c r="H376" s="110"/>
      <c r="I376" s="81">
        <v>9.61</v>
      </c>
      <c r="J376" s="81">
        <f>VLOOKUP(C376,Recipes!$A$2:$N$4,12,FALSE())</f>
        <v>6.1509461004819709E-2</v>
      </c>
      <c r="K376" s="81">
        <f t="shared" si="38"/>
        <v>9.2409432339710804</v>
      </c>
      <c r="L376" s="81">
        <f t="shared" si="41"/>
        <v>9.9790567660289184</v>
      </c>
      <c r="M376" s="81" t="str">
        <f t="shared" si="39"/>
        <v>NG</v>
      </c>
      <c r="N376" s="117">
        <f t="shared" si="42"/>
        <v>1</v>
      </c>
      <c r="O376" s="81">
        <f t="shared" si="40"/>
        <v>1.58</v>
      </c>
      <c r="P376" s="81">
        <f>IF(G376="","",ABS(O376-Components!$C$2))</f>
        <v>1.1733333333333298</v>
      </c>
      <c r="Q376" s="81">
        <f>IF(G376="","",ABS(O376-Components!$C$3))</f>
        <v>2.4559999999999995</v>
      </c>
      <c r="R376" s="81">
        <f>IF(G376="","",ABS(O376-Components!$C$4))</f>
        <v>0.58666666666666711</v>
      </c>
      <c r="S376" s="81">
        <f>IF(G376="","",ABS(O376-Components!$C$5))</f>
        <v>2.9826666666666704</v>
      </c>
      <c r="T376" s="81">
        <f>IF(G376="","",ABS(O376-Components!$C$6))</f>
        <v>0.42433333333333012</v>
      </c>
      <c r="U376" s="81">
        <f>IF(G376="","",ABS(O376-Components!$C$7))</f>
        <v>0.20566666666666999</v>
      </c>
      <c r="V376" s="81" t="str">
        <f>IF(G376="","",IF(M376="OK","NONE",INDEX({"S1","S2","W1","W2","N1","N2"},MATCH(MIN(P376:U376),P376:U376,0))))</f>
        <v>N2</v>
      </c>
      <c r="W376" s="117">
        <f t="shared" si="43"/>
        <v>1</v>
      </c>
      <c r="X376" s="119"/>
    </row>
    <row r="377" spans="1:24">
      <c r="A377" s="115">
        <v>375</v>
      </c>
      <c r="B377" s="116">
        <v>13</v>
      </c>
      <c r="C377" s="81" t="s">
        <v>132</v>
      </c>
      <c r="D377" s="111" t="s">
        <v>240</v>
      </c>
      <c r="E377" s="81" t="s">
        <v>110</v>
      </c>
      <c r="F377" s="61">
        <v>7.2</v>
      </c>
      <c r="G377" s="52">
        <f t="shared" si="37"/>
        <v>8.17</v>
      </c>
      <c r="H377" s="110"/>
      <c r="I377" s="81">
        <v>9.61</v>
      </c>
      <c r="J377" s="81">
        <f>VLOOKUP(C377,Recipes!$A$2:$N$4,12,FALSE())</f>
        <v>6.1509461004819709E-2</v>
      </c>
      <c r="K377" s="81">
        <f t="shared" si="38"/>
        <v>9.2409432339710804</v>
      </c>
      <c r="L377" s="81">
        <f t="shared" si="41"/>
        <v>9.9790567660289184</v>
      </c>
      <c r="M377" s="81" t="str">
        <f t="shared" si="39"/>
        <v>NG</v>
      </c>
      <c r="N377" s="117">
        <f t="shared" si="42"/>
        <v>1</v>
      </c>
      <c r="O377" s="81">
        <f t="shared" si="40"/>
        <v>1.4399999999999995</v>
      </c>
      <c r="P377" s="81">
        <f>IF(G377="","",ABS(O377-Components!$C$2))</f>
        <v>1.3133333333333304</v>
      </c>
      <c r="Q377" s="81">
        <f>IF(G377="","",ABS(O377-Components!$C$3))</f>
        <v>2.5960000000000001</v>
      </c>
      <c r="R377" s="81">
        <f>IF(G377="","",ABS(O377-Components!$C$4))</f>
        <v>0.44666666666666655</v>
      </c>
      <c r="S377" s="81">
        <f>IF(G377="","",ABS(O377-Components!$C$5))</f>
        <v>3.1226666666666709</v>
      </c>
      <c r="T377" s="81">
        <f>IF(G377="","",ABS(O377-Components!$C$6))</f>
        <v>0.28433333333332955</v>
      </c>
      <c r="U377" s="81">
        <f>IF(G377="","",ABS(O377-Components!$C$7))</f>
        <v>6.5666666666669427E-2</v>
      </c>
      <c r="V377" s="81" t="str">
        <f>IF(G377="","",IF(M377="OK","NONE",INDEX({"S1","S2","W1","W2","N1","N2"},MATCH(MIN(P377:U377),P377:U377,0))))</f>
        <v>N2</v>
      </c>
      <c r="W377" s="117">
        <f t="shared" si="43"/>
        <v>1</v>
      </c>
      <c r="X377" s="119"/>
    </row>
    <row r="378" spans="1:24">
      <c r="A378" s="115">
        <v>376</v>
      </c>
      <c r="B378" s="116">
        <v>13</v>
      </c>
      <c r="C378" s="81" t="s">
        <v>132</v>
      </c>
      <c r="D378" s="111" t="s">
        <v>240</v>
      </c>
      <c r="E378" s="81" t="s">
        <v>110</v>
      </c>
      <c r="F378" s="61">
        <v>7.21</v>
      </c>
      <c r="G378" s="52">
        <f t="shared" si="37"/>
        <v>8.18</v>
      </c>
      <c r="H378" s="110"/>
      <c r="I378" s="81">
        <v>9.61</v>
      </c>
      <c r="J378" s="81">
        <f>VLOOKUP(C378,Recipes!$A$2:$N$4,12,FALSE())</f>
        <v>6.1509461004819709E-2</v>
      </c>
      <c r="K378" s="81">
        <f t="shared" si="38"/>
        <v>9.2409432339710804</v>
      </c>
      <c r="L378" s="81">
        <f t="shared" si="41"/>
        <v>9.9790567660289184</v>
      </c>
      <c r="M378" s="81" t="str">
        <f t="shared" si="39"/>
        <v>NG</v>
      </c>
      <c r="N378" s="117">
        <f t="shared" si="42"/>
        <v>1</v>
      </c>
      <c r="O378" s="81">
        <f t="shared" si="40"/>
        <v>1.4299999999999997</v>
      </c>
      <c r="P378" s="81">
        <f>IF(G378="","",ABS(O378-Components!$C$2))</f>
        <v>1.3233333333333301</v>
      </c>
      <c r="Q378" s="81">
        <f>IF(G378="","",ABS(O378-Components!$C$3))</f>
        <v>2.6059999999999999</v>
      </c>
      <c r="R378" s="81">
        <f>IF(G378="","",ABS(O378-Components!$C$4))</f>
        <v>0.43666666666666676</v>
      </c>
      <c r="S378" s="81">
        <f>IF(G378="","",ABS(O378-Components!$C$5))</f>
        <v>3.1326666666666707</v>
      </c>
      <c r="T378" s="81">
        <f>IF(G378="","",ABS(O378-Components!$C$6))</f>
        <v>0.27433333333332977</v>
      </c>
      <c r="U378" s="81">
        <f>IF(G378="","",ABS(O378-Components!$C$7))</f>
        <v>5.566666666666964E-2</v>
      </c>
      <c r="V378" s="81" t="str">
        <f>IF(G378="","",IF(M378="OK","NONE",INDEX({"S1","S2","W1","W2","N1","N2"},MATCH(MIN(P378:U378),P378:U378,0))))</f>
        <v>N2</v>
      </c>
      <c r="W378" s="117">
        <f t="shared" si="43"/>
        <v>1</v>
      </c>
      <c r="X378" s="119"/>
    </row>
    <row r="379" spans="1:24">
      <c r="A379" s="115">
        <v>377</v>
      </c>
      <c r="B379" s="116">
        <v>13</v>
      </c>
      <c r="C379" s="81" t="s">
        <v>132</v>
      </c>
      <c r="D379" s="111" t="s">
        <v>240</v>
      </c>
      <c r="E379" s="81" t="s">
        <v>110</v>
      </c>
      <c r="F379" s="61">
        <v>7.22</v>
      </c>
      <c r="G379" s="52">
        <f t="shared" si="37"/>
        <v>8.19</v>
      </c>
      <c r="H379" s="110"/>
      <c r="I379" s="81">
        <v>9.61</v>
      </c>
      <c r="J379" s="81">
        <f>VLOOKUP(C379,Recipes!$A$2:$N$4,12,FALSE())</f>
        <v>6.1509461004819709E-2</v>
      </c>
      <c r="K379" s="81">
        <f t="shared" si="38"/>
        <v>9.2409432339710804</v>
      </c>
      <c r="L379" s="81">
        <f t="shared" si="41"/>
        <v>9.9790567660289184</v>
      </c>
      <c r="M379" s="81" t="str">
        <f t="shared" si="39"/>
        <v>NG</v>
      </c>
      <c r="N379" s="117">
        <f t="shared" si="42"/>
        <v>1</v>
      </c>
      <c r="O379" s="81">
        <f t="shared" si="40"/>
        <v>1.42</v>
      </c>
      <c r="P379" s="81">
        <f>IF(G379="","",ABS(O379-Components!$C$2))</f>
        <v>1.3333333333333299</v>
      </c>
      <c r="Q379" s="81">
        <f>IF(G379="","",ABS(O379-Components!$C$3))</f>
        <v>2.6159999999999997</v>
      </c>
      <c r="R379" s="81">
        <f>IF(G379="","",ABS(O379-Components!$C$4))</f>
        <v>0.42666666666666697</v>
      </c>
      <c r="S379" s="81">
        <f>IF(G379="","",ABS(O379-Components!$C$5))</f>
        <v>3.1426666666666705</v>
      </c>
      <c r="T379" s="81">
        <f>IF(G379="","",ABS(O379-Components!$C$6))</f>
        <v>0.26433333333332998</v>
      </c>
      <c r="U379" s="81">
        <f>IF(G379="","",ABS(O379-Components!$C$7))</f>
        <v>4.5666666666669853E-2</v>
      </c>
      <c r="V379" s="81" t="str">
        <f>IF(G379="","",IF(M379="OK","NONE",INDEX({"S1","S2","W1","W2","N1","N2"},MATCH(MIN(P379:U379),P379:U379,0))))</f>
        <v>N2</v>
      </c>
      <c r="W379" s="117">
        <f t="shared" si="43"/>
        <v>1</v>
      </c>
      <c r="X379" s="119"/>
    </row>
    <row r="380" spans="1:24">
      <c r="A380" s="115">
        <v>378</v>
      </c>
      <c r="B380" s="116">
        <v>13</v>
      </c>
      <c r="C380" s="81" t="s">
        <v>132</v>
      </c>
      <c r="D380" s="111" t="s">
        <v>240</v>
      </c>
      <c r="E380" s="81" t="s">
        <v>110</v>
      </c>
      <c r="F380" s="61">
        <v>7.15</v>
      </c>
      <c r="G380" s="52">
        <f t="shared" si="37"/>
        <v>8.120000000000001</v>
      </c>
      <c r="H380" s="110"/>
      <c r="I380" s="81">
        <v>9.61</v>
      </c>
      <c r="J380" s="81">
        <f>VLOOKUP(C380,Recipes!$A$2:$N$4,12,FALSE())</f>
        <v>6.1509461004819709E-2</v>
      </c>
      <c r="K380" s="81">
        <f t="shared" si="38"/>
        <v>9.2409432339710804</v>
      </c>
      <c r="L380" s="81">
        <f t="shared" si="41"/>
        <v>9.9790567660289184</v>
      </c>
      <c r="M380" s="81" t="str">
        <f t="shared" si="39"/>
        <v>NG</v>
      </c>
      <c r="N380" s="117">
        <f t="shared" si="42"/>
        <v>1</v>
      </c>
      <c r="O380" s="81">
        <f t="shared" si="40"/>
        <v>1.4899999999999984</v>
      </c>
      <c r="P380" s="81">
        <f>IF(G380="","",ABS(O380-Components!$C$2))</f>
        <v>1.2633333333333314</v>
      </c>
      <c r="Q380" s="81">
        <f>IF(G380="","",ABS(O380-Components!$C$3))</f>
        <v>2.5460000000000012</v>
      </c>
      <c r="R380" s="81">
        <f>IF(G380="","",ABS(O380-Components!$C$4))</f>
        <v>0.49666666666666548</v>
      </c>
      <c r="S380" s="81">
        <f>IF(G380="","",ABS(O380-Components!$C$5))</f>
        <v>3.072666666666672</v>
      </c>
      <c r="T380" s="81">
        <f>IF(G380="","",ABS(O380-Components!$C$6))</f>
        <v>0.33433333333332849</v>
      </c>
      <c r="U380" s="81">
        <f>IF(G380="","",ABS(O380-Components!$C$7))</f>
        <v>0.11566666666666836</v>
      </c>
      <c r="V380" s="81" t="str">
        <f>IF(G380="","",IF(M380="OK","NONE",INDEX({"S1","S2","W1","W2","N1","N2"},MATCH(MIN(P380:U380),P380:U380,0))))</f>
        <v>N2</v>
      </c>
      <c r="W380" s="117">
        <f t="shared" si="43"/>
        <v>1</v>
      </c>
      <c r="X380" s="119"/>
    </row>
    <row r="381" spans="1:24">
      <c r="A381" s="115">
        <v>379</v>
      </c>
      <c r="B381" s="116">
        <v>13</v>
      </c>
      <c r="C381" s="81" t="s">
        <v>132</v>
      </c>
      <c r="D381" s="111" t="s">
        <v>240</v>
      </c>
      <c r="E381" s="81" t="s">
        <v>110</v>
      </c>
      <c r="F381" s="61">
        <v>7.28</v>
      </c>
      <c r="G381" s="52">
        <f t="shared" si="37"/>
        <v>8.25</v>
      </c>
      <c r="H381" s="110"/>
      <c r="I381" s="81">
        <v>9.61</v>
      </c>
      <c r="J381" s="81">
        <f>VLOOKUP(C381,Recipes!$A$2:$N$4,12,FALSE())</f>
        <v>6.1509461004819709E-2</v>
      </c>
      <c r="K381" s="81">
        <f t="shared" si="38"/>
        <v>9.2409432339710804</v>
      </c>
      <c r="L381" s="81">
        <f t="shared" si="41"/>
        <v>9.9790567660289184</v>
      </c>
      <c r="M381" s="81" t="str">
        <f t="shared" si="39"/>
        <v>NG</v>
      </c>
      <c r="N381" s="117">
        <f t="shared" si="42"/>
        <v>1</v>
      </c>
      <c r="O381" s="81">
        <f t="shared" si="40"/>
        <v>1.3599999999999994</v>
      </c>
      <c r="P381" s="81">
        <f>IF(G381="","",ABS(O381-Components!$C$2))</f>
        <v>1.3933333333333304</v>
      </c>
      <c r="Q381" s="81">
        <f>IF(G381="","",ABS(O381-Components!$C$3))</f>
        <v>2.6760000000000002</v>
      </c>
      <c r="R381" s="81">
        <f>IF(G381="","",ABS(O381-Components!$C$4))</f>
        <v>0.36666666666666647</v>
      </c>
      <c r="S381" s="81">
        <f>IF(G381="","",ABS(O381-Components!$C$5))</f>
        <v>3.202666666666671</v>
      </c>
      <c r="T381" s="81">
        <f>IF(G381="","",ABS(O381-Components!$C$6))</f>
        <v>0.20433333333332948</v>
      </c>
      <c r="U381" s="81">
        <f>IF(G381="","",ABS(O381-Components!$C$7))</f>
        <v>1.4333333333330645E-2</v>
      </c>
      <c r="V381" s="81" t="str">
        <f>IF(G381="","",IF(M381="OK","NONE",INDEX({"S1","S2","W1","W2","N1","N2"},MATCH(MIN(P381:U381),P381:U381,0))))</f>
        <v>N2</v>
      </c>
      <c r="W381" s="117">
        <f t="shared" si="43"/>
        <v>1</v>
      </c>
      <c r="X381" s="119"/>
    </row>
    <row r="382" spans="1:24">
      <c r="A382" s="115">
        <v>380</v>
      </c>
      <c r="B382" s="116">
        <v>13</v>
      </c>
      <c r="C382" s="81" t="s">
        <v>132</v>
      </c>
      <c r="D382" s="111" t="s">
        <v>240</v>
      </c>
      <c r="E382" s="81" t="s">
        <v>110</v>
      </c>
      <c r="F382" s="61">
        <v>7.23</v>
      </c>
      <c r="G382" s="52">
        <f t="shared" si="37"/>
        <v>8.2000000000000011</v>
      </c>
      <c r="H382" s="110"/>
      <c r="I382" s="81">
        <v>9.61</v>
      </c>
      <c r="J382" s="81">
        <f>VLOOKUP(C382,Recipes!$A$2:$N$4,12,FALSE())</f>
        <v>6.1509461004819709E-2</v>
      </c>
      <c r="K382" s="81">
        <f t="shared" si="38"/>
        <v>9.2409432339710804</v>
      </c>
      <c r="L382" s="81">
        <f t="shared" si="41"/>
        <v>9.9790567660289184</v>
      </c>
      <c r="M382" s="81" t="str">
        <f t="shared" si="39"/>
        <v>NG</v>
      </c>
      <c r="N382" s="117">
        <f t="shared" si="42"/>
        <v>1</v>
      </c>
      <c r="O382" s="81">
        <f t="shared" si="40"/>
        <v>1.4099999999999984</v>
      </c>
      <c r="P382" s="81">
        <f>IF(G382="","",ABS(O382-Components!$C$2))</f>
        <v>1.3433333333333315</v>
      </c>
      <c r="Q382" s="81">
        <f>IF(G382="","",ABS(O382-Components!$C$3))</f>
        <v>2.6260000000000012</v>
      </c>
      <c r="R382" s="81">
        <f>IF(G382="","",ABS(O382-Components!$C$4))</f>
        <v>0.41666666666666541</v>
      </c>
      <c r="S382" s="81">
        <f>IF(G382="","",ABS(O382-Components!$C$5))</f>
        <v>3.1526666666666721</v>
      </c>
      <c r="T382" s="81">
        <f>IF(G382="","",ABS(O382-Components!$C$6))</f>
        <v>0.25433333333332842</v>
      </c>
      <c r="U382" s="81">
        <f>IF(G382="","",ABS(O382-Components!$C$7))</f>
        <v>3.566666666666829E-2</v>
      </c>
      <c r="V382" s="81" t="str">
        <f>IF(G382="","",IF(M382="OK","NONE",INDEX({"S1","S2","W1","W2","N1","N2"},MATCH(MIN(P382:U382),P382:U382,0))))</f>
        <v>N2</v>
      </c>
      <c r="W382" s="117">
        <f t="shared" si="43"/>
        <v>1</v>
      </c>
      <c r="X382" s="119"/>
    </row>
    <row r="383" spans="1:24">
      <c r="A383" s="115">
        <v>381</v>
      </c>
      <c r="B383" s="116">
        <v>13</v>
      </c>
      <c r="C383" s="81" t="s">
        <v>132</v>
      </c>
      <c r="D383" s="111" t="s">
        <v>240</v>
      </c>
      <c r="E383" s="81" t="s">
        <v>110</v>
      </c>
      <c r="F383" s="61">
        <v>7.26</v>
      </c>
      <c r="G383" s="52">
        <f t="shared" si="37"/>
        <v>8.23</v>
      </c>
      <c r="H383" s="110"/>
      <c r="I383" s="81">
        <v>9.61</v>
      </c>
      <c r="J383" s="81">
        <f>VLOOKUP(C383,Recipes!$A$2:$N$4,12,FALSE())</f>
        <v>6.1509461004819709E-2</v>
      </c>
      <c r="K383" s="81">
        <f t="shared" si="38"/>
        <v>9.2409432339710804</v>
      </c>
      <c r="L383" s="81">
        <f t="shared" si="41"/>
        <v>9.9790567660289184</v>
      </c>
      <c r="M383" s="81" t="str">
        <f t="shared" si="39"/>
        <v>NG</v>
      </c>
      <c r="N383" s="117">
        <f t="shared" si="42"/>
        <v>1</v>
      </c>
      <c r="O383" s="81">
        <f t="shared" si="40"/>
        <v>1.379999999999999</v>
      </c>
      <c r="P383" s="81">
        <f>IF(G383="","",ABS(O383-Components!$C$2))</f>
        <v>1.3733333333333309</v>
      </c>
      <c r="Q383" s="81">
        <f>IF(G383="","",ABS(O383-Components!$C$3))</f>
        <v>2.6560000000000006</v>
      </c>
      <c r="R383" s="81">
        <f>IF(G383="","",ABS(O383-Components!$C$4))</f>
        <v>0.38666666666666605</v>
      </c>
      <c r="S383" s="81">
        <f>IF(G383="","",ABS(O383-Components!$C$5))</f>
        <v>3.1826666666666714</v>
      </c>
      <c r="T383" s="81">
        <f>IF(G383="","",ABS(O383-Components!$C$6))</f>
        <v>0.22433333333332905</v>
      </c>
      <c r="U383" s="81">
        <f>IF(G383="","",ABS(O383-Components!$C$7))</f>
        <v>5.6666666666689292E-3</v>
      </c>
      <c r="V383" s="81" t="str">
        <f>IF(G383="","",IF(M383="OK","NONE",INDEX({"S1","S2","W1","W2","N1","N2"},MATCH(MIN(P383:U383),P383:U383,0))))</f>
        <v>N2</v>
      </c>
      <c r="W383" s="117">
        <f t="shared" si="43"/>
        <v>1</v>
      </c>
      <c r="X383" s="119"/>
    </row>
    <row r="384" spans="1:24">
      <c r="A384" s="115">
        <v>382</v>
      </c>
      <c r="B384" s="116">
        <v>13</v>
      </c>
      <c r="C384" s="81" t="s">
        <v>132</v>
      </c>
      <c r="D384" s="111" t="s">
        <v>240</v>
      </c>
      <c r="E384" s="81" t="s">
        <v>110</v>
      </c>
      <c r="F384" s="61">
        <v>7.26</v>
      </c>
      <c r="G384" s="52">
        <f t="shared" si="37"/>
        <v>8.23</v>
      </c>
      <c r="H384" s="110"/>
      <c r="I384" s="81">
        <v>9.61</v>
      </c>
      <c r="J384" s="81">
        <f>VLOOKUP(C384,Recipes!$A$2:$N$4,12,FALSE())</f>
        <v>6.1509461004819709E-2</v>
      </c>
      <c r="K384" s="81">
        <f t="shared" si="38"/>
        <v>9.2409432339710804</v>
      </c>
      <c r="L384" s="81">
        <f t="shared" si="41"/>
        <v>9.9790567660289184</v>
      </c>
      <c r="M384" s="81" t="str">
        <f t="shared" si="39"/>
        <v>NG</v>
      </c>
      <c r="N384" s="117">
        <f t="shared" si="42"/>
        <v>1</v>
      </c>
      <c r="O384" s="81">
        <f t="shared" si="40"/>
        <v>1.379999999999999</v>
      </c>
      <c r="P384" s="81">
        <f>IF(G384="","",ABS(O384-Components!$C$2))</f>
        <v>1.3733333333333309</v>
      </c>
      <c r="Q384" s="81">
        <f>IF(G384="","",ABS(O384-Components!$C$3))</f>
        <v>2.6560000000000006</v>
      </c>
      <c r="R384" s="81">
        <f>IF(G384="","",ABS(O384-Components!$C$4))</f>
        <v>0.38666666666666605</v>
      </c>
      <c r="S384" s="81">
        <f>IF(G384="","",ABS(O384-Components!$C$5))</f>
        <v>3.1826666666666714</v>
      </c>
      <c r="T384" s="81">
        <f>IF(G384="","",ABS(O384-Components!$C$6))</f>
        <v>0.22433333333332905</v>
      </c>
      <c r="U384" s="81">
        <f>IF(G384="","",ABS(O384-Components!$C$7))</f>
        <v>5.6666666666689292E-3</v>
      </c>
      <c r="V384" s="81" t="str">
        <f>IF(G384="","",IF(M384="OK","NONE",INDEX({"S1","S2","W1","W2","N1","N2"},MATCH(MIN(P384:U384),P384:U384,0))))</f>
        <v>N2</v>
      </c>
      <c r="W384" s="117">
        <f t="shared" si="43"/>
        <v>1</v>
      </c>
      <c r="X384" s="119"/>
    </row>
    <row r="385" spans="1:24">
      <c r="A385" s="115">
        <v>383</v>
      </c>
      <c r="B385" s="116">
        <v>13</v>
      </c>
      <c r="C385" s="81" t="s">
        <v>132</v>
      </c>
      <c r="D385" s="111" t="s">
        <v>240</v>
      </c>
      <c r="E385" s="81" t="s">
        <v>110</v>
      </c>
      <c r="F385" s="61">
        <v>7.27</v>
      </c>
      <c r="G385" s="52">
        <f t="shared" si="37"/>
        <v>8.24</v>
      </c>
      <c r="H385" s="110"/>
      <c r="I385" s="81">
        <v>9.61</v>
      </c>
      <c r="J385" s="81">
        <f>VLOOKUP(C385,Recipes!$A$2:$N$4,12,FALSE())</f>
        <v>6.1509461004819709E-2</v>
      </c>
      <c r="K385" s="81">
        <f t="shared" si="38"/>
        <v>9.2409432339710804</v>
      </c>
      <c r="L385" s="81">
        <f t="shared" si="41"/>
        <v>9.9790567660289184</v>
      </c>
      <c r="M385" s="81" t="str">
        <f t="shared" si="39"/>
        <v>NG</v>
      </c>
      <c r="N385" s="117">
        <f t="shared" si="42"/>
        <v>1</v>
      </c>
      <c r="O385" s="81">
        <f t="shared" si="40"/>
        <v>1.3699999999999992</v>
      </c>
      <c r="P385" s="81">
        <f>IF(G385="","",ABS(O385-Components!$C$2))</f>
        <v>1.3833333333333306</v>
      </c>
      <c r="Q385" s="81">
        <f>IF(G385="","",ABS(O385-Components!$C$3))</f>
        <v>2.6660000000000004</v>
      </c>
      <c r="R385" s="81">
        <f>IF(G385="","",ABS(O385-Components!$C$4))</f>
        <v>0.37666666666666626</v>
      </c>
      <c r="S385" s="81">
        <f>IF(G385="","",ABS(O385-Components!$C$5))</f>
        <v>3.1926666666666712</v>
      </c>
      <c r="T385" s="81">
        <f>IF(G385="","",ABS(O385-Components!$C$6))</f>
        <v>0.21433333333332927</v>
      </c>
      <c r="U385" s="81">
        <f>IF(G385="","",ABS(O385-Components!$C$7))</f>
        <v>4.3333333333308577E-3</v>
      </c>
      <c r="V385" s="81" t="str">
        <f>IF(G385="","",IF(M385="OK","NONE",INDEX({"S1","S2","W1","W2","N1","N2"},MATCH(MIN(P385:U385),P385:U385,0))))</f>
        <v>N2</v>
      </c>
      <c r="W385" s="117">
        <f t="shared" si="43"/>
        <v>1</v>
      </c>
      <c r="X385" s="119"/>
    </row>
    <row r="386" spans="1:24">
      <c r="A386" s="115">
        <v>384</v>
      </c>
      <c r="B386" s="116">
        <v>13</v>
      </c>
      <c r="C386" s="81" t="s">
        <v>132</v>
      </c>
      <c r="D386" s="111" t="s">
        <v>240</v>
      </c>
      <c r="E386" s="81" t="s">
        <v>110</v>
      </c>
      <c r="F386" s="61">
        <v>7.14</v>
      </c>
      <c r="G386" s="52">
        <f t="shared" si="37"/>
        <v>8.11</v>
      </c>
      <c r="H386" s="110"/>
      <c r="I386" s="81">
        <v>9.61</v>
      </c>
      <c r="J386" s="81">
        <f>VLOOKUP(C386,Recipes!$A$2:$N$4,12,FALSE())</f>
        <v>6.1509461004819709E-2</v>
      </c>
      <c r="K386" s="81">
        <f t="shared" si="38"/>
        <v>9.2409432339710804</v>
      </c>
      <c r="L386" s="81">
        <f t="shared" si="41"/>
        <v>9.9790567660289184</v>
      </c>
      <c r="M386" s="81" t="str">
        <f t="shared" si="39"/>
        <v>NG</v>
      </c>
      <c r="N386" s="117">
        <f t="shared" si="42"/>
        <v>1</v>
      </c>
      <c r="O386" s="81">
        <f t="shared" si="40"/>
        <v>1.5</v>
      </c>
      <c r="P386" s="81">
        <f>IF(G386="","",ABS(O386-Components!$C$2))</f>
        <v>1.2533333333333299</v>
      </c>
      <c r="Q386" s="81">
        <f>IF(G386="","",ABS(O386-Components!$C$3))</f>
        <v>2.5359999999999996</v>
      </c>
      <c r="R386" s="81">
        <f>IF(G386="","",ABS(O386-Components!$C$4))</f>
        <v>0.50666666666666704</v>
      </c>
      <c r="S386" s="81">
        <f>IF(G386="","",ABS(O386-Components!$C$5))</f>
        <v>3.0626666666666704</v>
      </c>
      <c r="T386" s="81">
        <f>IF(G386="","",ABS(O386-Components!$C$6))</f>
        <v>0.34433333333333005</v>
      </c>
      <c r="U386" s="81">
        <f>IF(G386="","",ABS(O386-Components!$C$7))</f>
        <v>0.12566666666666992</v>
      </c>
      <c r="V386" s="81" t="str">
        <f>IF(G386="","",IF(M386="OK","NONE",INDEX({"S1","S2","W1","W2","N1","N2"},MATCH(MIN(P386:U386),P386:U386,0))))</f>
        <v>N2</v>
      </c>
      <c r="W386" s="117">
        <f t="shared" si="43"/>
        <v>1</v>
      </c>
      <c r="X386" s="119"/>
    </row>
    <row r="387" spans="1:24">
      <c r="A387" s="115">
        <v>385</v>
      </c>
      <c r="B387" s="116">
        <v>13</v>
      </c>
      <c r="C387" s="81" t="s">
        <v>132</v>
      </c>
      <c r="D387" s="111" t="s">
        <v>240</v>
      </c>
      <c r="E387" s="81" t="s">
        <v>110</v>
      </c>
      <c r="F387" s="61">
        <v>6.97</v>
      </c>
      <c r="G387" s="52">
        <f t="shared" ref="G387:G422" si="44">0.97+F387</f>
        <v>7.9399999999999995</v>
      </c>
      <c r="H387" s="110"/>
      <c r="I387" s="81">
        <v>9.61</v>
      </c>
      <c r="J387" s="81">
        <f>VLOOKUP(C387,Recipes!$A$2:$N$4,12,FALSE())</f>
        <v>6.1509461004819709E-2</v>
      </c>
      <c r="K387" s="81">
        <f t="shared" ref="K387:K422" si="45">I387-6*J387</f>
        <v>9.2409432339710804</v>
      </c>
      <c r="L387" s="81">
        <f t="shared" si="41"/>
        <v>9.9790567660289184</v>
      </c>
      <c r="M387" s="81" t="str">
        <f t="shared" ref="M387:M422" si="46">IF(G387="","",IF(AND(G387&gt;=K387,G387&lt;=L387),"OK","NG"))</f>
        <v>NG</v>
      </c>
      <c r="N387" s="117">
        <f t="shared" si="42"/>
        <v>1</v>
      </c>
      <c r="O387" s="81">
        <f t="shared" ref="O387:O422" si="47">IF(G387="","",I387-G387)</f>
        <v>1.67</v>
      </c>
      <c r="P387" s="81">
        <f>IF(G387="","",ABS(O387-Components!$C$2))</f>
        <v>1.0833333333333299</v>
      </c>
      <c r="Q387" s="81">
        <f>IF(G387="","",ABS(O387-Components!$C$3))</f>
        <v>2.3659999999999997</v>
      </c>
      <c r="R387" s="81">
        <f>IF(G387="","",ABS(O387-Components!$C$4))</f>
        <v>0.67666666666666697</v>
      </c>
      <c r="S387" s="81">
        <f>IF(G387="","",ABS(O387-Components!$C$5))</f>
        <v>2.8926666666666705</v>
      </c>
      <c r="T387" s="81">
        <f>IF(G387="","",ABS(O387-Components!$C$6))</f>
        <v>0.51433333333332998</v>
      </c>
      <c r="U387" s="81">
        <f>IF(G387="","",ABS(O387-Components!$C$7))</f>
        <v>0.29566666666666985</v>
      </c>
      <c r="V387" s="81" t="str">
        <f>IF(G387="","",IF(M387="OK","NONE",INDEX({"S1","S2","W1","W2","N1","N2"},MATCH(MIN(P387:U387),P387:U387,0))))</f>
        <v>N2</v>
      </c>
      <c r="W387" s="117">
        <f t="shared" si="43"/>
        <v>1</v>
      </c>
      <c r="X387" s="119"/>
    </row>
    <row r="388" spans="1:24">
      <c r="A388" s="115">
        <v>386</v>
      </c>
      <c r="B388" s="116">
        <v>13</v>
      </c>
      <c r="C388" s="81" t="s">
        <v>132</v>
      </c>
      <c r="D388" s="111" t="s">
        <v>240</v>
      </c>
      <c r="E388" s="81" t="s">
        <v>110</v>
      </c>
      <c r="F388" s="52">
        <v>7.29</v>
      </c>
      <c r="G388" s="52">
        <f t="shared" si="44"/>
        <v>8.26</v>
      </c>
      <c r="H388" s="110"/>
      <c r="I388" s="81">
        <v>9.61</v>
      </c>
      <c r="J388" s="81">
        <f>VLOOKUP(C388,Recipes!$A$2:$N$4,12,FALSE())</f>
        <v>6.1509461004819709E-2</v>
      </c>
      <c r="K388" s="81">
        <f t="shared" si="45"/>
        <v>9.2409432339710804</v>
      </c>
      <c r="L388" s="81">
        <f t="shared" ref="L388:L422" si="48">I388+6*J388</f>
        <v>9.9790567660289184</v>
      </c>
      <c r="M388" s="81" t="str">
        <f t="shared" si="46"/>
        <v>NG</v>
      </c>
      <c r="N388" s="117">
        <f t="shared" ref="N388:N422" si="49">IF(M388="","",IF(M388=D388,1,0))</f>
        <v>1</v>
      </c>
      <c r="O388" s="81">
        <f t="shared" si="47"/>
        <v>1.3499999999999996</v>
      </c>
      <c r="P388" s="81">
        <f>IF(G388="","",ABS(O388-Components!$C$2))</f>
        <v>1.4033333333333302</v>
      </c>
      <c r="Q388" s="81">
        <f>IF(G388="","",ABS(O388-Components!$C$3))</f>
        <v>2.6859999999999999</v>
      </c>
      <c r="R388" s="81">
        <f>IF(G388="","",ABS(O388-Components!$C$4))</f>
        <v>0.35666666666666669</v>
      </c>
      <c r="S388" s="81">
        <f>IF(G388="","",ABS(O388-Components!$C$5))</f>
        <v>3.2126666666666708</v>
      </c>
      <c r="T388" s="81">
        <f>IF(G388="","",ABS(O388-Components!$C$6))</f>
        <v>0.19433333333332969</v>
      </c>
      <c r="U388" s="81">
        <f>IF(G388="","",ABS(O388-Components!$C$7))</f>
        <v>2.4333333333330431E-2</v>
      </c>
      <c r="V388" s="81" t="str">
        <f>IF(G388="","",IF(M388="OK","NONE",INDEX({"S1","S2","W1","W2","N1","N2"},MATCH(MIN(P388:U388),P388:U388,0))))</f>
        <v>N2</v>
      </c>
      <c r="W388" s="117">
        <f t="shared" ref="W388:W422" si="50">IF(G388="","",IF(V388=E388,1,0))</f>
        <v>1</v>
      </c>
      <c r="X388" s="119"/>
    </row>
    <row r="389" spans="1:24">
      <c r="A389" s="115">
        <v>387</v>
      </c>
      <c r="B389" s="116">
        <v>13</v>
      </c>
      <c r="C389" s="81" t="s">
        <v>132</v>
      </c>
      <c r="D389" s="111" t="s">
        <v>240</v>
      </c>
      <c r="E389" s="81" t="s">
        <v>110</v>
      </c>
      <c r="F389" s="52">
        <v>7.16</v>
      </c>
      <c r="G389" s="52">
        <f t="shared" si="44"/>
        <v>8.1300000000000008</v>
      </c>
      <c r="H389" s="110"/>
      <c r="I389" s="81">
        <v>9.61</v>
      </c>
      <c r="J389" s="81">
        <f>VLOOKUP(C389,Recipes!$A$2:$N$4,12,FALSE())</f>
        <v>6.1509461004819709E-2</v>
      </c>
      <c r="K389" s="81">
        <f t="shared" si="45"/>
        <v>9.2409432339710804</v>
      </c>
      <c r="L389" s="81">
        <f t="shared" si="48"/>
        <v>9.9790567660289184</v>
      </c>
      <c r="M389" s="81" t="str">
        <f t="shared" si="46"/>
        <v>NG</v>
      </c>
      <c r="N389" s="117">
        <f t="shared" si="49"/>
        <v>1</v>
      </c>
      <c r="O389" s="81">
        <f t="shared" si="47"/>
        <v>1.4799999999999986</v>
      </c>
      <c r="P389" s="81">
        <f>IF(G389="","",ABS(O389-Components!$C$2))</f>
        <v>1.2733333333333312</v>
      </c>
      <c r="Q389" s="81">
        <f>IF(G389="","",ABS(O389-Components!$C$3))</f>
        <v>2.5560000000000009</v>
      </c>
      <c r="R389" s="81">
        <f>IF(G389="","",ABS(O389-Components!$C$4))</f>
        <v>0.48666666666666569</v>
      </c>
      <c r="S389" s="81">
        <f>IF(G389="","",ABS(O389-Components!$C$5))</f>
        <v>3.0826666666666718</v>
      </c>
      <c r="T389" s="81">
        <f>IF(G389="","",ABS(O389-Components!$C$6))</f>
        <v>0.3243333333333287</v>
      </c>
      <c r="U389" s="81">
        <f>IF(G389="","",ABS(O389-Components!$C$7))</f>
        <v>0.10566666666666857</v>
      </c>
      <c r="V389" s="81" t="str">
        <f>IF(G389="","",IF(M389="OK","NONE",INDEX({"S1","S2","W1","W2","N1","N2"},MATCH(MIN(P389:U389),P389:U389,0))))</f>
        <v>N2</v>
      </c>
      <c r="W389" s="117">
        <f t="shared" si="50"/>
        <v>1</v>
      </c>
      <c r="X389" s="119"/>
    </row>
    <row r="390" spans="1:24">
      <c r="A390" s="115">
        <v>388</v>
      </c>
      <c r="B390" s="116">
        <v>13</v>
      </c>
      <c r="C390" s="81" t="s">
        <v>132</v>
      </c>
      <c r="D390" s="111" t="s">
        <v>240</v>
      </c>
      <c r="E390" s="81" t="s">
        <v>110</v>
      </c>
      <c r="F390" s="52">
        <v>7.23</v>
      </c>
      <c r="G390" s="52">
        <f t="shared" si="44"/>
        <v>8.2000000000000011</v>
      </c>
      <c r="H390" s="110"/>
      <c r="I390" s="81">
        <v>9.61</v>
      </c>
      <c r="J390" s="81">
        <f>VLOOKUP(C390,Recipes!$A$2:$N$4,12,FALSE())</f>
        <v>6.1509461004819709E-2</v>
      </c>
      <c r="K390" s="81">
        <f t="shared" si="45"/>
        <v>9.2409432339710804</v>
      </c>
      <c r="L390" s="81">
        <f t="shared" si="48"/>
        <v>9.9790567660289184</v>
      </c>
      <c r="M390" s="81" t="str">
        <f t="shared" si="46"/>
        <v>NG</v>
      </c>
      <c r="N390" s="117">
        <f t="shared" si="49"/>
        <v>1</v>
      </c>
      <c r="O390" s="81">
        <f t="shared" si="47"/>
        <v>1.4099999999999984</v>
      </c>
      <c r="P390" s="81">
        <f>IF(G390="","",ABS(O390-Components!$C$2))</f>
        <v>1.3433333333333315</v>
      </c>
      <c r="Q390" s="81">
        <f>IF(G390="","",ABS(O390-Components!$C$3))</f>
        <v>2.6260000000000012</v>
      </c>
      <c r="R390" s="81">
        <f>IF(G390="","",ABS(O390-Components!$C$4))</f>
        <v>0.41666666666666541</v>
      </c>
      <c r="S390" s="81">
        <f>IF(G390="","",ABS(O390-Components!$C$5))</f>
        <v>3.1526666666666721</v>
      </c>
      <c r="T390" s="81">
        <f>IF(G390="","",ABS(O390-Components!$C$6))</f>
        <v>0.25433333333332842</v>
      </c>
      <c r="U390" s="81">
        <f>IF(G390="","",ABS(O390-Components!$C$7))</f>
        <v>3.566666666666829E-2</v>
      </c>
      <c r="V390" s="81" t="str">
        <f>IF(G390="","",IF(M390="OK","NONE",INDEX({"S1","S2","W1","W2","N1","N2"},MATCH(MIN(P390:U390),P390:U390,0))))</f>
        <v>N2</v>
      </c>
      <c r="W390" s="117">
        <f t="shared" si="50"/>
        <v>1</v>
      </c>
      <c r="X390" s="119"/>
    </row>
    <row r="391" spans="1:24">
      <c r="A391" s="115">
        <v>389</v>
      </c>
      <c r="B391" s="116">
        <v>13</v>
      </c>
      <c r="C391" s="61" t="s">
        <v>132</v>
      </c>
      <c r="D391" s="61" t="s">
        <v>240</v>
      </c>
      <c r="E391" s="61" t="s">
        <v>110</v>
      </c>
      <c r="F391" s="61">
        <v>7.25</v>
      </c>
      <c r="G391" s="52">
        <f t="shared" si="44"/>
        <v>8.2200000000000006</v>
      </c>
      <c r="H391" s="110"/>
      <c r="I391" s="81">
        <v>9.61</v>
      </c>
      <c r="J391" s="81">
        <f>VLOOKUP(C391,Recipes!$A$2:$N$4,12,FALSE())</f>
        <v>6.1509461004819709E-2</v>
      </c>
      <c r="K391" s="81">
        <f t="shared" si="45"/>
        <v>9.2409432339710804</v>
      </c>
      <c r="L391" s="81">
        <f t="shared" si="48"/>
        <v>9.9790567660289184</v>
      </c>
      <c r="M391" s="81" t="str">
        <f t="shared" si="46"/>
        <v>NG</v>
      </c>
      <c r="N391" s="117">
        <f t="shared" si="49"/>
        <v>1</v>
      </c>
      <c r="O391" s="81">
        <f t="shared" si="47"/>
        <v>1.3899999999999988</v>
      </c>
      <c r="P391" s="81">
        <f>IF(G391="","",ABS(O391-Components!$C$2))</f>
        <v>1.3633333333333311</v>
      </c>
      <c r="Q391" s="81">
        <f>IF(G391="","",ABS(O391-Components!$C$3))</f>
        <v>2.6460000000000008</v>
      </c>
      <c r="R391" s="81">
        <f>IF(G391="","",ABS(O391-Components!$C$4))</f>
        <v>0.39666666666666583</v>
      </c>
      <c r="S391" s="81">
        <f>IF(G391="","",ABS(O391-Components!$C$5))</f>
        <v>3.1726666666666716</v>
      </c>
      <c r="T391" s="81">
        <f>IF(G391="","",ABS(O391-Components!$C$6))</f>
        <v>0.23433333333332884</v>
      </c>
      <c r="U391" s="81">
        <f>IF(G391="","",ABS(O391-Components!$C$7))</f>
        <v>1.5666666666668716E-2</v>
      </c>
      <c r="V391" s="81" t="str">
        <f>IF(G391="","",IF(M391="OK","NONE",INDEX({"S1","S2","W1","W2","N1","N2"},MATCH(MIN(P391:U391),P391:U391,0))))</f>
        <v>N2</v>
      </c>
      <c r="W391" s="117">
        <f t="shared" si="50"/>
        <v>1</v>
      </c>
      <c r="X391" s="119"/>
    </row>
    <row r="392" spans="1:24">
      <c r="A392" s="115">
        <v>390</v>
      </c>
      <c r="B392" s="116">
        <v>13</v>
      </c>
      <c r="C392" s="61" t="s">
        <v>132</v>
      </c>
      <c r="D392" s="61" t="s">
        <v>240</v>
      </c>
      <c r="E392" s="61" t="s">
        <v>110</v>
      </c>
      <c r="F392" s="61">
        <v>7.2</v>
      </c>
      <c r="G392" s="52">
        <f t="shared" si="44"/>
        <v>8.17</v>
      </c>
      <c r="H392" s="110"/>
      <c r="I392" s="81">
        <v>9.61</v>
      </c>
      <c r="J392" s="81">
        <f>VLOOKUP(C392,Recipes!$A$2:$N$4,12,FALSE())</f>
        <v>6.1509461004819709E-2</v>
      </c>
      <c r="K392" s="81">
        <f t="shared" si="45"/>
        <v>9.2409432339710804</v>
      </c>
      <c r="L392" s="81">
        <f t="shared" si="48"/>
        <v>9.9790567660289184</v>
      </c>
      <c r="M392" s="81" t="str">
        <f t="shared" si="46"/>
        <v>NG</v>
      </c>
      <c r="N392" s="117">
        <f t="shared" si="49"/>
        <v>1</v>
      </c>
      <c r="O392" s="81">
        <f t="shared" si="47"/>
        <v>1.4399999999999995</v>
      </c>
      <c r="P392" s="81">
        <f>IF(G392="","",ABS(O392-Components!$C$2))</f>
        <v>1.3133333333333304</v>
      </c>
      <c r="Q392" s="81">
        <f>IF(G392="","",ABS(O392-Components!$C$3))</f>
        <v>2.5960000000000001</v>
      </c>
      <c r="R392" s="81">
        <f>IF(G392="","",ABS(O392-Components!$C$4))</f>
        <v>0.44666666666666655</v>
      </c>
      <c r="S392" s="81">
        <f>IF(G392="","",ABS(O392-Components!$C$5))</f>
        <v>3.1226666666666709</v>
      </c>
      <c r="T392" s="81">
        <f>IF(G392="","",ABS(O392-Components!$C$6))</f>
        <v>0.28433333333332955</v>
      </c>
      <c r="U392" s="81">
        <f>IF(G392="","",ABS(O392-Components!$C$7))</f>
        <v>6.5666666666669427E-2</v>
      </c>
      <c r="V392" s="81" t="str">
        <f>IF(G392="","",IF(M392="OK","NONE",INDEX({"S1","S2","W1","W2","N1","N2"},MATCH(MIN(P392:U392),P392:U392,0))))</f>
        <v>N2</v>
      </c>
      <c r="W392" s="117">
        <f t="shared" si="50"/>
        <v>1</v>
      </c>
      <c r="X392" s="119"/>
    </row>
    <row r="393" spans="1:24">
      <c r="A393" s="115">
        <v>391</v>
      </c>
      <c r="B393" s="116">
        <v>14</v>
      </c>
      <c r="C393" s="81" t="s">
        <v>132</v>
      </c>
      <c r="D393" s="111" t="s">
        <v>240</v>
      </c>
      <c r="E393" s="81" t="s">
        <v>108</v>
      </c>
      <c r="F393" s="61">
        <v>7.39</v>
      </c>
      <c r="G393" s="52">
        <f t="shared" si="44"/>
        <v>8.36</v>
      </c>
      <c r="H393" s="110"/>
      <c r="I393" s="81">
        <v>9.61</v>
      </c>
      <c r="J393" s="81">
        <f>VLOOKUP(C393,Recipes!$A$2:$N$4,12,FALSE())</f>
        <v>6.1509461004819709E-2</v>
      </c>
      <c r="K393" s="81">
        <f t="shared" si="45"/>
        <v>9.2409432339710804</v>
      </c>
      <c r="L393" s="81">
        <f t="shared" si="48"/>
        <v>9.9790567660289184</v>
      </c>
      <c r="M393" s="81" t="str">
        <f t="shared" si="46"/>
        <v>NG</v>
      </c>
      <c r="N393" s="117">
        <f t="shared" si="49"/>
        <v>1</v>
      </c>
      <c r="O393" s="81">
        <f t="shared" si="47"/>
        <v>1.25</v>
      </c>
      <c r="P393" s="81">
        <f>IF(G393="","",ABS(O393-Components!$C$2))</f>
        <v>1.5033333333333299</v>
      </c>
      <c r="Q393" s="81">
        <f>IF(G393="","",ABS(O393-Components!$C$3))</f>
        <v>2.7859999999999996</v>
      </c>
      <c r="R393" s="81">
        <f>IF(G393="","",ABS(O393-Components!$C$4))</f>
        <v>0.25666666666666704</v>
      </c>
      <c r="S393" s="81">
        <f>IF(G393="","",ABS(O393-Components!$C$5))</f>
        <v>3.3126666666666704</v>
      </c>
      <c r="T393" s="81">
        <f>IF(G393="","",ABS(O393-Components!$C$6))</f>
        <v>9.4333333333330049E-2</v>
      </c>
      <c r="U393" s="81">
        <f>IF(G393="","",ABS(O393-Components!$C$7))</f>
        <v>0.12433333333333008</v>
      </c>
      <c r="V393" s="81" t="str">
        <f>IF(G393="","",IF(M393="OK","NONE",INDEX({"S1","S2","W1","W2","N1","N2"},MATCH(MIN(P393:U393),P393:U393,0))))</f>
        <v>N1</v>
      </c>
      <c r="W393" s="117">
        <f t="shared" si="50"/>
        <v>1</v>
      </c>
      <c r="X393" s="119"/>
    </row>
    <row r="394" spans="1:24">
      <c r="A394" s="115">
        <v>392</v>
      </c>
      <c r="B394" s="116">
        <v>14</v>
      </c>
      <c r="C394" s="81" t="s">
        <v>132</v>
      </c>
      <c r="D394" s="111" t="s">
        <v>240</v>
      </c>
      <c r="E394" s="81" t="s">
        <v>108</v>
      </c>
      <c r="F394" s="61">
        <v>7.49</v>
      </c>
      <c r="G394" s="52">
        <f t="shared" si="44"/>
        <v>8.4600000000000009</v>
      </c>
      <c r="H394" s="110"/>
      <c r="I394" s="81">
        <v>9.61</v>
      </c>
      <c r="J394" s="81">
        <f>VLOOKUP(C394,Recipes!$A$2:$N$4,12,FALSE())</f>
        <v>6.1509461004819709E-2</v>
      </c>
      <c r="K394" s="81">
        <f t="shared" si="45"/>
        <v>9.2409432339710804</v>
      </c>
      <c r="L394" s="81">
        <f t="shared" si="48"/>
        <v>9.9790567660289184</v>
      </c>
      <c r="M394" s="81" t="str">
        <f t="shared" si="46"/>
        <v>NG</v>
      </c>
      <c r="N394" s="117">
        <f t="shared" si="49"/>
        <v>1</v>
      </c>
      <c r="O394" s="81">
        <f t="shared" si="47"/>
        <v>1.1499999999999986</v>
      </c>
      <c r="P394" s="81">
        <f>IF(G394="","",ABS(O394-Components!$C$2))</f>
        <v>1.6033333333333313</v>
      </c>
      <c r="Q394" s="81">
        <f>IF(G394="","",ABS(O394-Components!$C$3))</f>
        <v>2.886000000000001</v>
      </c>
      <c r="R394" s="81">
        <f>IF(G394="","",ABS(O394-Components!$C$4))</f>
        <v>0.15666666666666562</v>
      </c>
      <c r="S394" s="81">
        <f>IF(G394="","",ABS(O394-Components!$C$5))</f>
        <v>3.4126666666666718</v>
      </c>
      <c r="T394" s="81">
        <f>IF(G394="","",ABS(O394-Components!$C$6))</f>
        <v>5.6666666666713716E-3</v>
      </c>
      <c r="U394" s="81">
        <f>IF(G394="","",ABS(O394-Components!$C$7))</f>
        <v>0.2243333333333315</v>
      </c>
      <c r="V394" s="81" t="str">
        <f>IF(G394="","",IF(M394="OK","NONE",INDEX({"S1","S2","W1","W2","N1","N2"},MATCH(MIN(P394:U394),P394:U394,0))))</f>
        <v>N1</v>
      </c>
      <c r="W394" s="117">
        <f t="shared" si="50"/>
        <v>1</v>
      </c>
      <c r="X394" s="119"/>
    </row>
    <row r="395" spans="1:24">
      <c r="A395" s="115">
        <v>393</v>
      </c>
      <c r="B395" s="116">
        <v>14</v>
      </c>
      <c r="C395" s="81" t="s">
        <v>132</v>
      </c>
      <c r="D395" s="111" t="s">
        <v>240</v>
      </c>
      <c r="E395" s="81" t="s">
        <v>108</v>
      </c>
      <c r="F395" s="61">
        <v>7.43</v>
      </c>
      <c r="G395" s="52">
        <f t="shared" si="44"/>
        <v>8.4</v>
      </c>
      <c r="H395" s="110"/>
      <c r="I395" s="81">
        <v>9.61</v>
      </c>
      <c r="J395" s="81">
        <f>VLOOKUP(C395,Recipes!$A$2:$N$4,12,FALSE())</f>
        <v>6.1509461004819709E-2</v>
      </c>
      <c r="K395" s="81">
        <f t="shared" si="45"/>
        <v>9.2409432339710804</v>
      </c>
      <c r="L395" s="81">
        <f t="shared" si="48"/>
        <v>9.9790567660289184</v>
      </c>
      <c r="M395" s="81" t="str">
        <f t="shared" si="46"/>
        <v>NG</v>
      </c>
      <c r="N395" s="117">
        <f t="shared" si="49"/>
        <v>1</v>
      </c>
      <c r="O395" s="81">
        <f t="shared" si="47"/>
        <v>1.2099999999999991</v>
      </c>
      <c r="P395" s="81">
        <f>IF(G395="","",ABS(O395-Components!$C$2))</f>
        <v>1.5433333333333308</v>
      </c>
      <c r="Q395" s="81">
        <f>IF(G395="","",ABS(O395-Components!$C$3))</f>
        <v>2.8260000000000005</v>
      </c>
      <c r="R395" s="81">
        <f>IF(G395="","",ABS(O395-Components!$C$4))</f>
        <v>0.21666666666666612</v>
      </c>
      <c r="S395" s="81">
        <f>IF(G395="","",ABS(O395-Components!$C$5))</f>
        <v>3.3526666666666713</v>
      </c>
      <c r="T395" s="81">
        <f>IF(G395="","",ABS(O395-Components!$C$6))</f>
        <v>5.4333333333329126E-2</v>
      </c>
      <c r="U395" s="81">
        <f>IF(G395="","",ABS(O395-Components!$C$7))</f>
        <v>0.164333333333331</v>
      </c>
      <c r="V395" s="81" t="str">
        <f>IF(G395="","",IF(M395="OK","NONE",INDEX({"S1","S2","W1","W2","N1","N2"},MATCH(MIN(P395:U395),P395:U395,0))))</f>
        <v>N1</v>
      </c>
      <c r="W395" s="117">
        <f t="shared" si="50"/>
        <v>1</v>
      </c>
      <c r="X395" s="119"/>
    </row>
    <row r="396" spans="1:24">
      <c r="A396" s="115">
        <v>394</v>
      </c>
      <c r="B396" s="116">
        <v>14</v>
      </c>
      <c r="C396" s="81" t="s">
        <v>132</v>
      </c>
      <c r="D396" s="111" t="s">
        <v>240</v>
      </c>
      <c r="E396" s="81" t="s">
        <v>108</v>
      </c>
      <c r="F396" s="61">
        <v>7.39</v>
      </c>
      <c r="G396" s="52">
        <f t="shared" si="44"/>
        <v>8.36</v>
      </c>
      <c r="H396" s="110"/>
      <c r="I396" s="81">
        <v>9.61</v>
      </c>
      <c r="J396" s="81">
        <f>VLOOKUP(C396,Recipes!$A$2:$N$4,12,FALSE())</f>
        <v>6.1509461004819709E-2</v>
      </c>
      <c r="K396" s="81">
        <f t="shared" si="45"/>
        <v>9.2409432339710804</v>
      </c>
      <c r="L396" s="81">
        <f t="shared" si="48"/>
        <v>9.9790567660289184</v>
      </c>
      <c r="M396" s="81" t="str">
        <f t="shared" si="46"/>
        <v>NG</v>
      </c>
      <c r="N396" s="117">
        <f t="shared" si="49"/>
        <v>1</v>
      </c>
      <c r="O396" s="81">
        <f t="shared" si="47"/>
        <v>1.25</v>
      </c>
      <c r="P396" s="81">
        <f>IF(G396="","",ABS(O396-Components!$C$2))</f>
        <v>1.5033333333333299</v>
      </c>
      <c r="Q396" s="81">
        <f>IF(G396="","",ABS(O396-Components!$C$3))</f>
        <v>2.7859999999999996</v>
      </c>
      <c r="R396" s="81">
        <f>IF(G396="","",ABS(O396-Components!$C$4))</f>
        <v>0.25666666666666704</v>
      </c>
      <c r="S396" s="81">
        <f>IF(G396="","",ABS(O396-Components!$C$5))</f>
        <v>3.3126666666666704</v>
      </c>
      <c r="T396" s="81">
        <f>IF(G396="","",ABS(O396-Components!$C$6))</f>
        <v>9.4333333333330049E-2</v>
      </c>
      <c r="U396" s="81">
        <f>IF(G396="","",ABS(O396-Components!$C$7))</f>
        <v>0.12433333333333008</v>
      </c>
      <c r="V396" s="81" t="str">
        <f>IF(G396="","",IF(M396="OK","NONE",INDEX({"S1","S2","W1","W2","N1","N2"},MATCH(MIN(P396:U396),P396:U396,0))))</f>
        <v>N1</v>
      </c>
      <c r="W396" s="117">
        <f t="shared" si="50"/>
        <v>1</v>
      </c>
      <c r="X396" s="119"/>
    </row>
    <row r="397" spans="1:24">
      <c r="A397" s="115">
        <v>395</v>
      </c>
      <c r="B397" s="116">
        <v>14</v>
      </c>
      <c r="C397" s="81" t="s">
        <v>132</v>
      </c>
      <c r="D397" s="111" t="s">
        <v>240</v>
      </c>
      <c r="E397" s="81" t="s">
        <v>108</v>
      </c>
      <c r="F397" s="61">
        <v>7.49</v>
      </c>
      <c r="G397" s="52">
        <f t="shared" si="44"/>
        <v>8.4600000000000009</v>
      </c>
      <c r="H397" s="110"/>
      <c r="I397" s="81">
        <v>9.61</v>
      </c>
      <c r="J397" s="81">
        <f>VLOOKUP(C397,Recipes!$A$2:$N$4,12,FALSE())</f>
        <v>6.1509461004819709E-2</v>
      </c>
      <c r="K397" s="81">
        <f t="shared" si="45"/>
        <v>9.2409432339710804</v>
      </c>
      <c r="L397" s="81">
        <f t="shared" si="48"/>
        <v>9.9790567660289184</v>
      </c>
      <c r="M397" s="81" t="str">
        <f t="shared" si="46"/>
        <v>NG</v>
      </c>
      <c r="N397" s="117">
        <f t="shared" si="49"/>
        <v>1</v>
      </c>
      <c r="O397" s="81">
        <f t="shared" si="47"/>
        <v>1.1499999999999986</v>
      </c>
      <c r="P397" s="81">
        <f>IF(G397="","",ABS(O397-Components!$C$2))</f>
        <v>1.6033333333333313</v>
      </c>
      <c r="Q397" s="81">
        <f>IF(G397="","",ABS(O397-Components!$C$3))</f>
        <v>2.886000000000001</v>
      </c>
      <c r="R397" s="81">
        <f>IF(G397="","",ABS(O397-Components!$C$4))</f>
        <v>0.15666666666666562</v>
      </c>
      <c r="S397" s="81">
        <f>IF(G397="","",ABS(O397-Components!$C$5))</f>
        <v>3.4126666666666718</v>
      </c>
      <c r="T397" s="81">
        <f>IF(G397="","",ABS(O397-Components!$C$6))</f>
        <v>5.6666666666713716E-3</v>
      </c>
      <c r="U397" s="81">
        <f>IF(G397="","",ABS(O397-Components!$C$7))</f>
        <v>0.2243333333333315</v>
      </c>
      <c r="V397" s="81" t="str">
        <f>IF(G397="","",IF(M397="OK","NONE",INDEX({"S1","S2","W1","W2","N1","N2"},MATCH(MIN(P397:U397),P397:U397,0))))</f>
        <v>N1</v>
      </c>
      <c r="W397" s="117">
        <f t="shared" si="50"/>
        <v>1</v>
      </c>
      <c r="X397" s="119"/>
    </row>
    <row r="398" spans="1:24">
      <c r="A398" s="115">
        <v>396</v>
      </c>
      <c r="B398" s="116">
        <v>14</v>
      </c>
      <c r="C398" s="81" t="s">
        <v>132</v>
      </c>
      <c r="D398" s="111" t="s">
        <v>240</v>
      </c>
      <c r="E398" s="81" t="s">
        <v>108</v>
      </c>
      <c r="F398" s="61">
        <v>7.48</v>
      </c>
      <c r="G398" s="52">
        <f t="shared" si="44"/>
        <v>8.4500000000000011</v>
      </c>
      <c r="H398" s="110"/>
      <c r="I398" s="81">
        <v>9.61</v>
      </c>
      <c r="J398" s="81">
        <f>VLOOKUP(C398,Recipes!$A$2:$N$4,12,FALSE())</f>
        <v>6.1509461004819709E-2</v>
      </c>
      <c r="K398" s="81">
        <f t="shared" si="45"/>
        <v>9.2409432339710804</v>
      </c>
      <c r="L398" s="81">
        <f t="shared" si="48"/>
        <v>9.9790567660289184</v>
      </c>
      <c r="M398" s="81" t="str">
        <f t="shared" si="46"/>
        <v>NG</v>
      </c>
      <c r="N398" s="117">
        <f t="shared" si="49"/>
        <v>1</v>
      </c>
      <c r="O398" s="81">
        <f t="shared" si="47"/>
        <v>1.1599999999999984</v>
      </c>
      <c r="P398" s="81">
        <f>IF(G398="","",ABS(O398-Components!$C$2))</f>
        <v>1.5933333333333315</v>
      </c>
      <c r="Q398" s="81">
        <f>IF(G398="","",ABS(O398-Components!$C$3))</f>
        <v>2.8760000000000012</v>
      </c>
      <c r="R398" s="81">
        <f>IF(G398="","",ABS(O398-Components!$C$4))</f>
        <v>0.16666666666666541</v>
      </c>
      <c r="S398" s="81">
        <f>IF(G398="","",ABS(O398-Components!$C$5))</f>
        <v>3.4026666666666721</v>
      </c>
      <c r="T398" s="81">
        <f>IF(G398="","",ABS(O398-Components!$C$6))</f>
        <v>4.3333333333284152E-3</v>
      </c>
      <c r="U398" s="81">
        <f>IF(G398="","",ABS(O398-Components!$C$7))</f>
        <v>0.21433333333333171</v>
      </c>
      <c r="V398" s="81" t="str">
        <f>IF(G398="","",IF(M398="OK","NONE",INDEX({"S1","S2","W1","W2","N1","N2"},MATCH(MIN(P398:U398),P398:U398,0))))</f>
        <v>N1</v>
      </c>
      <c r="W398" s="117">
        <f t="shared" si="50"/>
        <v>1</v>
      </c>
      <c r="X398" s="119"/>
    </row>
    <row r="399" spans="1:24">
      <c r="A399" s="115">
        <v>397</v>
      </c>
      <c r="B399" s="116">
        <v>14</v>
      </c>
      <c r="C399" s="81" t="s">
        <v>132</v>
      </c>
      <c r="D399" s="111" t="s">
        <v>240</v>
      </c>
      <c r="E399" s="81" t="s">
        <v>108</v>
      </c>
      <c r="F399" s="61">
        <v>7.46</v>
      </c>
      <c r="G399" s="52">
        <f t="shared" si="44"/>
        <v>8.43</v>
      </c>
      <c r="H399" s="110"/>
      <c r="I399" s="81">
        <v>9.61</v>
      </c>
      <c r="J399" s="81">
        <f>VLOOKUP(C399,Recipes!$A$2:$N$4,12,FALSE())</f>
        <v>6.1509461004819709E-2</v>
      </c>
      <c r="K399" s="81">
        <f t="shared" si="45"/>
        <v>9.2409432339710804</v>
      </c>
      <c r="L399" s="81">
        <f t="shared" si="48"/>
        <v>9.9790567660289184</v>
      </c>
      <c r="M399" s="81" t="str">
        <f t="shared" si="46"/>
        <v>NG</v>
      </c>
      <c r="N399" s="117">
        <f t="shared" si="49"/>
        <v>1</v>
      </c>
      <c r="O399" s="81">
        <f t="shared" si="47"/>
        <v>1.1799999999999997</v>
      </c>
      <c r="P399" s="81">
        <f>IF(G399="","",ABS(O399-Components!$C$2))</f>
        <v>1.5733333333333301</v>
      </c>
      <c r="Q399" s="81">
        <f>IF(G399="","",ABS(O399-Components!$C$3))</f>
        <v>2.8559999999999999</v>
      </c>
      <c r="R399" s="81">
        <f>IF(G399="","",ABS(O399-Components!$C$4))</f>
        <v>0.18666666666666676</v>
      </c>
      <c r="S399" s="81">
        <f>IF(G399="","",ABS(O399-Components!$C$5))</f>
        <v>3.3826666666666707</v>
      </c>
      <c r="T399" s="81">
        <f>IF(G399="","",ABS(O399-Components!$C$6))</f>
        <v>2.4333333333329765E-2</v>
      </c>
      <c r="U399" s="81">
        <f>IF(G399="","",ABS(O399-Components!$C$7))</f>
        <v>0.19433333333333036</v>
      </c>
      <c r="V399" s="81" t="str">
        <f>IF(G399="","",IF(M399="OK","NONE",INDEX({"S1","S2","W1","W2","N1","N2"},MATCH(MIN(P399:U399),P399:U399,0))))</f>
        <v>N1</v>
      </c>
      <c r="W399" s="117">
        <f t="shared" si="50"/>
        <v>1</v>
      </c>
      <c r="X399" s="119"/>
    </row>
    <row r="400" spans="1:24">
      <c r="A400" s="115">
        <v>398</v>
      </c>
      <c r="B400" s="116">
        <v>14</v>
      </c>
      <c r="C400" s="81" t="s">
        <v>132</v>
      </c>
      <c r="D400" s="111" t="s">
        <v>240</v>
      </c>
      <c r="E400" s="81" t="s">
        <v>108</v>
      </c>
      <c r="F400" s="61">
        <v>7.48</v>
      </c>
      <c r="G400" s="52">
        <f t="shared" si="44"/>
        <v>8.4500000000000011</v>
      </c>
      <c r="H400" s="110"/>
      <c r="I400" s="81">
        <v>9.61</v>
      </c>
      <c r="J400" s="81">
        <f>VLOOKUP(C400,Recipes!$A$2:$N$4,12,FALSE())</f>
        <v>6.1509461004819709E-2</v>
      </c>
      <c r="K400" s="81">
        <f t="shared" si="45"/>
        <v>9.2409432339710804</v>
      </c>
      <c r="L400" s="81">
        <f t="shared" si="48"/>
        <v>9.9790567660289184</v>
      </c>
      <c r="M400" s="81" t="str">
        <f t="shared" si="46"/>
        <v>NG</v>
      </c>
      <c r="N400" s="117">
        <f t="shared" si="49"/>
        <v>1</v>
      </c>
      <c r="O400" s="81">
        <f t="shared" si="47"/>
        <v>1.1599999999999984</v>
      </c>
      <c r="P400" s="81">
        <f>IF(G400="","",ABS(O400-Components!$C$2))</f>
        <v>1.5933333333333315</v>
      </c>
      <c r="Q400" s="81">
        <f>IF(G400="","",ABS(O400-Components!$C$3))</f>
        <v>2.8760000000000012</v>
      </c>
      <c r="R400" s="81">
        <f>IF(G400="","",ABS(O400-Components!$C$4))</f>
        <v>0.16666666666666541</v>
      </c>
      <c r="S400" s="81">
        <f>IF(G400="","",ABS(O400-Components!$C$5))</f>
        <v>3.4026666666666721</v>
      </c>
      <c r="T400" s="81">
        <f>IF(G400="","",ABS(O400-Components!$C$6))</f>
        <v>4.3333333333284152E-3</v>
      </c>
      <c r="U400" s="81">
        <f>IF(G400="","",ABS(O400-Components!$C$7))</f>
        <v>0.21433333333333171</v>
      </c>
      <c r="V400" s="81" t="str">
        <f>IF(G400="","",IF(M400="OK","NONE",INDEX({"S1","S2","W1","W2","N1","N2"},MATCH(MIN(P400:U400),P400:U400,0))))</f>
        <v>N1</v>
      </c>
      <c r="W400" s="117">
        <f t="shared" si="50"/>
        <v>1</v>
      </c>
      <c r="X400" s="119"/>
    </row>
    <row r="401" spans="1:24">
      <c r="A401" s="115">
        <v>399</v>
      </c>
      <c r="B401" s="116">
        <v>14</v>
      </c>
      <c r="C401" s="81" t="s">
        <v>132</v>
      </c>
      <c r="D401" s="111" t="s">
        <v>240</v>
      </c>
      <c r="E401" s="81" t="s">
        <v>108</v>
      </c>
      <c r="F401" s="61">
        <v>7.45</v>
      </c>
      <c r="G401" s="52">
        <f t="shared" si="44"/>
        <v>8.42</v>
      </c>
      <c r="H401" s="110"/>
      <c r="I401" s="81">
        <v>9.61</v>
      </c>
      <c r="J401" s="81">
        <f>VLOOKUP(C401,Recipes!$A$2:$N$4,12,FALSE())</f>
        <v>6.1509461004819709E-2</v>
      </c>
      <c r="K401" s="81">
        <f t="shared" si="45"/>
        <v>9.2409432339710804</v>
      </c>
      <c r="L401" s="81">
        <f t="shared" si="48"/>
        <v>9.9790567660289184</v>
      </c>
      <c r="M401" s="81" t="str">
        <f t="shared" si="46"/>
        <v>NG</v>
      </c>
      <c r="N401" s="117">
        <f t="shared" si="49"/>
        <v>1</v>
      </c>
      <c r="O401" s="81">
        <f t="shared" si="47"/>
        <v>1.1899999999999995</v>
      </c>
      <c r="P401" s="81">
        <f>IF(G401="","",ABS(O401-Components!$C$2))</f>
        <v>1.5633333333333304</v>
      </c>
      <c r="Q401" s="81">
        <f>IF(G401="","",ABS(O401-Components!$C$3))</f>
        <v>2.8460000000000001</v>
      </c>
      <c r="R401" s="81">
        <f>IF(G401="","",ABS(O401-Components!$C$4))</f>
        <v>0.19666666666666655</v>
      </c>
      <c r="S401" s="81">
        <f>IF(G401="","",ABS(O401-Components!$C$5))</f>
        <v>3.3726666666666709</v>
      </c>
      <c r="T401" s="81">
        <f>IF(G401="","",ABS(O401-Components!$C$6))</f>
        <v>3.4333333333329552E-2</v>
      </c>
      <c r="U401" s="81">
        <f>IF(G401="","",ABS(O401-Components!$C$7))</f>
        <v>0.18433333333333057</v>
      </c>
      <c r="V401" s="81" t="str">
        <f>IF(G401="","",IF(M401="OK","NONE",INDEX({"S1","S2","W1","W2","N1","N2"},MATCH(MIN(P401:U401),P401:U401,0))))</f>
        <v>N1</v>
      </c>
      <c r="W401" s="117">
        <f t="shared" si="50"/>
        <v>1</v>
      </c>
      <c r="X401" s="119"/>
    </row>
    <row r="402" spans="1:24">
      <c r="A402" s="115">
        <v>400</v>
      </c>
      <c r="B402" s="116">
        <v>14</v>
      </c>
      <c r="C402" s="81" t="s">
        <v>132</v>
      </c>
      <c r="D402" s="111" t="s">
        <v>240</v>
      </c>
      <c r="E402" s="81" t="s">
        <v>108</v>
      </c>
      <c r="F402" s="61">
        <v>7.43</v>
      </c>
      <c r="G402" s="52">
        <f t="shared" si="44"/>
        <v>8.4</v>
      </c>
      <c r="H402" s="110"/>
      <c r="I402" s="81">
        <v>9.61</v>
      </c>
      <c r="J402" s="81">
        <f>VLOOKUP(C402,Recipes!$A$2:$N$4,12,FALSE())</f>
        <v>6.1509461004819709E-2</v>
      </c>
      <c r="K402" s="81">
        <f t="shared" si="45"/>
        <v>9.2409432339710804</v>
      </c>
      <c r="L402" s="81">
        <f t="shared" si="48"/>
        <v>9.9790567660289184</v>
      </c>
      <c r="M402" s="81" t="str">
        <f t="shared" si="46"/>
        <v>NG</v>
      </c>
      <c r="N402" s="117">
        <f t="shared" si="49"/>
        <v>1</v>
      </c>
      <c r="O402" s="81">
        <f t="shared" si="47"/>
        <v>1.2099999999999991</v>
      </c>
      <c r="P402" s="81">
        <f>IF(G402="","",ABS(O402-Components!$C$2))</f>
        <v>1.5433333333333308</v>
      </c>
      <c r="Q402" s="81">
        <f>IF(G402="","",ABS(O402-Components!$C$3))</f>
        <v>2.8260000000000005</v>
      </c>
      <c r="R402" s="81">
        <f>IF(G402="","",ABS(O402-Components!$C$4))</f>
        <v>0.21666666666666612</v>
      </c>
      <c r="S402" s="81">
        <f>IF(G402="","",ABS(O402-Components!$C$5))</f>
        <v>3.3526666666666713</v>
      </c>
      <c r="T402" s="81">
        <f>IF(G402="","",ABS(O402-Components!$C$6))</f>
        <v>5.4333333333329126E-2</v>
      </c>
      <c r="U402" s="81">
        <f>IF(G402="","",ABS(O402-Components!$C$7))</f>
        <v>0.164333333333331</v>
      </c>
      <c r="V402" s="81" t="str">
        <f>IF(G402="","",IF(M402="OK","NONE",INDEX({"S1","S2","W1","W2","N1","N2"},MATCH(MIN(P402:U402),P402:U402,0))))</f>
        <v>N1</v>
      </c>
      <c r="W402" s="117">
        <f t="shared" si="50"/>
        <v>1</v>
      </c>
      <c r="X402" s="119"/>
    </row>
    <row r="403" spans="1:24">
      <c r="A403" s="115">
        <v>401</v>
      </c>
      <c r="B403" s="116">
        <v>14</v>
      </c>
      <c r="C403" s="81" t="s">
        <v>132</v>
      </c>
      <c r="D403" s="111" t="s">
        <v>240</v>
      </c>
      <c r="E403" s="81" t="s">
        <v>108</v>
      </c>
      <c r="F403" s="61">
        <v>7.48</v>
      </c>
      <c r="G403" s="52">
        <f t="shared" si="44"/>
        <v>8.4500000000000011</v>
      </c>
      <c r="H403" s="110"/>
      <c r="I403" s="81">
        <v>9.61</v>
      </c>
      <c r="J403" s="81">
        <f>VLOOKUP(C403,Recipes!$A$2:$N$4,12,FALSE())</f>
        <v>6.1509461004819709E-2</v>
      </c>
      <c r="K403" s="81">
        <f t="shared" si="45"/>
        <v>9.2409432339710804</v>
      </c>
      <c r="L403" s="81">
        <f t="shared" si="48"/>
        <v>9.9790567660289184</v>
      </c>
      <c r="M403" s="81" t="str">
        <f t="shared" si="46"/>
        <v>NG</v>
      </c>
      <c r="N403" s="117">
        <f t="shared" si="49"/>
        <v>1</v>
      </c>
      <c r="O403" s="81">
        <f t="shared" si="47"/>
        <v>1.1599999999999984</v>
      </c>
      <c r="P403" s="81">
        <f>IF(G403="","",ABS(O403-Components!$C$2))</f>
        <v>1.5933333333333315</v>
      </c>
      <c r="Q403" s="81">
        <f>IF(G403="","",ABS(O403-Components!$C$3))</f>
        <v>2.8760000000000012</v>
      </c>
      <c r="R403" s="81">
        <f>IF(G403="","",ABS(O403-Components!$C$4))</f>
        <v>0.16666666666666541</v>
      </c>
      <c r="S403" s="81">
        <f>IF(G403="","",ABS(O403-Components!$C$5))</f>
        <v>3.4026666666666721</v>
      </c>
      <c r="T403" s="81">
        <f>IF(G403="","",ABS(O403-Components!$C$6))</f>
        <v>4.3333333333284152E-3</v>
      </c>
      <c r="U403" s="81">
        <f>IF(G403="","",ABS(O403-Components!$C$7))</f>
        <v>0.21433333333333171</v>
      </c>
      <c r="V403" s="81" t="str">
        <f>IF(G403="","",IF(M403="OK","NONE",INDEX({"S1","S2","W1","W2","N1","N2"},MATCH(MIN(P403:U403),P403:U403,0))))</f>
        <v>N1</v>
      </c>
      <c r="W403" s="117">
        <f t="shared" si="50"/>
        <v>1</v>
      </c>
      <c r="X403" s="119"/>
    </row>
    <row r="404" spans="1:24">
      <c r="A404" s="115">
        <v>402</v>
      </c>
      <c r="B404" s="116">
        <v>14</v>
      </c>
      <c r="C404" s="81" t="s">
        <v>132</v>
      </c>
      <c r="D404" s="111" t="s">
        <v>240</v>
      </c>
      <c r="E404" s="81" t="s">
        <v>108</v>
      </c>
      <c r="F404" s="61">
        <v>7.46</v>
      </c>
      <c r="G404" s="52">
        <f t="shared" si="44"/>
        <v>8.43</v>
      </c>
      <c r="H404" s="110"/>
      <c r="I404" s="81">
        <v>9.61</v>
      </c>
      <c r="J404" s="81">
        <f>VLOOKUP(C404,Recipes!$A$2:$N$4,12,FALSE())</f>
        <v>6.1509461004819709E-2</v>
      </c>
      <c r="K404" s="81">
        <f t="shared" si="45"/>
        <v>9.2409432339710804</v>
      </c>
      <c r="L404" s="81">
        <f t="shared" si="48"/>
        <v>9.9790567660289184</v>
      </c>
      <c r="M404" s="81" t="str">
        <f t="shared" si="46"/>
        <v>NG</v>
      </c>
      <c r="N404" s="117">
        <f t="shared" si="49"/>
        <v>1</v>
      </c>
      <c r="O404" s="81">
        <f t="shared" si="47"/>
        <v>1.1799999999999997</v>
      </c>
      <c r="P404" s="81">
        <f>IF(G404="","",ABS(O404-Components!$C$2))</f>
        <v>1.5733333333333301</v>
      </c>
      <c r="Q404" s="81">
        <f>IF(G404="","",ABS(O404-Components!$C$3))</f>
        <v>2.8559999999999999</v>
      </c>
      <c r="R404" s="81">
        <f>IF(G404="","",ABS(O404-Components!$C$4))</f>
        <v>0.18666666666666676</v>
      </c>
      <c r="S404" s="81">
        <f>IF(G404="","",ABS(O404-Components!$C$5))</f>
        <v>3.3826666666666707</v>
      </c>
      <c r="T404" s="81">
        <f>IF(G404="","",ABS(O404-Components!$C$6))</f>
        <v>2.4333333333329765E-2</v>
      </c>
      <c r="U404" s="81">
        <f>IF(G404="","",ABS(O404-Components!$C$7))</f>
        <v>0.19433333333333036</v>
      </c>
      <c r="V404" s="81" t="str">
        <f>IF(G404="","",IF(M404="OK","NONE",INDEX({"S1","S2","W1","W2","N1","N2"},MATCH(MIN(P404:U404),P404:U404,0))))</f>
        <v>N1</v>
      </c>
      <c r="W404" s="117">
        <f t="shared" si="50"/>
        <v>1</v>
      </c>
      <c r="X404" s="119"/>
    </row>
    <row r="405" spans="1:24">
      <c r="A405" s="115">
        <v>403</v>
      </c>
      <c r="B405" s="116">
        <v>14</v>
      </c>
      <c r="C405" s="81" t="s">
        <v>132</v>
      </c>
      <c r="D405" s="111" t="s">
        <v>240</v>
      </c>
      <c r="E405" s="81" t="s">
        <v>108</v>
      </c>
      <c r="F405" s="61">
        <v>7.47</v>
      </c>
      <c r="G405" s="52">
        <f t="shared" si="44"/>
        <v>8.44</v>
      </c>
      <c r="H405" s="110"/>
      <c r="I405" s="81">
        <v>9.61</v>
      </c>
      <c r="J405" s="81">
        <f>VLOOKUP(C405,Recipes!$A$2:$N$4,12,FALSE())</f>
        <v>6.1509461004819709E-2</v>
      </c>
      <c r="K405" s="81">
        <f t="shared" si="45"/>
        <v>9.2409432339710804</v>
      </c>
      <c r="L405" s="81">
        <f t="shared" si="48"/>
        <v>9.9790567660289184</v>
      </c>
      <c r="M405" s="81" t="str">
        <f t="shared" si="46"/>
        <v>NG</v>
      </c>
      <c r="N405" s="117">
        <f t="shared" si="49"/>
        <v>1</v>
      </c>
      <c r="O405" s="81">
        <f t="shared" si="47"/>
        <v>1.17</v>
      </c>
      <c r="P405" s="81">
        <f>IF(G405="","",ABS(O405-Components!$C$2))</f>
        <v>1.5833333333333299</v>
      </c>
      <c r="Q405" s="81">
        <f>IF(G405="","",ABS(O405-Components!$C$3))</f>
        <v>2.8659999999999997</v>
      </c>
      <c r="R405" s="81">
        <f>IF(G405="","",ABS(O405-Components!$C$4))</f>
        <v>0.17666666666666697</v>
      </c>
      <c r="S405" s="81">
        <f>IF(G405="","",ABS(O405-Components!$C$5))</f>
        <v>3.3926666666666705</v>
      </c>
      <c r="T405" s="81">
        <f>IF(G405="","",ABS(O405-Components!$C$6))</f>
        <v>1.4333333333329978E-2</v>
      </c>
      <c r="U405" s="81">
        <f>IF(G405="","",ABS(O405-Components!$C$7))</f>
        <v>0.20433333333333015</v>
      </c>
      <c r="V405" s="81" t="str">
        <f>IF(G405="","",IF(M405="OK","NONE",INDEX({"S1","S2","W1","W2","N1","N2"},MATCH(MIN(P405:U405),P405:U405,0))))</f>
        <v>N1</v>
      </c>
      <c r="W405" s="117">
        <f t="shared" si="50"/>
        <v>1</v>
      </c>
      <c r="X405" s="119"/>
    </row>
    <row r="406" spans="1:24">
      <c r="A406" s="115">
        <v>404</v>
      </c>
      <c r="B406" s="116">
        <v>14</v>
      </c>
      <c r="C406" s="81" t="s">
        <v>132</v>
      </c>
      <c r="D406" s="111" t="s">
        <v>240</v>
      </c>
      <c r="E406" s="81" t="s">
        <v>108</v>
      </c>
      <c r="F406" s="61">
        <v>7.3</v>
      </c>
      <c r="G406" s="52">
        <f t="shared" si="44"/>
        <v>8.27</v>
      </c>
      <c r="H406" s="110"/>
      <c r="I406" s="81">
        <v>9.61</v>
      </c>
      <c r="J406" s="81">
        <f>VLOOKUP(C406,Recipes!$A$2:$N$4,12,FALSE())</f>
        <v>6.1509461004819709E-2</v>
      </c>
      <c r="K406" s="81">
        <f t="shared" si="45"/>
        <v>9.2409432339710804</v>
      </c>
      <c r="L406" s="81">
        <f t="shared" si="48"/>
        <v>9.9790567660289184</v>
      </c>
      <c r="M406" s="81" t="str">
        <f t="shared" si="46"/>
        <v>NG</v>
      </c>
      <c r="N406" s="117">
        <f t="shared" si="49"/>
        <v>1</v>
      </c>
      <c r="O406" s="81">
        <f t="shared" si="47"/>
        <v>1.3399999999999999</v>
      </c>
      <c r="P406" s="81">
        <f>IF(G406="","",ABS(O406-Components!$C$2))</f>
        <v>1.41333333333333</v>
      </c>
      <c r="Q406" s="81">
        <f>IF(G406="","",ABS(O406-Components!$C$3))</f>
        <v>2.6959999999999997</v>
      </c>
      <c r="R406" s="81">
        <f>IF(G406="","",ABS(O406-Components!$C$4))</f>
        <v>0.3466666666666669</v>
      </c>
      <c r="S406" s="81">
        <f>IF(G406="","",ABS(O406-Components!$C$5))</f>
        <v>3.2226666666666706</v>
      </c>
      <c r="T406" s="81">
        <f>IF(G406="","",ABS(O406-Components!$C$6))</f>
        <v>0.18433333333332991</v>
      </c>
      <c r="U406" s="81">
        <f>IF(G406="","",ABS(O406-Components!$C$7))</f>
        <v>3.4333333333330218E-2</v>
      </c>
      <c r="V406" s="81" t="str">
        <f>IF(G406="","",IF(M406="OK","NONE",INDEX({"S1","S2","W1","W2","N1","N2"},MATCH(MIN(P406:U406),P406:U406,0))))</f>
        <v>N2</v>
      </c>
      <c r="W406" s="118">
        <f t="shared" si="50"/>
        <v>0</v>
      </c>
      <c r="X406" s="119"/>
    </row>
    <row r="407" spans="1:24">
      <c r="A407" s="115">
        <v>405</v>
      </c>
      <c r="B407" s="116">
        <v>14</v>
      </c>
      <c r="C407" s="81" t="s">
        <v>132</v>
      </c>
      <c r="D407" s="111" t="s">
        <v>240</v>
      </c>
      <c r="E407" s="81" t="s">
        <v>108</v>
      </c>
      <c r="F407" s="61">
        <v>7.44</v>
      </c>
      <c r="G407" s="52">
        <f t="shared" si="44"/>
        <v>8.41</v>
      </c>
      <c r="H407" s="110"/>
      <c r="I407" s="81">
        <v>9.61</v>
      </c>
      <c r="J407" s="81">
        <f>VLOOKUP(C407,Recipes!$A$2:$N$4,12,FALSE())</f>
        <v>6.1509461004819709E-2</v>
      </c>
      <c r="K407" s="81">
        <f t="shared" si="45"/>
        <v>9.2409432339710804</v>
      </c>
      <c r="L407" s="81">
        <f t="shared" si="48"/>
        <v>9.9790567660289184</v>
      </c>
      <c r="M407" s="81" t="str">
        <f t="shared" si="46"/>
        <v>NG</v>
      </c>
      <c r="N407" s="117">
        <f t="shared" si="49"/>
        <v>1</v>
      </c>
      <c r="O407" s="81">
        <f t="shared" si="47"/>
        <v>1.1999999999999993</v>
      </c>
      <c r="P407" s="81">
        <f>IF(G407="","",ABS(O407-Components!$C$2))</f>
        <v>1.5533333333333306</v>
      </c>
      <c r="Q407" s="81">
        <f>IF(G407="","",ABS(O407-Components!$C$3))</f>
        <v>2.8360000000000003</v>
      </c>
      <c r="R407" s="81">
        <f>IF(G407="","",ABS(O407-Components!$C$4))</f>
        <v>0.20666666666666633</v>
      </c>
      <c r="S407" s="81">
        <f>IF(G407="","",ABS(O407-Components!$C$5))</f>
        <v>3.3626666666666711</v>
      </c>
      <c r="T407" s="81">
        <f>IF(G407="","",ABS(O407-Components!$C$6))</f>
        <v>4.4333333333329339E-2</v>
      </c>
      <c r="U407" s="81">
        <f>IF(G407="","",ABS(O407-Components!$C$7))</f>
        <v>0.17433333333333079</v>
      </c>
      <c r="V407" s="81" t="str">
        <f>IF(G407="","",IF(M407="OK","NONE",INDEX({"S1","S2","W1","W2","N1","N2"},MATCH(MIN(P407:U407),P407:U407,0))))</f>
        <v>N1</v>
      </c>
      <c r="W407" s="117">
        <f t="shared" si="50"/>
        <v>1</v>
      </c>
      <c r="X407" s="119"/>
    </row>
    <row r="408" spans="1:24">
      <c r="A408" s="115">
        <v>406</v>
      </c>
      <c r="B408" s="116">
        <v>14</v>
      </c>
      <c r="C408" s="81" t="s">
        <v>132</v>
      </c>
      <c r="D408" s="111" t="s">
        <v>240</v>
      </c>
      <c r="E408" s="81" t="s">
        <v>108</v>
      </c>
      <c r="F408" s="61">
        <v>7.45</v>
      </c>
      <c r="G408" s="52">
        <f t="shared" si="44"/>
        <v>8.42</v>
      </c>
      <c r="H408" s="110"/>
      <c r="I408" s="81">
        <v>9.61</v>
      </c>
      <c r="J408" s="81">
        <f>VLOOKUP(C408,Recipes!$A$2:$N$4,12,FALSE())</f>
        <v>6.1509461004819709E-2</v>
      </c>
      <c r="K408" s="81">
        <f t="shared" si="45"/>
        <v>9.2409432339710804</v>
      </c>
      <c r="L408" s="81">
        <f t="shared" si="48"/>
        <v>9.9790567660289184</v>
      </c>
      <c r="M408" s="81" t="str">
        <f t="shared" si="46"/>
        <v>NG</v>
      </c>
      <c r="N408" s="117">
        <f t="shared" si="49"/>
        <v>1</v>
      </c>
      <c r="O408" s="81">
        <f t="shared" si="47"/>
        <v>1.1899999999999995</v>
      </c>
      <c r="P408" s="81">
        <f>IF(G408="","",ABS(O408-Components!$C$2))</f>
        <v>1.5633333333333304</v>
      </c>
      <c r="Q408" s="81">
        <f>IF(G408="","",ABS(O408-Components!$C$3))</f>
        <v>2.8460000000000001</v>
      </c>
      <c r="R408" s="81">
        <f>IF(G408="","",ABS(O408-Components!$C$4))</f>
        <v>0.19666666666666655</v>
      </c>
      <c r="S408" s="81">
        <f>IF(G408="","",ABS(O408-Components!$C$5))</f>
        <v>3.3726666666666709</v>
      </c>
      <c r="T408" s="81">
        <f>IF(G408="","",ABS(O408-Components!$C$6))</f>
        <v>3.4333333333329552E-2</v>
      </c>
      <c r="U408" s="81">
        <f>IF(G408="","",ABS(O408-Components!$C$7))</f>
        <v>0.18433333333333057</v>
      </c>
      <c r="V408" s="81" t="str">
        <f>IF(G408="","",IF(M408="OK","NONE",INDEX({"S1","S2","W1","W2","N1","N2"},MATCH(MIN(P408:U408),P408:U408,0))))</f>
        <v>N1</v>
      </c>
      <c r="W408" s="117">
        <f t="shared" si="50"/>
        <v>1</v>
      </c>
      <c r="X408" s="119"/>
    </row>
    <row r="409" spans="1:24">
      <c r="A409" s="115">
        <v>407</v>
      </c>
      <c r="B409" s="116">
        <v>14</v>
      </c>
      <c r="C409" s="81" t="s">
        <v>132</v>
      </c>
      <c r="D409" s="111" t="s">
        <v>240</v>
      </c>
      <c r="E409" s="81" t="s">
        <v>108</v>
      </c>
      <c r="F409" s="61">
        <v>7.45</v>
      </c>
      <c r="G409" s="52">
        <f t="shared" si="44"/>
        <v>8.42</v>
      </c>
      <c r="H409" s="110"/>
      <c r="I409" s="81">
        <v>9.61</v>
      </c>
      <c r="J409" s="81">
        <f>VLOOKUP(C409,Recipes!$A$2:$N$4,12,FALSE())</f>
        <v>6.1509461004819709E-2</v>
      </c>
      <c r="K409" s="81">
        <f t="shared" si="45"/>
        <v>9.2409432339710804</v>
      </c>
      <c r="L409" s="81">
        <f t="shared" si="48"/>
        <v>9.9790567660289184</v>
      </c>
      <c r="M409" s="81" t="str">
        <f t="shared" si="46"/>
        <v>NG</v>
      </c>
      <c r="N409" s="117">
        <f t="shared" si="49"/>
        <v>1</v>
      </c>
      <c r="O409" s="81">
        <f t="shared" si="47"/>
        <v>1.1899999999999995</v>
      </c>
      <c r="P409" s="81">
        <f>IF(G409="","",ABS(O409-Components!$C$2))</f>
        <v>1.5633333333333304</v>
      </c>
      <c r="Q409" s="81">
        <f>IF(G409="","",ABS(O409-Components!$C$3))</f>
        <v>2.8460000000000001</v>
      </c>
      <c r="R409" s="81">
        <f>IF(G409="","",ABS(O409-Components!$C$4))</f>
        <v>0.19666666666666655</v>
      </c>
      <c r="S409" s="81">
        <f>IF(G409="","",ABS(O409-Components!$C$5))</f>
        <v>3.3726666666666709</v>
      </c>
      <c r="T409" s="81">
        <f>IF(G409="","",ABS(O409-Components!$C$6))</f>
        <v>3.4333333333329552E-2</v>
      </c>
      <c r="U409" s="81">
        <f>IF(G409="","",ABS(O409-Components!$C$7))</f>
        <v>0.18433333333333057</v>
      </c>
      <c r="V409" s="81" t="str">
        <f>IF(G409="","",IF(M409="OK","NONE",INDEX({"S1","S2","W1","W2","N1","N2"},MATCH(MIN(P409:U409),P409:U409,0))))</f>
        <v>N1</v>
      </c>
      <c r="W409" s="117">
        <f t="shared" si="50"/>
        <v>1</v>
      </c>
      <c r="X409" s="119"/>
    </row>
    <row r="410" spans="1:24">
      <c r="A410" s="115">
        <v>408</v>
      </c>
      <c r="B410" s="116">
        <v>14</v>
      </c>
      <c r="C410" s="81" t="s">
        <v>132</v>
      </c>
      <c r="D410" s="111" t="s">
        <v>240</v>
      </c>
      <c r="E410" s="81" t="s">
        <v>108</v>
      </c>
      <c r="F410" s="61">
        <v>7.44</v>
      </c>
      <c r="G410" s="52">
        <f t="shared" si="44"/>
        <v>8.41</v>
      </c>
      <c r="H410" s="110"/>
      <c r="I410" s="81">
        <v>9.61</v>
      </c>
      <c r="J410" s="81">
        <f>VLOOKUP(C410,Recipes!$A$2:$N$4,12,FALSE())</f>
        <v>6.1509461004819709E-2</v>
      </c>
      <c r="K410" s="81">
        <f t="shared" si="45"/>
        <v>9.2409432339710804</v>
      </c>
      <c r="L410" s="81">
        <f t="shared" si="48"/>
        <v>9.9790567660289184</v>
      </c>
      <c r="M410" s="81" t="str">
        <f t="shared" si="46"/>
        <v>NG</v>
      </c>
      <c r="N410" s="117">
        <f t="shared" si="49"/>
        <v>1</v>
      </c>
      <c r="O410" s="81">
        <f t="shared" si="47"/>
        <v>1.1999999999999993</v>
      </c>
      <c r="P410" s="81">
        <f>IF(G410="","",ABS(O410-Components!$C$2))</f>
        <v>1.5533333333333306</v>
      </c>
      <c r="Q410" s="81">
        <f>IF(G410="","",ABS(O410-Components!$C$3))</f>
        <v>2.8360000000000003</v>
      </c>
      <c r="R410" s="81">
        <f>IF(G410="","",ABS(O410-Components!$C$4))</f>
        <v>0.20666666666666633</v>
      </c>
      <c r="S410" s="81">
        <f>IF(G410="","",ABS(O410-Components!$C$5))</f>
        <v>3.3626666666666711</v>
      </c>
      <c r="T410" s="81">
        <f>IF(G410="","",ABS(O410-Components!$C$6))</f>
        <v>4.4333333333329339E-2</v>
      </c>
      <c r="U410" s="81">
        <f>IF(G410="","",ABS(O410-Components!$C$7))</f>
        <v>0.17433333333333079</v>
      </c>
      <c r="V410" s="81" t="str">
        <f>IF(G410="","",IF(M410="OK","NONE",INDEX({"S1","S2","W1","W2","N1","N2"},MATCH(MIN(P410:U410),P410:U410,0))))</f>
        <v>N1</v>
      </c>
      <c r="W410" s="117">
        <f t="shared" si="50"/>
        <v>1</v>
      </c>
      <c r="X410" s="119"/>
    </row>
    <row r="411" spans="1:24">
      <c r="A411" s="115">
        <v>409</v>
      </c>
      <c r="B411" s="116">
        <v>14</v>
      </c>
      <c r="C411" s="81" t="s">
        <v>132</v>
      </c>
      <c r="D411" s="111" t="s">
        <v>240</v>
      </c>
      <c r="E411" s="81" t="s">
        <v>108</v>
      </c>
      <c r="F411" s="61">
        <v>7.47</v>
      </c>
      <c r="G411" s="52">
        <f t="shared" si="44"/>
        <v>8.44</v>
      </c>
      <c r="H411" s="110"/>
      <c r="I411" s="81">
        <v>9.61</v>
      </c>
      <c r="J411" s="81">
        <f>VLOOKUP(C411,Recipes!$A$2:$N$4,12,FALSE())</f>
        <v>6.1509461004819709E-2</v>
      </c>
      <c r="K411" s="81">
        <f t="shared" si="45"/>
        <v>9.2409432339710804</v>
      </c>
      <c r="L411" s="81">
        <f t="shared" si="48"/>
        <v>9.9790567660289184</v>
      </c>
      <c r="M411" s="81" t="str">
        <f t="shared" si="46"/>
        <v>NG</v>
      </c>
      <c r="N411" s="117">
        <f t="shared" si="49"/>
        <v>1</v>
      </c>
      <c r="O411" s="81">
        <f t="shared" si="47"/>
        <v>1.17</v>
      </c>
      <c r="P411" s="81">
        <f>IF(G411="","",ABS(O411-Components!$C$2))</f>
        <v>1.5833333333333299</v>
      </c>
      <c r="Q411" s="81">
        <f>IF(G411="","",ABS(O411-Components!$C$3))</f>
        <v>2.8659999999999997</v>
      </c>
      <c r="R411" s="81">
        <f>IF(G411="","",ABS(O411-Components!$C$4))</f>
        <v>0.17666666666666697</v>
      </c>
      <c r="S411" s="81">
        <f>IF(G411="","",ABS(O411-Components!$C$5))</f>
        <v>3.3926666666666705</v>
      </c>
      <c r="T411" s="81">
        <f>IF(G411="","",ABS(O411-Components!$C$6))</f>
        <v>1.4333333333329978E-2</v>
      </c>
      <c r="U411" s="81">
        <f>IF(G411="","",ABS(O411-Components!$C$7))</f>
        <v>0.20433333333333015</v>
      </c>
      <c r="V411" s="81" t="str">
        <f>IF(G411="","",IF(M411="OK","NONE",INDEX({"S1","S2","W1","W2","N1","N2"},MATCH(MIN(P411:U411),P411:U411,0))))</f>
        <v>N1</v>
      </c>
      <c r="W411" s="117">
        <f t="shared" si="50"/>
        <v>1</v>
      </c>
      <c r="X411" s="119"/>
    </row>
    <row r="412" spans="1:24">
      <c r="A412" s="115">
        <v>410</v>
      </c>
      <c r="B412" s="116">
        <v>14</v>
      </c>
      <c r="C412" s="81" t="s">
        <v>132</v>
      </c>
      <c r="D412" s="111" t="s">
        <v>240</v>
      </c>
      <c r="E412" s="81" t="s">
        <v>108</v>
      </c>
      <c r="F412" s="61">
        <v>7.38</v>
      </c>
      <c r="G412" s="52">
        <f t="shared" si="44"/>
        <v>8.35</v>
      </c>
      <c r="H412" s="110"/>
      <c r="I412" s="81">
        <v>9.61</v>
      </c>
      <c r="J412" s="81">
        <f>VLOOKUP(C412,Recipes!$A$2:$N$4,12,FALSE())</f>
        <v>6.1509461004819709E-2</v>
      </c>
      <c r="K412" s="81">
        <f t="shared" si="45"/>
        <v>9.2409432339710804</v>
      </c>
      <c r="L412" s="81">
        <f t="shared" si="48"/>
        <v>9.9790567660289184</v>
      </c>
      <c r="M412" s="81" t="str">
        <f t="shared" si="46"/>
        <v>NG</v>
      </c>
      <c r="N412" s="117">
        <f t="shared" si="49"/>
        <v>1</v>
      </c>
      <c r="O412" s="81">
        <f t="shared" si="47"/>
        <v>1.2599999999999998</v>
      </c>
      <c r="P412" s="81">
        <f>IF(G412="","",ABS(O412-Components!$C$2))</f>
        <v>1.4933333333333301</v>
      </c>
      <c r="Q412" s="81">
        <f>IF(G412="","",ABS(O412-Components!$C$3))</f>
        <v>2.7759999999999998</v>
      </c>
      <c r="R412" s="81">
        <f>IF(G412="","",ABS(O412-Components!$C$4))</f>
        <v>0.26666666666666683</v>
      </c>
      <c r="S412" s="81">
        <f>IF(G412="","",ABS(O412-Components!$C$5))</f>
        <v>3.3026666666666706</v>
      </c>
      <c r="T412" s="81">
        <f>IF(G412="","",ABS(O412-Components!$C$6))</f>
        <v>0.10433333333332984</v>
      </c>
      <c r="U412" s="81">
        <f>IF(G412="","",ABS(O412-Components!$C$7))</f>
        <v>0.11433333333333029</v>
      </c>
      <c r="V412" s="81" t="str">
        <f>IF(G412="","",IF(M412="OK","NONE",INDEX({"S1","S2","W1","W2","N1","N2"},MATCH(MIN(P412:U412),P412:U412,0))))</f>
        <v>N1</v>
      </c>
      <c r="W412" s="117">
        <f t="shared" si="50"/>
        <v>1</v>
      </c>
      <c r="X412" s="119"/>
    </row>
    <row r="413" spans="1:24">
      <c r="A413" s="115">
        <v>411</v>
      </c>
      <c r="B413" s="116">
        <v>14</v>
      </c>
      <c r="C413" s="81" t="s">
        <v>132</v>
      </c>
      <c r="D413" s="111" t="s">
        <v>240</v>
      </c>
      <c r="E413" s="81" t="s">
        <v>108</v>
      </c>
      <c r="F413" s="61">
        <v>7.45</v>
      </c>
      <c r="G413" s="52">
        <f t="shared" si="44"/>
        <v>8.42</v>
      </c>
      <c r="H413" s="110"/>
      <c r="I413" s="81">
        <v>9.61</v>
      </c>
      <c r="J413" s="81">
        <f>VLOOKUP(C413,Recipes!$A$2:$N$4,12,FALSE())</f>
        <v>6.1509461004819709E-2</v>
      </c>
      <c r="K413" s="81">
        <f t="shared" si="45"/>
        <v>9.2409432339710804</v>
      </c>
      <c r="L413" s="81">
        <f t="shared" si="48"/>
        <v>9.9790567660289184</v>
      </c>
      <c r="M413" s="81" t="str">
        <f t="shared" si="46"/>
        <v>NG</v>
      </c>
      <c r="N413" s="117">
        <f t="shared" si="49"/>
        <v>1</v>
      </c>
      <c r="O413" s="81">
        <f t="shared" si="47"/>
        <v>1.1899999999999995</v>
      </c>
      <c r="P413" s="81">
        <f>IF(G413="","",ABS(O413-Components!$C$2))</f>
        <v>1.5633333333333304</v>
      </c>
      <c r="Q413" s="81">
        <f>IF(G413="","",ABS(O413-Components!$C$3))</f>
        <v>2.8460000000000001</v>
      </c>
      <c r="R413" s="81">
        <f>IF(G413="","",ABS(O413-Components!$C$4))</f>
        <v>0.19666666666666655</v>
      </c>
      <c r="S413" s="81">
        <f>IF(G413="","",ABS(O413-Components!$C$5))</f>
        <v>3.3726666666666709</v>
      </c>
      <c r="T413" s="81">
        <f>IF(G413="","",ABS(O413-Components!$C$6))</f>
        <v>3.4333333333329552E-2</v>
      </c>
      <c r="U413" s="81">
        <f>IF(G413="","",ABS(O413-Components!$C$7))</f>
        <v>0.18433333333333057</v>
      </c>
      <c r="V413" s="81" t="str">
        <f>IF(G413="","",IF(M413="OK","NONE",INDEX({"S1","S2","W1","W2","N1","N2"},MATCH(MIN(P413:U413),P413:U413,0))))</f>
        <v>N1</v>
      </c>
      <c r="W413" s="117">
        <f t="shared" si="50"/>
        <v>1</v>
      </c>
      <c r="X413" s="119"/>
    </row>
    <row r="414" spans="1:24">
      <c r="A414" s="115">
        <v>412</v>
      </c>
      <c r="B414" s="116">
        <v>14</v>
      </c>
      <c r="C414" s="81" t="s">
        <v>132</v>
      </c>
      <c r="D414" s="111" t="s">
        <v>240</v>
      </c>
      <c r="E414" s="81" t="s">
        <v>108</v>
      </c>
      <c r="F414" s="61">
        <v>7.45</v>
      </c>
      <c r="G414" s="52">
        <f t="shared" si="44"/>
        <v>8.42</v>
      </c>
      <c r="H414" s="110"/>
      <c r="I414" s="81">
        <v>9.61</v>
      </c>
      <c r="J414" s="81">
        <f>VLOOKUP(C414,Recipes!$A$2:$N$4,12,FALSE())</f>
        <v>6.1509461004819709E-2</v>
      </c>
      <c r="K414" s="81">
        <f t="shared" si="45"/>
        <v>9.2409432339710804</v>
      </c>
      <c r="L414" s="81">
        <f t="shared" si="48"/>
        <v>9.9790567660289184</v>
      </c>
      <c r="M414" s="81" t="str">
        <f t="shared" si="46"/>
        <v>NG</v>
      </c>
      <c r="N414" s="117">
        <f t="shared" si="49"/>
        <v>1</v>
      </c>
      <c r="O414" s="81">
        <f t="shared" si="47"/>
        <v>1.1899999999999995</v>
      </c>
      <c r="P414" s="81">
        <f>IF(G414="","",ABS(O414-Components!$C$2))</f>
        <v>1.5633333333333304</v>
      </c>
      <c r="Q414" s="81">
        <f>IF(G414="","",ABS(O414-Components!$C$3))</f>
        <v>2.8460000000000001</v>
      </c>
      <c r="R414" s="81">
        <f>IF(G414="","",ABS(O414-Components!$C$4))</f>
        <v>0.19666666666666655</v>
      </c>
      <c r="S414" s="81">
        <f>IF(G414="","",ABS(O414-Components!$C$5))</f>
        <v>3.3726666666666709</v>
      </c>
      <c r="T414" s="81">
        <f>IF(G414="","",ABS(O414-Components!$C$6))</f>
        <v>3.4333333333329552E-2</v>
      </c>
      <c r="U414" s="81">
        <f>IF(G414="","",ABS(O414-Components!$C$7))</f>
        <v>0.18433333333333057</v>
      </c>
      <c r="V414" s="81" t="str">
        <f>IF(G414="","",IF(M414="OK","NONE",INDEX({"S1","S2","W1","W2","N1","N2"},MATCH(MIN(P414:U414),P414:U414,0))))</f>
        <v>N1</v>
      </c>
      <c r="W414" s="117">
        <f t="shared" si="50"/>
        <v>1</v>
      </c>
      <c r="X414" s="119"/>
    </row>
    <row r="415" spans="1:24">
      <c r="A415" s="115">
        <v>413</v>
      </c>
      <c r="B415" s="116">
        <v>14</v>
      </c>
      <c r="C415" s="81" t="s">
        <v>132</v>
      </c>
      <c r="D415" s="111" t="s">
        <v>240</v>
      </c>
      <c r="E415" s="81" t="s">
        <v>108</v>
      </c>
      <c r="F415" s="61">
        <v>7.45</v>
      </c>
      <c r="G415" s="52">
        <f t="shared" si="44"/>
        <v>8.42</v>
      </c>
      <c r="H415" s="110"/>
      <c r="I415" s="81">
        <v>9.61</v>
      </c>
      <c r="J415" s="81">
        <f>VLOOKUP(C415,Recipes!$A$2:$N$4,12,FALSE())</f>
        <v>6.1509461004819709E-2</v>
      </c>
      <c r="K415" s="81">
        <f t="shared" si="45"/>
        <v>9.2409432339710804</v>
      </c>
      <c r="L415" s="81">
        <f t="shared" si="48"/>
        <v>9.9790567660289184</v>
      </c>
      <c r="M415" s="81" t="str">
        <f t="shared" si="46"/>
        <v>NG</v>
      </c>
      <c r="N415" s="117">
        <f t="shared" si="49"/>
        <v>1</v>
      </c>
      <c r="O415" s="81">
        <f t="shared" si="47"/>
        <v>1.1899999999999995</v>
      </c>
      <c r="P415" s="81">
        <f>IF(G415="","",ABS(O415-Components!$C$2))</f>
        <v>1.5633333333333304</v>
      </c>
      <c r="Q415" s="81">
        <f>IF(G415="","",ABS(O415-Components!$C$3))</f>
        <v>2.8460000000000001</v>
      </c>
      <c r="R415" s="81">
        <f>IF(G415="","",ABS(O415-Components!$C$4))</f>
        <v>0.19666666666666655</v>
      </c>
      <c r="S415" s="81">
        <f>IF(G415="","",ABS(O415-Components!$C$5))</f>
        <v>3.3726666666666709</v>
      </c>
      <c r="T415" s="81">
        <f>IF(G415="","",ABS(O415-Components!$C$6))</f>
        <v>3.4333333333329552E-2</v>
      </c>
      <c r="U415" s="81">
        <f>IF(G415="","",ABS(O415-Components!$C$7))</f>
        <v>0.18433333333333057</v>
      </c>
      <c r="V415" s="81" t="str">
        <f>IF(G415="","",IF(M415="OK","NONE",INDEX({"S1","S2","W1","W2","N1","N2"},MATCH(MIN(P415:U415),P415:U415,0))))</f>
        <v>N1</v>
      </c>
      <c r="W415" s="117">
        <f t="shared" si="50"/>
        <v>1</v>
      </c>
      <c r="X415" s="119"/>
    </row>
    <row r="416" spans="1:24">
      <c r="A416" s="115">
        <v>414</v>
      </c>
      <c r="B416" s="116">
        <v>14</v>
      </c>
      <c r="C416" s="81" t="s">
        <v>132</v>
      </c>
      <c r="D416" s="111" t="s">
        <v>240</v>
      </c>
      <c r="E416" s="81" t="s">
        <v>108</v>
      </c>
      <c r="F416" s="61">
        <v>7.44</v>
      </c>
      <c r="G416" s="52">
        <f t="shared" si="44"/>
        <v>8.41</v>
      </c>
      <c r="H416" s="110"/>
      <c r="I416" s="81">
        <v>9.61</v>
      </c>
      <c r="J416" s="81">
        <f>VLOOKUP(C416,Recipes!$A$2:$N$4,12,FALSE())</f>
        <v>6.1509461004819709E-2</v>
      </c>
      <c r="K416" s="81">
        <f t="shared" si="45"/>
        <v>9.2409432339710804</v>
      </c>
      <c r="L416" s="81">
        <f t="shared" si="48"/>
        <v>9.9790567660289184</v>
      </c>
      <c r="M416" s="81" t="str">
        <f t="shared" si="46"/>
        <v>NG</v>
      </c>
      <c r="N416" s="117">
        <f t="shared" si="49"/>
        <v>1</v>
      </c>
      <c r="O416" s="81">
        <f t="shared" si="47"/>
        <v>1.1999999999999993</v>
      </c>
      <c r="P416" s="81">
        <f>IF(G416="","",ABS(O416-Components!$C$2))</f>
        <v>1.5533333333333306</v>
      </c>
      <c r="Q416" s="81">
        <f>IF(G416="","",ABS(O416-Components!$C$3))</f>
        <v>2.8360000000000003</v>
      </c>
      <c r="R416" s="81">
        <f>IF(G416="","",ABS(O416-Components!$C$4))</f>
        <v>0.20666666666666633</v>
      </c>
      <c r="S416" s="81">
        <f>IF(G416="","",ABS(O416-Components!$C$5))</f>
        <v>3.3626666666666711</v>
      </c>
      <c r="T416" s="81">
        <f>IF(G416="","",ABS(O416-Components!$C$6))</f>
        <v>4.4333333333329339E-2</v>
      </c>
      <c r="U416" s="81">
        <f>IF(G416="","",ABS(O416-Components!$C$7))</f>
        <v>0.17433333333333079</v>
      </c>
      <c r="V416" s="81" t="str">
        <f>IF(G416="","",IF(M416="OK","NONE",INDEX({"S1","S2","W1","W2","N1","N2"},MATCH(MIN(P416:U416),P416:U416,0))))</f>
        <v>N1</v>
      </c>
      <c r="W416" s="117">
        <f t="shared" si="50"/>
        <v>1</v>
      </c>
      <c r="X416" s="119"/>
    </row>
    <row r="417" spans="1:24">
      <c r="A417" s="115">
        <v>415</v>
      </c>
      <c r="B417" s="116">
        <v>14</v>
      </c>
      <c r="C417" s="81" t="s">
        <v>132</v>
      </c>
      <c r="D417" s="111" t="s">
        <v>240</v>
      </c>
      <c r="E417" s="81" t="s">
        <v>108</v>
      </c>
      <c r="F417" s="52">
        <v>7.45</v>
      </c>
      <c r="G417" s="52">
        <f t="shared" si="44"/>
        <v>8.42</v>
      </c>
      <c r="H417" s="110"/>
      <c r="I417" s="81">
        <v>9.61</v>
      </c>
      <c r="J417" s="81">
        <f>VLOOKUP(C417,Recipes!$A$2:$N$4,12,FALSE())</f>
        <v>6.1509461004819709E-2</v>
      </c>
      <c r="K417" s="81">
        <f t="shared" si="45"/>
        <v>9.2409432339710804</v>
      </c>
      <c r="L417" s="81">
        <f t="shared" si="48"/>
        <v>9.9790567660289184</v>
      </c>
      <c r="M417" s="81" t="str">
        <f t="shared" si="46"/>
        <v>NG</v>
      </c>
      <c r="N417" s="117">
        <f t="shared" si="49"/>
        <v>1</v>
      </c>
      <c r="O417" s="81">
        <f t="shared" si="47"/>
        <v>1.1899999999999995</v>
      </c>
      <c r="P417" s="81">
        <f>IF(G417="","",ABS(O417-Components!$C$2))</f>
        <v>1.5633333333333304</v>
      </c>
      <c r="Q417" s="81">
        <f>IF(G417="","",ABS(O417-Components!$C$3))</f>
        <v>2.8460000000000001</v>
      </c>
      <c r="R417" s="81">
        <f>IF(G417="","",ABS(O417-Components!$C$4))</f>
        <v>0.19666666666666655</v>
      </c>
      <c r="S417" s="81">
        <f>IF(G417="","",ABS(O417-Components!$C$5))</f>
        <v>3.3726666666666709</v>
      </c>
      <c r="T417" s="81">
        <f>IF(G417="","",ABS(O417-Components!$C$6))</f>
        <v>3.4333333333329552E-2</v>
      </c>
      <c r="U417" s="81">
        <f>IF(G417="","",ABS(O417-Components!$C$7))</f>
        <v>0.18433333333333057</v>
      </c>
      <c r="V417" s="81" t="str">
        <f>IF(G417="","",IF(M417="OK","NONE",INDEX({"S1","S2","W1","W2","N1","N2"},MATCH(MIN(P417:U417),P417:U417,0))))</f>
        <v>N1</v>
      </c>
      <c r="W417" s="117">
        <f t="shared" si="50"/>
        <v>1</v>
      </c>
      <c r="X417" s="119"/>
    </row>
    <row r="418" spans="1:24">
      <c r="A418" s="115">
        <v>416</v>
      </c>
      <c r="B418" s="116">
        <v>14</v>
      </c>
      <c r="C418" s="81" t="s">
        <v>132</v>
      </c>
      <c r="D418" s="111" t="s">
        <v>240</v>
      </c>
      <c r="E418" s="81" t="s">
        <v>108</v>
      </c>
      <c r="F418" s="52">
        <v>7.45</v>
      </c>
      <c r="G418" s="52">
        <f t="shared" si="44"/>
        <v>8.42</v>
      </c>
      <c r="H418" s="110"/>
      <c r="I418" s="81">
        <v>9.61</v>
      </c>
      <c r="J418" s="81">
        <f>VLOOKUP(C418,Recipes!$A$2:$N$4,12,FALSE())</f>
        <v>6.1509461004819709E-2</v>
      </c>
      <c r="K418" s="81">
        <f t="shared" si="45"/>
        <v>9.2409432339710804</v>
      </c>
      <c r="L418" s="81">
        <f t="shared" si="48"/>
        <v>9.9790567660289184</v>
      </c>
      <c r="M418" s="81" t="str">
        <f t="shared" si="46"/>
        <v>NG</v>
      </c>
      <c r="N418" s="117">
        <f t="shared" si="49"/>
        <v>1</v>
      </c>
      <c r="O418" s="81">
        <f t="shared" si="47"/>
        <v>1.1899999999999995</v>
      </c>
      <c r="P418" s="81">
        <f>IF(G418="","",ABS(O418-Components!$C$2))</f>
        <v>1.5633333333333304</v>
      </c>
      <c r="Q418" s="81">
        <f>IF(G418="","",ABS(O418-Components!$C$3))</f>
        <v>2.8460000000000001</v>
      </c>
      <c r="R418" s="81">
        <f>IF(G418="","",ABS(O418-Components!$C$4))</f>
        <v>0.19666666666666655</v>
      </c>
      <c r="S418" s="81">
        <f>IF(G418="","",ABS(O418-Components!$C$5))</f>
        <v>3.3726666666666709</v>
      </c>
      <c r="T418" s="81">
        <f>IF(G418="","",ABS(O418-Components!$C$6))</f>
        <v>3.4333333333329552E-2</v>
      </c>
      <c r="U418" s="81">
        <f>IF(G418="","",ABS(O418-Components!$C$7))</f>
        <v>0.18433333333333057</v>
      </c>
      <c r="V418" s="81" t="str">
        <f>IF(G418="","",IF(M418="OK","NONE",INDEX({"S1","S2","W1","W2","N1","N2"},MATCH(MIN(P418:U418),P418:U418,0))))</f>
        <v>N1</v>
      </c>
      <c r="W418" s="117">
        <f t="shared" si="50"/>
        <v>1</v>
      </c>
      <c r="X418" s="119"/>
    </row>
    <row r="419" spans="1:24">
      <c r="A419" s="115">
        <v>417</v>
      </c>
      <c r="B419" s="116">
        <v>14</v>
      </c>
      <c r="C419" s="61" t="s">
        <v>132</v>
      </c>
      <c r="D419" s="61" t="s">
        <v>240</v>
      </c>
      <c r="E419" s="61" t="s">
        <v>108</v>
      </c>
      <c r="F419" s="61">
        <v>7.44</v>
      </c>
      <c r="G419" s="52">
        <f t="shared" si="44"/>
        <v>8.41</v>
      </c>
      <c r="H419" s="110"/>
      <c r="I419" s="81">
        <v>9.61</v>
      </c>
      <c r="J419" s="81">
        <f>VLOOKUP(C419,Recipes!$A$2:$N$4,12,FALSE())</f>
        <v>6.1509461004819709E-2</v>
      </c>
      <c r="K419" s="81">
        <f t="shared" si="45"/>
        <v>9.2409432339710804</v>
      </c>
      <c r="L419" s="81">
        <f t="shared" si="48"/>
        <v>9.9790567660289184</v>
      </c>
      <c r="M419" s="81" t="str">
        <f t="shared" si="46"/>
        <v>NG</v>
      </c>
      <c r="N419" s="117">
        <f t="shared" si="49"/>
        <v>1</v>
      </c>
      <c r="O419" s="81">
        <f t="shared" si="47"/>
        <v>1.1999999999999993</v>
      </c>
      <c r="P419" s="81">
        <f>IF(G419="","",ABS(O419-Components!$C$2))</f>
        <v>1.5533333333333306</v>
      </c>
      <c r="Q419" s="81">
        <f>IF(G419="","",ABS(O419-Components!$C$3))</f>
        <v>2.8360000000000003</v>
      </c>
      <c r="R419" s="81">
        <f>IF(G419="","",ABS(O419-Components!$C$4))</f>
        <v>0.20666666666666633</v>
      </c>
      <c r="S419" s="81">
        <f>IF(G419="","",ABS(O419-Components!$C$5))</f>
        <v>3.3626666666666711</v>
      </c>
      <c r="T419" s="81">
        <f>IF(G419="","",ABS(O419-Components!$C$6))</f>
        <v>4.4333333333329339E-2</v>
      </c>
      <c r="U419" s="81">
        <f>IF(G419="","",ABS(O419-Components!$C$7))</f>
        <v>0.17433333333333079</v>
      </c>
      <c r="V419" s="81" t="str">
        <f>IF(G419="","",IF(M419="OK","NONE",INDEX({"S1","S2","W1","W2","N1","N2"},MATCH(MIN(P419:U419),P419:U419,0))))</f>
        <v>N1</v>
      </c>
      <c r="W419" s="117">
        <f t="shared" si="50"/>
        <v>1</v>
      </c>
      <c r="X419" s="119"/>
    </row>
    <row r="420" spans="1:24">
      <c r="A420" s="115">
        <v>418</v>
      </c>
      <c r="B420" s="116">
        <v>14</v>
      </c>
      <c r="C420" s="61" t="s">
        <v>132</v>
      </c>
      <c r="D420" s="61" t="s">
        <v>240</v>
      </c>
      <c r="E420" s="61" t="s">
        <v>108</v>
      </c>
      <c r="F420" s="61">
        <v>7.46</v>
      </c>
      <c r="G420" s="52">
        <f t="shared" si="44"/>
        <v>8.43</v>
      </c>
      <c r="H420" s="110"/>
      <c r="I420" s="81">
        <v>9.61</v>
      </c>
      <c r="J420" s="81">
        <f>VLOOKUP(C420,Recipes!$A$2:$N$4,12,FALSE())</f>
        <v>6.1509461004819709E-2</v>
      </c>
      <c r="K420" s="81">
        <f t="shared" si="45"/>
        <v>9.2409432339710804</v>
      </c>
      <c r="L420" s="81">
        <f t="shared" si="48"/>
        <v>9.9790567660289184</v>
      </c>
      <c r="M420" s="81" t="str">
        <f t="shared" si="46"/>
        <v>NG</v>
      </c>
      <c r="N420" s="117">
        <f t="shared" si="49"/>
        <v>1</v>
      </c>
      <c r="O420" s="81">
        <f t="shared" si="47"/>
        <v>1.1799999999999997</v>
      </c>
      <c r="P420" s="81">
        <f>IF(G420="","",ABS(O420-Components!$C$2))</f>
        <v>1.5733333333333301</v>
      </c>
      <c r="Q420" s="81">
        <f>IF(G420="","",ABS(O420-Components!$C$3))</f>
        <v>2.8559999999999999</v>
      </c>
      <c r="R420" s="81">
        <f>IF(G420="","",ABS(O420-Components!$C$4))</f>
        <v>0.18666666666666676</v>
      </c>
      <c r="S420" s="81">
        <f>IF(G420="","",ABS(O420-Components!$C$5))</f>
        <v>3.3826666666666707</v>
      </c>
      <c r="T420" s="81">
        <f>IF(G420="","",ABS(O420-Components!$C$6))</f>
        <v>2.4333333333329765E-2</v>
      </c>
      <c r="U420" s="81">
        <f>IF(G420="","",ABS(O420-Components!$C$7))</f>
        <v>0.19433333333333036</v>
      </c>
      <c r="V420" s="81" t="str">
        <f>IF(G420="","",IF(M420="OK","NONE",INDEX({"S1","S2","W1","W2","N1","N2"},MATCH(MIN(P420:U420),P420:U420,0))))</f>
        <v>N1</v>
      </c>
      <c r="W420" s="117">
        <f t="shared" si="50"/>
        <v>1</v>
      </c>
      <c r="X420" s="119"/>
    </row>
    <row r="421" spans="1:24">
      <c r="A421" s="115">
        <v>419</v>
      </c>
      <c r="B421" s="116">
        <v>14</v>
      </c>
      <c r="C421" s="81" t="s">
        <v>132</v>
      </c>
      <c r="D421" s="111" t="s">
        <v>240</v>
      </c>
      <c r="E421" s="81" t="s">
        <v>108</v>
      </c>
      <c r="F421" s="61">
        <v>7.25</v>
      </c>
      <c r="G421" s="52">
        <f t="shared" si="44"/>
        <v>8.2200000000000006</v>
      </c>
      <c r="H421" s="110"/>
      <c r="I421" s="81">
        <v>9.61</v>
      </c>
      <c r="J421" s="81">
        <f>VLOOKUP(C421,Recipes!$A$2:$N$4,12,FALSE())</f>
        <v>6.1509461004819709E-2</v>
      </c>
      <c r="K421" s="81">
        <f t="shared" si="45"/>
        <v>9.2409432339710804</v>
      </c>
      <c r="L421" s="81">
        <f t="shared" si="48"/>
        <v>9.9790567660289184</v>
      </c>
      <c r="M421" s="81" t="str">
        <f t="shared" si="46"/>
        <v>NG</v>
      </c>
      <c r="N421" s="117">
        <f t="shared" si="49"/>
        <v>1</v>
      </c>
      <c r="O421" s="81">
        <f t="shared" si="47"/>
        <v>1.3899999999999988</v>
      </c>
      <c r="P421" s="81">
        <f>IF(G421="","",ABS(O421-Components!$C$2))</f>
        <v>1.3633333333333311</v>
      </c>
      <c r="Q421" s="81">
        <f>IF(G421="","",ABS(O421-Components!$C$3))</f>
        <v>2.6460000000000008</v>
      </c>
      <c r="R421" s="81">
        <f>IF(G421="","",ABS(O421-Components!$C$4))</f>
        <v>0.39666666666666583</v>
      </c>
      <c r="S421" s="81">
        <f>IF(G421="","",ABS(O421-Components!$C$5))</f>
        <v>3.1726666666666716</v>
      </c>
      <c r="T421" s="81">
        <f>IF(G421="","",ABS(O421-Components!$C$6))</f>
        <v>0.23433333333332884</v>
      </c>
      <c r="U421" s="81">
        <f>IF(G421="","",ABS(O421-Components!$C$7))</f>
        <v>1.5666666666668716E-2</v>
      </c>
      <c r="V421" s="81" t="str">
        <f>IF(G421="","",IF(M421="OK","NONE",INDEX({"S1","S2","W1","W2","N1","N2"},MATCH(MIN(P421:U421),P421:U421,0))))</f>
        <v>N2</v>
      </c>
      <c r="W421" s="118">
        <f t="shared" si="50"/>
        <v>0</v>
      </c>
      <c r="X421" s="119"/>
    </row>
    <row r="422" spans="1:24">
      <c r="A422" s="115">
        <v>420</v>
      </c>
      <c r="B422" s="116">
        <v>14</v>
      </c>
      <c r="C422" s="61" t="s">
        <v>132</v>
      </c>
      <c r="D422" s="61" t="s">
        <v>240</v>
      </c>
      <c r="E422" s="61" t="s">
        <v>108</v>
      </c>
      <c r="F422" s="61">
        <v>7.47</v>
      </c>
      <c r="G422" s="112">
        <f t="shared" si="44"/>
        <v>8.44</v>
      </c>
      <c r="H422" s="113"/>
      <c r="I422" s="81">
        <v>9.61</v>
      </c>
      <c r="J422" s="81">
        <f>VLOOKUP(C422,Recipes!$A$2:$N$4,12,FALSE())</f>
        <v>6.1509461004819709E-2</v>
      </c>
      <c r="K422" s="81">
        <f t="shared" si="45"/>
        <v>9.2409432339710804</v>
      </c>
      <c r="L422" s="81">
        <f t="shared" si="48"/>
        <v>9.9790567660289184</v>
      </c>
      <c r="M422" s="81" t="str">
        <f t="shared" si="46"/>
        <v>NG</v>
      </c>
      <c r="N422" s="117">
        <f t="shared" si="49"/>
        <v>1</v>
      </c>
      <c r="O422" s="81">
        <f t="shared" si="47"/>
        <v>1.17</v>
      </c>
      <c r="P422" s="81">
        <f>IF(G422="","",ABS(O422-Components!$C$2))</f>
        <v>1.5833333333333299</v>
      </c>
      <c r="Q422" s="81">
        <f>IF(G422="","",ABS(O422-Components!$C$3))</f>
        <v>2.8659999999999997</v>
      </c>
      <c r="R422" s="81">
        <f>IF(G422="","",ABS(O422-Components!$C$4))</f>
        <v>0.17666666666666697</v>
      </c>
      <c r="S422" s="81">
        <f>IF(G422="","",ABS(O422-Components!$C$5))</f>
        <v>3.3926666666666705</v>
      </c>
      <c r="T422" s="81">
        <f>IF(G422="","",ABS(O422-Components!$C$6))</f>
        <v>1.4333333333329978E-2</v>
      </c>
      <c r="U422" s="81">
        <f>IF(G422="","",ABS(O422-Components!$C$7))</f>
        <v>0.20433333333333015</v>
      </c>
      <c r="V422" s="81" t="str">
        <f>IF(G422="","",IF(M422="OK","NONE",INDEX({"S1","S2","W1","W2","N1","N2"},MATCH(MIN(P422:U422),P422:U422,0))))</f>
        <v>N1</v>
      </c>
      <c r="W422" s="117">
        <f t="shared" si="50"/>
        <v>1</v>
      </c>
      <c r="X422" s="119"/>
    </row>
    <row r="423" spans="1:24">
      <c r="A423" s="7"/>
      <c r="B423" s="66"/>
      <c r="C423" s="7"/>
      <c r="D423" s="7"/>
      <c r="E423" s="7"/>
      <c r="F423" s="67"/>
      <c r="G423" s="68"/>
      <c r="H423" s="69"/>
      <c r="I423" s="70"/>
      <c r="J423" s="70"/>
      <c r="K423" s="71"/>
      <c r="L423" s="71"/>
      <c r="M423" s="7"/>
      <c r="N423" s="7"/>
      <c r="O423" s="71"/>
      <c r="P423" s="72"/>
      <c r="Q423" s="72"/>
      <c r="R423" s="72"/>
      <c r="S423" s="72"/>
      <c r="T423" s="72"/>
      <c r="U423" s="72"/>
      <c r="V423" s="7"/>
      <c r="W423" s="7"/>
    </row>
    <row r="424" spans="1:24">
      <c r="A424" s="7"/>
      <c r="B424" s="66"/>
      <c r="C424" s="7"/>
      <c r="D424" s="7"/>
      <c r="E424" s="7"/>
      <c r="F424" s="67"/>
      <c r="G424" s="68"/>
      <c r="H424" s="69"/>
      <c r="I424" s="70"/>
      <c r="J424" s="70"/>
      <c r="K424" s="71"/>
      <c r="L424" s="71"/>
      <c r="M424" s="7"/>
      <c r="N424" s="7"/>
      <c r="O424" s="71"/>
      <c r="P424" s="72"/>
      <c r="Q424" s="72"/>
      <c r="R424" s="72"/>
      <c r="S424" s="72"/>
      <c r="T424" s="72"/>
      <c r="U424" s="72"/>
      <c r="V424" s="7"/>
      <c r="W424" s="7"/>
    </row>
  </sheetData>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X424"/>
  <sheetViews>
    <sheetView topLeftCell="F1" zoomScaleNormal="100" workbookViewId="0">
      <pane ySplit="2" topLeftCell="A391" activePane="bottomLeft" state="frozen"/>
      <selection pane="bottomLeft" activeCell="X407" sqref="X407"/>
    </sheetView>
  </sheetViews>
  <sheetFormatPr defaultColWidth="8.7109375" defaultRowHeight="15"/>
  <cols>
    <col min="1" max="1" width="8" customWidth="1"/>
    <col min="2" max="2" width="17" customWidth="1"/>
    <col min="3" max="3" width="8" customWidth="1"/>
    <col min="4" max="4" width="11" customWidth="1"/>
    <col min="5" max="6" width="19" customWidth="1"/>
    <col min="7" max="7" width="30.7109375" customWidth="1"/>
    <col min="8" max="8" width="8" customWidth="1"/>
    <col min="9" max="9" width="17" customWidth="1"/>
    <col min="10" max="10" width="14" customWidth="1"/>
    <col min="11" max="12" width="13" customWidth="1"/>
    <col min="13" max="13" width="17" customWidth="1"/>
    <col min="14" max="14" width="12" customWidth="1"/>
    <col min="15" max="15" width="19" customWidth="1"/>
    <col min="16" max="21" width="10" customWidth="1"/>
    <col min="22" max="22" width="19" customWidth="1"/>
    <col min="23" max="23" width="12" customWidth="1"/>
    <col min="24" max="24" width="17.5703125" bestFit="1" customWidth="1"/>
  </cols>
  <sheetData>
    <row r="1" spans="1:24" ht="15.75" customHeight="1"/>
    <row r="2" spans="1:24" ht="30" customHeight="1">
      <c r="A2" s="48" t="s">
        <v>216</v>
      </c>
      <c r="B2" s="48" t="s">
        <v>217</v>
      </c>
      <c r="C2" s="48" t="s">
        <v>218</v>
      </c>
      <c r="D2" s="48" t="s">
        <v>219</v>
      </c>
      <c r="E2" s="48" t="s">
        <v>220</v>
      </c>
      <c r="F2" s="48" t="s">
        <v>221</v>
      </c>
      <c r="G2" s="48" t="s">
        <v>445</v>
      </c>
      <c r="H2" s="48" t="s">
        <v>98</v>
      </c>
      <c r="I2" s="48" t="s">
        <v>223</v>
      </c>
      <c r="J2" s="48" t="s">
        <v>224</v>
      </c>
      <c r="K2" s="48" t="s">
        <v>225</v>
      </c>
      <c r="L2" s="48" t="s">
        <v>226</v>
      </c>
      <c r="M2" s="48" t="s">
        <v>227</v>
      </c>
      <c r="N2" s="48" t="s">
        <v>228</v>
      </c>
      <c r="O2" s="48" t="s">
        <v>229</v>
      </c>
      <c r="P2" s="48" t="s">
        <v>230</v>
      </c>
      <c r="Q2" s="48" t="s">
        <v>231</v>
      </c>
      <c r="R2" s="48" t="s">
        <v>232</v>
      </c>
      <c r="S2" s="48" t="s">
        <v>233</v>
      </c>
      <c r="T2" s="48" t="s">
        <v>234</v>
      </c>
      <c r="U2" s="48" t="s">
        <v>235</v>
      </c>
      <c r="V2" s="48" t="s">
        <v>236</v>
      </c>
      <c r="W2" s="48" t="s">
        <v>237</v>
      </c>
      <c r="X2" s="123" t="s">
        <v>447</v>
      </c>
    </row>
    <row r="3" spans="1:24">
      <c r="A3" s="115">
        <v>1</v>
      </c>
      <c r="B3" s="116">
        <v>1</v>
      </c>
      <c r="C3" s="81" t="s">
        <v>128</v>
      </c>
      <c r="D3" s="109" t="s">
        <v>238</v>
      </c>
      <c r="E3" s="81" t="s">
        <v>239</v>
      </c>
      <c r="F3" s="52">
        <v>9.91</v>
      </c>
      <c r="G3" s="52">
        <f t="shared" ref="G3:G66" si="0">0.97+F3</f>
        <v>10.88</v>
      </c>
      <c r="H3" s="110"/>
      <c r="I3" s="81">
        <f>VLOOKUP(C3,Recipes!$A$2:$N$4,10,FALSE())</f>
        <v>10.940000000000001</v>
      </c>
      <c r="J3" s="81">
        <f>VLOOKUP(C3,Recipes!$A$2:$N$4,12,FALSE())</f>
        <v>5.2703573566378441E-2</v>
      </c>
      <c r="K3" s="81">
        <f t="shared" ref="K3:K66" si="1">I3-3*J3</f>
        <v>10.781889279300866</v>
      </c>
      <c r="L3" s="81">
        <f t="shared" ref="L3:L66" si="2">I3+3*J3</f>
        <v>11.098110720699136</v>
      </c>
      <c r="M3" s="81" t="str">
        <f>IF(G3="","",IF(AND(G3&gt;=K3,G3&lt;=L3),"OK","NG"))</f>
        <v>OK</v>
      </c>
      <c r="N3" s="117">
        <f t="shared" ref="N3" si="3">IF(M3="","",IF(M3=D3,1,0))</f>
        <v>1</v>
      </c>
      <c r="O3" s="81">
        <f>IF(G3="","",I3-G3)</f>
        <v>6.0000000000000497E-2</v>
      </c>
      <c r="P3" s="81">
        <f>IF(G3="","",ABS(O3-Components!$C$2)/Components!$D$2)</f>
        <v>407.52845127242051</v>
      </c>
      <c r="Q3" s="81">
        <f>IF(G3="","",ABS(O3-Components!$C$3)/Components!$D$3)</f>
        <v>288.18796201312335</v>
      </c>
      <c r="R3" s="81">
        <f>IF(G3="","",ABS(O3-Components!$C$4)/Components!$D$4)</f>
        <v>66.768549599989655</v>
      </c>
      <c r="S3" s="81">
        <f>IF(G3="","",ABS(O3-Components!$C$5)/Components!$D$5)</f>
        <v>178.82049585135329</v>
      </c>
      <c r="T3" s="81">
        <f>IF(G3="","",ABS(O3-Components!$C$6)/Components!$D$6)</f>
        <v>39.657134984355721</v>
      </c>
      <c r="U3" s="81">
        <f>IF(G3="","",ABS(O3-Components!$C$7)/Components!$D$7)</f>
        <v>52.269016229170475</v>
      </c>
      <c r="V3" s="81" t="str">
        <f>IF(G3="","",IF(M3="OK","NONE",INDEX({"S1","S2","W1","W2","N1","N2"},MATCH(MIN(P3:U3),P3:U3,0))))</f>
        <v>NONE</v>
      </c>
      <c r="W3" s="117">
        <f>IF(G3="","",IF(V3=E3,1,0))</f>
        <v>1</v>
      </c>
      <c r="X3" s="107"/>
    </row>
    <row r="4" spans="1:24">
      <c r="A4" s="115">
        <v>2</v>
      </c>
      <c r="B4" s="116">
        <v>1</v>
      </c>
      <c r="C4" s="81" t="s">
        <v>128</v>
      </c>
      <c r="D4" s="109" t="s">
        <v>238</v>
      </c>
      <c r="E4" s="81" t="s">
        <v>239</v>
      </c>
      <c r="F4" s="52">
        <v>10</v>
      </c>
      <c r="G4" s="52">
        <f t="shared" si="0"/>
        <v>10.97</v>
      </c>
      <c r="H4" s="110"/>
      <c r="I4" s="81">
        <f>VLOOKUP(C4,Recipes!$A$2:$N$4,10,FALSE())</f>
        <v>10.940000000000001</v>
      </c>
      <c r="J4" s="81">
        <f>VLOOKUP(C4,Recipes!$A$2:$N$4,12,FALSE())</f>
        <v>5.2703573566378441E-2</v>
      </c>
      <c r="K4" s="81">
        <f t="shared" si="1"/>
        <v>10.781889279300866</v>
      </c>
      <c r="L4" s="81">
        <f t="shared" si="2"/>
        <v>11.098110720699136</v>
      </c>
      <c r="M4" s="81" t="str">
        <f t="shared" ref="M4:M67" si="4">IF(G4="","",IF(AND(G4&gt;=K4,G4&lt;=L4),"OK","NG"))</f>
        <v>OK</v>
      </c>
      <c r="N4" s="117">
        <f t="shared" ref="N4:N67" si="5">IF(M4="","",IF(M4=D4,1,0))</f>
        <v>1</v>
      </c>
      <c r="O4" s="81">
        <f t="shared" ref="O4:O67" si="6">IF(G4="","",I4-G4)</f>
        <v>-2.9999999999999361E-2</v>
      </c>
      <c r="P4" s="81">
        <f>IF(G4="","",ABS(O4-Components!$C$2)/Components!$D$2)</f>
        <v>421.14635744117714</v>
      </c>
      <c r="Q4" s="81">
        <f>IF(G4="","",ABS(O4-Components!$C$3)/Components!$D$3)</f>
        <v>294.71133137458736</v>
      </c>
      <c r="R4" s="81">
        <f>IF(G4="","",ABS(O4-Components!$C$4)/Components!$D$4)</f>
        <v>73.206945454274376</v>
      </c>
      <c r="S4" s="81">
        <f>IF(G4="","",ABS(O4-Components!$C$5)/Components!$D$5)</f>
        <v>182.39478766952513</v>
      </c>
      <c r="T4" s="81">
        <f>IF(G4="","",ABS(O4-Components!$C$6)/Components!$D$6)</f>
        <v>42.91464226934994</v>
      </c>
      <c r="U4" s="81">
        <f>IF(G4="","",ABS(O4-Components!$C$7)/Components!$D$7)</f>
        <v>55.848177878137257</v>
      </c>
      <c r="V4" s="81" t="str">
        <f>IF(G4="","",IF(M4="OK","NONE",INDEX({"S1","S2","W1","W2","N1","N2"},MATCH(MIN(P4:U4),P4:U4,0))))</f>
        <v>NONE</v>
      </c>
      <c r="W4" s="117">
        <f t="shared" ref="W4:W67" si="7">IF(G4="","",IF(V4=E4,1,0))</f>
        <v>1</v>
      </c>
      <c r="X4" s="107"/>
    </row>
    <row r="5" spans="1:24">
      <c r="A5" s="115">
        <v>3</v>
      </c>
      <c r="B5" s="116">
        <v>1</v>
      </c>
      <c r="C5" s="81" t="s">
        <v>128</v>
      </c>
      <c r="D5" s="109" t="s">
        <v>238</v>
      </c>
      <c r="E5" s="81" t="s">
        <v>239</v>
      </c>
      <c r="F5" s="52">
        <v>10</v>
      </c>
      <c r="G5" s="52">
        <f t="shared" si="0"/>
        <v>10.97</v>
      </c>
      <c r="H5" s="110"/>
      <c r="I5" s="81">
        <f>VLOOKUP(C5,Recipes!$A$2:$N$4,10,FALSE())</f>
        <v>10.940000000000001</v>
      </c>
      <c r="J5" s="81">
        <f>VLOOKUP(C5,Recipes!$A$2:$N$4,12,FALSE())</f>
        <v>5.2703573566378441E-2</v>
      </c>
      <c r="K5" s="81">
        <f t="shared" si="1"/>
        <v>10.781889279300866</v>
      </c>
      <c r="L5" s="81">
        <f t="shared" si="2"/>
        <v>11.098110720699136</v>
      </c>
      <c r="M5" s="81" t="str">
        <f t="shared" si="4"/>
        <v>OK</v>
      </c>
      <c r="N5" s="117">
        <f t="shared" si="5"/>
        <v>1</v>
      </c>
      <c r="O5" s="81">
        <f t="shared" si="6"/>
        <v>-2.9999999999999361E-2</v>
      </c>
      <c r="P5" s="81">
        <f>IF(G5="","",ABS(O5-Components!$C$2)/Components!$D$2)</f>
        <v>421.14635744117714</v>
      </c>
      <c r="Q5" s="81">
        <f>IF(G5="","",ABS(O5-Components!$C$3)/Components!$D$3)</f>
        <v>294.71133137458736</v>
      </c>
      <c r="R5" s="81">
        <f>IF(G5="","",ABS(O5-Components!$C$4)/Components!$D$4)</f>
        <v>73.206945454274376</v>
      </c>
      <c r="S5" s="81">
        <f>IF(G5="","",ABS(O5-Components!$C$5)/Components!$D$5)</f>
        <v>182.39478766952513</v>
      </c>
      <c r="T5" s="81">
        <f>IF(G5="","",ABS(O5-Components!$C$6)/Components!$D$6)</f>
        <v>42.91464226934994</v>
      </c>
      <c r="U5" s="81">
        <f>IF(G5="","",ABS(O5-Components!$C$7)/Components!$D$7)</f>
        <v>55.848177878137257</v>
      </c>
      <c r="V5" s="81" t="str">
        <f>IF(G5="","",IF(M5="OK","NONE",INDEX({"S1","S2","W1","W2","N1","N2"},MATCH(MIN(P5:U5),P5:U5,0))))</f>
        <v>NONE</v>
      </c>
      <c r="W5" s="117">
        <f t="shared" si="7"/>
        <v>1</v>
      </c>
      <c r="X5" s="107"/>
    </row>
    <row r="6" spans="1:24">
      <c r="A6" s="115">
        <v>4</v>
      </c>
      <c r="B6" s="116">
        <v>1</v>
      </c>
      <c r="C6" s="81" t="s">
        <v>128</v>
      </c>
      <c r="D6" s="109" t="s">
        <v>238</v>
      </c>
      <c r="E6" s="81" t="s">
        <v>239</v>
      </c>
      <c r="F6" s="52">
        <v>9.91</v>
      </c>
      <c r="G6" s="52">
        <f t="shared" si="0"/>
        <v>10.88</v>
      </c>
      <c r="H6" s="110"/>
      <c r="I6" s="81">
        <f>VLOOKUP(C6,Recipes!$A$2:$N$4,10,FALSE())</f>
        <v>10.940000000000001</v>
      </c>
      <c r="J6" s="81">
        <f>VLOOKUP(C6,Recipes!$A$2:$N$4,12,FALSE())</f>
        <v>5.2703573566378441E-2</v>
      </c>
      <c r="K6" s="81">
        <f t="shared" si="1"/>
        <v>10.781889279300866</v>
      </c>
      <c r="L6" s="81">
        <f t="shared" si="2"/>
        <v>11.098110720699136</v>
      </c>
      <c r="M6" s="81" t="str">
        <f t="shared" si="4"/>
        <v>OK</v>
      </c>
      <c r="N6" s="117">
        <f t="shared" si="5"/>
        <v>1</v>
      </c>
      <c r="O6" s="81">
        <f t="shared" si="6"/>
        <v>6.0000000000000497E-2</v>
      </c>
      <c r="P6" s="81">
        <f>IF(G6="","",ABS(O6-Components!$C$2)/Components!$D$2)</f>
        <v>407.52845127242051</v>
      </c>
      <c r="Q6" s="81">
        <f>IF(G6="","",ABS(O6-Components!$C$3)/Components!$D$3)</f>
        <v>288.18796201312335</v>
      </c>
      <c r="R6" s="81">
        <f>IF(G6="","",ABS(O6-Components!$C$4)/Components!$D$4)</f>
        <v>66.768549599989655</v>
      </c>
      <c r="S6" s="81">
        <f>IF(G6="","",ABS(O6-Components!$C$5)/Components!$D$5)</f>
        <v>178.82049585135329</v>
      </c>
      <c r="T6" s="81">
        <f>IF(G6="","",ABS(O6-Components!$C$6)/Components!$D$6)</f>
        <v>39.657134984355721</v>
      </c>
      <c r="U6" s="81">
        <f>IF(G6="","",ABS(O6-Components!$C$7)/Components!$D$7)</f>
        <v>52.269016229170475</v>
      </c>
      <c r="V6" s="81" t="str">
        <f>IF(G6="","",IF(M6="OK","NONE",INDEX({"S1","S2","W1","W2","N1","N2"},MATCH(MIN(P6:U6),P6:U6,0))))</f>
        <v>NONE</v>
      </c>
      <c r="W6" s="117">
        <f t="shared" si="7"/>
        <v>1</v>
      </c>
      <c r="X6" s="107"/>
    </row>
    <row r="7" spans="1:24">
      <c r="A7" s="115">
        <v>5</v>
      </c>
      <c r="B7" s="116">
        <v>1</v>
      </c>
      <c r="C7" s="81" t="s">
        <v>128</v>
      </c>
      <c r="D7" s="109" t="s">
        <v>238</v>
      </c>
      <c r="E7" s="81" t="s">
        <v>239</v>
      </c>
      <c r="F7" s="52">
        <v>10.039999999999999</v>
      </c>
      <c r="G7" s="52">
        <f t="shared" si="0"/>
        <v>11.01</v>
      </c>
      <c r="H7" s="110"/>
      <c r="I7" s="81">
        <f>VLOOKUP(C7,Recipes!$A$2:$N$4,10,FALSE())</f>
        <v>10.940000000000001</v>
      </c>
      <c r="J7" s="81">
        <f>VLOOKUP(C7,Recipes!$A$2:$N$4,12,FALSE())</f>
        <v>5.2703573566378441E-2</v>
      </c>
      <c r="K7" s="81">
        <f t="shared" si="1"/>
        <v>10.781889279300866</v>
      </c>
      <c r="L7" s="81">
        <f t="shared" si="2"/>
        <v>11.098110720699136</v>
      </c>
      <c r="M7" s="81" t="str">
        <f t="shared" si="4"/>
        <v>OK</v>
      </c>
      <c r="N7" s="117">
        <f t="shared" si="5"/>
        <v>1</v>
      </c>
      <c r="O7" s="81">
        <f t="shared" si="6"/>
        <v>-6.9999999999998508E-2</v>
      </c>
      <c r="P7" s="81">
        <f>IF(G7="","",ABS(O7-Components!$C$2)/Components!$D$2)</f>
        <v>427.19876018284663</v>
      </c>
      <c r="Q7" s="81">
        <f>IF(G7="","",ABS(O7-Components!$C$3)/Components!$D$3)</f>
        <v>297.61060664634914</v>
      </c>
      <c r="R7" s="81">
        <f>IF(G7="","",ABS(O7-Components!$C$4)/Components!$D$4)</f>
        <v>76.068454722845303</v>
      </c>
      <c r="S7" s="81">
        <f>IF(G7="","",ABS(O7-Components!$C$5)/Components!$D$5)</f>
        <v>183.98336181093481</v>
      </c>
      <c r="T7" s="81">
        <f>IF(G7="","",ABS(O7-Components!$C$6)/Components!$D$6)</f>
        <v>44.362423284902896</v>
      </c>
      <c r="U7" s="81">
        <f>IF(G7="","",ABS(O7-Components!$C$7)/Components!$D$7)</f>
        <v>57.438916388789131</v>
      </c>
      <c r="V7" s="81" t="str">
        <f>IF(G7="","",IF(M7="OK","NONE",INDEX({"S1","S2","W1","W2","N1","N2"},MATCH(MIN(P7:U7),P7:U7,0))))</f>
        <v>NONE</v>
      </c>
      <c r="W7" s="117">
        <f t="shared" si="7"/>
        <v>1</v>
      </c>
      <c r="X7" s="107"/>
    </row>
    <row r="8" spans="1:24">
      <c r="A8" s="115">
        <v>6</v>
      </c>
      <c r="B8" s="116">
        <v>1</v>
      </c>
      <c r="C8" s="81" t="s">
        <v>128</v>
      </c>
      <c r="D8" s="109" t="s">
        <v>238</v>
      </c>
      <c r="E8" s="81" t="s">
        <v>239</v>
      </c>
      <c r="F8" s="52">
        <v>9.84</v>
      </c>
      <c r="G8" s="52">
        <f t="shared" si="0"/>
        <v>10.81</v>
      </c>
      <c r="H8" s="110"/>
      <c r="I8" s="81">
        <f>VLOOKUP(C8,Recipes!$A$2:$N$4,10,FALSE())</f>
        <v>10.940000000000001</v>
      </c>
      <c r="J8" s="81">
        <f>VLOOKUP(C8,Recipes!$A$2:$N$4,12,FALSE())</f>
        <v>5.2703573566378441E-2</v>
      </c>
      <c r="K8" s="81">
        <f t="shared" si="1"/>
        <v>10.781889279300866</v>
      </c>
      <c r="L8" s="81">
        <f t="shared" si="2"/>
        <v>11.098110720699136</v>
      </c>
      <c r="M8" s="81" t="str">
        <f t="shared" si="4"/>
        <v>OK</v>
      </c>
      <c r="N8" s="117">
        <f t="shared" si="5"/>
        <v>1</v>
      </c>
      <c r="O8" s="81">
        <f t="shared" si="6"/>
        <v>0.13000000000000078</v>
      </c>
      <c r="P8" s="81">
        <f>IF(G8="","",ABS(O8-Components!$C$2)/Components!$D$2)</f>
        <v>396.93674647449859</v>
      </c>
      <c r="Q8" s="81">
        <f>IF(G8="","",ABS(O8-Components!$C$3)/Components!$D$3)</f>
        <v>283.11423028754012</v>
      </c>
      <c r="R8" s="81">
        <f>IF(G8="","",ABS(O8-Components!$C$4)/Components!$D$4)</f>
        <v>61.760908379990411</v>
      </c>
      <c r="S8" s="81">
        <f>IF(G8="","",ABS(O8-Components!$C$5)/Components!$D$5)</f>
        <v>176.04049110388627</v>
      </c>
      <c r="T8" s="81">
        <f>IF(G8="","",ABS(O8-Components!$C$6)/Components!$D$6)</f>
        <v>37.123518207137977</v>
      </c>
      <c r="U8" s="81">
        <f>IF(G8="","",ABS(O8-Components!$C$7)/Components!$D$7)</f>
        <v>49.485223835529624</v>
      </c>
      <c r="V8" s="81" t="str">
        <f>IF(G8="","",IF(M8="OK","NONE",INDEX({"S1","S2","W1","W2","N1","N2"},MATCH(MIN(P8:U8),P8:U8,0))))</f>
        <v>NONE</v>
      </c>
      <c r="W8" s="117">
        <f t="shared" si="7"/>
        <v>1</v>
      </c>
      <c r="X8" s="107"/>
    </row>
    <row r="9" spans="1:24">
      <c r="A9" s="115">
        <v>7</v>
      </c>
      <c r="B9" s="116">
        <v>1</v>
      </c>
      <c r="C9" s="81" t="s">
        <v>128</v>
      </c>
      <c r="D9" s="109" t="s">
        <v>238</v>
      </c>
      <c r="E9" s="81" t="s">
        <v>239</v>
      </c>
      <c r="F9" s="52">
        <v>9.9</v>
      </c>
      <c r="G9" s="52">
        <f t="shared" si="0"/>
        <v>10.870000000000001</v>
      </c>
      <c r="H9" s="110"/>
      <c r="I9" s="81">
        <f>VLOOKUP(C9,Recipes!$A$2:$N$4,10,FALSE())</f>
        <v>10.940000000000001</v>
      </c>
      <c r="J9" s="81">
        <f>VLOOKUP(C9,Recipes!$A$2:$N$4,12,FALSE())</f>
        <v>5.2703573566378441E-2</v>
      </c>
      <c r="K9" s="81">
        <f t="shared" si="1"/>
        <v>10.781889279300866</v>
      </c>
      <c r="L9" s="81">
        <f t="shared" si="2"/>
        <v>11.098110720699136</v>
      </c>
      <c r="M9" s="81" t="str">
        <f t="shared" si="4"/>
        <v>OK</v>
      </c>
      <c r="N9" s="117">
        <f t="shared" si="5"/>
        <v>1</v>
      </c>
      <c r="O9" s="81">
        <f t="shared" si="6"/>
        <v>7.0000000000000284E-2</v>
      </c>
      <c r="P9" s="81">
        <f>IF(G9="","",ABS(O9-Components!$C$2)/Components!$D$2)</f>
        <v>406.01535058700313</v>
      </c>
      <c r="Q9" s="81">
        <f>IF(G9="","",ABS(O9-Components!$C$3)/Components!$D$3)</f>
        <v>287.46314319518291</v>
      </c>
      <c r="R9" s="81">
        <f>IF(G9="","",ABS(O9-Components!$C$4)/Components!$D$4)</f>
        <v>66.05317228284693</v>
      </c>
      <c r="S9" s="81">
        <f>IF(G9="","",ABS(O9-Components!$C$5)/Components!$D$5)</f>
        <v>178.42335231600086</v>
      </c>
      <c r="T9" s="81">
        <f>IF(G9="","",ABS(O9-Components!$C$6)/Components!$D$6)</f>
        <v>39.295189730467477</v>
      </c>
      <c r="U9" s="81">
        <f>IF(G9="","",ABS(O9-Components!$C$7)/Components!$D$7)</f>
        <v>51.871331601507507</v>
      </c>
      <c r="V9" s="81" t="str">
        <f>IF(G9="","",IF(M9="OK","NONE",INDEX({"S1","S2","W1","W2","N1","N2"},MATCH(MIN(P9:U9),P9:U9,0))))</f>
        <v>NONE</v>
      </c>
      <c r="W9" s="117">
        <f t="shared" si="7"/>
        <v>1</v>
      </c>
      <c r="X9" s="107"/>
    </row>
    <row r="10" spans="1:24">
      <c r="A10" s="115">
        <v>8</v>
      </c>
      <c r="B10" s="116">
        <v>1</v>
      </c>
      <c r="C10" s="81" t="s">
        <v>128</v>
      </c>
      <c r="D10" s="109" t="s">
        <v>238</v>
      </c>
      <c r="E10" s="81" t="s">
        <v>239</v>
      </c>
      <c r="F10" s="52">
        <v>9.92</v>
      </c>
      <c r="G10" s="52">
        <f t="shared" si="0"/>
        <v>10.89</v>
      </c>
      <c r="H10" s="110"/>
      <c r="I10" s="81">
        <f>VLOOKUP(C10,Recipes!$A$2:$N$4,10,FALSE())</f>
        <v>10.940000000000001</v>
      </c>
      <c r="J10" s="81">
        <f>VLOOKUP(C10,Recipes!$A$2:$N$4,12,FALSE())</f>
        <v>5.2703573566378441E-2</v>
      </c>
      <c r="K10" s="61">
        <f t="shared" si="1"/>
        <v>10.781889279300866</v>
      </c>
      <c r="L10" s="61">
        <f t="shared" si="2"/>
        <v>11.098110720699136</v>
      </c>
      <c r="M10" s="81" t="str">
        <f t="shared" si="4"/>
        <v>OK</v>
      </c>
      <c r="N10" s="117">
        <f t="shared" si="5"/>
        <v>1</v>
      </c>
      <c r="O10" s="81">
        <f t="shared" si="6"/>
        <v>5.0000000000000711E-2</v>
      </c>
      <c r="P10" s="81">
        <f>IF(G10="","",ABS(O10-Components!$C$2)/Components!$D$2)</f>
        <v>409.0415519578379</v>
      </c>
      <c r="Q10" s="81">
        <f>IF(G10="","",ABS(O10-Components!$C$3)/Components!$D$3)</f>
        <v>288.91278083106374</v>
      </c>
      <c r="R10" s="81">
        <f>IF(G10="","",ABS(O10-Components!$C$4)/Components!$D$4)</f>
        <v>67.483926917132393</v>
      </c>
      <c r="S10" s="81">
        <f>IF(G10="","",ABS(O10-Components!$C$5)/Components!$D$5)</f>
        <v>179.21763938670568</v>
      </c>
      <c r="T10" s="81">
        <f>IF(G10="","",ABS(O10-Components!$C$6)/Components!$D$6)</f>
        <v>40.019080238243959</v>
      </c>
      <c r="U10" s="81">
        <f>IF(G10="","",ABS(O10-Components!$C$7)/Components!$D$7)</f>
        <v>52.666700856833444</v>
      </c>
      <c r="V10" s="81" t="str">
        <f>IF(G10="","",IF(M10="OK","NONE",INDEX({"S1","S2","W1","W2","N1","N2"},MATCH(MIN(P10:U10),P10:U10,0))))</f>
        <v>NONE</v>
      </c>
      <c r="W10" s="117">
        <f t="shared" si="7"/>
        <v>1</v>
      </c>
      <c r="X10" s="107"/>
    </row>
    <row r="11" spans="1:24">
      <c r="A11" s="115">
        <v>9</v>
      </c>
      <c r="B11" s="116">
        <v>1</v>
      </c>
      <c r="C11" s="81" t="s">
        <v>128</v>
      </c>
      <c r="D11" s="109" t="s">
        <v>238</v>
      </c>
      <c r="E11" s="81" t="s">
        <v>239</v>
      </c>
      <c r="F11" s="52">
        <v>9.9499999999999993</v>
      </c>
      <c r="G11" s="52">
        <f t="shared" si="0"/>
        <v>10.92</v>
      </c>
      <c r="H11" s="110"/>
      <c r="I11" s="81">
        <f>VLOOKUP(C11,Recipes!$A$2:$N$4,10,FALSE())</f>
        <v>10.940000000000001</v>
      </c>
      <c r="J11" s="81">
        <f>VLOOKUP(C11,Recipes!$A$2:$N$4,12,FALSE())</f>
        <v>5.2703573566378441E-2</v>
      </c>
      <c r="K11" s="81">
        <f t="shared" si="1"/>
        <v>10.781889279300866</v>
      </c>
      <c r="L11" s="81">
        <f t="shared" si="2"/>
        <v>11.098110720699136</v>
      </c>
      <c r="M11" s="81" t="str">
        <f t="shared" si="4"/>
        <v>OK</v>
      </c>
      <c r="N11" s="117">
        <f t="shared" si="5"/>
        <v>1</v>
      </c>
      <c r="O11" s="81">
        <f t="shared" si="6"/>
        <v>2.000000000000135E-2</v>
      </c>
      <c r="P11" s="81">
        <f>IF(G11="","",ABS(O11-Components!$C$2)/Components!$D$2)</f>
        <v>413.58085401408999</v>
      </c>
      <c r="Q11" s="81">
        <f>IF(G11="","",ABS(O11-Components!$C$3)/Components!$D$3)</f>
        <v>291.08723728488508</v>
      </c>
      <c r="R11" s="81">
        <f>IF(G11="","",ABS(O11-Components!$C$4)/Components!$D$4)</f>
        <v>69.630058868560582</v>
      </c>
      <c r="S11" s="81">
        <f>IF(G11="","",ABS(O11-Components!$C$5)/Components!$D$5)</f>
        <v>180.40906999276297</v>
      </c>
      <c r="T11" s="81">
        <f>IF(G11="","",ABS(O11-Components!$C$6)/Components!$D$6)</f>
        <v>41.104915999908677</v>
      </c>
      <c r="U11" s="81">
        <f>IF(G11="","",ABS(O11-Components!$C$7)/Components!$D$7)</f>
        <v>53.85975473982235</v>
      </c>
      <c r="V11" s="81" t="str">
        <f>IF(G11="","",IF(M11="OK","NONE",INDEX({"S1","S2","W1","W2","N1","N2"},MATCH(MIN(P11:U11),P11:U11,0))))</f>
        <v>NONE</v>
      </c>
      <c r="W11" s="117">
        <f t="shared" si="7"/>
        <v>1</v>
      </c>
      <c r="X11" s="107"/>
    </row>
    <row r="12" spans="1:24">
      <c r="A12" s="115">
        <v>10</v>
      </c>
      <c r="B12" s="116">
        <v>1</v>
      </c>
      <c r="C12" s="81" t="s">
        <v>128</v>
      </c>
      <c r="D12" s="109" t="s">
        <v>238</v>
      </c>
      <c r="E12" s="81" t="s">
        <v>239</v>
      </c>
      <c r="F12" s="52">
        <v>9.8699999999999992</v>
      </c>
      <c r="G12" s="52">
        <f t="shared" si="0"/>
        <v>10.84</v>
      </c>
      <c r="H12" s="110"/>
      <c r="I12" s="81">
        <f>VLOOKUP(C12,Recipes!$A$2:$N$4,10,FALSE())</f>
        <v>10.940000000000001</v>
      </c>
      <c r="J12" s="81">
        <f>VLOOKUP(C12,Recipes!$A$2:$N$4,12,FALSE())</f>
        <v>5.2703573566378441E-2</v>
      </c>
      <c r="K12" s="81">
        <f t="shared" si="1"/>
        <v>10.781889279300866</v>
      </c>
      <c r="L12" s="81">
        <f t="shared" si="2"/>
        <v>11.098110720699136</v>
      </c>
      <c r="M12" s="81" t="str">
        <f t="shared" si="4"/>
        <v>OK</v>
      </c>
      <c r="N12" s="117">
        <f t="shared" si="5"/>
        <v>1</v>
      </c>
      <c r="O12" s="81">
        <f t="shared" si="6"/>
        <v>0.10000000000000142</v>
      </c>
      <c r="P12" s="81">
        <f>IF(G12="","",ABS(O12-Components!$C$2)/Components!$D$2)</f>
        <v>401.47604853075075</v>
      </c>
      <c r="Q12" s="81">
        <f>IF(G12="","",ABS(O12-Components!$C$3)/Components!$D$3)</f>
        <v>285.28868674136146</v>
      </c>
      <c r="R12" s="81">
        <f>IF(G12="","",ABS(O12-Components!$C$4)/Components!$D$4)</f>
        <v>63.907040331418607</v>
      </c>
      <c r="S12" s="81">
        <f>IF(G12="","",ABS(O12-Components!$C$5)/Components!$D$5)</f>
        <v>177.23192170994352</v>
      </c>
      <c r="T12" s="81">
        <f>IF(G12="","",ABS(O12-Components!$C$6)/Components!$D$6)</f>
        <v>38.209353968802695</v>
      </c>
      <c r="U12" s="81">
        <f>IF(G12="","",ABS(O12-Components!$C$7)/Components!$D$7)</f>
        <v>50.67827771851853</v>
      </c>
      <c r="V12" s="81" t="str">
        <f>IF(G12="","",IF(M12="OK","NONE",INDEX({"S1","S2","W1","W2","N1","N2"},MATCH(MIN(P12:U12),P12:U12,0))))</f>
        <v>NONE</v>
      </c>
      <c r="W12" s="117">
        <f t="shared" si="7"/>
        <v>1</v>
      </c>
      <c r="X12" s="107"/>
    </row>
    <row r="13" spans="1:24">
      <c r="A13" s="115">
        <v>11</v>
      </c>
      <c r="B13" s="116">
        <v>1</v>
      </c>
      <c r="C13" s="81" t="s">
        <v>128</v>
      </c>
      <c r="D13" s="109" t="s">
        <v>238</v>
      </c>
      <c r="E13" s="81" t="s">
        <v>239</v>
      </c>
      <c r="F13" s="52">
        <v>9.8800000000000008</v>
      </c>
      <c r="G13" s="52">
        <f t="shared" si="0"/>
        <v>10.850000000000001</v>
      </c>
      <c r="H13" s="110"/>
      <c r="I13" s="81">
        <f>VLOOKUP(C13,Recipes!$A$2:$N$4,10,FALSE())</f>
        <v>10.940000000000001</v>
      </c>
      <c r="J13" s="81">
        <f>VLOOKUP(C13,Recipes!$A$2:$N$4,12,FALSE())</f>
        <v>5.2703573566378441E-2</v>
      </c>
      <c r="K13" s="81">
        <f t="shared" si="1"/>
        <v>10.781889279300866</v>
      </c>
      <c r="L13" s="81">
        <f t="shared" si="2"/>
        <v>11.098110720699136</v>
      </c>
      <c r="M13" s="81" t="str">
        <f t="shared" si="4"/>
        <v>OK</v>
      </c>
      <c r="N13" s="117">
        <f t="shared" si="5"/>
        <v>1</v>
      </c>
      <c r="O13" s="81">
        <f t="shared" si="6"/>
        <v>8.9999999999999858E-2</v>
      </c>
      <c r="P13" s="81">
        <f>IF(G13="","",ABS(O13-Components!$C$2)/Components!$D$2)</f>
        <v>402.98914921616836</v>
      </c>
      <c r="Q13" s="81">
        <f>IF(G13="","",ABS(O13-Components!$C$3)/Components!$D$3)</f>
        <v>286.01350555930202</v>
      </c>
      <c r="R13" s="81">
        <f>IF(G13="","",ABS(O13-Components!$C$4)/Components!$D$4)</f>
        <v>64.622417648561466</v>
      </c>
      <c r="S13" s="81">
        <f>IF(G13="","",ABS(O13-Components!$C$5)/Components!$D$5)</f>
        <v>177.62906524529603</v>
      </c>
      <c r="T13" s="81">
        <f>IF(G13="","",ABS(O13-Components!$C$6)/Components!$D$6)</f>
        <v>38.571299222691003</v>
      </c>
      <c r="U13" s="81">
        <f>IF(G13="","",ABS(O13-Components!$C$7)/Components!$D$7)</f>
        <v>51.075962346181569</v>
      </c>
      <c r="V13" s="81" t="str">
        <f>IF(G13="","",IF(M13="OK","NONE",INDEX({"S1","S2","W1","W2","N1","N2"},MATCH(MIN(P13:U13),P13:U13,0))))</f>
        <v>NONE</v>
      </c>
      <c r="W13" s="117">
        <f t="shared" si="7"/>
        <v>1</v>
      </c>
      <c r="X13" s="107"/>
    </row>
    <row r="14" spans="1:24">
      <c r="A14" s="115">
        <v>12</v>
      </c>
      <c r="B14" s="116">
        <v>1</v>
      </c>
      <c r="C14" s="81" t="s">
        <v>128</v>
      </c>
      <c r="D14" s="109" t="s">
        <v>238</v>
      </c>
      <c r="E14" s="81" t="s">
        <v>239</v>
      </c>
      <c r="F14" s="52">
        <v>9.91</v>
      </c>
      <c r="G14" s="52">
        <f t="shared" si="0"/>
        <v>10.88</v>
      </c>
      <c r="H14" s="110"/>
      <c r="I14" s="81">
        <f>VLOOKUP(C14,Recipes!$A$2:$N$4,10,FALSE())</f>
        <v>10.940000000000001</v>
      </c>
      <c r="J14" s="81">
        <f>VLOOKUP(C14,Recipes!$A$2:$N$4,12,FALSE())</f>
        <v>5.2703573566378441E-2</v>
      </c>
      <c r="K14" s="81">
        <f t="shared" si="1"/>
        <v>10.781889279300866</v>
      </c>
      <c r="L14" s="81">
        <f t="shared" si="2"/>
        <v>11.098110720699136</v>
      </c>
      <c r="M14" s="81" t="str">
        <f t="shared" si="4"/>
        <v>OK</v>
      </c>
      <c r="N14" s="117">
        <f t="shared" si="5"/>
        <v>1</v>
      </c>
      <c r="O14" s="81">
        <f t="shared" si="6"/>
        <v>6.0000000000000497E-2</v>
      </c>
      <c r="P14" s="81">
        <f>IF(G14="","",ABS(O14-Components!$C$2)/Components!$D$2)</f>
        <v>407.52845127242051</v>
      </c>
      <c r="Q14" s="81">
        <f>IF(G14="","",ABS(O14-Components!$C$3)/Components!$D$3)</f>
        <v>288.18796201312335</v>
      </c>
      <c r="R14" s="81">
        <f>IF(G14="","",ABS(O14-Components!$C$4)/Components!$D$4)</f>
        <v>66.768549599989655</v>
      </c>
      <c r="S14" s="81">
        <f>IF(G14="","",ABS(O14-Components!$C$5)/Components!$D$5)</f>
        <v>178.82049585135329</v>
      </c>
      <c r="T14" s="81">
        <f>IF(G14="","",ABS(O14-Components!$C$6)/Components!$D$6)</f>
        <v>39.657134984355721</v>
      </c>
      <c r="U14" s="81">
        <f>IF(G14="","",ABS(O14-Components!$C$7)/Components!$D$7)</f>
        <v>52.269016229170475</v>
      </c>
      <c r="V14" s="81" t="str">
        <f>IF(G14="","",IF(M14="OK","NONE",INDEX({"S1","S2","W1","W2","N1","N2"},MATCH(MIN(P14:U14),P14:U14,0))))</f>
        <v>NONE</v>
      </c>
      <c r="W14" s="117">
        <f t="shared" si="7"/>
        <v>1</v>
      </c>
      <c r="X14" s="107"/>
    </row>
    <row r="15" spans="1:24">
      <c r="A15" s="115">
        <v>13</v>
      </c>
      <c r="B15" s="116">
        <v>1</v>
      </c>
      <c r="C15" s="81" t="s">
        <v>128</v>
      </c>
      <c r="D15" s="109" t="s">
        <v>238</v>
      </c>
      <c r="E15" s="81" t="s">
        <v>239</v>
      </c>
      <c r="F15" s="52">
        <v>9.9</v>
      </c>
      <c r="G15" s="52">
        <f t="shared" si="0"/>
        <v>10.870000000000001</v>
      </c>
      <c r="H15" s="110"/>
      <c r="I15" s="81">
        <f>VLOOKUP(C15,Recipes!$A$2:$N$4,10,FALSE())</f>
        <v>10.940000000000001</v>
      </c>
      <c r="J15" s="81">
        <f>VLOOKUP(C15,Recipes!$A$2:$N$4,12,FALSE())</f>
        <v>5.2703573566378441E-2</v>
      </c>
      <c r="K15" s="81">
        <f t="shared" si="1"/>
        <v>10.781889279300866</v>
      </c>
      <c r="L15" s="81">
        <f t="shared" si="2"/>
        <v>11.098110720699136</v>
      </c>
      <c r="M15" s="81" t="str">
        <f t="shared" si="4"/>
        <v>OK</v>
      </c>
      <c r="N15" s="117">
        <f t="shared" si="5"/>
        <v>1</v>
      </c>
      <c r="O15" s="81">
        <f t="shared" si="6"/>
        <v>7.0000000000000284E-2</v>
      </c>
      <c r="P15" s="81">
        <f>IF(G15="","",ABS(O15-Components!$C$2)/Components!$D$2)</f>
        <v>406.01535058700313</v>
      </c>
      <c r="Q15" s="81">
        <f>IF(G15="","",ABS(O15-Components!$C$3)/Components!$D$3)</f>
        <v>287.46314319518291</v>
      </c>
      <c r="R15" s="81">
        <f>IF(G15="","",ABS(O15-Components!$C$4)/Components!$D$4)</f>
        <v>66.05317228284693</v>
      </c>
      <c r="S15" s="81">
        <f>IF(G15="","",ABS(O15-Components!$C$5)/Components!$D$5)</f>
        <v>178.42335231600086</v>
      </c>
      <c r="T15" s="81">
        <f>IF(G15="","",ABS(O15-Components!$C$6)/Components!$D$6)</f>
        <v>39.295189730467477</v>
      </c>
      <c r="U15" s="81">
        <f>IF(G15="","",ABS(O15-Components!$C$7)/Components!$D$7)</f>
        <v>51.871331601507507</v>
      </c>
      <c r="V15" s="81" t="str">
        <f>IF(G15="","",IF(M15="OK","NONE",INDEX({"S1","S2","W1","W2","N1","N2"},MATCH(MIN(P15:U15),P15:U15,0))))</f>
        <v>NONE</v>
      </c>
      <c r="W15" s="117">
        <f t="shared" si="7"/>
        <v>1</v>
      </c>
      <c r="X15" s="107"/>
    </row>
    <row r="16" spans="1:24">
      <c r="A16" s="115">
        <v>14</v>
      </c>
      <c r="B16" s="116">
        <v>1</v>
      </c>
      <c r="C16" s="81" t="s">
        <v>128</v>
      </c>
      <c r="D16" s="109" t="s">
        <v>238</v>
      </c>
      <c r="E16" s="81" t="s">
        <v>239</v>
      </c>
      <c r="F16" s="52">
        <v>9.92</v>
      </c>
      <c r="G16" s="52">
        <f t="shared" si="0"/>
        <v>10.89</v>
      </c>
      <c r="H16" s="110"/>
      <c r="I16" s="81">
        <f>VLOOKUP(C16,Recipes!$A$2:$N$4,10,FALSE())</f>
        <v>10.940000000000001</v>
      </c>
      <c r="J16" s="81">
        <f>VLOOKUP(C16,Recipes!$A$2:$N$4,12,FALSE())</f>
        <v>5.2703573566378441E-2</v>
      </c>
      <c r="K16" s="81">
        <f t="shared" si="1"/>
        <v>10.781889279300866</v>
      </c>
      <c r="L16" s="81">
        <f t="shared" si="2"/>
        <v>11.098110720699136</v>
      </c>
      <c r="M16" s="81" t="str">
        <f t="shared" si="4"/>
        <v>OK</v>
      </c>
      <c r="N16" s="117">
        <f t="shared" si="5"/>
        <v>1</v>
      </c>
      <c r="O16" s="81">
        <f t="shared" si="6"/>
        <v>5.0000000000000711E-2</v>
      </c>
      <c r="P16" s="81">
        <f>IF(G16="","",ABS(O16-Components!$C$2)/Components!$D$2)</f>
        <v>409.0415519578379</v>
      </c>
      <c r="Q16" s="81">
        <f>IF(G16="","",ABS(O16-Components!$C$3)/Components!$D$3)</f>
        <v>288.91278083106374</v>
      </c>
      <c r="R16" s="81">
        <f>IF(G16="","",ABS(O16-Components!$C$4)/Components!$D$4)</f>
        <v>67.483926917132393</v>
      </c>
      <c r="S16" s="81">
        <f>IF(G16="","",ABS(O16-Components!$C$5)/Components!$D$5)</f>
        <v>179.21763938670568</v>
      </c>
      <c r="T16" s="81">
        <f>IF(G16="","",ABS(O16-Components!$C$6)/Components!$D$6)</f>
        <v>40.019080238243959</v>
      </c>
      <c r="U16" s="81">
        <f>IF(G16="","",ABS(O16-Components!$C$7)/Components!$D$7)</f>
        <v>52.666700856833444</v>
      </c>
      <c r="V16" s="81" t="str">
        <f>IF(G16="","",IF(M16="OK","NONE",INDEX({"S1","S2","W1","W2","N1","N2"},MATCH(MIN(P16:U16),P16:U16,0))))</f>
        <v>NONE</v>
      </c>
      <c r="W16" s="117">
        <f t="shared" si="7"/>
        <v>1</v>
      </c>
      <c r="X16" s="107"/>
    </row>
    <row r="17" spans="1:24">
      <c r="A17" s="115">
        <v>15</v>
      </c>
      <c r="B17" s="116">
        <v>1</v>
      </c>
      <c r="C17" s="81" t="s">
        <v>128</v>
      </c>
      <c r="D17" s="109" t="s">
        <v>238</v>
      </c>
      <c r="E17" s="81" t="s">
        <v>239</v>
      </c>
      <c r="F17" s="52">
        <v>9.94</v>
      </c>
      <c r="G17" s="52">
        <f t="shared" si="0"/>
        <v>10.91</v>
      </c>
      <c r="H17" s="110"/>
      <c r="I17" s="81">
        <f>VLOOKUP(C17,Recipes!$A$2:$N$4,10,FALSE())</f>
        <v>10.940000000000001</v>
      </c>
      <c r="J17" s="81">
        <f>VLOOKUP(C17,Recipes!$A$2:$N$4,12,FALSE())</f>
        <v>5.2703573566378441E-2</v>
      </c>
      <c r="K17" s="81">
        <f t="shared" si="1"/>
        <v>10.781889279300866</v>
      </c>
      <c r="L17" s="81">
        <f t="shared" si="2"/>
        <v>11.098110720699136</v>
      </c>
      <c r="M17" s="81" t="str">
        <f t="shared" si="4"/>
        <v>OK</v>
      </c>
      <c r="N17" s="117">
        <f t="shared" si="5"/>
        <v>1</v>
      </c>
      <c r="O17" s="81">
        <f t="shared" si="6"/>
        <v>3.0000000000001137E-2</v>
      </c>
      <c r="P17" s="81">
        <f>IF(G17="","",ABS(O17-Components!$C$2)/Components!$D$2)</f>
        <v>412.06775332867261</v>
      </c>
      <c r="Q17" s="81">
        <f>IF(G17="","",ABS(O17-Components!$C$3)/Components!$D$3)</f>
        <v>290.36241846694463</v>
      </c>
      <c r="R17" s="81">
        <f>IF(G17="","",ABS(O17-Components!$C$4)/Components!$D$4)</f>
        <v>68.914681551417857</v>
      </c>
      <c r="S17" s="81">
        <f>IF(G17="","",ABS(O17-Components!$C$5)/Components!$D$5)</f>
        <v>180.01192645741054</v>
      </c>
      <c r="T17" s="81">
        <f>IF(G17="","",ABS(O17-Components!$C$6)/Components!$D$6)</f>
        <v>40.74297074602044</v>
      </c>
      <c r="U17" s="81">
        <f>IF(G17="","",ABS(O17-Components!$C$7)/Components!$D$7)</f>
        <v>53.462070112159381</v>
      </c>
      <c r="V17" s="81" t="str">
        <f>IF(G17="","",IF(M17="OK","NONE",INDEX({"S1","S2","W1","W2","N1","N2"},MATCH(MIN(P17:U17),P17:U17,0))))</f>
        <v>NONE</v>
      </c>
      <c r="W17" s="117">
        <f t="shared" si="7"/>
        <v>1</v>
      </c>
      <c r="X17" s="107"/>
    </row>
    <row r="18" spans="1:24">
      <c r="A18" s="115">
        <v>16</v>
      </c>
      <c r="B18" s="116">
        <v>1</v>
      </c>
      <c r="C18" s="81" t="s">
        <v>128</v>
      </c>
      <c r="D18" s="109" t="s">
        <v>238</v>
      </c>
      <c r="E18" s="81" t="s">
        <v>239</v>
      </c>
      <c r="F18" s="52">
        <v>9.92</v>
      </c>
      <c r="G18" s="52">
        <f t="shared" si="0"/>
        <v>10.89</v>
      </c>
      <c r="H18" s="110"/>
      <c r="I18" s="81">
        <f>VLOOKUP(C18,Recipes!$A$2:$N$4,10,FALSE())</f>
        <v>10.940000000000001</v>
      </c>
      <c r="J18" s="81">
        <f>VLOOKUP(C18,Recipes!$A$2:$N$4,12,FALSE())</f>
        <v>5.2703573566378441E-2</v>
      </c>
      <c r="K18" s="81">
        <f t="shared" si="1"/>
        <v>10.781889279300866</v>
      </c>
      <c r="L18" s="81">
        <f t="shared" si="2"/>
        <v>11.098110720699136</v>
      </c>
      <c r="M18" s="81" t="str">
        <f t="shared" si="4"/>
        <v>OK</v>
      </c>
      <c r="N18" s="117">
        <f t="shared" si="5"/>
        <v>1</v>
      </c>
      <c r="O18" s="81">
        <f t="shared" si="6"/>
        <v>5.0000000000000711E-2</v>
      </c>
      <c r="P18" s="81">
        <f>IF(G18="","",ABS(O18-Components!$C$2)/Components!$D$2)</f>
        <v>409.0415519578379</v>
      </c>
      <c r="Q18" s="81">
        <f>IF(G18="","",ABS(O18-Components!$C$3)/Components!$D$3)</f>
        <v>288.91278083106374</v>
      </c>
      <c r="R18" s="81">
        <f>IF(G18="","",ABS(O18-Components!$C$4)/Components!$D$4)</f>
        <v>67.483926917132393</v>
      </c>
      <c r="S18" s="81">
        <f>IF(G18="","",ABS(O18-Components!$C$5)/Components!$D$5)</f>
        <v>179.21763938670568</v>
      </c>
      <c r="T18" s="81">
        <f>IF(G18="","",ABS(O18-Components!$C$6)/Components!$D$6)</f>
        <v>40.019080238243959</v>
      </c>
      <c r="U18" s="81">
        <f>IF(G18="","",ABS(O18-Components!$C$7)/Components!$D$7)</f>
        <v>52.666700856833444</v>
      </c>
      <c r="V18" s="81" t="str">
        <f>IF(G18="","",IF(M18="OK","NONE",INDEX({"S1","S2","W1","W2","N1","N2"},MATCH(MIN(P18:U18),P18:U18,0))))</f>
        <v>NONE</v>
      </c>
      <c r="W18" s="117">
        <f t="shared" si="7"/>
        <v>1</v>
      </c>
      <c r="X18" s="107"/>
    </row>
    <row r="19" spans="1:24">
      <c r="A19" s="115">
        <v>17</v>
      </c>
      <c r="B19" s="116">
        <v>1</v>
      </c>
      <c r="C19" s="81" t="s">
        <v>128</v>
      </c>
      <c r="D19" s="109" t="s">
        <v>238</v>
      </c>
      <c r="E19" s="81" t="s">
        <v>239</v>
      </c>
      <c r="F19" s="52">
        <v>9.89</v>
      </c>
      <c r="G19" s="52">
        <f t="shared" si="0"/>
        <v>10.860000000000001</v>
      </c>
      <c r="H19" s="110"/>
      <c r="I19" s="81">
        <f>VLOOKUP(C19,Recipes!$A$2:$N$4,10,FALSE())</f>
        <v>10.940000000000001</v>
      </c>
      <c r="J19" s="81">
        <f>VLOOKUP(C19,Recipes!$A$2:$N$4,12,FALSE())</f>
        <v>5.2703573566378441E-2</v>
      </c>
      <c r="K19" s="81">
        <f t="shared" si="1"/>
        <v>10.781889279300866</v>
      </c>
      <c r="L19" s="81">
        <f t="shared" si="2"/>
        <v>11.098110720699136</v>
      </c>
      <c r="M19" s="81" t="str">
        <f t="shared" si="4"/>
        <v>OK</v>
      </c>
      <c r="N19" s="117">
        <f t="shared" si="5"/>
        <v>1</v>
      </c>
      <c r="O19" s="81">
        <f t="shared" si="6"/>
        <v>8.0000000000000071E-2</v>
      </c>
      <c r="P19" s="81">
        <f>IF(G19="","",ABS(O19-Components!$C$2)/Components!$D$2)</f>
        <v>404.50224990158574</v>
      </c>
      <c r="Q19" s="81">
        <f>IF(G19="","",ABS(O19-Components!$C$3)/Components!$D$3)</f>
        <v>286.73832437724246</v>
      </c>
      <c r="R19" s="81">
        <f>IF(G19="","",ABS(O19-Components!$C$4)/Components!$D$4)</f>
        <v>65.337794965704191</v>
      </c>
      <c r="S19" s="81">
        <f>IF(G19="","",ABS(O19-Components!$C$5)/Components!$D$5)</f>
        <v>178.02620878064843</v>
      </c>
      <c r="T19" s="81">
        <f>IF(G19="","",ABS(O19-Components!$C$6)/Components!$D$6)</f>
        <v>38.93324447657924</v>
      </c>
      <c r="U19" s="81">
        <f>IF(G19="","",ABS(O19-Components!$C$7)/Components!$D$7)</f>
        <v>51.473646973844538</v>
      </c>
      <c r="V19" s="81" t="str">
        <f>IF(G19="","",IF(M19="OK","NONE",INDEX({"S1","S2","W1","W2","N1","N2"},MATCH(MIN(P19:U19),P19:U19,0))))</f>
        <v>NONE</v>
      </c>
      <c r="W19" s="117">
        <f t="shared" si="7"/>
        <v>1</v>
      </c>
      <c r="X19" s="107"/>
    </row>
    <row r="20" spans="1:24">
      <c r="A20" s="115">
        <v>18</v>
      </c>
      <c r="B20" s="116">
        <v>1</v>
      </c>
      <c r="C20" s="81" t="s">
        <v>128</v>
      </c>
      <c r="D20" s="109" t="s">
        <v>238</v>
      </c>
      <c r="E20" s="81" t="s">
        <v>239</v>
      </c>
      <c r="F20" s="52">
        <v>9.92</v>
      </c>
      <c r="G20" s="52">
        <f t="shared" si="0"/>
        <v>10.89</v>
      </c>
      <c r="H20" s="110"/>
      <c r="I20" s="81">
        <f>VLOOKUP(C20,Recipes!$A$2:$N$4,10,FALSE())</f>
        <v>10.940000000000001</v>
      </c>
      <c r="J20" s="81">
        <f>VLOOKUP(C20,Recipes!$A$2:$N$4,12,FALSE())</f>
        <v>5.2703573566378441E-2</v>
      </c>
      <c r="K20" s="81">
        <f t="shared" si="1"/>
        <v>10.781889279300866</v>
      </c>
      <c r="L20" s="81">
        <f t="shared" si="2"/>
        <v>11.098110720699136</v>
      </c>
      <c r="M20" s="81" t="str">
        <f t="shared" si="4"/>
        <v>OK</v>
      </c>
      <c r="N20" s="117">
        <f t="shared" si="5"/>
        <v>1</v>
      </c>
      <c r="O20" s="81">
        <f t="shared" si="6"/>
        <v>5.0000000000000711E-2</v>
      </c>
      <c r="P20" s="81">
        <f>IF(G20="","",ABS(O20-Components!$C$2)/Components!$D$2)</f>
        <v>409.0415519578379</v>
      </c>
      <c r="Q20" s="81">
        <f>IF(G20="","",ABS(O20-Components!$C$3)/Components!$D$3)</f>
        <v>288.91278083106374</v>
      </c>
      <c r="R20" s="81">
        <f>IF(G20="","",ABS(O20-Components!$C$4)/Components!$D$4)</f>
        <v>67.483926917132393</v>
      </c>
      <c r="S20" s="81">
        <f>IF(G20="","",ABS(O20-Components!$C$5)/Components!$D$5)</f>
        <v>179.21763938670568</v>
      </c>
      <c r="T20" s="81">
        <f>IF(G20="","",ABS(O20-Components!$C$6)/Components!$D$6)</f>
        <v>40.019080238243959</v>
      </c>
      <c r="U20" s="81">
        <f>IF(G20="","",ABS(O20-Components!$C$7)/Components!$D$7)</f>
        <v>52.666700856833444</v>
      </c>
      <c r="V20" s="81" t="str">
        <f>IF(G20="","",IF(M20="OK","NONE",INDEX({"S1","S2","W1","W2","N1","N2"},MATCH(MIN(P20:U20),P20:U20,0))))</f>
        <v>NONE</v>
      </c>
      <c r="W20" s="117">
        <f t="shared" si="7"/>
        <v>1</v>
      </c>
      <c r="X20" s="107"/>
    </row>
    <row r="21" spans="1:24">
      <c r="A21" s="115">
        <v>19</v>
      </c>
      <c r="B21" s="116">
        <v>1</v>
      </c>
      <c r="C21" s="81" t="s">
        <v>128</v>
      </c>
      <c r="D21" s="109" t="s">
        <v>238</v>
      </c>
      <c r="E21" s="81" t="s">
        <v>239</v>
      </c>
      <c r="F21" s="52">
        <v>9.9499999999999993</v>
      </c>
      <c r="G21" s="52">
        <f t="shared" si="0"/>
        <v>10.92</v>
      </c>
      <c r="H21" s="110"/>
      <c r="I21" s="81">
        <f>VLOOKUP(C21,Recipes!$A$2:$N$4,10,FALSE())</f>
        <v>10.940000000000001</v>
      </c>
      <c r="J21" s="81">
        <f>VLOOKUP(C21,Recipes!$A$2:$N$4,12,FALSE())</f>
        <v>5.2703573566378441E-2</v>
      </c>
      <c r="K21" s="81">
        <f t="shared" si="1"/>
        <v>10.781889279300866</v>
      </c>
      <c r="L21" s="81">
        <f t="shared" si="2"/>
        <v>11.098110720699136</v>
      </c>
      <c r="M21" s="81" t="str">
        <f t="shared" si="4"/>
        <v>OK</v>
      </c>
      <c r="N21" s="117">
        <f t="shared" si="5"/>
        <v>1</v>
      </c>
      <c r="O21" s="81">
        <f t="shared" si="6"/>
        <v>2.000000000000135E-2</v>
      </c>
      <c r="P21" s="81">
        <f>IF(G21="","",ABS(O21-Components!$C$2)/Components!$D$2)</f>
        <v>413.58085401408999</v>
      </c>
      <c r="Q21" s="81">
        <f>IF(G21="","",ABS(O21-Components!$C$3)/Components!$D$3)</f>
        <v>291.08723728488508</v>
      </c>
      <c r="R21" s="81">
        <f>IF(G21="","",ABS(O21-Components!$C$4)/Components!$D$4)</f>
        <v>69.630058868560582</v>
      </c>
      <c r="S21" s="81">
        <f>IF(G21="","",ABS(O21-Components!$C$5)/Components!$D$5)</f>
        <v>180.40906999276297</v>
      </c>
      <c r="T21" s="81">
        <f>IF(G21="","",ABS(O21-Components!$C$6)/Components!$D$6)</f>
        <v>41.104915999908677</v>
      </c>
      <c r="U21" s="81">
        <f>IF(G21="","",ABS(O21-Components!$C$7)/Components!$D$7)</f>
        <v>53.85975473982235</v>
      </c>
      <c r="V21" s="81" t="str">
        <f>IF(G21="","",IF(M21="OK","NONE",INDEX({"S1","S2","W1","W2","N1","N2"},MATCH(MIN(P21:U21),P21:U21,0))))</f>
        <v>NONE</v>
      </c>
      <c r="W21" s="117">
        <f t="shared" si="7"/>
        <v>1</v>
      </c>
      <c r="X21" s="107"/>
    </row>
    <row r="22" spans="1:24">
      <c r="A22" s="115">
        <v>20</v>
      </c>
      <c r="B22" s="116">
        <v>1</v>
      </c>
      <c r="C22" s="81" t="s">
        <v>128</v>
      </c>
      <c r="D22" s="109" t="s">
        <v>238</v>
      </c>
      <c r="E22" s="81" t="s">
        <v>239</v>
      </c>
      <c r="F22" s="52">
        <v>9.98</v>
      </c>
      <c r="G22" s="52">
        <f t="shared" si="0"/>
        <v>10.950000000000001</v>
      </c>
      <c r="H22" s="110"/>
      <c r="I22" s="81">
        <f>VLOOKUP(C22,Recipes!$A$2:$N$4,10,FALSE())</f>
        <v>10.940000000000001</v>
      </c>
      <c r="J22" s="81">
        <f>VLOOKUP(C22,Recipes!$A$2:$N$4,12,FALSE())</f>
        <v>5.2703573566378441E-2</v>
      </c>
      <c r="K22" s="81">
        <f t="shared" si="1"/>
        <v>10.781889279300866</v>
      </c>
      <c r="L22" s="81">
        <f t="shared" si="2"/>
        <v>11.098110720699136</v>
      </c>
      <c r="M22" s="81" t="str">
        <f t="shared" si="4"/>
        <v>OK</v>
      </c>
      <c r="N22" s="117">
        <f t="shared" si="5"/>
        <v>1</v>
      </c>
      <c r="O22" s="81">
        <f t="shared" si="6"/>
        <v>-9.9999999999997868E-3</v>
      </c>
      <c r="P22" s="81">
        <f>IF(G22="","",ABS(O22-Components!$C$2)/Components!$D$2)</f>
        <v>418.12015607034238</v>
      </c>
      <c r="Q22" s="81">
        <f>IF(G22="","",ABS(O22-Components!$C$3)/Components!$D$3)</f>
        <v>293.26169373870653</v>
      </c>
      <c r="R22" s="81">
        <f>IF(G22="","",ABS(O22-Components!$C$4)/Components!$D$4)</f>
        <v>71.776190819988912</v>
      </c>
      <c r="S22" s="81">
        <f>IF(G22="","",ABS(O22-Components!$C$5)/Components!$D$5)</f>
        <v>181.60050059882028</v>
      </c>
      <c r="T22" s="81">
        <f>IF(G22="","",ABS(O22-Components!$C$6)/Components!$D$6)</f>
        <v>42.190751761573459</v>
      </c>
      <c r="U22" s="81">
        <f>IF(G22="","",ABS(O22-Components!$C$7)/Components!$D$7)</f>
        <v>55.05280862281132</v>
      </c>
      <c r="V22" s="81" t="str">
        <f>IF(G22="","",IF(M22="OK","NONE",INDEX({"S1","S2","W1","W2","N1","N2"},MATCH(MIN(P22:U22),P22:U22,0))))</f>
        <v>NONE</v>
      </c>
      <c r="W22" s="117">
        <f t="shared" si="7"/>
        <v>1</v>
      </c>
      <c r="X22" s="107"/>
    </row>
    <row r="23" spans="1:24">
      <c r="A23" s="115">
        <v>21</v>
      </c>
      <c r="B23" s="116">
        <v>1</v>
      </c>
      <c r="C23" s="81" t="s">
        <v>128</v>
      </c>
      <c r="D23" s="109" t="s">
        <v>238</v>
      </c>
      <c r="E23" s="81" t="s">
        <v>239</v>
      </c>
      <c r="F23" s="52">
        <v>9.99</v>
      </c>
      <c r="G23" s="52">
        <f t="shared" si="0"/>
        <v>10.96</v>
      </c>
      <c r="H23" s="110"/>
      <c r="I23" s="81">
        <f>VLOOKUP(C23,Recipes!$A$2:$N$4,10,FALSE())</f>
        <v>10.940000000000001</v>
      </c>
      <c r="J23" s="81">
        <f>VLOOKUP(C23,Recipes!$A$2:$N$4,12,FALSE())</f>
        <v>5.2703573566378441E-2</v>
      </c>
      <c r="K23" s="81">
        <f t="shared" si="1"/>
        <v>10.781889279300866</v>
      </c>
      <c r="L23" s="81">
        <f t="shared" si="2"/>
        <v>11.098110720699136</v>
      </c>
      <c r="M23" s="81" t="str">
        <f t="shared" si="4"/>
        <v>OK</v>
      </c>
      <c r="N23" s="117">
        <f t="shared" si="5"/>
        <v>1</v>
      </c>
      <c r="O23" s="81">
        <f t="shared" si="6"/>
        <v>-1.9999999999999574E-2</v>
      </c>
      <c r="P23" s="81">
        <f>IF(G23="","",ABS(O23-Components!$C$2)/Components!$D$2)</f>
        <v>419.63325675575976</v>
      </c>
      <c r="Q23" s="81">
        <f>IF(G23="","",ABS(O23-Components!$C$3)/Components!$D$3)</f>
        <v>293.98651255664697</v>
      </c>
      <c r="R23" s="81">
        <f>IF(G23="","",ABS(O23-Components!$C$4)/Components!$D$4)</f>
        <v>72.491568137131637</v>
      </c>
      <c r="S23" s="81">
        <f>IF(G23="","",ABS(O23-Components!$C$5)/Components!$D$5)</f>
        <v>181.9976441341727</v>
      </c>
      <c r="T23" s="81">
        <f>IF(G23="","",ABS(O23-Components!$C$6)/Components!$D$6)</f>
        <v>42.552697015461703</v>
      </c>
      <c r="U23" s="81">
        <f>IF(G23="","",ABS(O23-Components!$C$7)/Components!$D$7)</f>
        <v>55.450493250474288</v>
      </c>
      <c r="V23" s="81" t="str">
        <f>IF(G23="","",IF(M23="OK","NONE",INDEX({"S1","S2","W1","W2","N1","N2"},MATCH(MIN(P23:U23),P23:U23,0))))</f>
        <v>NONE</v>
      </c>
      <c r="W23" s="117">
        <f t="shared" si="7"/>
        <v>1</v>
      </c>
      <c r="X23" s="107"/>
    </row>
    <row r="24" spans="1:24">
      <c r="A24" s="115">
        <v>22</v>
      </c>
      <c r="B24" s="116">
        <v>1</v>
      </c>
      <c r="C24" s="81" t="s">
        <v>128</v>
      </c>
      <c r="D24" s="109" t="s">
        <v>238</v>
      </c>
      <c r="E24" s="81" t="s">
        <v>239</v>
      </c>
      <c r="F24" s="52">
        <v>9.9</v>
      </c>
      <c r="G24" s="52">
        <f t="shared" si="0"/>
        <v>10.870000000000001</v>
      </c>
      <c r="H24" s="110"/>
      <c r="I24" s="81">
        <f>VLOOKUP(C24,Recipes!$A$2:$N$4,10,FALSE())</f>
        <v>10.940000000000001</v>
      </c>
      <c r="J24" s="81">
        <f>VLOOKUP(C24,Recipes!$A$2:$N$4,12,FALSE())</f>
        <v>5.2703573566378441E-2</v>
      </c>
      <c r="K24" s="81">
        <f t="shared" si="1"/>
        <v>10.781889279300866</v>
      </c>
      <c r="L24" s="81">
        <f t="shared" si="2"/>
        <v>11.098110720699136</v>
      </c>
      <c r="M24" s="81" t="str">
        <f t="shared" si="4"/>
        <v>OK</v>
      </c>
      <c r="N24" s="117">
        <f t="shared" si="5"/>
        <v>1</v>
      </c>
      <c r="O24" s="81">
        <f t="shared" si="6"/>
        <v>7.0000000000000284E-2</v>
      </c>
      <c r="P24" s="81">
        <f>IF(G24="","",ABS(O24-Components!$C$2)/Components!$D$2)</f>
        <v>406.01535058700313</v>
      </c>
      <c r="Q24" s="81">
        <f>IF(G24="","",ABS(O24-Components!$C$3)/Components!$D$3)</f>
        <v>287.46314319518291</v>
      </c>
      <c r="R24" s="81">
        <f>IF(G24="","",ABS(O24-Components!$C$4)/Components!$D$4)</f>
        <v>66.05317228284693</v>
      </c>
      <c r="S24" s="81">
        <f>IF(G24="","",ABS(O24-Components!$C$5)/Components!$D$5)</f>
        <v>178.42335231600086</v>
      </c>
      <c r="T24" s="81">
        <f>IF(G24="","",ABS(O24-Components!$C$6)/Components!$D$6)</f>
        <v>39.295189730467477</v>
      </c>
      <c r="U24" s="81">
        <f>IF(G24="","",ABS(O24-Components!$C$7)/Components!$D$7)</f>
        <v>51.871331601507507</v>
      </c>
      <c r="V24" s="81" t="str">
        <f>IF(G24="","",IF(M24="OK","NONE",INDEX({"S1","S2","W1","W2","N1","N2"},MATCH(MIN(P24:U24),P24:U24,0))))</f>
        <v>NONE</v>
      </c>
      <c r="W24" s="117">
        <f t="shared" si="7"/>
        <v>1</v>
      </c>
      <c r="X24" s="107"/>
    </row>
    <row r="25" spans="1:24">
      <c r="A25" s="115">
        <v>23</v>
      </c>
      <c r="B25" s="116">
        <v>1</v>
      </c>
      <c r="C25" s="81" t="s">
        <v>128</v>
      </c>
      <c r="D25" s="109" t="s">
        <v>238</v>
      </c>
      <c r="E25" s="81" t="s">
        <v>239</v>
      </c>
      <c r="F25" s="52">
        <v>9.9700000000000006</v>
      </c>
      <c r="G25" s="52">
        <f t="shared" si="0"/>
        <v>10.940000000000001</v>
      </c>
      <c r="H25" s="110"/>
      <c r="I25" s="81">
        <f>VLOOKUP(C25,Recipes!$A$2:$N$4,10,FALSE())</f>
        <v>10.940000000000001</v>
      </c>
      <c r="J25" s="81">
        <f>VLOOKUP(C25,Recipes!$A$2:$N$4,12,FALSE())</f>
        <v>5.2703573566378441E-2</v>
      </c>
      <c r="K25" s="81">
        <f t="shared" si="1"/>
        <v>10.781889279300866</v>
      </c>
      <c r="L25" s="81">
        <f t="shared" si="2"/>
        <v>11.098110720699136</v>
      </c>
      <c r="M25" s="81" t="str">
        <f t="shared" si="4"/>
        <v>OK</v>
      </c>
      <c r="N25" s="117">
        <f t="shared" si="5"/>
        <v>1</v>
      </c>
      <c r="O25" s="81">
        <f t="shared" si="6"/>
        <v>0</v>
      </c>
      <c r="P25" s="81">
        <f>IF(G25="","",ABS(O25-Components!$C$2)/Components!$D$2)</f>
        <v>416.60705538492499</v>
      </c>
      <c r="Q25" s="81">
        <f>IF(G25="","",ABS(O25-Components!$C$3)/Components!$D$3)</f>
        <v>292.53687492076608</v>
      </c>
      <c r="R25" s="81">
        <f>IF(G25="","",ABS(O25-Components!$C$4)/Components!$D$4)</f>
        <v>71.060813502846173</v>
      </c>
      <c r="S25" s="81">
        <f>IF(G25="","",ABS(O25-Components!$C$5)/Components!$D$5)</f>
        <v>181.20335706346788</v>
      </c>
      <c r="T25" s="81">
        <f>IF(G25="","",ABS(O25-Components!$C$6)/Components!$D$6)</f>
        <v>41.828806507685222</v>
      </c>
      <c r="U25" s="81">
        <f>IF(G25="","",ABS(O25-Components!$C$7)/Components!$D$7)</f>
        <v>54.655123995148351</v>
      </c>
      <c r="V25" s="81" t="str">
        <f>IF(G25="","",IF(M25="OK","NONE",INDEX({"S1","S2","W1","W2","N1","N2"},MATCH(MIN(P25:U25),P25:U25,0))))</f>
        <v>NONE</v>
      </c>
      <c r="W25" s="117">
        <f t="shared" si="7"/>
        <v>1</v>
      </c>
      <c r="X25" s="107"/>
    </row>
    <row r="26" spans="1:24">
      <c r="A26" s="115">
        <v>24</v>
      </c>
      <c r="B26" s="116">
        <v>1</v>
      </c>
      <c r="C26" s="81" t="s">
        <v>128</v>
      </c>
      <c r="D26" s="109" t="s">
        <v>238</v>
      </c>
      <c r="E26" s="81" t="s">
        <v>239</v>
      </c>
      <c r="F26" s="52">
        <v>10.02</v>
      </c>
      <c r="G26" s="52">
        <f t="shared" si="0"/>
        <v>10.99</v>
      </c>
      <c r="H26" s="110"/>
      <c r="I26" s="81">
        <f>VLOOKUP(C26,Recipes!$A$2:$N$4,10,FALSE())</f>
        <v>10.940000000000001</v>
      </c>
      <c r="J26" s="81">
        <f>VLOOKUP(C26,Recipes!$A$2:$N$4,12,FALSE())</f>
        <v>5.2703573566378441E-2</v>
      </c>
      <c r="K26" s="81">
        <f t="shared" si="1"/>
        <v>10.781889279300866</v>
      </c>
      <c r="L26" s="81">
        <f t="shared" si="2"/>
        <v>11.098110720699136</v>
      </c>
      <c r="M26" s="81" t="str">
        <f t="shared" si="4"/>
        <v>OK</v>
      </c>
      <c r="N26" s="117">
        <f t="shared" si="5"/>
        <v>1</v>
      </c>
      <c r="O26" s="81">
        <f t="shared" si="6"/>
        <v>-4.9999999999998934E-2</v>
      </c>
      <c r="P26" s="81">
        <f>IF(G26="","",ABS(O26-Components!$C$2)/Components!$D$2)</f>
        <v>424.17255881201186</v>
      </c>
      <c r="Q26" s="81">
        <f>IF(G26="","",ABS(O26-Components!$C$3)/Components!$D$3)</f>
        <v>296.16096901046825</v>
      </c>
      <c r="R26" s="81">
        <f>IF(G26="","",ABS(O26-Components!$C$4)/Components!$D$4)</f>
        <v>74.637700088559839</v>
      </c>
      <c r="S26" s="81">
        <f>IF(G26="","",ABS(O26-Components!$C$5)/Components!$D$5)</f>
        <v>183.18907474022996</v>
      </c>
      <c r="T26" s="81">
        <f>IF(G26="","",ABS(O26-Components!$C$6)/Components!$D$6)</f>
        <v>43.638532777126422</v>
      </c>
      <c r="U26" s="81">
        <f>IF(G26="","",ABS(O26-Components!$C$7)/Components!$D$7)</f>
        <v>56.643547133463194</v>
      </c>
      <c r="V26" s="81" t="str">
        <f>IF(G26="","",IF(M26="OK","NONE",INDEX({"S1","S2","W1","W2","N1","N2"},MATCH(MIN(P26:U26),P26:U26,0))))</f>
        <v>NONE</v>
      </c>
      <c r="W26" s="117">
        <f t="shared" si="7"/>
        <v>1</v>
      </c>
      <c r="X26" s="107"/>
    </row>
    <row r="27" spans="1:24">
      <c r="A27" s="115">
        <v>25</v>
      </c>
      <c r="B27" s="116">
        <v>1</v>
      </c>
      <c r="C27" s="81" t="s">
        <v>128</v>
      </c>
      <c r="D27" s="109" t="s">
        <v>238</v>
      </c>
      <c r="E27" s="81" t="s">
        <v>239</v>
      </c>
      <c r="F27" s="52">
        <v>10</v>
      </c>
      <c r="G27" s="52">
        <f t="shared" si="0"/>
        <v>10.97</v>
      </c>
      <c r="H27" s="110"/>
      <c r="I27" s="81">
        <f>VLOOKUP(C27,Recipes!$A$2:$N$4,10,FALSE())</f>
        <v>10.940000000000001</v>
      </c>
      <c r="J27" s="81">
        <f>VLOOKUP(C27,Recipes!$A$2:$N$4,12,FALSE())</f>
        <v>5.2703573566378441E-2</v>
      </c>
      <c r="K27" s="81">
        <f t="shared" si="1"/>
        <v>10.781889279300866</v>
      </c>
      <c r="L27" s="81">
        <f t="shared" si="2"/>
        <v>11.098110720699136</v>
      </c>
      <c r="M27" s="81" t="str">
        <f t="shared" si="4"/>
        <v>OK</v>
      </c>
      <c r="N27" s="117">
        <f t="shared" si="5"/>
        <v>1</v>
      </c>
      <c r="O27" s="81">
        <f t="shared" si="6"/>
        <v>-2.9999999999999361E-2</v>
      </c>
      <c r="P27" s="81">
        <f>IF(G27="","",ABS(O27-Components!$C$2)/Components!$D$2)</f>
        <v>421.14635744117714</v>
      </c>
      <c r="Q27" s="81">
        <f>IF(G27="","",ABS(O27-Components!$C$3)/Components!$D$3)</f>
        <v>294.71133137458736</v>
      </c>
      <c r="R27" s="81">
        <f>IF(G27="","",ABS(O27-Components!$C$4)/Components!$D$4)</f>
        <v>73.206945454274376</v>
      </c>
      <c r="S27" s="81">
        <f>IF(G27="","",ABS(O27-Components!$C$5)/Components!$D$5)</f>
        <v>182.39478766952513</v>
      </c>
      <c r="T27" s="81">
        <f>IF(G27="","",ABS(O27-Components!$C$6)/Components!$D$6)</f>
        <v>42.91464226934994</v>
      </c>
      <c r="U27" s="81">
        <f>IF(G27="","",ABS(O27-Components!$C$7)/Components!$D$7)</f>
        <v>55.848177878137257</v>
      </c>
      <c r="V27" s="81" t="str">
        <f>IF(G27="","",IF(M27="OK","NONE",INDEX({"S1","S2","W1","W2","N1","N2"},MATCH(MIN(P27:U27),P27:U27,0))))</f>
        <v>NONE</v>
      </c>
      <c r="W27" s="117">
        <f t="shared" si="7"/>
        <v>1</v>
      </c>
      <c r="X27" s="107"/>
    </row>
    <row r="28" spans="1:24">
      <c r="A28" s="115">
        <v>26</v>
      </c>
      <c r="B28" s="116">
        <v>1</v>
      </c>
      <c r="C28" s="81" t="s">
        <v>128</v>
      </c>
      <c r="D28" s="109" t="s">
        <v>238</v>
      </c>
      <c r="E28" s="81" t="s">
        <v>239</v>
      </c>
      <c r="F28" s="52">
        <v>9.93</v>
      </c>
      <c r="G28" s="52">
        <f t="shared" si="0"/>
        <v>10.9</v>
      </c>
      <c r="H28" s="110"/>
      <c r="I28" s="81">
        <f>VLOOKUP(C28,Recipes!$A$2:$N$4,10,FALSE())</f>
        <v>10.940000000000001</v>
      </c>
      <c r="J28" s="81">
        <f>VLOOKUP(C28,Recipes!$A$2:$N$4,12,FALSE())</f>
        <v>5.2703573566378441E-2</v>
      </c>
      <c r="K28" s="81">
        <f t="shared" si="1"/>
        <v>10.781889279300866</v>
      </c>
      <c r="L28" s="81">
        <f t="shared" si="2"/>
        <v>11.098110720699136</v>
      </c>
      <c r="M28" s="81" t="str">
        <f t="shared" si="4"/>
        <v>OK</v>
      </c>
      <c r="N28" s="117">
        <f t="shared" si="5"/>
        <v>1</v>
      </c>
      <c r="O28" s="81">
        <f t="shared" si="6"/>
        <v>4.0000000000000924E-2</v>
      </c>
      <c r="P28" s="81">
        <f>IF(G28="","",ABS(O28-Components!$C$2)/Components!$D$2)</f>
        <v>410.55465264325522</v>
      </c>
      <c r="Q28" s="81">
        <f>IF(G28="","",ABS(O28-Components!$C$3)/Components!$D$3)</f>
        <v>289.63759964900419</v>
      </c>
      <c r="R28" s="81">
        <f>IF(G28="","",ABS(O28-Components!$C$4)/Components!$D$4)</f>
        <v>68.199304234275118</v>
      </c>
      <c r="S28" s="81">
        <f>IF(G28="","",ABS(O28-Components!$C$5)/Components!$D$5)</f>
        <v>179.61478292205811</v>
      </c>
      <c r="T28" s="81">
        <f>IF(G28="","",ABS(O28-Components!$C$6)/Components!$D$6)</f>
        <v>40.381025492132196</v>
      </c>
      <c r="U28" s="81">
        <f>IF(G28="","",ABS(O28-Components!$C$7)/Components!$D$7)</f>
        <v>53.064385484496412</v>
      </c>
      <c r="V28" s="81" t="str">
        <f>IF(G28="","",IF(M28="OK","NONE",INDEX({"S1","S2","W1","W2","N1","N2"},MATCH(MIN(P28:U28),P28:U28,0))))</f>
        <v>NONE</v>
      </c>
      <c r="W28" s="117">
        <f t="shared" si="7"/>
        <v>1</v>
      </c>
      <c r="X28" s="107"/>
    </row>
    <row r="29" spans="1:24">
      <c r="A29" s="115">
        <v>27</v>
      </c>
      <c r="B29" s="116">
        <v>1</v>
      </c>
      <c r="C29" s="81" t="s">
        <v>128</v>
      </c>
      <c r="D29" s="109" t="s">
        <v>238</v>
      </c>
      <c r="E29" s="81" t="s">
        <v>239</v>
      </c>
      <c r="F29" s="52">
        <v>9.9700000000000006</v>
      </c>
      <c r="G29" s="52">
        <f t="shared" si="0"/>
        <v>10.940000000000001</v>
      </c>
      <c r="H29" s="110"/>
      <c r="I29" s="81">
        <f>VLOOKUP(C29,Recipes!$A$2:$N$4,10,FALSE())</f>
        <v>10.940000000000001</v>
      </c>
      <c r="J29" s="81">
        <f>VLOOKUP(C29,Recipes!$A$2:$N$4,12,FALSE())</f>
        <v>5.2703573566378441E-2</v>
      </c>
      <c r="K29" s="81">
        <f t="shared" si="1"/>
        <v>10.781889279300866</v>
      </c>
      <c r="L29" s="81">
        <f t="shared" si="2"/>
        <v>11.098110720699136</v>
      </c>
      <c r="M29" s="81" t="str">
        <f t="shared" si="4"/>
        <v>OK</v>
      </c>
      <c r="N29" s="117">
        <f t="shared" si="5"/>
        <v>1</v>
      </c>
      <c r="O29" s="81">
        <f t="shared" si="6"/>
        <v>0</v>
      </c>
      <c r="P29" s="81">
        <f>IF(G29="","",ABS(O29-Components!$C$2)/Components!$D$2)</f>
        <v>416.60705538492499</v>
      </c>
      <c r="Q29" s="81">
        <f>IF(G29="","",ABS(O29-Components!$C$3)/Components!$D$3)</f>
        <v>292.53687492076608</v>
      </c>
      <c r="R29" s="81">
        <f>IF(G29="","",ABS(O29-Components!$C$4)/Components!$D$4)</f>
        <v>71.060813502846173</v>
      </c>
      <c r="S29" s="81">
        <f>IF(G29="","",ABS(O29-Components!$C$5)/Components!$D$5)</f>
        <v>181.20335706346788</v>
      </c>
      <c r="T29" s="81">
        <f>IF(G29="","",ABS(O29-Components!$C$6)/Components!$D$6)</f>
        <v>41.828806507685222</v>
      </c>
      <c r="U29" s="81">
        <f>IF(G29="","",ABS(O29-Components!$C$7)/Components!$D$7)</f>
        <v>54.655123995148351</v>
      </c>
      <c r="V29" s="81" t="str">
        <f>IF(G29="","",IF(M29="OK","NONE",INDEX({"S1","S2","W1","W2","N1","N2"},MATCH(MIN(P29:U29),P29:U29,0))))</f>
        <v>NONE</v>
      </c>
      <c r="W29" s="117">
        <f t="shared" si="7"/>
        <v>1</v>
      </c>
      <c r="X29" s="107"/>
    </row>
    <row r="30" spans="1:24">
      <c r="A30" s="115">
        <v>28</v>
      </c>
      <c r="B30" s="116">
        <v>1</v>
      </c>
      <c r="C30" s="81" t="s">
        <v>128</v>
      </c>
      <c r="D30" s="109" t="s">
        <v>238</v>
      </c>
      <c r="E30" s="81" t="s">
        <v>239</v>
      </c>
      <c r="F30" s="52">
        <v>9.94</v>
      </c>
      <c r="G30" s="52">
        <f t="shared" si="0"/>
        <v>10.91</v>
      </c>
      <c r="H30" s="110"/>
      <c r="I30" s="81">
        <f>VLOOKUP(C30,Recipes!$A$2:$N$4,10,FALSE())</f>
        <v>10.940000000000001</v>
      </c>
      <c r="J30" s="81">
        <f>VLOOKUP(C30,Recipes!$A$2:$N$4,12,FALSE())</f>
        <v>5.2703573566378441E-2</v>
      </c>
      <c r="K30" s="81">
        <f t="shared" si="1"/>
        <v>10.781889279300866</v>
      </c>
      <c r="L30" s="81">
        <f t="shared" si="2"/>
        <v>11.098110720699136</v>
      </c>
      <c r="M30" s="81" t="str">
        <f t="shared" si="4"/>
        <v>OK</v>
      </c>
      <c r="N30" s="117">
        <f t="shared" si="5"/>
        <v>1</v>
      </c>
      <c r="O30" s="81">
        <f t="shared" si="6"/>
        <v>3.0000000000001137E-2</v>
      </c>
      <c r="P30" s="81">
        <f>IF(G30="","",ABS(O30-Components!$C$2)/Components!$D$2)</f>
        <v>412.06775332867261</v>
      </c>
      <c r="Q30" s="81">
        <f>IF(G30="","",ABS(O30-Components!$C$3)/Components!$D$3)</f>
        <v>290.36241846694463</v>
      </c>
      <c r="R30" s="81">
        <f>IF(G30="","",ABS(O30-Components!$C$4)/Components!$D$4)</f>
        <v>68.914681551417857</v>
      </c>
      <c r="S30" s="81">
        <f>IF(G30="","",ABS(O30-Components!$C$5)/Components!$D$5)</f>
        <v>180.01192645741054</v>
      </c>
      <c r="T30" s="81">
        <f>IF(G30="","",ABS(O30-Components!$C$6)/Components!$D$6)</f>
        <v>40.74297074602044</v>
      </c>
      <c r="U30" s="81">
        <f>IF(G30="","",ABS(O30-Components!$C$7)/Components!$D$7)</f>
        <v>53.462070112159381</v>
      </c>
      <c r="V30" s="81" t="str">
        <f>IF(G30="","",IF(M30="OK","NONE",INDEX({"S1","S2","W1","W2","N1","N2"},MATCH(MIN(P30:U30),P30:U30,0))))</f>
        <v>NONE</v>
      </c>
      <c r="W30" s="117">
        <f t="shared" si="7"/>
        <v>1</v>
      </c>
      <c r="X30" s="107"/>
    </row>
    <row r="31" spans="1:24">
      <c r="A31" s="115">
        <v>29</v>
      </c>
      <c r="B31" s="116">
        <v>1</v>
      </c>
      <c r="C31" s="81" t="s">
        <v>128</v>
      </c>
      <c r="D31" s="109" t="s">
        <v>238</v>
      </c>
      <c r="E31" s="81" t="s">
        <v>239</v>
      </c>
      <c r="F31" s="52">
        <v>9.99</v>
      </c>
      <c r="G31" s="52">
        <f t="shared" si="0"/>
        <v>10.96</v>
      </c>
      <c r="H31" s="110"/>
      <c r="I31" s="81">
        <f>VLOOKUP(C31,Recipes!$A$2:$N$4,10,FALSE())</f>
        <v>10.940000000000001</v>
      </c>
      <c r="J31" s="81">
        <f>VLOOKUP(C31,Recipes!$A$2:$N$4,12,FALSE())</f>
        <v>5.2703573566378441E-2</v>
      </c>
      <c r="K31" s="81">
        <f t="shared" si="1"/>
        <v>10.781889279300866</v>
      </c>
      <c r="L31" s="81">
        <f t="shared" si="2"/>
        <v>11.098110720699136</v>
      </c>
      <c r="M31" s="81" t="str">
        <f t="shared" si="4"/>
        <v>OK</v>
      </c>
      <c r="N31" s="117">
        <f t="shared" si="5"/>
        <v>1</v>
      </c>
      <c r="O31" s="81">
        <f t="shared" si="6"/>
        <v>-1.9999999999999574E-2</v>
      </c>
      <c r="P31" s="81">
        <f>IF(G31="","",ABS(O31-Components!$C$2)/Components!$D$2)</f>
        <v>419.63325675575976</v>
      </c>
      <c r="Q31" s="81">
        <f>IF(G31="","",ABS(O31-Components!$C$3)/Components!$D$3)</f>
        <v>293.98651255664697</v>
      </c>
      <c r="R31" s="81">
        <f>IF(G31="","",ABS(O31-Components!$C$4)/Components!$D$4)</f>
        <v>72.491568137131637</v>
      </c>
      <c r="S31" s="81">
        <f>IF(G31="","",ABS(O31-Components!$C$5)/Components!$D$5)</f>
        <v>181.9976441341727</v>
      </c>
      <c r="T31" s="81">
        <f>IF(G31="","",ABS(O31-Components!$C$6)/Components!$D$6)</f>
        <v>42.552697015461703</v>
      </c>
      <c r="U31" s="81">
        <f>IF(G31="","",ABS(O31-Components!$C$7)/Components!$D$7)</f>
        <v>55.450493250474288</v>
      </c>
      <c r="V31" s="81" t="str">
        <f>IF(G31="","",IF(M31="OK","NONE",INDEX({"S1","S2","W1","W2","N1","N2"},MATCH(MIN(P31:U31),P31:U31,0))))</f>
        <v>NONE</v>
      </c>
      <c r="W31" s="117">
        <f t="shared" si="7"/>
        <v>1</v>
      </c>
      <c r="X31" s="107"/>
    </row>
    <row r="32" spans="1:24">
      <c r="A32" s="115">
        <v>30</v>
      </c>
      <c r="B32" s="116">
        <v>1</v>
      </c>
      <c r="C32" s="81" t="s">
        <v>128</v>
      </c>
      <c r="D32" s="109" t="s">
        <v>238</v>
      </c>
      <c r="E32" s="81" t="s">
        <v>239</v>
      </c>
      <c r="F32" s="61">
        <v>9.48</v>
      </c>
      <c r="G32" s="52">
        <f t="shared" si="0"/>
        <v>10.450000000000001</v>
      </c>
      <c r="H32" s="110"/>
      <c r="I32" s="81">
        <f>VLOOKUP(C32,Recipes!$A$2:$N$4,10,FALSE())</f>
        <v>10.940000000000001</v>
      </c>
      <c r="J32" s="81">
        <f>VLOOKUP(C32,Recipes!$A$2:$N$4,12,FALSE())</f>
        <v>5.2703573566378441E-2</v>
      </c>
      <c r="K32" s="81">
        <f t="shared" si="1"/>
        <v>10.781889279300866</v>
      </c>
      <c r="L32" s="81">
        <f t="shared" si="2"/>
        <v>11.098110720699136</v>
      </c>
      <c r="M32" s="81" t="str">
        <f t="shared" si="4"/>
        <v>NG</v>
      </c>
      <c r="N32" s="122">
        <f t="shared" si="5"/>
        <v>0</v>
      </c>
      <c r="O32" s="81">
        <f t="shared" si="6"/>
        <v>0.49000000000000021</v>
      </c>
      <c r="P32" s="81">
        <f>IF(G32="","",ABS(O32-Components!$C$2)/Components!$D$2)</f>
        <v>342.46512179947212</v>
      </c>
      <c r="Q32" s="81">
        <f>IF(G32="","",ABS(O32-Components!$C$3)/Components!$D$3)</f>
        <v>257.02075284168393</v>
      </c>
      <c r="R32" s="81">
        <f>IF(G32="","",ABS(O32-Components!$C$4)/Components!$D$4)</f>
        <v>36.007324962851555</v>
      </c>
      <c r="S32" s="81">
        <f>IF(G32="","",ABS(O32-Components!$C$5)/Components!$D$5)</f>
        <v>161.74332383119889</v>
      </c>
      <c r="T32" s="81">
        <f>IF(G32="","",ABS(O32-Components!$C$6)/Components!$D$6)</f>
        <v>24.093489067161102</v>
      </c>
      <c r="U32" s="81">
        <f>IF(G32="","",ABS(O32-Components!$C$7)/Components!$D$7)</f>
        <v>35.168577239662469</v>
      </c>
      <c r="V32" s="81" t="str">
        <f>IF(G32="","",IF(M32="OK","NONE",INDEX({"S1","S2","W1","W2","N1","N2"},MATCH(MIN(P32:U32),P32:U32,0))))</f>
        <v>N1</v>
      </c>
      <c r="W32" s="122">
        <f t="shared" si="7"/>
        <v>0</v>
      </c>
      <c r="X32" s="107"/>
    </row>
    <row r="33" spans="1:24">
      <c r="A33" s="115">
        <v>31</v>
      </c>
      <c r="B33" s="116">
        <v>2</v>
      </c>
      <c r="C33" s="81" t="s">
        <v>128</v>
      </c>
      <c r="D33" s="111" t="s">
        <v>240</v>
      </c>
      <c r="E33" s="81" t="s">
        <v>102</v>
      </c>
      <c r="F33" s="52">
        <v>5.91</v>
      </c>
      <c r="G33" s="52">
        <f t="shared" si="0"/>
        <v>6.88</v>
      </c>
      <c r="H33" s="110"/>
      <c r="I33" s="81">
        <f>VLOOKUP(C33,Recipes!$A$2:$N$4,10,FALSE())</f>
        <v>10.940000000000001</v>
      </c>
      <c r="J33" s="81">
        <f>VLOOKUP(C33,Recipes!$A$2:$N$4,12,FALSE())</f>
        <v>5.2703573566378441E-2</v>
      </c>
      <c r="K33" s="81">
        <f t="shared" si="1"/>
        <v>10.781889279300866</v>
      </c>
      <c r="L33" s="81">
        <f t="shared" si="2"/>
        <v>11.098110720699136</v>
      </c>
      <c r="M33" s="81" t="str">
        <f t="shared" si="4"/>
        <v>NG</v>
      </c>
      <c r="N33" s="117">
        <f t="shared" si="5"/>
        <v>1</v>
      </c>
      <c r="O33" s="81">
        <f t="shared" si="6"/>
        <v>4.0600000000000014</v>
      </c>
      <c r="P33" s="81">
        <f>IF(G33="","",ABS(O33-Components!$C$2)/Components!$D$2)</f>
        <v>197.71182289454165</v>
      </c>
      <c r="Q33" s="81">
        <f>IF(G33="","",ABS(O33-Components!$C$3)/Components!$D$3)</f>
        <v>1.7395651630572131</v>
      </c>
      <c r="R33" s="81">
        <f>IF(G33="","",ABS(O33-Components!$C$4)/Components!$D$4)</f>
        <v>219.3823772571092</v>
      </c>
      <c r="S33" s="81">
        <f>IF(G33="","",ABS(O33-Components!$C$5)/Components!$D$5)</f>
        <v>19.963081710382131</v>
      </c>
      <c r="T33" s="81">
        <f>IF(G33="","",ABS(O33-Components!$C$6)/Components!$D$6)</f>
        <v>105.1209665709432</v>
      </c>
      <c r="U33" s="81">
        <f>IF(G33="","",ABS(O33-Components!$C$7)/Components!$D$7)</f>
        <v>106.8048348360204</v>
      </c>
      <c r="V33" s="81" t="str">
        <f>IF(G33="","",IF(M33="OK","NONE",INDEX({"S1","S2","W1","W2","N1","N2"},MATCH(MIN(P33:U33),P33:U33,0))))</f>
        <v>S2</v>
      </c>
      <c r="W33" s="117">
        <f t="shared" si="7"/>
        <v>1</v>
      </c>
      <c r="X33" s="107"/>
    </row>
    <row r="34" spans="1:24">
      <c r="A34" s="115">
        <v>32</v>
      </c>
      <c r="B34" s="116">
        <v>2</v>
      </c>
      <c r="C34" s="81" t="s">
        <v>128</v>
      </c>
      <c r="D34" s="111" t="s">
        <v>240</v>
      </c>
      <c r="E34" s="81" t="s">
        <v>102</v>
      </c>
      <c r="F34" s="52">
        <v>5.93</v>
      </c>
      <c r="G34" s="52">
        <f t="shared" si="0"/>
        <v>6.8999999999999995</v>
      </c>
      <c r="H34" s="110"/>
      <c r="I34" s="81">
        <f>VLOOKUP(C34,Recipes!$A$2:$N$4,10,FALSE())</f>
        <v>10.940000000000001</v>
      </c>
      <c r="J34" s="81">
        <f>VLOOKUP(C34,Recipes!$A$2:$N$4,12,FALSE())</f>
        <v>5.2703573566378441E-2</v>
      </c>
      <c r="K34" s="81">
        <f t="shared" si="1"/>
        <v>10.781889279300866</v>
      </c>
      <c r="L34" s="81">
        <f t="shared" si="2"/>
        <v>11.098110720699136</v>
      </c>
      <c r="M34" s="81" t="str">
        <f t="shared" si="4"/>
        <v>NG</v>
      </c>
      <c r="N34" s="117">
        <f t="shared" si="5"/>
        <v>1</v>
      </c>
      <c r="O34" s="81">
        <f t="shared" si="6"/>
        <v>4.0400000000000018</v>
      </c>
      <c r="P34" s="81">
        <f>IF(G34="","",ABS(O34-Components!$C$2)/Components!$D$2)</f>
        <v>194.68562152370691</v>
      </c>
      <c r="Q34" s="81">
        <f>IF(G34="","",ABS(O34-Components!$C$3)/Components!$D$3)</f>
        <v>0.28992752717634168</v>
      </c>
      <c r="R34" s="81">
        <f>IF(G34="","",ABS(O34-Components!$C$4)/Components!$D$4)</f>
        <v>217.95162262282375</v>
      </c>
      <c r="S34" s="81">
        <f>IF(G34="","",ABS(O34-Components!$C$5)/Components!$D$5)</f>
        <v>20.757368781086971</v>
      </c>
      <c r="T34" s="81">
        <f>IF(G34="","",ABS(O34-Components!$C$6)/Components!$D$6)</f>
        <v>104.39707606316672</v>
      </c>
      <c r="U34" s="81">
        <f>IF(G34="","",ABS(O34-Components!$C$7)/Components!$D$7)</f>
        <v>106.00946558069447</v>
      </c>
      <c r="V34" s="81" t="str">
        <f>IF(G34="","",IF(M34="OK","NONE",INDEX({"S1","S2","W1","W2","N1","N2"},MATCH(MIN(P34:U34),P34:U34,0))))</f>
        <v>S2</v>
      </c>
      <c r="W34" s="117">
        <f t="shared" si="7"/>
        <v>1</v>
      </c>
      <c r="X34" s="107"/>
    </row>
    <row r="35" spans="1:24">
      <c r="A35" s="115">
        <v>33</v>
      </c>
      <c r="B35" s="116">
        <v>2</v>
      </c>
      <c r="C35" s="81" t="s">
        <v>128</v>
      </c>
      <c r="D35" s="111" t="s">
        <v>240</v>
      </c>
      <c r="E35" s="81" t="s">
        <v>102</v>
      </c>
      <c r="F35" s="52">
        <v>5.86</v>
      </c>
      <c r="G35" s="52">
        <f t="shared" si="0"/>
        <v>6.83</v>
      </c>
      <c r="H35" s="110"/>
      <c r="I35" s="81">
        <f>VLOOKUP(C35,Recipes!$A$2:$N$4,10,FALSE())</f>
        <v>10.940000000000001</v>
      </c>
      <c r="J35" s="81">
        <f>VLOOKUP(C35,Recipes!$A$2:$N$4,12,FALSE())</f>
        <v>5.2703573566378441E-2</v>
      </c>
      <c r="K35" s="81">
        <f t="shared" si="1"/>
        <v>10.781889279300866</v>
      </c>
      <c r="L35" s="81">
        <f t="shared" si="2"/>
        <v>11.098110720699136</v>
      </c>
      <c r="M35" s="81" t="str">
        <f t="shared" si="4"/>
        <v>NG</v>
      </c>
      <c r="N35" s="117">
        <f t="shared" si="5"/>
        <v>1</v>
      </c>
      <c r="O35" s="81">
        <f t="shared" si="6"/>
        <v>4.1100000000000012</v>
      </c>
      <c r="P35" s="81">
        <f>IF(G35="","",ABS(O35-Components!$C$2)/Components!$D$2)</f>
        <v>205.27732632162866</v>
      </c>
      <c r="Q35" s="81">
        <f>IF(G35="","",ABS(O35-Components!$C$3)/Components!$D$3)</f>
        <v>5.3636592527594562</v>
      </c>
      <c r="R35" s="81">
        <f>IF(G35="","",ABS(O35-Components!$C$4)/Components!$D$4)</f>
        <v>222.95926384282293</v>
      </c>
      <c r="S35" s="81">
        <f>IF(G35="","",ABS(O35-Components!$C$5)/Components!$D$5)</f>
        <v>17.977364033619999</v>
      </c>
      <c r="T35" s="81">
        <f>IF(G35="","",ABS(O35-Components!$C$6)/Components!$D$6)</f>
        <v>106.93069284038442</v>
      </c>
      <c r="U35" s="81">
        <f>IF(G35="","",ABS(O35-Components!$C$7)/Components!$D$7)</f>
        <v>108.79325797433529</v>
      </c>
      <c r="V35" s="81" t="str">
        <f>IF(G35="","",IF(M35="OK","NONE",INDEX({"S1","S2","W1","W2","N1","N2"},MATCH(MIN(P35:U35),P35:U35,0))))</f>
        <v>S2</v>
      </c>
      <c r="W35" s="117">
        <f t="shared" si="7"/>
        <v>1</v>
      </c>
      <c r="X35" s="107"/>
    </row>
    <row r="36" spans="1:24">
      <c r="A36" s="115">
        <v>34</v>
      </c>
      <c r="B36" s="116">
        <v>2</v>
      </c>
      <c r="C36" s="81" t="s">
        <v>128</v>
      </c>
      <c r="D36" s="111" t="s">
        <v>240</v>
      </c>
      <c r="E36" s="81" t="s">
        <v>102</v>
      </c>
      <c r="F36" s="52">
        <v>5.94</v>
      </c>
      <c r="G36" s="52">
        <f t="shared" si="0"/>
        <v>6.91</v>
      </c>
      <c r="H36" s="110"/>
      <c r="I36" s="81">
        <f>VLOOKUP(C36,Recipes!$A$2:$N$4,10,FALSE())</f>
        <v>10.940000000000001</v>
      </c>
      <c r="J36" s="81">
        <f>VLOOKUP(C36,Recipes!$A$2:$N$4,12,FALSE())</f>
        <v>5.2703573566378441E-2</v>
      </c>
      <c r="K36" s="81">
        <f t="shared" si="1"/>
        <v>10.781889279300866</v>
      </c>
      <c r="L36" s="81">
        <f t="shared" si="2"/>
        <v>11.098110720699136</v>
      </c>
      <c r="M36" s="81" t="str">
        <f t="shared" si="4"/>
        <v>NG</v>
      </c>
      <c r="N36" s="117">
        <f t="shared" si="5"/>
        <v>1</v>
      </c>
      <c r="O36" s="81">
        <f t="shared" si="6"/>
        <v>4.0300000000000011</v>
      </c>
      <c r="P36" s="81">
        <f>IF(G36="","",ABS(O36-Components!$C$2)/Components!$D$2)</f>
        <v>193.17252083828942</v>
      </c>
      <c r="Q36" s="81">
        <f>IF(G36="","",ABS(O36-Components!$C$3)/Components!$D$3)</f>
        <v>0.43489129076415844</v>
      </c>
      <c r="R36" s="81">
        <f>IF(G36="","",ABS(O36-Components!$C$4)/Components!$D$4)</f>
        <v>217.23624530568094</v>
      </c>
      <c r="S36" s="81">
        <f>IF(G36="","",ABS(O36-Components!$C$5)/Components!$D$5)</f>
        <v>21.154512316439423</v>
      </c>
      <c r="T36" s="81">
        <f>IF(G36="","",ABS(O36-Components!$C$6)/Components!$D$6)</f>
        <v>104.03513080927844</v>
      </c>
      <c r="U36" s="81">
        <f>IF(G36="","",ABS(O36-Components!$C$7)/Components!$D$7)</f>
        <v>105.61178095303147</v>
      </c>
      <c r="V36" s="81" t="str">
        <f>IF(G36="","",IF(M36="OK","NONE",INDEX({"S1","S2","W1","W2","N1","N2"},MATCH(MIN(P36:U36),P36:U36,0))))</f>
        <v>S2</v>
      </c>
      <c r="W36" s="117">
        <f t="shared" si="7"/>
        <v>1</v>
      </c>
      <c r="X36" s="107"/>
    </row>
    <row r="37" spans="1:24">
      <c r="A37" s="115">
        <v>35</v>
      </c>
      <c r="B37" s="116">
        <v>2</v>
      </c>
      <c r="C37" s="81" t="s">
        <v>128</v>
      </c>
      <c r="D37" s="111" t="s">
        <v>240</v>
      </c>
      <c r="E37" s="81" t="s">
        <v>102</v>
      </c>
      <c r="F37" s="52">
        <v>5.9</v>
      </c>
      <c r="G37" s="52">
        <f t="shared" si="0"/>
        <v>6.87</v>
      </c>
      <c r="H37" s="110"/>
      <c r="I37" s="81">
        <f>VLOOKUP(C37,Recipes!$A$2:$N$4,10,FALSE())</f>
        <v>10.940000000000001</v>
      </c>
      <c r="J37" s="81">
        <f>VLOOKUP(C37,Recipes!$A$2:$N$4,12,FALSE())</f>
        <v>5.2703573566378441E-2</v>
      </c>
      <c r="K37" s="81">
        <f t="shared" si="1"/>
        <v>10.781889279300866</v>
      </c>
      <c r="L37" s="81">
        <f t="shared" si="2"/>
        <v>11.098110720699136</v>
      </c>
      <c r="M37" s="81" t="str">
        <f t="shared" si="4"/>
        <v>NG</v>
      </c>
      <c r="N37" s="117">
        <f t="shared" si="5"/>
        <v>1</v>
      </c>
      <c r="O37" s="81">
        <f t="shared" si="6"/>
        <v>4.0700000000000012</v>
      </c>
      <c r="P37" s="81">
        <f>IF(G37="","",ABS(O37-Components!$C$2)/Components!$D$2)</f>
        <v>199.22492357995904</v>
      </c>
      <c r="Q37" s="81">
        <f>IF(G37="","",ABS(O37-Components!$C$3)/Components!$D$3)</f>
        <v>2.4643839809976491</v>
      </c>
      <c r="R37" s="81">
        <f>IF(G37="","",ABS(O37-Components!$C$4)/Components!$D$4)</f>
        <v>220.09775457425192</v>
      </c>
      <c r="S37" s="81">
        <f>IF(G37="","",ABS(O37-Components!$C$5)/Components!$D$5)</f>
        <v>19.565938175029711</v>
      </c>
      <c r="T37" s="81">
        <f>IF(G37="","",ABS(O37-Components!$C$6)/Components!$D$6)</f>
        <v>105.48291182483143</v>
      </c>
      <c r="U37" s="81">
        <f>IF(G37="","",ABS(O37-Components!$C$7)/Components!$D$7)</f>
        <v>107.20251946368337</v>
      </c>
      <c r="V37" s="81" t="str">
        <f>IF(G37="","",IF(M37="OK","NONE",INDEX({"S1","S2","W1","W2","N1","N2"},MATCH(MIN(P37:U37),P37:U37,0))))</f>
        <v>S2</v>
      </c>
      <c r="W37" s="117">
        <f t="shared" si="7"/>
        <v>1</v>
      </c>
      <c r="X37" s="107"/>
    </row>
    <row r="38" spans="1:24">
      <c r="A38" s="115">
        <v>36</v>
      </c>
      <c r="B38" s="116">
        <v>2</v>
      </c>
      <c r="C38" s="81" t="s">
        <v>128</v>
      </c>
      <c r="D38" s="111" t="s">
        <v>240</v>
      </c>
      <c r="E38" s="81" t="s">
        <v>102</v>
      </c>
      <c r="F38" s="52">
        <v>5.82</v>
      </c>
      <c r="G38" s="52">
        <f t="shared" si="0"/>
        <v>6.79</v>
      </c>
      <c r="H38" s="110"/>
      <c r="I38" s="81">
        <f>VLOOKUP(C38,Recipes!$A$2:$N$4,10,FALSE())</f>
        <v>10.940000000000001</v>
      </c>
      <c r="J38" s="81">
        <f>VLOOKUP(C38,Recipes!$A$2:$N$4,12,FALSE())</f>
        <v>5.2703573566378441E-2</v>
      </c>
      <c r="K38" s="81">
        <f t="shared" si="1"/>
        <v>10.781889279300866</v>
      </c>
      <c r="L38" s="81">
        <f t="shared" si="2"/>
        <v>11.098110720699136</v>
      </c>
      <c r="M38" s="81" t="str">
        <f t="shared" si="4"/>
        <v>NG</v>
      </c>
      <c r="N38" s="117">
        <f t="shared" si="5"/>
        <v>1</v>
      </c>
      <c r="O38" s="81">
        <f t="shared" si="6"/>
        <v>4.1500000000000012</v>
      </c>
      <c r="P38" s="81">
        <f>IF(G38="","",ABS(O38-Components!$C$2)/Components!$D$2)</f>
        <v>211.32972906329829</v>
      </c>
      <c r="Q38" s="81">
        <f>IF(G38="","",ABS(O38-Components!$C$3)/Components!$D$3)</f>
        <v>8.2629345245212633</v>
      </c>
      <c r="R38" s="81">
        <f>IF(G38="","",ABS(O38-Components!$C$4)/Components!$D$4)</f>
        <v>225.82077311139392</v>
      </c>
      <c r="S38" s="81">
        <f>IF(G38="","",ABS(O38-Components!$C$5)/Components!$D$5)</f>
        <v>16.388789892210287</v>
      </c>
      <c r="T38" s="81">
        <f>IF(G38="","",ABS(O38-Components!$C$6)/Components!$D$6)</f>
        <v>108.37847385593741</v>
      </c>
      <c r="U38" s="81">
        <f>IF(G38="","",ABS(O38-Components!$C$7)/Components!$D$7)</f>
        <v>110.38399648498719</v>
      </c>
      <c r="V38" s="81" t="str">
        <f>IF(G38="","",IF(M38="OK","NONE",INDEX({"S1","S2","W1","W2","N1","N2"},MATCH(MIN(P38:U38),P38:U38,0))))</f>
        <v>S2</v>
      </c>
      <c r="W38" s="117">
        <f t="shared" si="7"/>
        <v>1</v>
      </c>
      <c r="X38" s="107"/>
    </row>
    <row r="39" spans="1:24">
      <c r="A39" s="115">
        <v>37</v>
      </c>
      <c r="B39" s="116">
        <v>2</v>
      </c>
      <c r="C39" s="81" t="s">
        <v>128</v>
      </c>
      <c r="D39" s="111" t="s">
        <v>240</v>
      </c>
      <c r="E39" s="81" t="s">
        <v>102</v>
      </c>
      <c r="F39" s="52">
        <v>5.87</v>
      </c>
      <c r="G39" s="52">
        <f t="shared" si="0"/>
        <v>6.84</v>
      </c>
      <c r="H39" s="110"/>
      <c r="I39" s="81">
        <f>VLOOKUP(C39,Recipes!$A$2:$N$4,10,FALSE())</f>
        <v>10.940000000000001</v>
      </c>
      <c r="J39" s="81">
        <f>VLOOKUP(C39,Recipes!$A$2:$N$4,12,FALSE())</f>
        <v>5.2703573566378441E-2</v>
      </c>
      <c r="K39" s="81">
        <f t="shared" si="1"/>
        <v>10.781889279300866</v>
      </c>
      <c r="L39" s="81">
        <f t="shared" si="2"/>
        <v>11.098110720699136</v>
      </c>
      <c r="M39" s="81" t="str">
        <f t="shared" si="4"/>
        <v>NG</v>
      </c>
      <c r="N39" s="117">
        <f t="shared" si="5"/>
        <v>1</v>
      </c>
      <c r="O39" s="81">
        <f t="shared" si="6"/>
        <v>4.1000000000000014</v>
      </c>
      <c r="P39" s="81">
        <f>IF(G39="","",ABS(O39-Components!$C$2)/Components!$D$2)</f>
        <v>203.76422563621128</v>
      </c>
      <c r="Q39" s="81">
        <f>IF(G39="","",ABS(O39-Components!$C$3)/Components!$D$3)</f>
        <v>4.6388404348190209</v>
      </c>
      <c r="R39" s="81">
        <f>IF(G39="","",ABS(O39-Components!$C$4)/Components!$D$4)</f>
        <v>222.24388652568018</v>
      </c>
      <c r="S39" s="81">
        <f>IF(G39="","",ABS(O39-Components!$C$5)/Components!$D$5)</f>
        <v>18.374507568972419</v>
      </c>
      <c r="T39" s="81">
        <f>IF(G39="","",ABS(O39-Components!$C$6)/Components!$D$6)</f>
        <v>106.56874758649619</v>
      </c>
      <c r="U39" s="81">
        <f>IF(G39="","",ABS(O39-Components!$C$7)/Components!$D$7)</f>
        <v>108.39557334667232</v>
      </c>
      <c r="V39" s="81" t="str">
        <f>IF(G39="","",IF(M39="OK","NONE",INDEX({"S1","S2","W1","W2","N1","N2"},MATCH(MIN(P39:U39),P39:U39,0))))</f>
        <v>S2</v>
      </c>
      <c r="W39" s="117">
        <f t="shared" si="7"/>
        <v>1</v>
      </c>
      <c r="X39" s="107"/>
    </row>
    <row r="40" spans="1:24">
      <c r="A40" s="115">
        <v>38</v>
      </c>
      <c r="B40" s="116">
        <v>2</v>
      </c>
      <c r="C40" s="81" t="s">
        <v>128</v>
      </c>
      <c r="D40" s="111" t="s">
        <v>240</v>
      </c>
      <c r="E40" s="81" t="s">
        <v>102</v>
      </c>
      <c r="F40" s="52">
        <v>5.89</v>
      </c>
      <c r="G40" s="52">
        <f t="shared" si="0"/>
        <v>6.8599999999999994</v>
      </c>
      <c r="H40" s="110"/>
      <c r="I40" s="81">
        <f>VLOOKUP(C40,Recipes!$A$2:$N$4,10,FALSE())</f>
        <v>10.940000000000001</v>
      </c>
      <c r="J40" s="81">
        <f>VLOOKUP(C40,Recipes!$A$2:$N$4,12,FALSE())</f>
        <v>5.2703573566378441E-2</v>
      </c>
      <c r="K40" s="81">
        <f t="shared" si="1"/>
        <v>10.781889279300866</v>
      </c>
      <c r="L40" s="81">
        <f t="shared" si="2"/>
        <v>11.098110720699136</v>
      </c>
      <c r="M40" s="81" t="str">
        <f t="shared" si="4"/>
        <v>NG</v>
      </c>
      <c r="N40" s="117">
        <f t="shared" si="5"/>
        <v>1</v>
      </c>
      <c r="O40" s="81">
        <f t="shared" si="6"/>
        <v>4.0800000000000018</v>
      </c>
      <c r="P40" s="81">
        <f>IF(G40="","",ABS(O40-Components!$C$2)/Components!$D$2)</f>
        <v>200.73802426537654</v>
      </c>
      <c r="Q40" s="81">
        <f>IF(G40="","",ABS(O40-Components!$C$3)/Components!$D$3)</f>
        <v>3.1892027989381488</v>
      </c>
      <c r="R40" s="81">
        <f>IF(G40="","",ABS(O40-Components!$C$4)/Components!$D$4)</f>
        <v>220.81313189139473</v>
      </c>
      <c r="S40" s="81">
        <f>IF(G40="","",ABS(O40-Components!$C$5)/Components!$D$5)</f>
        <v>19.168794639677255</v>
      </c>
      <c r="T40" s="81">
        <f>IF(G40="","",ABS(O40-Components!$C$6)/Components!$D$6)</f>
        <v>105.84485707871971</v>
      </c>
      <c r="U40" s="81">
        <f>IF(G40="","",ABS(O40-Components!$C$7)/Components!$D$7)</f>
        <v>107.60020409134638</v>
      </c>
      <c r="V40" s="81" t="str">
        <f>IF(G40="","",IF(M40="OK","NONE",INDEX({"S1","S2","W1","W2","N1","N2"},MATCH(MIN(P40:U40),P40:U40,0))))</f>
        <v>S2</v>
      </c>
      <c r="W40" s="117">
        <f t="shared" si="7"/>
        <v>1</v>
      </c>
      <c r="X40" s="107"/>
    </row>
    <row r="41" spans="1:24">
      <c r="A41" s="115">
        <v>39</v>
      </c>
      <c r="B41" s="116">
        <v>2</v>
      </c>
      <c r="C41" s="81" t="s">
        <v>128</v>
      </c>
      <c r="D41" s="111" t="s">
        <v>240</v>
      </c>
      <c r="E41" s="81" t="s">
        <v>102</v>
      </c>
      <c r="F41" s="52">
        <v>5.91</v>
      </c>
      <c r="G41" s="52">
        <f t="shared" si="0"/>
        <v>6.88</v>
      </c>
      <c r="H41" s="110"/>
      <c r="I41" s="81">
        <f>VLOOKUP(C41,Recipes!$A$2:$N$4,10,FALSE())</f>
        <v>10.940000000000001</v>
      </c>
      <c r="J41" s="81">
        <f>VLOOKUP(C41,Recipes!$A$2:$N$4,12,FALSE())</f>
        <v>5.2703573566378441E-2</v>
      </c>
      <c r="K41" s="81">
        <f t="shared" si="1"/>
        <v>10.781889279300866</v>
      </c>
      <c r="L41" s="81">
        <f t="shared" si="2"/>
        <v>11.098110720699136</v>
      </c>
      <c r="M41" s="81" t="str">
        <f t="shared" si="4"/>
        <v>NG</v>
      </c>
      <c r="N41" s="117">
        <f t="shared" si="5"/>
        <v>1</v>
      </c>
      <c r="O41" s="81">
        <f t="shared" si="6"/>
        <v>4.0600000000000014</v>
      </c>
      <c r="P41" s="81">
        <f>IF(G41="","",ABS(O41-Components!$C$2)/Components!$D$2)</f>
        <v>197.71182289454165</v>
      </c>
      <c r="Q41" s="81">
        <f>IF(G41="","",ABS(O41-Components!$C$3)/Components!$D$3)</f>
        <v>1.7395651630572131</v>
      </c>
      <c r="R41" s="81">
        <f>IF(G41="","",ABS(O41-Components!$C$4)/Components!$D$4)</f>
        <v>219.3823772571092</v>
      </c>
      <c r="S41" s="81">
        <f>IF(G41="","",ABS(O41-Components!$C$5)/Components!$D$5)</f>
        <v>19.963081710382131</v>
      </c>
      <c r="T41" s="81">
        <f>IF(G41="","",ABS(O41-Components!$C$6)/Components!$D$6)</f>
        <v>105.1209665709432</v>
      </c>
      <c r="U41" s="81">
        <f>IF(G41="","",ABS(O41-Components!$C$7)/Components!$D$7)</f>
        <v>106.8048348360204</v>
      </c>
      <c r="V41" s="81" t="str">
        <f>IF(G41="","",IF(M41="OK","NONE",INDEX({"S1","S2","W1","W2","N1","N2"},MATCH(MIN(P41:U41),P41:U41,0))))</f>
        <v>S2</v>
      </c>
      <c r="W41" s="117">
        <f t="shared" si="7"/>
        <v>1</v>
      </c>
      <c r="X41" s="107"/>
    </row>
    <row r="42" spans="1:24">
      <c r="A42" s="115">
        <v>40</v>
      </c>
      <c r="B42" s="116">
        <v>2</v>
      </c>
      <c r="C42" s="81" t="s">
        <v>128</v>
      </c>
      <c r="D42" s="111" t="s">
        <v>240</v>
      </c>
      <c r="E42" s="81" t="s">
        <v>102</v>
      </c>
      <c r="F42" s="52">
        <v>5.94</v>
      </c>
      <c r="G42" s="52">
        <f t="shared" si="0"/>
        <v>6.91</v>
      </c>
      <c r="H42" s="110"/>
      <c r="I42" s="81">
        <f>VLOOKUP(C42,Recipes!$A$2:$N$4,10,FALSE())</f>
        <v>10.940000000000001</v>
      </c>
      <c r="J42" s="81">
        <f>VLOOKUP(C42,Recipes!$A$2:$N$4,12,FALSE())</f>
        <v>5.2703573566378441E-2</v>
      </c>
      <c r="K42" s="81">
        <f t="shared" si="1"/>
        <v>10.781889279300866</v>
      </c>
      <c r="L42" s="81">
        <f t="shared" si="2"/>
        <v>11.098110720699136</v>
      </c>
      <c r="M42" s="81" t="str">
        <f t="shared" si="4"/>
        <v>NG</v>
      </c>
      <c r="N42" s="117">
        <f t="shared" si="5"/>
        <v>1</v>
      </c>
      <c r="O42" s="81">
        <f t="shared" si="6"/>
        <v>4.0300000000000011</v>
      </c>
      <c r="P42" s="81">
        <f>IF(G42="","",ABS(O42-Components!$C$2)/Components!$D$2)</f>
        <v>193.17252083828942</v>
      </c>
      <c r="Q42" s="81">
        <f>IF(G42="","",ABS(O42-Components!$C$3)/Components!$D$3)</f>
        <v>0.43489129076415844</v>
      </c>
      <c r="R42" s="81">
        <f>IF(G42="","",ABS(O42-Components!$C$4)/Components!$D$4)</f>
        <v>217.23624530568094</v>
      </c>
      <c r="S42" s="81">
        <f>IF(G42="","",ABS(O42-Components!$C$5)/Components!$D$5)</f>
        <v>21.154512316439423</v>
      </c>
      <c r="T42" s="81">
        <f>IF(G42="","",ABS(O42-Components!$C$6)/Components!$D$6)</f>
        <v>104.03513080927844</v>
      </c>
      <c r="U42" s="81">
        <f>IF(G42="","",ABS(O42-Components!$C$7)/Components!$D$7)</f>
        <v>105.61178095303147</v>
      </c>
      <c r="V42" s="81" t="str">
        <f>IF(G42="","",IF(M42="OK","NONE",INDEX({"S1","S2","W1","W2","N1","N2"},MATCH(MIN(P42:U42),P42:U42,0))))</f>
        <v>S2</v>
      </c>
      <c r="W42" s="117">
        <f t="shared" si="7"/>
        <v>1</v>
      </c>
      <c r="X42" s="107"/>
    </row>
    <row r="43" spans="1:24">
      <c r="A43" s="115">
        <v>41</v>
      </c>
      <c r="B43" s="116">
        <v>2</v>
      </c>
      <c r="C43" s="81" t="s">
        <v>128</v>
      </c>
      <c r="D43" s="111" t="s">
        <v>240</v>
      </c>
      <c r="E43" s="81" t="s">
        <v>102</v>
      </c>
      <c r="F43" s="52">
        <v>5.91</v>
      </c>
      <c r="G43" s="52">
        <f t="shared" si="0"/>
        <v>6.88</v>
      </c>
      <c r="H43" s="110"/>
      <c r="I43" s="81">
        <f>VLOOKUP(C43,Recipes!$A$2:$N$4,10,FALSE())</f>
        <v>10.940000000000001</v>
      </c>
      <c r="J43" s="81">
        <f>VLOOKUP(C43,Recipes!$A$2:$N$4,12,FALSE())</f>
        <v>5.2703573566378441E-2</v>
      </c>
      <c r="K43" s="81">
        <f t="shared" si="1"/>
        <v>10.781889279300866</v>
      </c>
      <c r="L43" s="81">
        <f t="shared" si="2"/>
        <v>11.098110720699136</v>
      </c>
      <c r="M43" s="81" t="str">
        <f t="shared" si="4"/>
        <v>NG</v>
      </c>
      <c r="N43" s="117">
        <f t="shared" si="5"/>
        <v>1</v>
      </c>
      <c r="O43" s="81">
        <f t="shared" si="6"/>
        <v>4.0600000000000014</v>
      </c>
      <c r="P43" s="81">
        <f>IF(G43="","",ABS(O43-Components!$C$2)/Components!$D$2)</f>
        <v>197.71182289454165</v>
      </c>
      <c r="Q43" s="81">
        <f>IF(G43="","",ABS(O43-Components!$C$3)/Components!$D$3)</f>
        <v>1.7395651630572131</v>
      </c>
      <c r="R43" s="81">
        <f>IF(G43="","",ABS(O43-Components!$C$4)/Components!$D$4)</f>
        <v>219.3823772571092</v>
      </c>
      <c r="S43" s="81">
        <f>IF(G43="","",ABS(O43-Components!$C$5)/Components!$D$5)</f>
        <v>19.963081710382131</v>
      </c>
      <c r="T43" s="81">
        <f>IF(G43="","",ABS(O43-Components!$C$6)/Components!$D$6)</f>
        <v>105.1209665709432</v>
      </c>
      <c r="U43" s="81">
        <f>IF(G43="","",ABS(O43-Components!$C$7)/Components!$D$7)</f>
        <v>106.8048348360204</v>
      </c>
      <c r="V43" s="81" t="str">
        <f>IF(G43="","",IF(M43="OK","NONE",INDEX({"S1","S2","W1","W2","N1","N2"},MATCH(MIN(P43:U43),P43:U43,0))))</f>
        <v>S2</v>
      </c>
      <c r="W43" s="117">
        <f t="shared" si="7"/>
        <v>1</v>
      </c>
      <c r="X43" s="107"/>
    </row>
    <row r="44" spans="1:24">
      <c r="A44" s="115">
        <v>42</v>
      </c>
      <c r="B44" s="116">
        <v>2</v>
      </c>
      <c r="C44" s="81" t="s">
        <v>128</v>
      </c>
      <c r="D44" s="111" t="s">
        <v>240</v>
      </c>
      <c r="E44" s="81" t="s">
        <v>102</v>
      </c>
      <c r="F44" s="52">
        <v>5.96</v>
      </c>
      <c r="G44" s="52">
        <f t="shared" si="0"/>
        <v>6.93</v>
      </c>
      <c r="H44" s="110"/>
      <c r="I44" s="81">
        <f>VLOOKUP(C44,Recipes!$A$2:$N$4,10,FALSE())</f>
        <v>10.940000000000001</v>
      </c>
      <c r="J44" s="81">
        <f>VLOOKUP(C44,Recipes!$A$2:$N$4,12,FALSE())</f>
        <v>5.2703573566378441E-2</v>
      </c>
      <c r="K44" s="81">
        <f t="shared" si="1"/>
        <v>10.781889279300866</v>
      </c>
      <c r="L44" s="81">
        <f t="shared" si="2"/>
        <v>11.098110720699136</v>
      </c>
      <c r="M44" s="81" t="str">
        <f t="shared" si="4"/>
        <v>NG</v>
      </c>
      <c r="N44" s="117">
        <f t="shared" si="5"/>
        <v>1</v>
      </c>
      <c r="O44" s="81">
        <f t="shared" si="6"/>
        <v>4.0100000000000016</v>
      </c>
      <c r="P44" s="81">
        <f>IF(G44="","",ABS(O44-Components!$C$2)/Components!$D$2)</f>
        <v>190.14631946745467</v>
      </c>
      <c r="Q44" s="81">
        <f>IF(G44="","",ABS(O44-Components!$C$3)/Components!$D$3)</f>
        <v>1.88452892664503</v>
      </c>
      <c r="R44" s="81">
        <f>IF(G44="","",ABS(O44-Components!$C$4)/Components!$D$4)</f>
        <v>215.80549067139549</v>
      </c>
      <c r="S44" s="81">
        <f>IF(G44="","",ABS(O44-Components!$C$5)/Components!$D$5)</f>
        <v>21.948799387144263</v>
      </c>
      <c r="T44" s="81">
        <f>IF(G44="","",ABS(O44-Components!$C$6)/Components!$D$6)</f>
        <v>103.31124030150197</v>
      </c>
      <c r="U44" s="81">
        <f>IF(G44="","",ABS(O44-Components!$C$7)/Components!$D$7)</f>
        <v>104.81641169770553</v>
      </c>
      <c r="V44" s="81" t="str">
        <f>IF(G44="","",IF(M44="OK","NONE",INDEX({"S1","S2","W1","W2","N1","N2"},MATCH(MIN(P44:U44),P44:U44,0))))</f>
        <v>S2</v>
      </c>
      <c r="W44" s="117">
        <f t="shared" si="7"/>
        <v>1</v>
      </c>
      <c r="X44" s="107"/>
    </row>
    <row r="45" spans="1:24">
      <c r="A45" s="115">
        <v>43</v>
      </c>
      <c r="B45" s="116">
        <v>2</v>
      </c>
      <c r="C45" s="81" t="s">
        <v>128</v>
      </c>
      <c r="D45" s="111" t="s">
        <v>240</v>
      </c>
      <c r="E45" s="81" t="s">
        <v>102</v>
      </c>
      <c r="F45" s="52">
        <v>5.98</v>
      </c>
      <c r="G45" s="52">
        <f t="shared" si="0"/>
        <v>6.95</v>
      </c>
      <c r="H45" s="110"/>
      <c r="I45" s="81">
        <f>VLOOKUP(C45,Recipes!$A$2:$N$4,10,FALSE())</f>
        <v>10.940000000000001</v>
      </c>
      <c r="J45" s="81">
        <f>VLOOKUP(C45,Recipes!$A$2:$N$4,12,FALSE())</f>
        <v>5.2703573566378441E-2</v>
      </c>
      <c r="K45" s="81">
        <f t="shared" si="1"/>
        <v>10.781889279300866</v>
      </c>
      <c r="L45" s="81">
        <f t="shared" si="2"/>
        <v>11.098110720699136</v>
      </c>
      <c r="M45" s="81" t="str">
        <f t="shared" si="4"/>
        <v>NG</v>
      </c>
      <c r="N45" s="117">
        <f t="shared" si="5"/>
        <v>1</v>
      </c>
      <c r="O45" s="81">
        <f t="shared" si="6"/>
        <v>3.9900000000000011</v>
      </c>
      <c r="P45" s="81">
        <f>IF(G45="","",ABS(O45-Components!$C$2)/Components!$D$2)</f>
        <v>187.12011809661979</v>
      </c>
      <c r="Q45" s="81">
        <f>IF(G45="","",ABS(O45-Components!$C$3)/Components!$D$3)</f>
        <v>3.334166562525966</v>
      </c>
      <c r="R45" s="81">
        <f>IF(G45="","",ABS(O45-Components!$C$4)/Components!$D$4)</f>
        <v>214.37473603710995</v>
      </c>
      <c r="S45" s="81">
        <f>IF(G45="","",ABS(O45-Components!$C$5)/Components!$D$5)</f>
        <v>22.743086457849135</v>
      </c>
      <c r="T45" s="81">
        <f>IF(G45="","",ABS(O45-Components!$C$6)/Components!$D$6)</f>
        <v>102.58734979372545</v>
      </c>
      <c r="U45" s="81">
        <f>IF(G45="","",ABS(O45-Components!$C$7)/Components!$D$7)</f>
        <v>104.02104244237955</v>
      </c>
      <c r="V45" s="81" t="str">
        <f>IF(G45="","",IF(M45="OK","NONE",INDEX({"S1","S2","W1","W2","N1","N2"},MATCH(MIN(P45:U45),P45:U45,0))))</f>
        <v>S2</v>
      </c>
      <c r="W45" s="117">
        <f t="shared" si="7"/>
        <v>1</v>
      </c>
      <c r="X45" s="107"/>
    </row>
    <row r="46" spans="1:24">
      <c r="A46" s="115">
        <v>44</v>
      </c>
      <c r="B46" s="116">
        <v>2</v>
      </c>
      <c r="C46" s="81" t="s">
        <v>128</v>
      </c>
      <c r="D46" s="111" t="s">
        <v>240</v>
      </c>
      <c r="E46" s="81" t="s">
        <v>102</v>
      </c>
      <c r="F46" s="52">
        <v>5.94</v>
      </c>
      <c r="G46" s="52">
        <f t="shared" si="0"/>
        <v>6.91</v>
      </c>
      <c r="H46" s="110"/>
      <c r="I46" s="81">
        <f>VLOOKUP(C46,Recipes!$A$2:$N$4,10,FALSE())</f>
        <v>10.940000000000001</v>
      </c>
      <c r="J46" s="81">
        <f>VLOOKUP(C46,Recipes!$A$2:$N$4,12,FALSE())</f>
        <v>5.2703573566378441E-2</v>
      </c>
      <c r="K46" s="81">
        <f t="shared" si="1"/>
        <v>10.781889279300866</v>
      </c>
      <c r="L46" s="81">
        <f t="shared" si="2"/>
        <v>11.098110720699136</v>
      </c>
      <c r="M46" s="81" t="str">
        <f t="shared" si="4"/>
        <v>NG</v>
      </c>
      <c r="N46" s="117">
        <f t="shared" si="5"/>
        <v>1</v>
      </c>
      <c r="O46" s="81">
        <f t="shared" si="6"/>
        <v>4.0300000000000011</v>
      </c>
      <c r="P46" s="81">
        <f>IF(G46="","",ABS(O46-Components!$C$2)/Components!$D$2)</f>
        <v>193.17252083828942</v>
      </c>
      <c r="Q46" s="81">
        <f>IF(G46="","",ABS(O46-Components!$C$3)/Components!$D$3)</f>
        <v>0.43489129076415844</v>
      </c>
      <c r="R46" s="81">
        <f>IF(G46="","",ABS(O46-Components!$C$4)/Components!$D$4)</f>
        <v>217.23624530568094</v>
      </c>
      <c r="S46" s="81">
        <f>IF(G46="","",ABS(O46-Components!$C$5)/Components!$D$5)</f>
        <v>21.154512316439423</v>
      </c>
      <c r="T46" s="81">
        <f>IF(G46="","",ABS(O46-Components!$C$6)/Components!$D$6)</f>
        <v>104.03513080927844</v>
      </c>
      <c r="U46" s="81">
        <f>IF(G46="","",ABS(O46-Components!$C$7)/Components!$D$7)</f>
        <v>105.61178095303147</v>
      </c>
      <c r="V46" s="81" t="str">
        <f>IF(G46="","",IF(M46="OK","NONE",INDEX({"S1","S2","W1","W2","N1","N2"},MATCH(MIN(P46:U46),P46:U46,0))))</f>
        <v>S2</v>
      </c>
      <c r="W46" s="117">
        <f t="shared" si="7"/>
        <v>1</v>
      </c>
      <c r="X46" s="107"/>
    </row>
    <row r="47" spans="1:24">
      <c r="A47" s="115">
        <v>45</v>
      </c>
      <c r="B47" s="116">
        <v>2</v>
      </c>
      <c r="C47" s="81" t="s">
        <v>128</v>
      </c>
      <c r="D47" s="111" t="s">
        <v>240</v>
      </c>
      <c r="E47" s="81" t="s">
        <v>102</v>
      </c>
      <c r="F47" s="52">
        <v>5.87</v>
      </c>
      <c r="G47" s="52">
        <f t="shared" si="0"/>
        <v>6.84</v>
      </c>
      <c r="H47" s="110"/>
      <c r="I47" s="81">
        <f>VLOOKUP(C47,Recipes!$A$2:$N$4,10,FALSE())</f>
        <v>10.940000000000001</v>
      </c>
      <c r="J47" s="81">
        <f>VLOOKUP(C47,Recipes!$A$2:$N$4,12,FALSE())</f>
        <v>5.2703573566378441E-2</v>
      </c>
      <c r="K47" s="81">
        <f t="shared" si="1"/>
        <v>10.781889279300866</v>
      </c>
      <c r="L47" s="81">
        <f t="shared" si="2"/>
        <v>11.098110720699136</v>
      </c>
      <c r="M47" s="81" t="str">
        <f t="shared" si="4"/>
        <v>NG</v>
      </c>
      <c r="N47" s="117">
        <f t="shared" si="5"/>
        <v>1</v>
      </c>
      <c r="O47" s="81">
        <f t="shared" si="6"/>
        <v>4.1000000000000014</v>
      </c>
      <c r="P47" s="81">
        <f>IF(G47="","",ABS(O47-Components!$C$2)/Components!$D$2)</f>
        <v>203.76422563621128</v>
      </c>
      <c r="Q47" s="81">
        <f>IF(G47="","",ABS(O47-Components!$C$3)/Components!$D$3)</f>
        <v>4.6388404348190209</v>
      </c>
      <c r="R47" s="81">
        <f>IF(G47="","",ABS(O47-Components!$C$4)/Components!$D$4)</f>
        <v>222.24388652568018</v>
      </c>
      <c r="S47" s="81">
        <f>IF(G47="","",ABS(O47-Components!$C$5)/Components!$D$5)</f>
        <v>18.374507568972419</v>
      </c>
      <c r="T47" s="81">
        <f>IF(G47="","",ABS(O47-Components!$C$6)/Components!$D$6)</f>
        <v>106.56874758649619</v>
      </c>
      <c r="U47" s="81">
        <f>IF(G47="","",ABS(O47-Components!$C$7)/Components!$D$7)</f>
        <v>108.39557334667232</v>
      </c>
      <c r="V47" s="81" t="str">
        <f>IF(G47="","",IF(M47="OK","NONE",INDEX({"S1","S2","W1","W2","N1","N2"},MATCH(MIN(P47:U47),P47:U47,0))))</f>
        <v>S2</v>
      </c>
      <c r="W47" s="117">
        <f t="shared" si="7"/>
        <v>1</v>
      </c>
      <c r="X47" s="107"/>
    </row>
    <row r="48" spans="1:24">
      <c r="A48" s="115">
        <v>46</v>
      </c>
      <c r="B48" s="116">
        <v>2</v>
      </c>
      <c r="C48" s="81" t="s">
        <v>128</v>
      </c>
      <c r="D48" s="111" t="s">
        <v>240</v>
      </c>
      <c r="E48" s="81" t="s">
        <v>102</v>
      </c>
      <c r="F48" s="52">
        <v>5.95</v>
      </c>
      <c r="G48" s="52">
        <f t="shared" si="0"/>
        <v>6.92</v>
      </c>
      <c r="H48" s="110"/>
      <c r="I48" s="81">
        <f>VLOOKUP(C48,Recipes!$A$2:$N$4,10,FALSE())</f>
        <v>10.940000000000001</v>
      </c>
      <c r="J48" s="81">
        <f>VLOOKUP(C48,Recipes!$A$2:$N$4,12,FALSE())</f>
        <v>5.2703573566378441E-2</v>
      </c>
      <c r="K48" s="81">
        <f t="shared" si="1"/>
        <v>10.781889279300866</v>
      </c>
      <c r="L48" s="81">
        <f t="shared" si="2"/>
        <v>11.098110720699136</v>
      </c>
      <c r="M48" s="81" t="str">
        <f t="shared" si="4"/>
        <v>NG</v>
      </c>
      <c r="N48" s="117">
        <f t="shared" si="5"/>
        <v>1</v>
      </c>
      <c r="O48" s="81">
        <f t="shared" si="6"/>
        <v>4.0200000000000014</v>
      </c>
      <c r="P48" s="81">
        <f>IF(G48="","",ABS(O48-Components!$C$2)/Components!$D$2)</f>
        <v>191.65942015287203</v>
      </c>
      <c r="Q48" s="81">
        <f>IF(G48="","",ABS(O48-Components!$C$3)/Components!$D$3)</f>
        <v>1.1597101087045942</v>
      </c>
      <c r="R48" s="81">
        <f>IF(G48="","",ABS(O48-Components!$C$4)/Components!$D$4)</f>
        <v>216.52086798853821</v>
      </c>
      <c r="S48" s="81">
        <f>IF(G48="","",ABS(O48-Components!$C$5)/Components!$D$5)</f>
        <v>21.551655851791843</v>
      </c>
      <c r="T48" s="81">
        <f>IF(G48="","",ABS(O48-Components!$C$6)/Components!$D$6)</f>
        <v>103.67318555539021</v>
      </c>
      <c r="U48" s="81">
        <f>IF(G48="","",ABS(O48-Components!$C$7)/Components!$D$7)</f>
        <v>105.2140963253685</v>
      </c>
      <c r="V48" s="81" t="str">
        <f>IF(G48="","",IF(M48="OK","NONE",INDEX({"S1","S2","W1","W2","N1","N2"},MATCH(MIN(P48:U48),P48:U48,0))))</f>
        <v>S2</v>
      </c>
      <c r="W48" s="117">
        <f t="shared" si="7"/>
        <v>1</v>
      </c>
      <c r="X48" s="107"/>
    </row>
    <row r="49" spans="1:24">
      <c r="A49" s="115">
        <v>47</v>
      </c>
      <c r="B49" s="116">
        <v>2</v>
      </c>
      <c r="C49" s="81" t="s">
        <v>128</v>
      </c>
      <c r="D49" s="111" t="s">
        <v>240</v>
      </c>
      <c r="E49" s="81" t="s">
        <v>102</v>
      </c>
      <c r="F49" s="52">
        <v>5.89</v>
      </c>
      <c r="G49" s="52">
        <f t="shared" si="0"/>
        <v>6.8599999999999994</v>
      </c>
      <c r="H49" s="110"/>
      <c r="I49" s="81">
        <f>VLOOKUP(C49,Recipes!$A$2:$N$4,10,FALSE())</f>
        <v>10.940000000000001</v>
      </c>
      <c r="J49" s="81">
        <f>VLOOKUP(C49,Recipes!$A$2:$N$4,12,FALSE())</f>
        <v>5.2703573566378441E-2</v>
      </c>
      <c r="K49" s="81">
        <f t="shared" si="1"/>
        <v>10.781889279300866</v>
      </c>
      <c r="L49" s="81">
        <f t="shared" si="2"/>
        <v>11.098110720699136</v>
      </c>
      <c r="M49" s="81" t="str">
        <f t="shared" si="4"/>
        <v>NG</v>
      </c>
      <c r="N49" s="117">
        <f t="shared" si="5"/>
        <v>1</v>
      </c>
      <c r="O49" s="81">
        <f t="shared" si="6"/>
        <v>4.0800000000000018</v>
      </c>
      <c r="P49" s="81">
        <f>IF(G49="","",ABS(O49-Components!$C$2)/Components!$D$2)</f>
        <v>200.73802426537654</v>
      </c>
      <c r="Q49" s="81">
        <f>IF(G49="","",ABS(O49-Components!$C$3)/Components!$D$3)</f>
        <v>3.1892027989381488</v>
      </c>
      <c r="R49" s="81">
        <f>IF(G49="","",ABS(O49-Components!$C$4)/Components!$D$4)</f>
        <v>220.81313189139473</v>
      </c>
      <c r="S49" s="81">
        <f>IF(G49="","",ABS(O49-Components!$C$5)/Components!$D$5)</f>
        <v>19.168794639677255</v>
      </c>
      <c r="T49" s="81">
        <f>IF(G49="","",ABS(O49-Components!$C$6)/Components!$D$6)</f>
        <v>105.84485707871971</v>
      </c>
      <c r="U49" s="81">
        <f>IF(G49="","",ABS(O49-Components!$C$7)/Components!$D$7)</f>
        <v>107.60020409134638</v>
      </c>
      <c r="V49" s="81" t="str">
        <f>IF(G49="","",IF(M49="OK","NONE",INDEX({"S1","S2","W1","W2","N1","N2"},MATCH(MIN(P49:U49),P49:U49,0))))</f>
        <v>S2</v>
      </c>
      <c r="W49" s="117">
        <f t="shared" si="7"/>
        <v>1</v>
      </c>
      <c r="X49" s="107"/>
    </row>
    <row r="50" spans="1:24">
      <c r="A50" s="115">
        <v>48</v>
      </c>
      <c r="B50" s="116">
        <v>2</v>
      </c>
      <c r="C50" s="81" t="s">
        <v>128</v>
      </c>
      <c r="D50" s="111" t="s">
        <v>240</v>
      </c>
      <c r="E50" s="81" t="s">
        <v>102</v>
      </c>
      <c r="F50" s="52">
        <v>5.88</v>
      </c>
      <c r="G50" s="52">
        <f t="shared" si="0"/>
        <v>6.85</v>
      </c>
      <c r="H50" s="110"/>
      <c r="I50" s="81">
        <f>VLOOKUP(C50,Recipes!$A$2:$N$4,10,FALSE())</f>
        <v>10.940000000000001</v>
      </c>
      <c r="J50" s="81">
        <f>VLOOKUP(C50,Recipes!$A$2:$N$4,12,FALSE())</f>
        <v>5.2703573566378441E-2</v>
      </c>
      <c r="K50" s="81">
        <f t="shared" si="1"/>
        <v>10.781889279300866</v>
      </c>
      <c r="L50" s="81">
        <f t="shared" si="2"/>
        <v>11.098110720699136</v>
      </c>
      <c r="M50" s="81" t="str">
        <f t="shared" si="4"/>
        <v>NG</v>
      </c>
      <c r="N50" s="117">
        <f t="shared" si="5"/>
        <v>1</v>
      </c>
      <c r="O50" s="81">
        <f t="shared" si="6"/>
        <v>4.0900000000000016</v>
      </c>
      <c r="P50" s="81">
        <f>IF(G50="","",ABS(O50-Components!$C$2)/Components!$D$2)</f>
        <v>202.25112495079392</v>
      </c>
      <c r="Q50" s="81">
        <f>IF(G50="","",ABS(O50-Components!$C$3)/Components!$D$3)</f>
        <v>3.9140216168785846</v>
      </c>
      <c r="R50" s="81">
        <f>IF(G50="","",ABS(O50-Components!$C$4)/Components!$D$4)</f>
        <v>221.52850920853746</v>
      </c>
      <c r="S50" s="81">
        <f>IF(G50="","",ABS(O50-Components!$C$5)/Components!$D$5)</f>
        <v>18.771651104324839</v>
      </c>
      <c r="T50" s="81">
        <f>IF(G50="","",ABS(O50-Components!$C$6)/Components!$D$6)</f>
        <v>106.20680233260795</v>
      </c>
      <c r="U50" s="81">
        <f>IF(G50="","",ABS(O50-Components!$C$7)/Components!$D$7)</f>
        <v>107.99788871900935</v>
      </c>
      <c r="V50" s="81" t="str">
        <f>IF(G50="","",IF(M50="OK","NONE",INDEX({"S1","S2","W1","W2","N1","N2"},MATCH(MIN(P50:U50),P50:U50,0))))</f>
        <v>S2</v>
      </c>
      <c r="W50" s="117">
        <f t="shared" si="7"/>
        <v>1</v>
      </c>
      <c r="X50" s="107"/>
    </row>
    <row r="51" spans="1:24">
      <c r="A51" s="115">
        <v>49</v>
      </c>
      <c r="B51" s="116">
        <v>2</v>
      </c>
      <c r="C51" s="81" t="s">
        <v>128</v>
      </c>
      <c r="D51" s="111" t="s">
        <v>240</v>
      </c>
      <c r="E51" s="81" t="s">
        <v>102</v>
      </c>
      <c r="F51" s="52">
        <v>5.94</v>
      </c>
      <c r="G51" s="52">
        <f t="shared" si="0"/>
        <v>6.91</v>
      </c>
      <c r="H51" s="110"/>
      <c r="I51" s="81">
        <f>VLOOKUP(C51,Recipes!$A$2:$N$4,10,FALSE())</f>
        <v>10.940000000000001</v>
      </c>
      <c r="J51" s="81">
        <f>VLOOKUP(C51,Recipes!$A$2:$N$4,12,FALSE())</f>
        <v>5.2703573566378441E-2</v>
      </c>
      <c r="K51" s="81">
        <f t="shared" si="1"/>
        <v>10.781889279300866</v>
      </c>
      <c r="L51" s="81">
        <f t="shared" si="2"/>
        <v>11.098110720699136</v>
      </c>
      <c r="M51" s="81" t="str">
        <f t="shared" si="4"/>
        <v>NG</v>
      </c>
      <c r="N51" s="117">
        <f t="shared" si="5"/>
        <v>1</v>
      </c>
      <c r="O51" s="81">
        <f t="shared" si="6"/>
        <v>4.0300000000000011</v>
      </c>
      <c r="P51" s="81">
        <f>IF(G51="","",ABS(O51-Components!$C$2)/Components!$D$2)</f>
        <v>193.17252083828942</v>
      </c>
      <c r="Q51" s="81">
        <f>IF(G51="","",ABS(O51-Components!$C$3)/Components!$D$3)</f>
        <v>0.43489129076415844</v>
      </c>
      <c r="R51" s="81">
        <f>IF(G51="","",ABS(O51-Components!$C$4)/Components!$D$4)</f>
        <v>217.23624530568094</v>
      </c>
      <c r="S51" s="81">
        <f>IF(G51="","",ABS(O51-Components!$C$5)/Components!$D$5)</f>
        <v>21.154512316439423</v>
      </c>
      <c r="T51" s="81">
        <f>IF(G51="","",ABS(O51-Components!$C$6)/Components!$D$6)</f>
        <v>104.03513080927844</v>
      </c>
      <c r="U51" s="81">
        <f>IF(G51="","",ABS(O51-Components!$C$7)/Components!$D$7)</f>
        <v>105.61178095303147</v>
      </c>
      <c r="V51" s="81" t="str">
        <f>IF(G51="","",IF(M51="OK","NONE",INDEX({"S1","S2","W1","W2","N1","N2"},MATCH(MIN(P51:U51),P51:U51,0))))</f>
        <v>S2</v>
      </c>
      <c r="W51" s="117">
        <f t="shared" si="7"/>
        <v>1</v>
      </c>
      <c r="X51" s="107"/>
    </row>
    <row r="52" spans="1:24">
      <c r="A52" s="115">
        <v>50</v>
      </c>
      <c r="B52" s="116">
        <v>2</v>
      </c>
      <c r="C52" s="81" t="s">
        <v>128</v>
      </c>
      <c r="D52" s="111" t="s">
        <v>240</v>
      </c>
      <c r="E52" s="81" t="s">
        <v>102</v>
      </c>
      <c r="F52" s="52">
        <v>5.93</v>
      </c>
      <c r="G52" s="52">
        <f t="shared" si="0"/>
        <v>6.8999999999999995</v>
      </c>
      <c r="H52" s="110"/>
      <c r="I52" s="81">
        <f>VLOOKUP(C52,Recipes!$A$2:$N$4,10,FALSE())</f>
        <v>10.940000000000001</v>
      </c>
      <c r="J52" s="81">
        <f>VLOOKUP(C52,Recipes!$A$2:$N$4,12,FALSE())</f>
        <v>5.2703573566378441E-2</v>
      </c>
      <c r="K52" s="81">
        <f t="shared" si="1"/>
        <v>10.781889279300866</v>
      </c>
      <c r="L52" s="81">
        <f t="shared" si="2"/>
        <v>11.098110720699136</v>
      </c>
      <c r="M52" s="81" t="str">
        <f t="shared" si="4"/>
        <v>NG</v>
      </c>
      <c r="N52" s="117">
        <f t="shared" si="5"/>
        <v>1</v>
      </c>
      <c r="O52" s="81">
        <f t="shared" si="6"/>
        <v>4.0400000000000018</v>
      </c>
      <c r="P52" s="81">
        <f>IF(G52="","",ABS(O52-Components!$C$2)/Components!$D$2)</f>
        <v>194.68562152370691</v>
      </c>
      <c r="Q52" s="81">
        <f>IF(G52="","",ABS(O52-Components!$C$3)/Components!$D$3)</f>
        <v>0.28992752717634168</v>
      </c>
      <c r="R52" s="81">
        <f>IF(G52="","",ABS(O52-Components!$C$4)/Components!$D$4)</f>
        <v>217.95162262282375</v>
      </c>
      <c r="S52" s="81">
        <f>IF(G52="","",ABS(O52-Components!$C$5)/Components!$D$5)</f>
        <v>20.757368781086971</v>
      </c>
      <c r="T52" s="81">
        <f>IF(G52="","",ABS(O52-Components!$C$6)/Components!$D$6)</f>
        <v>104.39707606316672</v>
      </c>
      <c r="U52" s="81">
        <f>IF(G52="","",ABS(O52-Components!$C$7)/Components!$D$7)</f>
        <v>106.00946558069447</v>
      </c>
      <c r="V52" s="81" t="str">
        <f>IF(G52="","",IF(M52="OK","NONE",INDEX({"S1","S2","W1","W2","N1","N2"},MATCH(MIN(P52:U52),P52:U52,0))))</f>
        <v>S2</v>
      </c>
      <c r="W52" s="117">
        <f t="shared" si="7"/>
        <v>1</v>
      </c>
      <c r="X52" s="107"/>
    </row>
    <row r="53" spans="1:24">
      <c r="A53" s="115">
        <v>51</v>
      </c>
      <c r="B53" s="116">
        <v>2</v>
      </c>
      <c r="C53" s="81" t="s">
        <v>128</v>
      </c>
      <c r="D53" s="111" t="s">
        <v>240</v>
      </c>
      <c r="E53" s="81" t="s">
        <v>102</v>
      </c>
      <c r="F53" s="52">
        <v>5.99</v>
      </c>
      <c r="G53" s="52">
        <f t="shared" si="0"/>
        <v>6.96</v>
      </c>
      <c r="H53" s="110"/>
      <c r="I53" s="81">
        <f>VLOOKUP(C53,Recipes!$A$2:$N$4,10,FALSE())</f>
        <v>10.940000000000001</v>
      </c>
      <c r="J53" s="81">
        <f>VLOOKUP(C53,Recipes!$A$2:$N$4,12,FALSE())</f>
        <v>5.2703573566378441E-2</v>
      </c>
      <c r="K53" s="81">
        <f t="shared" si="1"/>
        <v>10.781889279300866</v>
      </c>
      <c r="L53" s="81">
        <f t="shared" si="2"/>
        <v>11.098110720699136</v>
      </c>
      <c r="M53" s="81" t="str">
        <f t="shared" si="4"/>
        <v>NG</v>
      </c>
      <c r="N53" s="117">
        <f t="shared" si="5"/>
        <v>1</v>
      </c>
      <c r="O53" s="81">
        <f t="shared" si="6"/>
        <v>3.9800000000000013</v>
      </c>
      <c r="P53" s="81">
        <f>IF(G53="","",ABS(O53-Components!$C$2)/Components!$D$2)</f>
        <v>185.60701741120241</v>
      </c>
      <c r="Q53" s="81">
        <f>IF(G53="","",ABS(O53-Components!$C$3)/Components!$D$3)</f>
        <v>4.0589853804664013</v>
      </c>
      <c r="R53" s="81">
        <f>IF(G53="","",ABS(O53-Components!$C$4)/Components!$D$4)</f>
        <v>213.65935871996723</v>
      </c>
      <c r="S53" s="81">
        <f>IF(G53="","",ABS(O53-Components!$C$5)/Components!$D$5)</f>
        <v>23.140229993201554</v>
      </c>
      <c r="T53" s="81">
        <f>IF(G53="","",ABS(O53-Components!$C$6)/Components!$D$6)</f>
        <v>102.22540453983721</v>
      </c>
      <c r="U53" s="81">
        <f>IF(G53="","",ABS(O53-Components!$C$7)/Components!$D$7)</f>
        <v>103.62335781471658</v>
      </c>
      <c r="V53" s="81" t="str">
        <f>IF(G53="","",IF(M53="OK","NONE",INDEX({"S1","S2","W1","W2","N1","N2"},MATCH(MIN(P53:U53),P53:U53,0))))</f>
        <v>S2</v>
      </c>
      <c r="W53" s="117">
        <f t="shared" si="7"/>
        <v>1</v>
      </c>
      <c r="X53" s="107"/>
    </row>
    <row r="54" spans="1:24">
      <c r="A54" s="115">
        <v>52</v>
      </c>
      <c r="B54" s="116">
        <v>2</v>
      </c>
      <c r="C54" s="81" t="s">
        <v>128</v>
      </c>
      <c r="D54" s="111" t="s">
        <v>240</v>
      </c>
      <c r="E54" s="81" t="s">
        <v>102</v>
      </c>
      <c r="F54" s="52">
        <v>5.92</v>
      </c>
      <c r="G54" s="52">
        <f t="shared" si="0"/>
        <v>6.89</v>
      </c>
      <c r="H54" s="110"/>
      <c r="I54" s="81">
        <f>VLOOKUP(C54,Recipes!$A$2:$N$4,10,FALSE())</f>
        <v>10.940000000000001</v>
      </c>
      <c r="J54" s="81">
        <f>VLOOKUP(C54,Recipes!$A$2:$N$4,12,FALSE())</f>
        <v>5.2703573566378441E-2</v>
      </c>
      <c r="K54" s="81">
        <f t="shared" si="1"/>
        <v>10.781889279300866</v>
      </c>
      <c r="L54" s="81">
        <f t="shared" si="2"/>
        <v>11.098110720699136</v>
      </c>
      <c r="M54" s="81" t="str">
        <f t="shared" si="4"/>
        <v>NG</v>
      </c>
      <c r="N54" s="117">
        <f t="shared" si="5"/>
        <v>1</v>
      </c>
      <c r="O54" s="81">
        <f t="shared" si="6"/>
        <v>4.0500000000000016</v>
      </c>
      <c r="P54" s="81">
        <f>IF(G54="","",ABS(O54-Components!$C$2)/Components!$D$2)</f>
        <v>196.1987222091243</v>
      </c>
      <c r="Q54" s="81">
        <f>IF(G54="","",ABS(O54-Components!$C$3)/Components!$D$3)</f>
        <v>1.0147463451167775</v>
      </c>
      <c r="R54" s="81">
        <f>IF(G54="","",ABS(O54-Components!$C$4)/Components!$D$4)</f>
        <v>218.66699993996647</v>
      </c>
      <c r="S54" s="81">
        <f>IF(G54="","",ABS(O54-Components!$C$5)/Components!$D$5)</f>
        <v>20.360225245734551</v>
      </c>
      <c r="T54" s="81">
        <f>IF(G54="","",ABS(O54-Components!$C$6)/Components!$D$6)</f>
        <v>104.75902131705496</v>
      </c>
      <c r="U54" s="81">
        <f>IF(G54="","",ABS(O54-Components!$C$7)/Components!$D$7)</f>
        <v>106.40715020835744</v>
      </c>
      <c r="V54" s="81" t="str">
        <f>IF(G54="","",IF(M54="OK","NONE",INDEX({"S1","S2","W1","W2","N1","N2"},MATCH(MIN(P54:U54),P54:U54,0))))</f>
        <v>S2</v>
      </c>
      <c r="W54" s="117">
        <f t="shared" si="7"/>
        <v>1</v>
      </c>
      <c r="X54" s="107"/>
    </row>
    <row r="55" spans="1:24">
      <c r="A55" s="115">
        <v>53</v>
      </c>
      <c r="B55" s="116">
        <v>2</v>
      </c>
      <c r="C55" s="81" t="s">
        <v>128</v>
      </c>
      <c r="D55" s="111" t="s">
        <v>240</v>
      </c>
      <c r="E55" s="81" t="s">
        <v>102</v>
      </c>
      <c r="F55" s="52">
        <v>5.78</v>
      </c>
      <c r="G55" s="52">
        <f t="shared" si="0"/>
        <v>6.75</v>
      </c>
      <c r="H55" s="110"/>
      <c r="I55" s="81">
        <f>VLOOKUP(C55,Recipes!$A$2:$N$4,10,FALSE())</f>
        <v>10.940000000000001</v>
      </c>
      <c r="J55" s="81">
        <f>VLOOKUP(C55,Recipes!$A$2:$N$4,12,FALSE())</f>
        <v>5.2703573566378441E-2</v>
      </c>
      <c r="K55" s="81">
        <f t="shared" si="1"/>
        <v>10.781889279300866</v>
      </c>
      <c r="L55" s="81">
        <f t="shared" si="2"/>
        <v>11.098110720699136</v>
      </c>
      <c r="M55" s="81" t="str">
        <f t="shared" si="4"/>
        <v>NG</v>
      </c>
      <c r="N55" s="117">
        <f t="shared" si="5"/>
        <v>1</v>
      </c>
      <c r="O55" s="81">
        <f t="shared" si="6"/>
        <v>4.1900000000000013</v>
      </c>
      <c r="P55" s="81">
        <f>IF(G55="","",ABS(O55-Components!$C$2)/Components!$D$2)</f>
        <v>217.38213180496791</v>
      </c>
      <c r="Q55" s="81">
        <f>IF(G55="","",ABS(O55-Components!$C$3)/Components!$D$3)</f>
        <v>11.16220979628307</v>
      </c>
      <c r="R55" s="81">
        <f>IF(G55="","",ABS(O55-Components!$C$4)/Components!$D$4)</f>
        <v>228.6822823799649</v>
      </c>
      <c r="S55" s="81">
        <f>IF(G55="","",ABS(O55-Components!$C$5)/Components!$D$5)</f>
        <v>14.800215750800573</v>
      </c>
      <c r="T55" s="81">
        <f>IF(G55="","",ABS(O55-Components!$C$6)/Components!$D$6)</f>
        <v>109.82625487149041</v>
      </c>
      <c r="U55" s="81">
        <f>IF(G55="","",ABS(O55-Components!$C$7)/Components!$D$7)</f>
        <v>111.97473499563911</v>
      </c>
      <c r="V55" s="81" t="str">
        <f>IF(G55="","",IF(M55="OK","NONE",INDEX({"S1","S2","W1","W2","N1","N2"},MATCH(MIN(P55:U55),P55:U55,0))))</f>
        <v>S2</v>
      </c>
      <c r="W55" s="117">
        <f t="shared" si="7"/>
        <v>1</v>
      </c>
      <c r="X55" s="107"/>
    </row>
    <row r="56" spans="1:24">
      <c r="A56" s="115">
        <v>54</v>
      </c>
      <c r="B56" s="116">
        <v>2</v>
      </c>
      <c r="C56" s="81" t="s">
        <v>128</v>
      </c>
      <c r="D56" s="111" t="s">
        <v>240</v>
      </c>
      <c r="E56" s="81" t="s">
        <v>102</v>
      </c>
      <c r="F56" s="52">
        <v>5.95</v>
      </c>
      <c r="G56" s="52">
        <f t="shared" si="0"/>
        <v>6.92</v>
      </c>
      <c r="H56" s="110"/>
      <c r="I56" s="81">
        <f>VLOOKUP(C56,Recipes!$A$2:$N$4,10,FALSE())</f>
        <v>10.940000000000001</v>
      </c>
      <c r="J56" s="81">
        <f>VLOOKUP(C56,Recipes!$A$2:$N$4,12,FALSE())</f>
        <v>5.2703573566378441E-2</v>
      </c>
      <c r="K56" s="81">
        <f t="shared" si="1"/>
        <v>10.781889279300866</v>
      </c>
      <c r="L56" s="81">
        <f t="shared" si="2"/>
        <v>11.098110720699136</v>
      </c>
      <c r="M56" s="81" t="str">
        <f t="shared" si="4"/>
        <v>NG</v>
      </c>
      <c r="N56" s="117">
        <f t="shared" si="5"/>
        <v>1</v>
      </c>
      <c r="O56" s="81">
        <f t="shared" si="6"/>
        <v>4.0200000000000014</v>
      </c>
      <c r="P56" s="81">
        <f>IF(G56="","",ABS(O56-Components!$C$2)/Components!$D$2)</f>
        <v>191.65942015287203</v>
      </c>
      <c r="Q56" s="81">
        <f>IF(G56="","",ABS(O56-Components!$C$3)/Components!$D$3)</f>
        <v>1.1597101087045942</v>
      </c>
      <c r="R56" s="81">
        <f>IF(G56="","",ABS(O56-Components!$C$4)/Components!$D$4)</f>
        <v>216.52086798853821</v>
      </c>
      <c r="S56" s="81">
        <f>IF(G56="","",ABS(O56-Components!$C$5)/Components!$D$5)</f>
        <v>21.551655851791843</v>
      </c>
      <c r="T56" s="81">
        <f>IF(G56="","",ABS(O56-Components!$C$6)/Components!$D$6)</f>
        <v>103.67318555539021</v>
      </c>
      <c r="U56" s="81">
        <f>IF(G56="","",ABS(O56-Components!$C$7)/Components!$D$7)</f>
        <v>105.2140963253685</v>
      </c>
      <c r="V56" s="81" t="str">
        <f>IF(G56="","",IF(M56="OK","NONE",INDEX({"S1","S2","W1","W2","N1","N2"},MATCH(MIN(P56:U56),P56:U56,0))))</f>
        <v>S2</v>
      </c>
      <c r="W56" s="117">
        <f t="shared" si="7"/>
        <v>1</v>
      </c>
      <c r="X56" s="107"/>
    </row>
    <row r="57" spans="1:24">
      <c r="A57" s="115">
        <v>55</v>
      </c>
      <c r="B57" s="116">
        <v>2</v>
      </c>
      <c r="C57" s="81" t="s">
        <v>128</v>
      </c>
      <c r="D57" s="111" t="s">
        <v>240</v>
      </c>
      <c r="E57" s="81" t="s">
        <v>102</v>
      </c>
      <c r="F57" s="52">
        <v>5.92</v>
      </c>
      <c r="G57" s="52">
        <f t="shared" si="0"/>
        <v>6.89</v>
      </c>
      <c r="H57" s="110"/>
      <c r="I57" s="81">
        <f>VLOOKUP(C57,Recipes!$A$2:$N$4,10,FALSE())</f>
        <v>10.940000000000001</v>
      </c>
      <c r="J57" s="81">
        <f>VLOOKUP(C57,Recipes!$A$2:$N$4,12,FALSE())</f>
        <v>5.2703573566378441E-2</v>
      </c>
      <c r="K57" s="81">
        <f t="shared" si="1"/>
        <v>10.781889279300866</v>
      </c>
      <c r="L57" s="81">
        <f t="shared" si="2"/>
        <v>11.098110720699136</v>
      </c>
      <c r="M57" s="81" t="str">
        <f t="shared" si="4"/>
        <v>NG</v>
      </c>
      <c r="N57" s="117">
        <f t="shared" si="5"/>
        <v>1</v>
      </c>
      <c r="O57" s="81">
        <f t="shared" si="6"/>
        <v>4.0500000000000016</v>
      </c>
      <c r="P57" s="81">
        <f>IF(G57="","",ABS(O57-Components!$C$2)/Components!$D$2)</f>
        <v>196.1987222091243</v>
      </c>
      <c r="Q57" s="81">
        <f>IF(G57="","",ABS(O57-Components!$C$3)/Components!$D$3)</f>
        <v>1.0147463451167775</v>
      </c>
      <c r="R57" s="81">
        <f>IF(G57="","",ABS(O57-Components!$C$4)/Components!$D$4)</f>
        <v>218.66699993996647</v>
      </c>
      <c r="S57" s="81">
        <f>IF(G57="","",ABS(O57-Components!$C$5)/Components!$D$5)</f>
        <v>20.360225245734551</v>
      </c>
      <c r="T57" s="81">
        <f>IF(G57="","",ABS(O57-Components!$C$6)/Components!$D$6)</f>
        <v>104.75902131705496</v>
      </c>
      <c r="U57" s="81">
        <f>IF(G57="","",ABS(O57-Components!$C$7)/Components!$D$7)</f>
        <v>106.40715020835744</v>
      </c>
      <c r="V57" s="81" t="str">
        <f>IF(G57="","",IF(M57="OK","NONE",INDEX({"S1","S2","W1","W2","N1","N2"},MATCH(MIN(P57:U57),P57:U57,0))))</f>
        <v>S2</v>
      </c>
      <c r="W57" s="117">
        <f t="shared" si="7"/>
        <v>1</v>
      </c>
      <c r="X57" s="107"/>
    </row>
    <row r="58" spans="1:24">
      <c r="A58" s="115">
        <v>56</v>
      </c>
      <c r="B58" s="116">
        <v>2</v>
      </c>
      <c r="C58" s="81" t="s">
        <v>128</v>
      </c>
      <c r="D58" s="111" t="s">
        <v>240</v>
      </c>
      <c r="E58" s="81" t="s">
        <v>102</v>
      </c>
      <c r="F58" s="52">
        <v>5.94</v>
      </c>
      <c r="G58" s="52">
        <f t="shared" si="0"/>
        <v>6.91</v>
      </c>
      <c r="H58" s="110"/>
      <c r="I58" s="81">
        <f>VLOOKUP(C58,Recipes!$A$2:$N$4,10,FALSE())</f>
        <v>10.940000000000001</v>
      </c>
      <c r="J58" s="81">
        <f>VLOOKUP(C58,Recipes!$A$2:$N$4,12,FALSE())</f>
        <v>5.2703573566378441E-2</v>
      </c>
      <c r="K58" s="81">
        <f t="shared" si="1"/>
        <v>10.781889279300866</v>
      </c>
      <c r="L58" s="81">
        <f t="shared" si="2"/>
        <v>11.098110720699136</v>
      </c>
      <c r="M58" s="81" t="str">
        <f t="shared" si="4"/>
        <v>NG</v>
      </c>
      <c r="N58" s="117">
        <f t="shared" si="5"/>
        <v>1</v>
      </c>
      <c r="O58" s="81">
        <f t="shared" si="6"/>
        <v>4.0300000000000011</v>
      </c>
      <c r="P58" s="81">
        <f>IF(G58="","",ABS(O58-Components!$C$2)/Components!$D$2)</f>
        <v>193.17252083828942</v>
      </c>
      <c r="Q58" s="81">
        <f>IF(G58="","",ABS(O58-Components!$C$3)/Components!$D$3)</f>
        <v>0.43489129076415844</v>
      </c>
      <c r="R58" s="81">
        <f>IF(G58="","",ABS(O58-Components!$C$4)/Components!$D$4)</f>
        <v>217.23624530568094</v>
      </c>
      <c r="S58" s="81">
        <f>IF(G58="","",ABS(O58-Components!$C$5)/Components!$D$5)</f>
        <v>21.154512316439423</v>
      </c>
      <c r="T58" s="81">
        <f>IF(G58="","",ABS(O58-Components!$C$6)/Components!$D$6)</f>
        <v>104.03513080927844</v>
      </c>
      <c r="U58" s="81">
        <f>IF(G58="","",ABS(O58-Components!$C$7)/Components!$D$7)</f>
        <v>105.61178095303147</v>
      </c>
      <c r="V58" s="81" t="str">
        <f>IF(G58="","",IF(M58="OK","NONE",INDEX({"S1","S2","W1","W2","N1","N2"},MATCH(MIN(P58:U58),P58:U58,0))))</f>
        <v>S2</v>
      </c>
      <c r="W58" s="117">
        <f t="shared" si="7"/>
        <v>1</v>
      </c>
      <c r="X58" s="107"/>
    </row>
    <row r="59" spans="1:24">
      <c r="A59" s="115">
        <v>57</v>
      </c>
      <c r="B59" s="116">
        <v>2</v>
      </c>
      <c r="C59" s="81" t="s">
        <v>128</v>
      </c>
      <c r="D59" s="111" t="s">
        <v>240</v>
      </c>
      <c r="E59" s="81" t="s">
        <v>102</v>
      </c>
      <c r="F59" s="52">
        <v>5.9</v>
      </c>
      <c r="G59" s="52">
        <f t="shared" si="0"/>
        <v>6.87</v>
      </c>
      <c r="H59" s="110"/>
      <c r="I59" s="81">
        <f>VLOOKUP(C59,Recipes!$A$2:$N$4,10,FALSE())</f>
        <v>10.940000000000001</v>
      </c>
      <c r="J59" s="81">
        <f>VLOOKUP(C59,Recipes!$A$2:$N$4,12,FALSE())</f>
        <v>5.2703573566378441E-2</v>
      </c>
      <c r="K59" s="81">
        <f t="shared" si="1"/>
        <v>10.781889279300866</v>
      </c>
      <c r="L59" s="81">
        <f t="shared" si="2"/>
        <v>11.098110720699136</v>
      </c>
      <c r="M59" s="81" t="str">
        <f t="shared" si="4"/>
        <v>NG</v>
      </c>
      <c r="N59" s="117">
        <f t="shared" si="5"/>
        <v>1</v>
      </c>
      <c r="O59" s="81">
        <f t="shared" si="6"/>
        <v>4.0700000000000012</v>
      </c>
      <c r="P59" s="81">
        <f>IF(G59="","",ABS(O59-Components!$C$2)/Components!$D$2)</f>
        <v>199.22492357995904</v>
      </c>
      <c r="Q59" s="81">
        <f>IF(G59="","",ABS(O59-Components!$C$3)/Components!$D$3)</f>
        <v>2.4643839809976491</v>
      </c>
      <c r="R59" s="81">
        <f>IF(G59="","",ABS(O59-Components!$C$4)/Components!$D$4)</f>
        <v>220.09775457425192</v>
      </c>
      <c r="S59" s="81">
        <f>IF(G59="","",ABS(O59-Components!$C$5)/Components!$D$5)</f>
        <v>19.565938175029711</v>
      </c>
      <c r="T59" s="81">
        <f>IF(G59="","",ABS(O59-Components!$C$6)/Components!$D$6)</f>
        <v>105.48291182483143</v>
      </c>
      <c r="U59" s="81">
        <f>IF(G59="","",ABS(O59-Components!$C$7)/Components!$D$7)</f>
        <v>107.20251946368337</v>
      </c>
      <c r="V59" s="81" t="str">
        <f>IF(G59="","",IF(M59="OK","NONE",INDEX({"S1","S2","W1","W2","N1","N2"},MATCH(MIN(P59:U59),P59:U59,0))))</f>
        <v>S2</v>
      </c>
      <c r="W59" s="117">
        <f t="shared" si="7"/>
        <v>1</v>
      </c>
      <c r="X59" s="107"/>
    </row>
    <row r="60" spans="1:24">
      <c r="A60" s="115">
        <v>58</v>
      </c>
      <c r="B60" s="116">
        <v>2</v>
      </c>
      <c r="C60" s="81" t="s">
        <v>128</v>
      </c>
      <c r="D60" s="111" t="s">
        <v>240</v>
      </c>
      <c r="E60" s="81" t="s">
        <v>102</v>
      </c>
      <c r="F60" s="52">
        <v>5.92</v>
      </c>
      <c r="G60" s="52">
        <f t="shared" si="0"/>
        <v>6.89</v>
      </c>
      <c r="H60" s="110"/>
      <c r="I60" s="81">
        <f>VLOOKUP(C60,Recipes!$A$2:$N$4,10,FALSE())</f>
        <v>10.940000000000001</v>
      </c>
      <c r="J60" s="81">
        <f>VLOOKUP(C60,Recipes!$A$2:$N$4,12,FALSE())</f>
        <v>5.2703573566378441E-2</v>
      </c>
      <c r="K60" s="81">
        <f t="shared" si="1"/>
        <v>10.781889279300866</v>
      </c>
      <c r="L60" s="81">
        <f t="shared" si="2"/>
        <v>11.098110720699136</v>
      </c>
      <c r="M60" s="81" t="str">
        <f t="shared" si="4"/>
        <v>NG</v>
      </c>
      <c r="N60" s="117">
        <f t="shared" si="5"/>
        <v>1</v>
      </c>
      <c r="O60" s="81">
        <f t="shared" si="6"/>
        <v>4.0500000000000016</v>
      </c>
      <c r="P60" s="81">
        <f>IF(G60="","",ABS(O60-Components!$C$2)/Components!$D$2)</f>
        <v>196.1987222091243</v>
      </c>
      <c r="Q60" s="81">
        <f>IF(G60="","",ABS(O60-Components!$C$3)/Components!$D$3)</f>
        <v>1.0147463451167775</v>
      </c>
      <c r="R60" s="81">
        <f>IF(G60="","",ABS(O60-Components!$C$4)/Components!$D$4)</f>
        <v>218.66699993996647</v>
      </c>
      <c r="S60" s="81">
        <f>IF(G60="","",ABS(O60-Components!$C$5)/Components!$D$5)</f>
        <v>20.360225245734551</v>
      </c>
      <c r="T60" s="81">
        <f>IF(G60="","",ABS(O60-Components!$C$6)/Components!$D$6)</f>
        <v>104.75902131705496</v>
      </c>
      <c r="U60" s="81">
        <f>IF(G60="","",ABS(O60-Components!$C$7)/Components!$D$7)</f>
        <v>106.40715020835744</v>
      </c>
      <c r="V60" s="81" t="str">
        <f>IF(G60="","",IF(M60="OK","NONE",INDEX({"S1","S2","W1","W2","N1","N2"},MATCH(MIN(P60:U60),P60:U60,0))))</f>
        <v>S2</v>
      </c>
      <c r="W60" s="117">
        <f t="shared" si="7"/>
        <v>1</v>
      </c>
      <c r="X60" s="107"/>
    </row>
    <row r="61" spans="1:24">
      <c r="A61" s="115">
        <v>59</v>
      </c>
      <c r="B61" s="116">
        <v>2</v>
      </c>
      <c r="C61" s="81" t="s">
        <v>128</v>
      </c>
      <c r="D61" s="111" t="s">
        <v>240</v>
      </c>
      <c r="E61" s="81" t="s">
        <v>102</v>
      </c>
      <c r="F61" s="52">
        <v>5.4</v>
      </c>
      <c r="G61" s="52">
        <f t="shared" si="0"/>
        <v>6.37</v>
      </c>
      <c r="H61" s="110"/>
      <c r="I61" s="81">
        <f>VLOOKUP(C61,Recipes!$A$2:$N$4,10,FALSE())</f>
        <v>10.940000000000001</v>
      </c>
      <c r="J61" s="81">
        <f>VLOOKUP(C61,Recipes!$A$2:$N$4,12,FALSE())</f>
        <v>5.2703573566378441E-2</v>
      </c>
      <c r="K61" s="81">
        <f t="shared" si="1"/>
        <v>10.781889279300866</v>
      </c>
      <c r="L61" s="81">
        <f t="shared" si="2"/>
        <v>11.098110720699136</v>
      </c>
      <c r="M61" s="81" t="str">
        <f t="shared" si="4"/>
        <v>NG</v>
      </c>
      <c r="N61" s="117">
        <f t="shared" si="5"/>
        <v>1</v>
      </c>
      <c r="O61" s="81">
        <f t="shared" si="6"/>
        <v>4.5700000000000012</v>
      </c>
      <c r="P61" s="81">
        <f>IF(G61="","",ABS(O61-Components!$C$2)/Components!$D$2)</f>
        <v>274.87995785082927</v>
      </c>
      <c r="Q61" s="81">
        <f>IF(G61="","",ABS(O61-Components!$C$3)/Components!$D$3)</f>
        <v>38.705324878020207</v>
      </c>
      <c r="R61" s="81">
        <f>IF(G61="","",ABS(O61-Components!$C$4)/Components!$D$4)</f>
        <v>255.86662043138929</v>
      </c>
      <c r="S61" s="81">
        <f>IF(G61="","",ABS(O61-Components!$C$5)/Components!$D$5)</f>
        <v>0.29123859259167773</v>
      </c>
      <c r="T61" s="81">
        <f>IF(G61="","",ABS(O61-Components!$C$6)/Components!$D$6)</f>
        <v>123.5801745192438</v>
      </c>
      <c r="U61" s="81">
        <f>IF(G61="","",ABS(O61-Components!$C$7)/Components!$D$7)</f>
        <v>127.08675084683223</v>
      </c>
      <c r="V61" s="81" t="str">
        <f>IF(G61="","",IF(M61="OK","NONE",INDEX({"S1","S2","W1","W2","N1","N2"},MATCH(MIN(P61:U61),P61:U61,0))))</f>
        <v>W2</v>
      </c>
      <c r="W61" s="122">
        <f t="shared" si="7"/>
        <v>0</v>
      </c>
      <c r="X61" s="107"/>
    </row>
    <row r="62" spans="1:24">
      <c r="A62" s="115">
        <v>60</v>
      </c>
      <c r="B62" s="116">
        <v>2</v>
      </c>
      <c r="C62" s="81" t="s">
        <v>128</v>
      </c>
      <c r="D62" s="111" t="s">
        <v>240</v>
      </c>
      <c r="E62" s="81" t="s">
        <v>102</v>
      </c>
      <c r="F62" s="52">
        <v>5.8</v>
      </c>
      <c r="G62" s="52">
        <f t="shared" si="0"/>
        <v>6.77</v>
      </c>
      <c r="H62" s="110"/>
      <c r="I62" s="81">
        <f>VLOOKUP(C62,Recipes!$A$2:$N$4,10,FALSE())</f>
        <v>10.940000000000001</v>
      </c>
      <c r="J62" s="81">
        <f>VLOOKUP(C62,Recipes!$A$2:$N$4,12,FALSE())</f>
        <v>5.2703573566378441E-2</v>
      </c>
      <c r="K62" s="81">
        <f t="shared" si="1"/>
        <v>10.781889279300866</v>
      </c>
      <c r="L62" s="81">
        <f t="shared" si="2"/>
        <v>11.098110720699136</v>
      </c>
      <c r="M62" s="81" t="str">
        <f t="shared" si="4"/>
        <v>NG</v>
      </c>
      <c r="N62" s="117">
        <f t="shared" si="5"/>
        <v>1</v>
      </c>
      <c r="O62" s="81">
        <f t="shared" si="6"/>
        <v>4.1700000000000017</v>
      </c>
      <c r="P62" s="81">
        <f>IF(G62="","",ABS(O62-Components!$C$2)/Components!$D$2)</f>
        <v>214.35593043413317</v>
      </c>
      <c r="Q62" s="81">
        <f>IF(G62="","",ABS(O62-Components!$C$3)/Components!$D$3)</f>
        <v>9.7125721604021997</v>
      </c>
      <c r="R62" s="81">
        <f>IF(G62="","",ABS(O62-Components!$C$4)/Components!$D$4)</f>
        <v>227.25152774567945</v>
      </c>
      <c r="S62" s="81">
        <f>IF(G62="","",ABS(O62-Components!$C$5)/Components!$D$5)</f>
        <v>15.594502821505412</v>
      </c>
      <c r="T62" s="81">
        <f>IF(G62="","",ABS(O62-Components!$C$6)/Components!$D$6)</f>
        <v>109.10236436371393</v>
      </c>
      <c r="U62" s="81">
        <f>IF(G62="","",ABS(O62-Components!$C$7)/Components!$D$7)</f>
        <v>111.17936574031317</v>
      </c>
      <c r="V62" s="81" t="str">
        <f>IF(G62="","",IF(M62="OK","NONE",INDEX({"S1","S2","W1","W2","N1","N2"},MATCH(MIN(P62:U62),P62:U62,0))))</f>
        <v>S2</v>
      </c>
      <c r="W62" s="117">
        <f t="shared" si="7"/>
        <v>1</v>
      </c>
      <c r="X62" s="107"/>
    </row>
    <row r="63" spans="1:24">
      <c r="A63" s="115">
        <v>61</v>
      </c>
      <c r="B63" s="116">
        <v>3</v>
      </c>
      <c r="C63" s="81" t="s">
        <v>128</v>
      </c>
      <c r="D63" s="111" t="s">
        <v>240</v>
      </c>
      <c r="E63" s="81" t="s">
        <v>106</v>
      </c>
      <c r="F63" s="52">
        <v>5.4</v>
      </c>
      <c r="G63" s="52">
        <f t="shared" si="0"/>
        <v>6.37</v>
      </c>
      <c r="H63" s="110"/>
      <c r="I63" s="81">
        <f>VLOOKUP(C63,Recipes!$A$2:$N$4,10,FALSE())</f>
        <v>10.940000000000001</v>
      </c>
      <c r="J63" s="81">
        <f>VLOOKUP(C63,Recipes!$A$2:$N$4,12,FALSE())</f>
        <v>5.2703573566378441E-2</v>
      </c>
      <c r="K63" s="81">
        <f t="shared" si="1"/>
        <v>10.781889279300866</v>
      </c>
      <c r="L63" s="81">
        <f t="shared" si="2"/>
        <v>11.098110720699136</v>
      </c>
      <c r="M63" s="81" t="str">
        <f t="shared" si="4"/>
        <v>NG</v>
      </c>
      <c r="N63" s="117">
        <f t="shared" si="5"/>
        <v>1</v>
      </c>
      <c r="O63" s="81">
        <f t="shared" si="6"/>
        <v>4.5700000000000012</v>
      </c>
      <c r="P63" s="81">
        <f>IF(G63="","",ABS(O63-Components!$C$2)/Components!$D$2)</f>
        <v>274.87995785082927</v>
      </c>
      <c r="Q63" s="81">
        <f>IF(G63="","",ABS(O63-Components!$C$3)/Components!$D$3)</f>
        <v>38.705324878020207</v>
      </c>
      <c r="R63" s="81">
        <f>IF(G63="","",ABS(O63-Components!$C$4)/Components!$D$4)</f>
        <v>255.86662043138929</v>
      </c>
      <c r="S63" s="81">
        <f>IF(G63="","",ABS(O63-Components!$C$5)/Components!$D$5)</f>
        <v>0.29123859259167773</v>
      </c>
      <c r="T63" s="81">
        <f>IF(G63="","",ABS(O63-Components!$C$6)/Components!$D$6)</f>
        <v>123.5801745192438</v>
      </c>
      <c r="U63" s="81">
        <f>IF(G63="","",ABS(O63-Components!$C$7)/Components!$D$7)</f>
        <v>127.08675084683223</v>
      </c>
      <c r="V63" s="81" t="str">
        <f>IF(G63="","",IF(M63="OK","NONE",INDEX({"S1","S2","W1","W2","N1","N2"},MATCH(MIN(P63:U63),P63:U63,0))))</f>
        <v>W2</v>
      </c>
      <c r="W63" s="117">
        <f t="shared" si="7"/>
        <v>1</v>
      </c>
      <c r="X63" s="107"/>
    </row>
    <row r="64" spans="1:24">
      <c r="A64" s="115">
        <v>62</v>
      </c>
      <c r="B64" s="116">
        <v>3</v>
      </c>
      <c r="C64" s="81" t="s">
        <v>128</v>
      </c>
      <c r="D64" s="111" t="s">
        <v>240</v>
      </c>
      <c r="E64" s="81" t="s">
        <v>106</v>
      </c>
      <c r="F64" s="52">
        <v>5.45</v>
      </c>
      <c r="G64" s="52">
        <f t="shared" si="0"/>
        <v>6.42</v>
      </c>
      <c r="H64" s="110"/>
      <c r="I64" s="81">
        <f>VLOOKUP(C64,Recipes!$A$2:$N$4,10,FALSE())</f>
        <v>10.940000000000001</v>
      </c>
      <c r="J64" s="81">
        <f>VLOOKUP(C64,Recipes!$A$2:$N$4,12,FALSE())</f>
        <v>5.2703573566378441E-2</v>
      </c>
      <c r="K64" s="81">
        <f t="shared" si="1"/>
        <v>10.781889279300866</v>
      </c>
      <c r="L64" s="81">
        <f t="shared" si="2"/>
        <v>11.098110720699136</v>
      </c>
      <c r="M64" s="81" t="str">
        <f t="shared" si="4"/>
        <v>NG</v>
      </c>
      <c r="N64" s="117">
        <f t="shared" si="5"/>
        <v>1</v>
      </c>
      <c r="O64" s="81">
        <f t="shared" si="6"/>
        <v>4.5200000000000014</v>
      </c>
      <c r="P64" s="81">
        <f>IF(G64="","",ABS(O64-Components!$C$2)/Components!$D$2)</f>
        <v>267.31445442374229</v>
      </c>
      <c r="Q64" s="81">
        <f>IF(G64="","",ABS(O64-Components!$C$3)/Components!$D$3)</f>
        <v>35.081230788317967</v>
      </c>
      <c r="R64" s="81">
        <f>IF(G64="","",ABS(O64-Components!$C$4)/Components!$D$4)</f>
        <v>252.28973384567556</v>
      </c>
      <c r="S64" s="81">
        <f>IF(G64="","",ABS(O64-Components!$C$5)/Components!$D$5)</f>
        <v>1.694479084170454</v>
      </c>
      <c r="T64" s="81">
        <f>IF(G64="","",ABS(O64-Components!$C$6)/Components!$D$6)</f>
        <v>121.77044824980257</v>
      </c>
      <c r="U64" s="81">
        <f>IF(G64="","",ABS(O64-Components!$C$7)/Components!$D$7)</f>
        <v>125.09832770851735</v>
      </c>
      <c r="V64" s="81" t="str">
        <f>IF(G64="","",IF(M64="OK","NONE",INDEX({"S1","S2","W1","W2","N1","N2"},MATCH(MIN(P64:U64),P64:U64,0))))</f>
        <v>W2</v>
      </c>
      <c r="W64" s="117">
        <f t="shared" si="7"/>
        <v>1</v>
      </c>
      <c r="X64" s="107"/>
    </row>
    <row r="65" spans="1:24">
      <c r="A65" s="115">
        <v>63</v>
      </c>
      <c r="B65" s="116">
        <v>3</v>
      </c>
      <c r="C65" s="81" t="s">
        <v>128</v>
      </c>
      <c r="D65" s="111" t="s">
        <v>240</v>
      </c>
      <c r="E65" s="81" t="s">
        <v>106</v>
      </c>
      <c r="F65" s="52">
        <v>5.42</v>
      </c>
      <c r="G65" s="52">
        <f t="shared" si="0"/>
        <v>6.39</v>
      </c>
      <c r="H65" s="110"/>
      <c r="I65" s="81">
        <f>VLOOKUP(C65,Recipes!$A$2:$N$4,10,FALSE())</f>
        <v>10.940000000000001</v>
      </c>
      <c r="J65" s="81">
        <f>VLOOKUP(C65,Recipes!$A$2:$N$4,12,FALSE())</f>
        <v>5.2703573566378441E-2</v>
      </c>
      <c r="K65" s="81">
        <f t="shared" si="1"/>
        <v>10.781889279300866</v>
      </c>
      <c r="L65" s="81">
        <f t="shared" si="2"/>
        <v>11.098110720699136</v>
      </c>
      <c r="M65" s="81" t="str">
        <f t="shared" si="4"/>
        <v>NG</v>
      </c>
      <c r="N65" s="117">
        <f t="shared" si="5"/>
        <v>1</v>
      </c>
      <c r="O65" s="81">
        <f t="shared" si="6"/>
        <v>4.5500000000000016</v>
      </c>
      <c r="P65" s="81">
        <f>IF(G65="","",ABS(O65-Components!$C$2)/Components!$D$2)</f>
        <v>271.85375647999456</v>
      </c>
      <c r="Q65" s="81">
        <f>IF(G65="","",ABS(O65-Components!$C$3)/Components!$D$3)</f>
        <v>37.255687242139338</v>
      </c>
      <c r="R65" s="81">
        <f>IF(G65="","",ABS(O65-Components!$C$4)/Components!$D$4)</f>
        <v>254.43586579710382</v>
      </c>
      <c r="S65" s="81">
        <f>IF(G65="","",ABS(O65-Components!$C$5)/Components!$D$5)</f>
        <v>0.50304847811316089</v>
      </c>
      <c r="T65" s="81">
        <f>IF(G65="","",ABS(O65-Components!$C$6)/Components!$D$6)</f>
        <v>122.85628401146732</v>
      </c>
      <c r="U65" s="81">
        <f>IF(G65="","",ABS(O65-Components!$C$7)/Components!$D$7)</f>
        <v>126.29138159150629</v>
      </c>
      <c r="V65" s="81" t="str">
        <f>IF(G65="","",IF(M65="OK","NONE",INDEX({"S1","S2","W1","W2","N1","N2"},MATCH(MIN(P65:U65),P65:U65,0))))</f>
        <v>W2</v>
      </c>
      <c r="W65" s="117">
        <f t="shared" si="7"/>
        <v>1</v>
      </c>
      <c r="X65" s="107"/>
    </row>
    <row r="66" spans="1:24">
      <c r="A66" s="115">
        <v>64</v>
      </c>
      <c r="B66" s="116">
        <v>3</v>
      </c>
      <c r="C66" s="81" t="s">
        <v>128</v>
      </c>
      <c r="D66" s="111" t="s">
        <v>240</v>
      </c>
      <c r="E66" s="81" t="s">
        <v>106</v>
      </c>
      <c r="F66" s="52">
        <v>5.42</v>
      </c>
      <c r="G66" s="52">
        <f t="shared" si="0"/>
        <v>6.39</v>
      </c>
      <c r="H66" s="110"/>
      <c r="I66" s="81">
        <f>VLOOKUP(C66,Recipes!$A$2:$N$4,10,FALSE())</f>
        <v>10.940000000000001</v>
      </c>
      <c r="J66" s="81">
        <f>VLOOKUP(C66,Recipes!$A$2:$N$4,12,FALSE())</f>
        <v>5.2703573566378441E-2</v>
      </c>
      <c r="K66" s="81">
        <f t="shared" si="1"/>
        <v>10.781889279300866</v>
      </c>
      <c r="L66" s="81">
        <f t="shared" si="2"/>
        <v>11.098110720699136</v>
      </c>
      <c r="M66" s="81" t="str">
        <f t="shared" si="4"/>
        <v>NG</v>
      </c>
      <c r="N66" s="117">
        <f t="shared" si="5"/>
        <v>1</v>
      </c>
      <c r="O66" s="81">
        <f t="shared" si="6"/>
        <v>4.5500000000000016</v>
      </c>
      <c r="P66" s="81">
        <f>IF(G66="","",ABS(O66-Components!$C$2)/Components!$D$2)</f>
        <v>271.85375647999456</v>
      </c>
      <c r="Q66" s="81">
        <f>IF(G66="","",ABS(O66-Components!$C$3)/Components!$D$3)</f>
        <v>37.255687242139338</v>
      </c>
      <c r="R66" s="81">
        <f>IF(G66="","",ABS(O66-Components!$C$4)/Components!$D$4)</f>
        <v>254.43586579710382</v>
      </c>
      <c r="S66" s="81">
        <f>IF(G66="","",ABS(O66-Components!$C$5)/Components!$D$5)</f>
        <v>0.50304847811316089</v>
      </c>
      <c r="T66" s="81">
        <f>IF(G66="","",ABS(O66-Components!$C$6)/Components!$D$6)</f>
        <v>122.85628401146732</v>
      </c>
      <c r="U66" s="81">
        <f>IF(G66="","",ABS(O66-Components!$C$7)/Components!$D$7)</f>
        <v>126.29138159150629</v>
      </c>
      <c r="V66" s="81" t="str">
        <f>IF(G66="","",IF(M66="OK","NONE",INDEX({"S1","S2","W1","W2","N1","N2"},MATCH(MIN(P66:U66),P66:U66,0))))</f>
        <v>W2</v>
      </c>
      <c r="W66" s="117">
        <f t="shared" si="7"/>
        <v>1</v>
      </c>
      <c r="X66" s="107"/>
    </row>
    <row r="67" spans="1:24">
      <c r="A67" s="115">
        <v>65</v>
      </c>
      <c r="B67" s="116">
        <v>3</v>
      </c>
      <c r="C67" s="81" t="s">
        <v>128</v>
      </c>
      <c r="D67" s="111" t="s">
        <v>240</v>
      </c>
      <c r="E67" s="81" t="s">
        <v>106</v>
      </c>
      <c r="F67" s="52">
        <v>5.42</v>
      </c>
      <c r="G67" s="52">
        <f t="shared" ref="G67:G130" si="8">0.97+F67</f>
        <v>6.39</v>
      </c>
      <c r="H67" s="110"/>
      <c r="I67" s="81">
        <f>VLOOKUP(C67,Recipes!$A$2:$N$4,10,FALSE())</f>
        <v>10.940000000000001</v>
      </c>
      <c r="J67" s="81">
        <f>VLOOKUP(C67,Recipes!$A$2:$N$4,12,FALSE())</f>
        <v>5.2703573566378441E-2</v>
      </c>
      <c r="K67" s="81">
        <f t="shared" ref="K67:K130" si="9">I67-3*J67</f>
        <v>10.781889279300866</v>
      </c>
      <c r="L67" s="81">
        <f t="shared" ref="L67:L130" si="10">I67+3*J67</f>
        <v>11.098110720699136</v>
      </c>
      <c r="M67" s="81" t="str">
        <f t="shared" si="4"/>
        <v>NG</v>
      </c>
      <c r="N67" s="117">
        <f t="shared" si="5"/>
        <v>1</v>
      </c>
      <c r="O67" s="81">
        <f t="shared" si="6"/>
        <v>4.5500000000000016</v>
      </c>
      <c r="P67" s="81">
        <f>IF(G67="","",ABS(O67-Components!$C$2)/Components!$D$2)</f>
        <v>271.85375647999456</v>
      </c>
      <c r="Q67" s="81">
        <f>IF(G67="","",ABS(O67-Components!$C$3)/Components!$D$3)</f>
        <v>37.255687242139338</v>
      </c>
      <c r="R67" s="81">
        <f>IF(G67="","",ABS(O67-Components!$C$4)/Components!$D$4)</f>
        <v>254.43586579710382</v>
      </c>
      <c r="S67" s="81">
        <f>IF(G67="","",ABS(O67-Components!$C$5)/Components!$D$5)</f>
        <v>0.50304847811316089</v>
      </c>
      <c r="T67" s="81">
        <f>IF(G67="","",ABS(O67-Components!$C$6)/Components!$D$6)</f>
        <v>122.85628401146732</v>
      </c>
      <c r="U67" s="81">
        <f>IF(G67="","",ABS(O67-Components!$C$7)/Components!$D$7)</f>
        <v>126.29138159150629</v>
      </c>
      <c r="V67" s="81" t="str">
        <f>IF(G67="","",IF(M67="OK","NONE",INDEX({"S1","S2","W1","W2","N1","N2"},MATCH(MIN(P67:U67),P67:U67,0))))</f>
        <v>W2</v>
      </c>
      <c r="W67" s="117">
        <f t="shared" si="7"/>
        <v>1</v>
      </c>
      <c r="X67" s="107"/>
    </row>
    <row r="68" spans="1:24">
      <c r="A68" s="115">
        <v>66</v>
      </c>
      <c r="B68" s="116">
        <v>3</v>
      </c>
      <c r="C68" s="81" t="s">
        <v>128</v>
      </c>
      <c r="D68" s="111" t="s">
        <v>240</v>
      </c>
      <c r="E68" s="81" t="s">
        <v>106</v>
      </c>
      <c r="F68" s="52">
        <v>5.42</v>
      </c>
      <c r="G68" s="52">
        <f t="shared" si="8"/>
        <v>6.39</v>
      </c>
      <c r="H68" s="110"/>
      <c r="I68" s="81">
        <f>VLOOKUP(C68,Recipes!$A$2:$N$4,10,FALSE())</f>
        <v>10.940000000000001</v>
      </c>
      <c r="J68" s="81">
        <f>VLOOKUP(C68,Recipes!$A$2:$N$4,12,FALSE())</f>
        <v>5.2703573566378441E-2</v>
      </c>
      <c r="K68" s="81">
        <f t="shared" si="9"/>
        <v>10.781889279300866</v>
      </c>
      <c r="L68" s="81">
        <f t="shared" si="10"/>
        <v>11.098110720699136</v>
      </c>
      <c r="M68" s="81" t="str">
        <f t="shared" ref="M68:M131" si="11">IF(G68="","",IF(AND(G68&gt;=K68,G68&lt;=L68),"OK","NG"))</f>
        <v>NG</v>
      </c>
      <c r="N68" s="117">
        <f t="shared" ref="N68:N131" si="12">IF(M68="","",IF(M68=D68,1,0))</f>
        <v>1</v>
      </c>
      <c r="O68" s="81">
        <f t="shared" ref="O68:O131" si="13">IF(G68="","",I68-G68)</f>
        <v>4.5500000000000016</v>
      </c>
      <c r="P68" s="81">
        <f>IF(G68="","",ABS(O68-Components!$C$2)/Components!$D$2)</f>
        <v>271.85375647999456</v>
      </c>
      <c r="Q68" s="81">
        <f>IF(G68="","",ABS(O68-Components!$C$3)/Components!$D$3)</f>
        <v>37.255687242139338</v>
      </c>
      <c r="R68" s="81">
        <f>IF(G68="","",ABS(O68-Components!$C$4)/Components!$D$4)</f>
        <v>254.43586579710382</v>
      </c>
      <c r="S68" s="81">
        <f>IF(G68="","",ABS(O68-Components!$C$5)/Components!$D$5)</f>
        <v>0.50304847811316089</v>
      </c>
      <c r="T68" s="81">
        <f>IF(G68="","",ABS(O68-Components!$C$6)/Components!$D$6)</f>
        <v>122.85628401146732</v>
      </c>
      <c r="U68" s="81">
        <f>IF(G68="","",ABS(O68-Components!$C$7)/Components!$D$7)</f>
        <v>126.29138159150629</v>
      </c>
      <c r="V68" s="81" t="str">
        <f>IF(G68="","",IF(M68="OK","NONE",INDEX({"S1","S2","W1","W2","N1","N2"},MATCH(MIN(P68:U68),P68:U68,0))))</f>
        <v>W2</v>
      </c>
      <c r="W68" s="117">
        <f t="shared" ref="W68:W131" si="14">IF(G68="","",IF(V68=E68,1,0))</f>
        <v>1</v>
      </c>
      <c r="X68" s="107"/>
    </row>
    <row r="69" spans="1:24">
      <c r="A69" s="115">
        <v>67</v>
      </c>
      <c r="B69" s="116">
        <v>3</v>
      </c>
      <c r="C69" s="81" t="s">
        <v>128</v>
      </c>
      <c r="D69" s="111" t="s">
        <v>240</v>
      </c>
      <c r="E69" s="81" t="s">
        <v>106</v>
      </c>
      <c r="F69" s="52">
        <v>5.45</v>
      </c>
      <c r="G69" s="52">
        <f t="shared" si="8"/>
        <v>6.42</v>
      </c>
      <c r="H69" s="110"/>
      <c r="I69" s="81">
        <f>VLOOKUP(C69,Recipes!$A$2:$N$4,10,FALSE())</f>
        <v>10.940000000000001</v>
      </c>
      <c r="J69" s="81">
        <f>VLOOKUP(C69,Recipes!$A$2:$N$4,12,FALSE())</f>
        <v>5.2703573566378441E-2</v>
      </c>
      <c r="K69" s="81">
        <f t="shared" si="9"/>
        <v>10.781889279300866</v>
      </c>
      <c r="L69" s="81">
        <f t="shared" si="10"/>
        <v>11.098110720699136</v>
      </c>
      <c r="M69" s="81" t="str">
        <f t="shared" si="11"/>
        <v>NG</v>
      </c>
      <c r="N69" s="117">
        <f t="shared" si="12"/>
        <v>1</v>
      </c>
      <c r="O69" s="81">
        <f t="shared" si="13"/>
        <v>4.5200000000000014</v>
      </c>
      <c r="P69" s="81">
        <f>IF(G69="","",ABS(O69-Components!$C$2)/Components!$D$2)</f>
        <v>267.31445442374229</v>
      </c>
      <c r="Q69" s="81">
        <f>IF(G69="","",ABS(O69-Components!$C$3)/Components!$D$3)</f>
        <v>35.081230788317967</v>
      </c>
      <c r="R69" s="81">
        <f>IF(G69="","",ABS(O69-Components!$C$4)/Components!$D$4)</f>
        <v>252.28973384567556</v>
      </c>
      <c r="S69" s="81">
        <f>IF(G69="","",ABS(O69-Components!$C$5)/Components!$D$5)</f>
        <v>1.694479084170454</v>
      </c>
      <c r="T69" s="81">
        <f>IF(G69="","",ABS(O69-Components!$C$6)/Components!$D$6)</f>
        <v>121.77044824980257</v>
      </c>
      <c r="U69" s="81">
        <f>IF(G69="","",ABS(O69-Components!$C$7)/Components!$D$7)</f>
        <v>125.09832770851735</v>
      </c>
      <c r="V69" s="81" t="str">
        <f>IF(G69="","",IF(M69="OK","NONE",INDEX({"S1","S2","W1","W2","N1","N2"},MATCH(MIN(P69:U69),P69:U69,0))))</f>
        <v>W2</v>
      </c>
      <c r="W69" s="117">
        <f t="shared" si="14"/>
        <v>1</v>
      </c>
      <c r="X69" s="107"/>
    </row>
    <row r="70" spans="1:24">
      <c r="A70" s="115">
        <v>68</v>
      </c>
      <c r="B70" s="116">
        <v>3</v>
      </c>
      <c r="C70" s="81" t="s">
        <v>128</v>
      </c>
      <c r="D70" s="111" t="s">
        <v>240</v>
      </c>
      <c r="E70" s="81" t="s">
        <v>106</v>
      </c>
      <c r="F70" s="52">
        <v>5.41</v>
      </c>
      <c r="G70" s="52">
        <f t="shared" si="8"/>
        <v>6.38</v>
      </c>
      <c r="H70" s="110"/>
      <c r="I70" s="81">
        <f>VLOOKUP(C70,Recipes!$A$2:$N$4,10,FALSE())</f>
        <v>10.940000000000001</v>
      </c>
      <c r="J70" s="81">
        <f>VLOOKUP(C70,Recipes!$A$2:$N$4,12,FALSE())</f>
        <v>5.2703573566378441E-2</v>
      </c>
      <c r="K70" s="81">
        <f t="shared" si="9"/>
        <v>10.781889279300866</v>
      </c>
      <c r="L70" s="81">
        <f t="shared" si="10"/>
        <v>11.098110720699136</v>
      </c>
      <c r="M70" s="81" t="str">
        <f t="shared" si="11"/>
        <v>NG</v>
      </c>
      <c r="N70" s="117">
        <f t="shared" si="12"/>
        <v>1</v>
      </c>
      <c r="O70" s="81">
        <f t="shared" si="13"/>
        <v>4.5600000000000014</v>
      </c>
      <c r="P70" s="81">
        <f>IF(G70="","",ABS(O70-Components!$C$2)/Components!$D$2)</f>
        <v>273.36685716541194</v>
      </c>
      <c r="Q70" s="81">
        <f>IF(G70="","",ABS(O70-Components!$C$3)/Components!$D$3)</f>
        <v>37.980506060079776</v>
      </c>
      <c r="R70" s="81">
        <f>IF(G70="","",ABS(O70-Components!$C$4)/Components!$D$4)</f>
        <v>255.15124311424654</v>
      </c>
      <c r="S70" s="81">
        <f>IF(G70="","",ABS(O70-Components!$C$5)/Components!$D$5)</f>
        <v>0.10590494276074157</v>
      </c>
      <c r="T70" s="81">
        <f>IF(G70="","",ABS(O70-Components!$C$6)/Components!$D$6)</f>
        <v>123.21822926535556</v>
      </c>
      <c r="U70" s="81">
        <f>IF(G70="","",ABS(O70-Components!$C$7)/Components!$D$7)</f>
        <v>126.68906621916926</v>
      </c>
      <c r="V70" s="81" t="str">
        <f>IF(G70="","",IF(M70="OK","NONE",INDEX({"S1","S2","W1","W2","N1","N2"},MATCH(MIN(P70:U70),P70:U70,0))))</f>
        <v>W2</v>
      </c>
      <c r="W70" s="117">
        <f t="shared" si="14"/>
        <v>1</v>
      </c>
      <c r="X70" s="107"/>
    </row>
    <row r="71" spans="1:24">
      <c r="A71" s="115">
        <v>69</v>
      </c>
      <c r="B71" s="116">
        <v>3</v>
      </c>
      <c r="C71" s="81" t="s">
        <v>128</v>
      </c>
      <c r="D71" s="111" t="s">
        <v>240</v>
      </c>
      <c r="E71" s="81" t="s">
        <v>106</v>
      </c>
      <c r="F71" s="52">
        <v>5.38</v>
      </c>
      <c r="G71" s="52">
        <f t="shared" si="8"/>
        <v>6.35</v>
      </c>
      <c r="H71" s="110"/>
      <c r="I71" s="81">
        <f>VLOOKUP(C71,Recipes!$A$2:$N$4,10,FALSE())</f>
        <v>10.940000000000001</v>
      </c>
      <c r="J71" s="81">
        <f>VLOOKUP(C71,Recipes!$A$2:$N$4,12,FALSE())</f>
        <v>5.2703573566378441E-2</v>
      </c>
      <c r="K71" s="81">
        <f t="shared" si="9"/>
        <v>10.781889279300866</v>
      </c>
      <c r="L71" s="81">
        <f t="shared" si="10"/>
        <v>11.098110720699136</v>
      </c>
      <c r="M71" s="81" t="str">
        <f t="shared" si="11"/>
        <v>NG</v>
      </c>
      <c r="N71" s="117">
        <f t="shared" si="12"/>
        <v>1</v>
      </c>
      <c r="O71" s="81">
        <f t="shared" si="13"/>
        <v>4.5900000000000016</v>
      </c>
      <c r="P71" s="81">
        <f>IF(G71="","",ABS(O71-Components!$C$2)/Components!$D$2)</f>
        <v>277.90615922166415</v>
      </c>
      <c r="Q71" s="81">
        <f>IF(G71="","",ABS(O71-Components!$C$3)/Components!$D$3)</f>
        <v>40.154962513901147</v>
      </c>
      <c r="R71" s="81">
        <f>IF(G71="","",ABS(O71-Components!$C$4)/Components!$D$4)</f>
        <v>257.29737506567483</v>
      </c>
      <c r="S71" s="81">
        <f>IF(G71="","",ABS(O71-Components!$C$5)/Components!$D$5)</f>
        <v>1.0855256632965518</v>
      </c>
      <c r="T71" s="81">
        <f>IF(G71="","",ABS(O71-Components!$C$6)/Components!$D$6)</f>
        <v>124.3040650270203</v>
      </c>
      <c r="U71" s="81">
        <f>IF(G71="","",ABS(O71-Components!$C$7)/Components!$D$7)</f>
        <v>127.8821201021582</v>
      </c>
      <c r="V71" s="81" t="str">
        <f>IF(G71="","",IF(M71="OK","NONE",INDEX({"S1","S2","W1","W2","N1","N2"},MATCH(MIN(P71:U71),P71:U71,0))))</f>
        <v>W2</v>
      </c>
      <c r="W71" s="117">
        <f t="shared" si="14"/>
        <v>1</v>
      </c>
      <c r="X71" s="107"/>
    </row>
    <row r="72" spans="1:24">
      <c r="A72" s="115">
        <v>70</v>
      </c>
      <c r="B72" s="116">
        <v>3</v>
      </c>
      <c r="C72" s="81" t="s">
        <v>128</v>
      </c>
      <c r="D72" s="111" t="s">
        <v>240</v>
      </c>
      <c r="E72" s="81" t="s">
        <v>106</v>
      </c>
      <c r="F72" s="52">
        <v>5.37</v>
      </c>
      <c r="G72" s="52">
        <f t="shared" si="8"/>
        <v>6.34</v>
      </c>
      <c r="H72" s="110"/>
      <c r="I72" s="81">
        <f>VLOOKUP(C72,Recipes!$A$2:$N$4,10,FALSE())</f>
        <v>10.940000000000001</v>
      </c>
      <c r="J72" s="81">
        <f>VLOOKUP(C72,Recipes!$A$2:$N$4,12,FALSE())</f>
        <v>5.2703573566378441E-2</v>
      </c>
      <c r="K72" s="81">
        <f t="shared" si="9"/>
        <v>10.781889279300866</v>
      </c>
      <c r="L72" s="81">
        <f t="shared" si="10"/>
        <v>11.098110720699136</v>
      </c>
      <c r="M72" s="81" t="str">
        <f t="shared" si="11"/>
        <v>NG</v>
      </c>
      <c r="N72" s="117">
        <f t="shared" si="12"/>
        <v>1</v>
      </c>
      <c r="O72" s="81">
        <f t="shared" si="13"/>
        <v>4.6000000000000014</v>
      </c>
      <c r="P72" s="81">
        <f>IF(G72="","",ABS(O72-Components!$C$2)/Components!$D$2)</f>
        <v>279.41925990708154</v>
      </c>
      <c r="Q72" s="81">
        <f>IF(G72="","",ABS(O72-Components!$C$3)/Components!$D$3)</f>
        <v>40.879781331841578</v>
      </c>
      <c r="R72" s="81">
        <f>IF(G72="","",ABS(O72-Components!$C$4)/Components!$D$4)</f>
        <v>258.01275238281755</v>
      </c>
      <c r="S72" s="81">
        <f>IF(G72="","",ABS(O72-Components!$C$5)/Components!$D$5)</f>
        <v>1.4826691986489711</v>
      </c>
      <c r="T72" s="81">
        <f>IF(G72="","",ABS(O72-Components!$C$6)/Components!$D$6)</f>
        <v>124.66601028090855</v>
      </c>
      <c r="U72" s="81">
        <f>IF(G72="","",ABS(O72-Components!$C$7)/Components!$D$7)</f>
        <v>128.27980472982117</v>
      </c>
      <c r="V72" s="81" t="str">
        <f>IF(G72="","",IF(M72="OK","NONE",INDEX({"S1","S2","W1","W2","N1","N2"},MATCH(MIN(P72:U72),P72:U72,0))))</f>
        <v>W2</v>
      </c>
      <c r="W72" s="117">
        <f t="shared" si="14"/>
        <v>1</v>
      </c>
      <c r="X72" s="107"/>
    </row>
    <row r="73" spans="1:24">
      <c r="A73" s="115">
        <v>71</v>
      </c>
      <c r="B73" s="116">
        <v>3</v>
      </c>
      <c r="C73" s="81" t="s">
        <v>128</v>
      </c>
      <c r="D73" s="111" t="s">
        <v>240</v>
      </c>
      <c r="E73" s="81" t="s">
        <v>106</v>
      </c>
      <c r="F73" s="52">
        <v>5.36</v>
      </c>
      <c r="G73" s="52">
        <f t="shared" si="8"/>
        <v>6.33</v>
      </c>
      <c r="H73" s="110"/>
      <c r="I73" s="81">
        <f>VLOOKUP(C73,Recipes!$A$2:$N$4,10,FALSE())</f>
        <v>10.940000000000001</v>
      </c>
      <c r="J73" s="81">
        <f>VLOOKUP(C73,Recipes!$A$2:$N$4,12,FALSE())</f>
        <v>5.2703573566378441E-2</v>
      </c>
      <c r="K73" s="81">
        <f t="shared" si="9"/>
        <v>10.781889279300866</v>
      </c>
      <c r="L73" s="81">
        <f t="shared" si="10"/>
        <v>11.098110720699136</v>
      </c>
      <c r="M73" s="81" t="str">
        <f t="shared" si="11"/>
        <v>NG</v>
      </c>
      <c r="N73" s="117">
        <f t="shared" si="12"/>
        <v>1</v>
      </c>
      <c r="O73" s="81">
        <f t="shared" si="13"/>
        <v>4.6100000000000012</v>
      </c>
      <c r="P73" s="81">
        <f>IF(G73="","",ABS(O73-Components!$C$2)/Components!$D$2)</f>
        <v>280.93236059249892</v>
      </c>
      <c r="Q73" s="81">
        <f>IF(G73="","",ABS(O73-Components!$C$3)/Components!$D$3)</f>
        <v>41.604600149782016</v>
      </c>
      <c r="R73" s="81">
        <f>IF(G73="","",ABS(O73-Components!$C$4)/Components!$D$4)</f>
        <v>258.72812969996028</v>
      </c>
      <c r="S73" s="81">
        <f>IF(G73="","",ABS(O73-Components!$C$5)/Components!$D$5)</f>
        <v>1.8798127340013904</v>
      </c>
      <c r="T73" s="81">
        <f>IF(G73="","",ABS(O73-Components!$C$6)/Components!$D$6)</f>
        <v>125.02795553479679</v>
      </c>
      <c r="U73" s="81">
        <f>IF(G73="","",ABS(O73-Components!$C$7)/Components!$D$7)</f>
        <v>128.67748935748415</v>
      </c>
      <c r="V73" s="81" t="str">
        <f>IF(G73="","",IF(M73="OK","NONE",INDEX({"S1","S2","W1","W2","N1","N2"},MATCH(MIN(P73:U73),P73:U73,0))))</f>
        <v>W2</v>
      </c>
      <c r="W73" s="117">
        <f t="shared" si="14"/>
        <v>1</v>
      </c>
      <c r="X73" s="107"/>
    </row>
    <row r="74" spans="1:24">
      <c r="A74" s="115">
        <v>72</v>
      </c>
      <c r="B74" s="116">
        <v>3</v>
      </c>
      <c r="C74" s="81" t="s">
        <v>128</v>
      </c>
      <c r="D74" s="111" t="s">
        <v>240</v>
      </c>
      <c r="E74" s="81" t="s">
        <v>106</v>
      </c>
      <c r="F74" s="52">
        <v>5.41</v>
      </c>
      <c r="G74" s="52">
        <f t="shared" si="8"/>
        <v>6.38</v>
      </c>
      <c r="H74" s="110"/>
      <c r="I74" s="81">
        <f>VLOOKUP(C74,Recipes!$A$2:$N$4,10,FALSE())</f>
        <v>10.940000000000001</v>
      </c>
      <c r="J74" s="81">
        <f>VLOOKUP(C74,Recipes!$A$2:$N$4,12,FALSE())</f>
        <v>5.2703573566378441E-2</v>
      </c>
      <c r="K74" s="81">
        <f t="shared" si="9"/>
        <v>10.781889279300866</v>
      </c>
      <c r="L74" s="81">
        <f t="shared" si="10"/>
        <v>11.098110720699136</v>
      </c>
      <c r="M74" s="81" t="str">
        <f t="shared" si="11"/>
        <v>NG</v>
      </c>
      <c r="N74" s="117">
        <f t="shared" si="12"/>
        <v>1</v>
      </c>
      <c r="O74" s="81">
        <f t="shared" si="13"/>
        <v>4.5600000000000014</v>
      </c>
      <c r="P74" s="81">
        <f>IF(G74="","",ABS(O74-Components!$C$2)/Components!$D$2)</f>
        <v>273.36685716541194</v>
      </c>
      <c r="Q74" s="81">
        <f>IF(G74="","",ABS(O74-Components!$C$3)/Components!$D$3)</f>
        <v>37.980506060079776</v>
      </c>
      <c r="R74" s="81">
        <f>IF(G74="","",ABS(O74-Components!$C$4)/Components!$D$4)</f>
        <v>255.15124311424654</v>
      </c>
      <c r="S74" s="81">
        <f>IF(G74="","",ABS(O74-Components!$C$5)/Components!$D$5)</f>
        <v>0.10590494276074157</v>
      </c>
      <c r="T74" s="81">
        <f>IF(G74="","",ABS(O74-Components!$C$6)/Components!$D$6)</f>
        <v>123.21822926535556</v>
      </c>
      <c r="U74" s="81">
        <f>IF(G74="","",ABS(O74-Components!$C$7)/Components!$D$7)</f>
        <v>126.68906621916926</v>
      </c>
      <c r="V74" s="81" t="str">
        <f>IF(G74="","",IF(M74="OK","NONE",INDEX({"S1","S2","W1","W2","N1","N2"},MATCH(MIN(P74:U74),P74:U74,0))))</f>
        <v>W2</v>
      </c>
      <c r="W74" s="117">
        <f t="shared" si="14"/>
        <v>1</v>
      </c>
      <c r="X74" s="107"/>
    </row>
    <row r="75" spans="1:24">
      <c r="A75" s="115">
        <v>73</v>
      </c>
      <c r="B75" s="116">
        <v>3</v>
      </c>
      <c r="C75" s="81" t="s">
        <v>128</v>
      </c>
      <c r="D75" s="111" t="s">
        <v>240</v>
      </c>
      <c r="E75" s="81" t="s">
        <v>106</v>
      </c>
      <c r="F75" s="52">
        <v>5.37</v>
      </c>
      <c r="G75" s="52">
        <f t="shared" si="8"/>
        <v>6.34</v>
      </c>
      <c r="H75" s="110"/>
      <c r="I75" s="81">
        <f>VLOOKUP(C75,Recipes!$A$2:$N$4,10,FALSE())</f>
        <v>10.940000000000001</v>
      </c>
      <c r="J75" s="81">
        <f>VLOOKUP(C75,Recipes!$A$2:$N$4,12,FALSE())</f>
        <v>5.2703573566378441E-2</v>
      </c>
      <c r="K75" s="81">
        <f t="shared" si="9"/>
        <v>10.781889279300866</v>
      </c>
      <c r="L75" s="81">
        <f t="shared" si="10"/>
        <v>11.098110720699136</v>
      </c>
      <c r="M75" s="81" t="str">
        <f t="shared" si="11"/>
        <v>NG</v>
      </c>
      <c r="N75" s="117">
        <f t="shared" si="12"/>
        <v>1</v>
      </c>
      <c r="O75" s="81">
        <f t="shared" si="13"/>
        <v>4.6000000000000014</v>
      </c>
      <c r="P75" s="81">
        <f>IF(G75="","",ABS(O75-Components!$C$2)/Components!$D$2)</f>
        <v>279.41925990708154</v>
      </c>
      <c r="Q75" s="81">
        <f>IF(G75="","",ABS(O75-Components!$C$3)/Components!$D$3)</f>
        <v>40.879781331841578</v>
      </c>
      <c r="R75" s="81">
        <f>IF(G75="","",ABS(O75-Components!$C$4)/Components!$D$4)</f>
        <v>258.01275238281755</v>
      </c>
      <c r="S75" s="81">
        <f>IF(G75="","",ABS(O75-Components!$C$5)/Components!$D$5)</f>
        <v>1.4826691986489711</v>
      </c>
      <c r="T75" s="81">
        <f>IF(G75="","",ABS(O75-Components!$C$6)/Components!$D$6)</f>
        <v>124.66601028090855</v>
      </c>
      <c r="U75" s="81">
        <f>IF(G75="","",ABS(O75-Components!$C$7)/Components!$D$7)</f>
        <v>128.27980472982117</v>
      </c>
      <c r="V75" s="81" t="str">
        <f>IF(G75="","",IF(M75="OK","NONE",INDEX({"S1","S2","W1","W2","N1","N2"},MATCH(MIN(P75:U75),P75:U75,0))))</f>
        <v>W2</v>
      </c>
      <c r="W75" s="117">
        <f t="shared" si="14"/>
        <v>1</v>
      </c>
      <c r="X75" s="107"/>
    </row>
    <row r="76" spans="1:24">
      <c r="A76" s="115">
        <v>74</v>
      </c>
      <c r="B76" s="116">
        <v>3</v>
      </c>
      <c r="C76" s="81" t="s">
        <v>128</v>
      </c>
      <c r="D76" s="111" t="s">
        <v>240</v>
      </c>
      <c r="E76" s="81" t="s">
        <v>106</v>
      </c>
      <c r="F76" s="52">
        <v>5.36</v>
      </c>
      <c r="G76" s="52">
        <f t="shared" si="8"/>
        <v>6.33</v>
      </c>
      <c r="H76" s="110"/>
      <c r="I76" s="81">
        <f>VLOOKUP(C76,Recipes!$A$2:$N$4,10,FALSE())</f>
        <v>10.940000000000001</v>
      </c>
      <c r="J76" s="81">
        <f>VLOOKUP(C76,Recipes!$A$2:$N$4,12,FALSE())</f>
        <v>5.2703573566378441E-2</v>
      </c>
      <c r="K76" s="81">
        <f t="shared" si="9"/>
        <v>10.781889279300866</v>
      </c>
      <c r="L76" s="81">
        <f t="shared" si="10"/>
        <v>11.098110720699136</v>
      </c>
      <c r="M76" s="81" t="str">
        <f t="shared" si="11"/>
        <v>NG</v>
      </c>
      <c r="N76" s="117">
        <f t="shared" si="12"/>
        <v>1</v>
      </c>
      <c r="O76" s="81">
        <f t="shared" si="13"/>
        <v>4.6100000000000012</v>
      </c>
      <c r="P76" s="81">
        <f>IF(G76="","",ABS(O76-Components!$C$2)/Components!$D$2)</f>
        <v>280.93236059249892</v>
      </c>
      <c r="Q76" s="81">
        <f>IF(G76="","",ABS(O76-Components!$C$3)/Components!$D$3)</f>
        <v>41.604600149782016</v>
      </c>
      <c r="R76" s="81">
        <f>IF(G76="","",ABS(O76-Components!$C$4)/Components!$D$4)</f>
        <v>258.72812969996028</v>
      </c>
      <c r="S76" s="81">
        <f>IF(G76="","",ABS(O76-Components!$C$5)/Components!$D$5)</f>
        <v>1.8798127340013904</v>
      </c>
      <c r="T76" s="81">
        <f>IF(G76="","",ABS(O76-Components!$C$6)/Components!$D$6)</f>
        <v>125.02795553479679</v>
      </c>
      <c r="U76" s="81">
        <f>IF(G76="","",ABS(O76-Components!$C$7)/Components!$D$7)</f>
        <v>128.67748935748415</v>
      </c>
      <c r="V76" s="81" t="str">
        <f>IF(G76="","",IF(M76="OK","NONE",INDEX({"S1","S2","W1","W2","N1","N2"},MATCH(MIN(P76:U76),P76:U76,0))))</f>
        <v>W2</v>
      </c>
      <c r="W76" s="117">
        <f t="shared" si="14"/>
        <v>1</v>
      </c>
      <c r="X76" s="107"/>
    </row>
    <row r="77" spans="1:24">
      <c r="A77" s="115">
        <v>75</v>
      </c>
      <c r="B77" s="116">
        <v>3</v>
      </c>
      <c r="C77" s="81" t="s">
        <v>128</v>
      </c>
      <c r="D77" s="111" t="s">
        <v>240</v>
      </c>
      <c r="E77" s="81" t="s">
        <v>106</v>
      </c>
      <c r="F77" s="52">
        <v>5.38</v>
      </c>
      <c r="G77" s="52">
        <f t="shared" si="8"/>
        <v>6.35</v>
      </c>
      <c r="H77" s="110"/>
      <c r="I77" s="81">
        <f>VLOOKUP(C77,Recipes!$A$2:$N$4,10,FALSE())</f>
        <v>10.940000000000001</v>
      </c>
      <c r="J77" s="81">
        <f>VLOOKUP(C77,Recipes!$A$2:$N$4,12,FALSE())</f>
        <v>5.2703573566378441E-2</v>
      </c>
      <c r="K77" s="81">
        <f t="shared" si="9"/>
        <v>10.781889279300866</v>
      </c>
      <c r="L77" s="81">
        <f t="shared" si="10"/>
        <v>11.098110720699136</v>
      </c>
      <c r="M77" s="81" t="str">
        <f t="shared" si="11"/>
        <v>NG</v>
      </c>
      <c r="N77" s="117">
        <f t="shared" si="12"/>
        <v>1</v>
      </c>
      <c r="O77" s="81">
        <f t="shared" si="13"/>
        <v>4.5900000000000016</v>
      </c>
      <c r="P77" s="81">
        <f>IF(G77="","",ABS(O77-Components!$C$2)/Components!$D$2)</f>
        <v>277.90615922166415</v>
      </c>
      <c r="Q77" s="81">
        <f>IF(G77="","",ABS(O77-Components!$C$3)/Components!$D$3)</f>
        <v>40.154962513901147</v>
      </c>
      <c r="R77" s="81">
        <f>IF(G77="","",ABS(O77-Components!$C$4)/Components!$D$4)</f>
        <v>257.29737506567483</v>
      </c>
      <c r="S77" s="81">
        <f>IF(G77="","",ABS(O77-Components!$C$5)/Components!$D$5)</f>
        <v>1.0855256632965518</v>
      </c>
      <c r="T77" s="81">
        <f>IF(G77="","",ABS(O77-Components!$C$6)/Components!$D$6)</f>
        <v>124.3040650270203</v>
      </c>
      <c r="U77" s="81">
        <f>IF(G77="","",ABS(O77-Components!$C$7)/Components!$D$7)</f>
        <v>127.8821201021582</v>
      </c>
      <c r="V77" s="81" t="str">
        <f>IF(G77="","",IF(M77="OK","NONE",INDEX({"S1","S2","W1","W2","N1","N2"},MATCH(MIN(P77:U77),P77:U77,0))))</f>
        <v>W2</v>
      </c>
      <c r="W77" s="117">
        <f t="shared" si="14"/>
        <v>1</v>
      </c>
      <c r="X77" s="107"/>
    </row>
    <row r="78" spans="1:24">
      <c r="A78" s="115">
        <v>76</v>
      </c>
      <c r="B78" s="116">
        <v>3</v>
      </c>
      <c r="C78" s="81" t="s">
        <v>128</v>
      </c>
      <c r="D78" s="111" t="s">
        <v>240</v>
      </c>
      <c r="E78" s="81" t="s">
        <v>106</v>
      </c>
      <c r="F78" s="52">
        <v>5.38</v>
      </c>
      <c r="G78" s="52">
        <f t="shared" si="8"/>
        <v>6.35</v>
      </c>
      <c r="H78" s="110"/>
      <c r="I78" s="81">
        <f>VLOOKUP(C78,Recipes!$A$2:$N$4,10,FALSE())</f>
        <v>10.940000000000001</v>
      </c>
      <c r="J78" s="81">
        <f>VLOOKUP(C78,Recipes!$A$2:$N$4,12,FALSE())</f>
        <v>5.2703573566378441E-2</v>
      </c>
      <c r="K78" s="81">
        <f t="shared" si="9"/>
        <v>10.781889279300866</v>
      </c>
      <c r="L78" s="81">
        <f t="shared" si="10"/>
        <v>11.098110720699136</v>
      </c>
      <c r="M78" s="81" t="str">
        <f t="shared" si="11"/>
        <v>NG</v>
      </c>
      <c r="N78" s="117">
        <f t="shared" si="12"/>
        <v>1</v>
      </c>
      <c r="O78" s="81">
        <f t="shared" si="13"/>
        <v>4.5900000000000016</v>
      </c>
      <c r="P78" s="81">
        <f>IF(G78="","",ABS(O78-Components!$C$2)/Components!$D$2)</f>
        <v>277.90615922166415</v>
      </c>
      <c r="Q78" s="81">
        <f>IF(G78="","",ABS(O78-Components!$C$3)/Components!$D$3)</f>
        <v>40.154962513901147</v>
      </c>
      <c r="R78" s="81">
        <f>IF(G78="","",ABS(O78-Components!$C$4)/Components!$D$4)</f>
        <v>257.29737506567483</v>
      </c>
      <c r="S78" s="81">
        <f>IF(G78="","",ABS(O78-Components!$C$5)/Components!$D$5)</f>
        <v>1.0855256632965518</v>
      </c>
      <c r="T78" s="81">
        <f>IF(G78="","",ABS(O78-Components!$C$6)/Components!$D$6)</f>
        <v>124.3040650270203</v>
      </c>
      <c r="U78" s="81">
        <f>IF(G78="","",ABS(O78-Components!$C$7)/Components!$D$7)</f>
        <v>127.8821201021582</v>
      </c>
      <c r="V78" s="81" t="str">
        <f>IF(G78="","",IF(M78="OK","NONE",INDEX({"S1","S2","W1","W2","N1","N2"},MATCH(MIN(P78:U78),P78:U78,0))))</f>
        <v>W2</v>
      </c>
      <c r="W78" s="117">
        <f t="shared" si="14"/>
        <v>1</v>
      </c>
      <c r="X78" s="107"/>
    </row>
    <row r="79" spans="1:24">
      <c r="A79" s="115">
        <v>77</v>
      </c>
      <c r="B79" s="116">
        <v>3</v>
      </c>
      <c r="C79" s="81" t="s">
        <v>128</v>
      </c>
      <c r="D79" s="111" t="s">
        <v>240</v>
      </c>
      <c r="E79" s="81" t="s">
        <v>106</v>
      </c>
      <c r="F79" s="52">
        <v>5.42</v>
      </c>
      <c r="G79" s="52">
        <f t="shared" si="8"/>
        <v>6.39</v>
      </c>
      <c r="H79" s="110"/>
      <c r="I79" s="81">
        <f>VLOOKUP(C79,Recipes!$A$2:$N$4,10,FALSE())</f>
        <v>10.940000000000001</v>
      </c>
      <c r="J79" s="81">
        <f>VLOOKUP(C79,Recipes!$A$2:$N$4,12,FALSE())</f>
        <v>5.2703573566378441E-2</v>
      </c>
      <c r="K79" s="81">
        <f t="shared" si="9"/>
        <v>10.781889279300866</v>
      </c>
      <c r="L79" s="81">
        <f t="shared" si="10"/>
        <v>11.098110720699136</v>
      </c>
      <c r="M79" s="81" t="str">
        <f t="shared" si="11"/>
        <v>NG</v>
      </c>
      <c r="N79" s="117">
        <f t="shared" si="12"/>
        <v>1</v>
      </c>
      <c r="O79" s="81">
        <f t="shared" si="13"/>
        <v>4.5500000000000016</v>
      </c>
      <c r="P79" s="81">
        <f>IF(G79="","",ABS(O79-Components!$C$2)/Components!$D$2)</f>
        <v>271.85375647999456</v>
      </c>
      <c r="Q79" s="81">
        <f>IF(G79="","",ABS(O79-Components!$C$3)/Components!$D$3)</f>
        <v>37.255687242139338</v>
      </c>
      <c r="R79" s="81">
        <f>IF(G79="","",ABS(O79-Components!$C$4)/Components!$D$4)</f>
        <v>254.43586579710382</v>
      </c>
      <c r="S79" s="81">
        <f>IF(G79="","",ABS(O79-Components!$C$5)/Components!$D$5)</f>
        <v>0.50304847811316089</v>
      </c>
      <c r="T79" s="81">
        <f>IF(G79="","",ABS(O79-Components!$C$6)/Components!$D$6)</f>
        <v>122.85628401146732</v>
      </c>
      <c r="U79" s="81">
        <f>IF(G79="","",ABS(O79-Components!$C$7)/Components!$D$7)</f>
        <v>126.29138159150629</v>
      </c>
      <c r="V79" s="81" t="str">
        <f>IF(G79="","",IF(M79="OK","NONE",INDEX({"S1","S2","W1","W2","N1","N2"},MATCH(MIN(P79:U79),P79:U79,0))))</f>
        <v>W2</v>
      </c>
      <c r="W79" s="117">
        <f t="shared" si="14"/>
        <v>1</v>
      </c>
      <c r="X79" s="107"/>
    </row>
    <row r="80" spans="1:24">
      <c r="A80" s="115">
        <v>78</v>
      </c>
      <c r="B80" s="116">
        <v>3</v>
      </c>
      <c r="C80" s="81" t="s">
        <v>128</v>
      </c>
      <c r="D80" s="111" t="s">
        <v>240</v>
      </c>
      <c r="E80" s="81" t="s">
        <v>106</v>
      </c>
      <c r="F80" s="52">
        <v>5.39</v>
      </c>
      <c r="G80" s="52">
        <f t="shared" si="8"/>
        <v>6.3599999999999994</v>
      </c>
      <c r="H80" s="110"/>
      <c r="I80" s="81">
        <f>VLOOKUP(C80,Recipes!$A$2:$N$4,10,FALSE())</f>
        <v>10.940000000000001</v>
      </c>
      <c r="J80" s="81">
        <f>VLOOKUP(C80,Recipes!$A$2:$N$4,12,FALSE())</f>
        <v>5.2703573566378441E-2</v>
      </c>
      <c r="K80" s="81">
        <f t="shared" si="9"/>
        <v>10.781889279300866</v>
      </c>
      <c r="L80" s="81">
        <f t="shared" si="10"/>
        <v>11.098110720699136</v>
      </c>
      <c r="M80" s="81" t="str">
        <f t="shared" si="11"/>
        <v>NG</v>
      </c>
      <c r="N80" s="117">
        <f t="shared" si="12"/>
        <v>1</v>
      </c>
      <c r="O80" s="81">
        <f t="shared" si="13"/>
        <v>4.5800000000000018</v>
      </c>
      <c r="P80" s="81">
        <f>IF(G80="","",ABS(O80-Components!$C$2)/Components!$D$2)</f>
        <v>276.39305853624677</v>
      </c>
      <c r="Q80" s="81">
        <f>IF(G80="","",ABS(O80-Components!$C$3)/Components!$D$3)</f>
        <v>39.430143695960709</v>
      </c>
      <c r="R80" s="81">
        <f>IF(G80="","",ABS(O80-Components!$C$4)/Components!$D$4)</f>
        <v>256.5819977485321</v>
      </c>
      <c r="S80" s="81">
        <f>IF(G80="","",ABS(O80-Components!$C$5)/Components!$D$5)</f>
        <v>0.68838212794413234</v>
      </c>
      <c r="T80" s="81">
        <f>IF(G80="","",ABS(O80-Components!$C$6)/Components!$D$6)</f>
        <v>123.94211977313206</v>
      </c>
      <c r="U80" s="81">
        <f>IF(G80="","",ABS(O80-Components!$C$7)/Components!$D$7)</f>
        <v>127.48443547449523</v>
      </c>
      <c r="V80" s="81" t="str">
        <f>IF(G80="","",IF(M80="OK","NONE",INDEX({"S1","S2","W1","W2","N1","N2"},MATCH(MIN(P80:U80),P80:U80,0))))</f>
        <v>W2</v>
      </c>
      <c r="W80" s="117">
        <f t="shared" si="14"/>
        <v>1</v>
      </c>
      <c r="X80" s="107"/>
    </row>
    <row r="81" spans="1:24">
      <c r="A81" s="115">
        <v>79</v>
      </c>
      <c r="B81" s="116">
        <v>3</v>
      </c>
      <c r="C81" s="81" t="s">
        <v>128</v>
      </c>
      <c r="D81" s="111" t="s">
        <v>240</v>
      </c>
      <c r="E81" s="81" t="s">
        <v>106</v>
      </c>
      <c r="F81" s="52">
        <v>5.41</v>
      </c>
      <c r="G81" s="52">
        <f t="shared" si="8"/>
        <v>6.38</v>
      </c>
      <c r="H81" s="110"/>
      <c r="I81" s="81">
        <f>VLOOKUP(C81,Recipes!$A$2:$N$4,10,FALSE())</f>
        <v>10.940000000000001</v>
      </c>
      <c r="J81" s="81">
        <f>VLOOKUP(C81,Recipes!$A$2:$N$4,12,FALSE())</f>
        <v>5.2703573566378441E-2</v>
      </c>
      <c r="K81" s="81">
        <f t="shared" si="9"/>
        <v>10.781889279300866</v>
      </c>
      <c r="L81" s="81">
        <f t="shared" si="10"/>
        <v>11.098110720699136</v>
      </c>
      <c r="M81" s="81" t="str">
        <f t="shared" si="11"/>
        <v>NG</v>
      </c>
      <c r="N81" s="117">
        <f t="shared" si="12"/>
        <v>1</v>
      </c>
      <c r="O81" s="81">
        <f t="shared" si="13"/>
        <v>4.5600000000000014</v>
      </c>
      <c r="P81" s="81">
        <f>IF(G81="","",ABS(O81-Components!$C$2)/Components!$D$2)</f>
        <v>273.36685716541194</v>
      </c>
      <c r="Q81" s="81">
        <f>IF(G81="","",ABS(O81-Components!$C$3)/Components!$D$3)</f>
        <v>37.980506060079776</v>
      </c>
      <c r="R81" s="81">
        <f>IF(G81="","",ABS(O81-Components!$C$4)/Components!$D$4)</f>
        <v>255.15124311424654</v>
      </c>
      <c r="S81" s="81">
        <f>IF(G81="","",ABS(O81-Components!$C$5)/Components!$D$5)</f>
        <v>0.10590494276074157</v>
      </c>
      <c r="T81" s="81">
        <f>IF(G81="","",ABS(O81-Components!$C$6)/Components!$D$6)</f>
        <v>123.21822926535556</v>
      </c>
      <c r="U81" s="81">
        <f>IF(G81="","",ABS(O81-Components!$C$7)/Components!$D$7)</f>
        <v>126.68906621916926</v>
      </c>
      <c r="V81" s="81" t="str">
        <f>IF(G81="","",IF(M81="OK","NONE",INDEX({"S1","S2","W1","W2","N1","N2"},MATCH(MIN(P81:U81),P81:U81,0))))</f>
        <v>W2</v>
      </c>
      <c r="W81" s="117">
        <f t="shared" si="14"/>
        <v>1</v>
      </c>
      <c r="X81" s="107"/>
    </row>
    <row r="82" spans="1:24">
      <c r="A82" s="115">
        <v>80</v>
      </c>
      <c r="B82" s="116">
        <v>3</v>
      </c>
      <c r="C82" s="81" t="s">
        <v>128</v>
      </c>
      <c r="D82" s="111" t="s">
        <v>240</v>
      </c>
      <c r="E82" s="81" t="s">
        <v>106</v>
      </c>
      <c r="F82" s="52">
        <v>5.32</v>
      </c>
      <c r="G82" s="52">
        <f t="shared" si="8"/>
        <v>6.29</v>
      </c>
      <c r="H82" s="110"/>
      <c r="I82" s="81">
        <f>VLOOKUP(C82,Recipes!$A$2:$N$4,10,FALSE())</f>
        <v>10.940000000000001</v>
      </c>
      <c r="J82" s="81">
        <f>VLOOKUP(C82,Recipes!$A$2:$N$4,12,FALSE())</f>
        <v>5.2703573566378441E-2</v>
      </c>
      <c r="K82" s="81">
        <f t="shared" si="9"/>
        <v>10.781889279300866</v>
      </c>
      <c r="L82" s="81">
        <f t="shared" si="10"/>
        <v>11.098110720699136</v>
      </c>
      <c r="M82" s="81" t="str">
        <f t="shared" si="11"/>
        <v>NG</v>
      </c>
      <c r="N82" s="117">
        <f t="shared" si="12"/>
        <v>1</v>
      </c>
      <c r="O82" s="81">
        <f t="shared" si="13"/>
        <v>4.6500000000000012</v>
      </c>
      <c r="P82" s="81">
        <f>IF(G82="","",ABS(O82-Components!$C$2)/Components!$D$2)</f>
        <v>286.98476333416852</v>
      </c>
      <c r="Q82" s="81">
        <f>IF(G82="","",ABS(O82-Components!$C$3)/Components!$D$3)</f>
        <v>44.503875421543825</v>
      </c>
      <c r="R82" s="81">
        <f>IF(G82="","",ABS(O82-Components!$C$4)/Components!$D$4)</f>
        <v>261.58963896853129</v>
      </c>
      <c r="S82" s="81">
        <f>IF(G82="","",ABS(O82-Components!$C$5)/Components!$D$5)</f>
        <v>3.4683868754111029</v>
      </c>
      <c r="T82" s="81">
        <f>IF(G82="","",ABS(O82-Components!$C$6)/Components!$D$6)</f>
        <v>126.47573655034978</v>
      </c>
      <c r="U82" s="81">
        <f>IF(G82="","",ABS(O82-Components!$C$7)/Components!$D$7)</f>
        <v>130.26822786813605</v>
      </c>
      <c r="V82" s="81" t="str">
        <f>IF(G82="","",IF(M82="OK","NONE",INDEX({"S1","S2","W1","W2","N1","N2"},MATCH(MIN(P82:U82),P82:U82,0))))</f>
        <v>W2</v>
      </c>
      <c r="W82" s="117">
        <f t="shared" si="14"/>
        <v>1</v>
      </c>
      <c r="X82" s="107"/>
    </row>
    <row r="83" spans="1:24">
      <c r="A83" s="115">
        <v>81</v>
      </c>
      <c r="B83" s="116">
        <v>3</v>
      </c>
      <c r="C83" s="81" t="s">
        <v>128</v>
      </c>
      <c r="D83" s="111" t="s">
        <v>240</v>
      </c>
      <c r="E83" s="81" t="s">
        <v>106</v>
      </c>
      <c r="F83" s="52">
        <v>5.36</v>
      </c>
      <c r="G83" s="52">
        <f t="shared" si="8"/>
        <v>6.33</v>
      </c>
      <c r="H83" s="110"/>
      <c r="I83" s="81">
        <f>VLOOKUP(C83,Recipes!$A$2:$N$4,10,FALSE())</f>
        <v>10.940000000000001</v>
      </c>
      <c r="J83" s="81">
        <f>VLOOKUP(C83,Recipes!$A$2:$N$4,12,FALSE())</f>
        <v>5.2703573566378441E-2</v>
      </c>
      <c r="K83" s="81">
        <f t="shared" si="9"/>
        <v>10.781889279300866</v>
      </c>
      <c r="L83" s="81">
        <f t="shared" si="10"/>
        <v>11.098110720699136</v>
      </c>
      <c r="M83" s="81" t="str">
        <f t="shared" si="11"/>
        <v>NG</v>
      </c>
      <c r="N83" s="117">
        <f t="shared" si="12"/>
        <v>1</v>
      </c>
      <c r="O83" s="81">
        <f t="shared" si="13"/>
        <v>4.6100000000000012</v>
      </c>
      <c r="P83" s="81">
        <f>IF(G83="","",ABS(O83-Components!$C$2)/Components!$D$2)</f>
        <v>280.93236059249892</v>
      </c>
      <c r="Q83" s="81">
        <f>IF(G83="","",ABS(O83-Components!$C$3)/Components!$D$3)</f>
        <v>41.604600149782016</v>
      </c>
      <c r="R83" s="81">
        <f>IF(G83="","",ABS(O83-Components!$C$4)/Components!$D$4)</f>
        <v>258.72812969996028</v>
      </c>
      <c r="S83" s="81">
        <f>IF(G83="","",ABS(O83-Components!$C$5)/Components!$D$5)</f>
        <v>1.8798127340013904</v>
      </c>
      <c r="T83" s="81">
        <f>IF(G83="","",ABS(O83-Components!$C$6)/Components!$D$6)</f>
        <v>125.02795553479679</v>
      </c>
      <c r="U83" s="81">
        <f>IF(G83="","",ABS(O83-Components!$C$7)/Components!$D$7)</f>
        <v>128.67748935748415</v>
      </c>
      <c r="V83" s="81" t="str">
        <f>IF(G83="","",IF(M83="OK","NONE",INDEX({"S1","S2","W1","W2","N1","N2"},MATCH(MIN(P83:U83),P83:U83,0))))</f>
        <v>W2</v>
      </c>
      <c r="W83" s="117">
        <f t="shared" si="14"/>
        <v>1</v>
      </c>
      <c r="X83" s="107"/>
    </row>
    <row r="84" spans="1:24">
      <c r="A84" s="115">
        <v>82</v>
      </c>
      <c r="B84" s="116">
        <v>3</v>
      </c>
      <c r="C84" s="81" t="s">
        <v>128</v>
      </c>
      <c r="D84" s="111" t="s">
        <v>240</v>
      </c>
      <c r="E84" s="81" t="s">
        <v>106</v>
      </c>
      <c r="F84" s="52">
        <v>5.42</v>
      </c>
      <c r="G84" s="52">
        <f t="shared" si="8"/>
        <v>6.39</v>
      </c>
      <c r="H84" s="110"/>
      <c r="I84" s="81">
        <f>VLOOKUP(C84,Recipes!$A$2:$N$4,10,FALSE())</f>
        <v>10.940000000000001</v>
      </c>
      <c r="J84" s="81">
        <f>VLOOKUP(C84,Recipes!$A$2:$N$4,12,FALSE())</f>
        <v>5.2703573566378441E-2</v>
      </c>
      <c r="K84" s="81">
        <f t="shared" si="9"/>
        <v>10.781889279300866</v>
      </c>
      <c r="L84" s="81">
        <f t="shared" si="10"/>
        <v>11.098110720699136</v>
      </c>
      <c r="M84" s="81" t="str">
        <f t="shared" si="11"/>
        <v>NG</v>
      </c>
      <c r="N84" s="117">
        <f t="shared" si="12"/>
        <v>1</v>
      </c>
      <c r="O84" s="81">
        <f t="shared" si="13"/>
        <v>4.5500000000000016</v>
      </c>
      <c r="P84" s="81">
        <f>IF(G84="","",ABS(O84-Components!$C$2)/Components!$D$2)</f>
        <v>271.85375647999456</v>
      </c>
      <c r="Q84" s="81">
        <f>IF(G84="","",ABS(O84-Components!$C$3)/Components!$D$3)</f>
        <v>37.255687242139338</v>
      </c>
      <c r="R84" s="81">
        <f>IF(G84="","",ABS(O84-Components!$C$4)/Components!$D$4)</f>
        <v>254.43586579710382</v>
      </c>
      <c r="S84" s="81">
        <f>IF(G84="","",ABS(O84-Components!$C$5)/Components!$D$5)</f>
        <v>0.50304847811316089</v>
      </c>
      <c r="T84" s="81">
        <f>IF(G84="","",ABS(O84-Components!$C$6)/Components!$D$6)</f>
        <v>122.85628401146732</v>
      </c>
      <c r="U84" s="81">
        <f>IF(G84="","",ABS(O84-Components!$C$7)/Components!$D$7)</f>
        <v>126.29138159150629</v>
      </c>
      <c r="V84" s="81" t="str">
        <f>IF(G84="","",IF(M84="OK","NONE",INDEX({"S1","S2","W1","W2","N1","N2"},MATCH(MIN(P84:U84),P84:U84,0))))</f>
        <v>W2</v>
      </c>
      <c r="W84" s="117">
        <f t="shared" si="14"/>
        <v>1</v>
      </c>
      <c r="X84" s="107"/>
    </row>
    <row r="85" spans="1:24">
      <c r="A85" s="115">
        <v>83</v>
      </c>
      <c r="B85" s="116">
        <v>3</v>
      </c>
      <c r="C85" s="81" t="s">
        <v>128</v>
      </c>
      <c r="D85" s="111" t="s">
        <v>240</v>
      </c>
      <c r="E85" s="81" t="s">
        <v>106</v>
      </c>
      <c r="F85" s="52">
        <v>5.37</v>
      </c>
      <c r="G85" s="52">
        <f t="shared" si="8"/>
        <v>6.34</v>
      </c>
      <c r="H85" s="110"/>
      <c r="I85" s="81">
        <f>VLOOKUP(C85,Recipes!$A$2:$N$4,10,FALSE())</f>
        <v>10.940000000000001</v>
      </c>
      <c r="J85" s="81">
        <f>VLOOKUP(C85,Recipes!$A$2:$N$4,12,FALSE())</f>
        <v>5.2703573566378441E-2</v>
      </c>
      <c r="K85" s="81">
        <f t="shared" si="9"/>
        <v>10.781889279300866</v>
      </c>
      <c r="L85" s="81">
        <f t="shared" si="10"/>
        <v>11.098110720699136</v>
      </c>
      <c r="M85" s="81" t="str">
        <f t="shared" si="11"/>
        <v>NG</v>
      </c>
      <c r="N85" s="117">
        <f t="shared" si="12"/>
        <v>1</v>
      </c>
      <c r="O85" s="81">
        <f t="shared" si="13"/>
        <v>4.6000000000000014</v>
      </c>
      <c r="P85" s="81">
        <f>IF(G85="","",ABS(O85-Components!$C$2)/Components!$D$2)</f>
        <v>279.41925990708154</v>
      </c>
      <c r="Q85" s="81">
        <f>IF(G85="","",ABS(O85-Components!$C$3)/Components!$D$3)</f>
        <v>40.879781331841578</v>
      </c>
      <c r="R85" s="81">
        <f>IF(G85="","",ABS(O85-Components!$C$4)/Components!$D$4)</f>
        <v>258.01275238281755</v>
      </c>
      <c r="S85" s="81">
        <f>IF(G85="","",ABS(O85-Components!$C$5)/Components!$D$5)</f>
        <v>1.4826691986489711</v>
      </c>
      <c r="T85" s="81">
        <f>IF(G85="","",ABS(O85-Components!$C$6)/Components!$D$6)</f>
        <v>124.66601028090855</v>
      </c>
      <c r="U85" s="81">
        <f>IF(G85="","",ABS(O85-Components!$C$7)/Components!$D$7)</f>
        <v>128.27980472982117</v>
      </c>
      <c r="V85" s="81" t="str">
        <f>IF(G85="","",IF(M85="OK","NONE",INDEX({"S1","S2","W1","W2","N1","N2"},MATCH(MIN(P85:U85),P85:U85,0))))</f>
        <v>W2</v>
      </c>
      <c r="W85" s="117">
        <f t="shared" si="14"/>
        <v>1</v>
      </c>
      <c r="X85" s="107"/>
    </row>
    <row r="86" spans="1:24">
      <c r="A86" s="115">
        <v>84</v>
      </c>
      <c r="B86" s="116">
        <v>3</v>
      </c>
      <c r="C86" s="81" t="s">
        <v>128</v>
      </c>
      <c r="D86" s="111" t="s">
        <v>240</v>
      </c>
      <c r="E86" s="81" t="s">
        <v>106</v>
      </c>
      <c r="F86" s="52">
        <v>5.4</v>
      </c>
      <c r="G86" s="52">
        <f t="shared" si="8"/>
        <v>6.37</v>
      </c>
      <c r="H86" s="110"/>
      <c r="I86" s="81">
        <f>VLOOKUP(C86,Recipes!$A$2:$N$4,10,FALSE())</f>
        <v>10.940000000000001</v>
      </c>
      <c r="J86" s="81">
        <f>VLOOKUP(C86,Recipes!$A$2:$N$4,12,FALSE())</f>
        <v>5.2703573566378441E-2</v>
      </c>
      <c r="K86" s="81">
        <f t="shared" si="9"/>
        <v>10.781889279300866</v>
      </c>
      <c r="L86" s="81">
        <f t="shared" si="10"/>
        <v>11.098110720699136</v>
      </c>
      <c r="M86" s="81" t="str">
        <f t="shared" si="11"/>
        <v>NG</v>
      </c>
      <c r="N86" s="117">
        <f t="shared" si="12"/>
        <v>1</v>
      </c>
      <c r="O86" s="81">
        <f t="shared" si="13"/>
        <v>4.5700000000000012</v>
      </c>
      <c r="P86" s="81">
        <f>IF(G86="","",ABS(O86-Components!$C$2)/Components!$D$2)</f>
        <v>274.87995785082927</v>
      </c>
      <c r="Q86" s="81">
        <f>IF(G86="","",ABS(O86-Components!$C$3)/Components!$D$3)</f>
        <v>38.705324878020207</v>
      </c>
      <c r="R86" s="81">
        <f>IF(G86="","",ABS(O86-Components!$C$4)/Components!$D$4)</f>
        <v>255.86662043138929</v>
      </c>
      <c r="S86" s="81">
        <f>IF(G86="","",ABS(O86-Components!$C$5)/Components!$D$5)</f>
        <v>0.29123859259167773</v>
      </c>
      <c r="T86" s="81">
        <f>IF(G86="","",ABS(O86-Components!$C$6)/Components!$D$6)</f>
        <v>123.5801745192438</v>
      </c>
      <c r="U86" s="81">
        <f>IF(G86="","",ABS(O86-Components!$C$7)/Components!$D$7)</f>
        <v>127.08675084683223</v>
      </c>
      <c r="V86" s="81" t="str">
        <f>IF(G86="","",IF(M86="OK","NONE",INDEX({"S1","S2","W1","W2","N1","N2"},MATCH(MIN(P86:U86),P86:U86,0))))</f>
        <v>W2</v>
      </c>
      <c r="W86" s="117">
        <f t="shared" si="14"/>
        <v>1</v>
      </c>
      <c r="X86" s="107"/>
    </row>
    <row r="87" spans="1:24">
      <c r="A87" s="115">
        <v>85</v>
      </c>
      <c r="B87" s="116">
        <v>3</v>
      </c>
      <c r="C87" s="81" t="s">
        <v>128</v>
      </c>
      <c r="D87" s="111" t="s">
        <v>240</v>
      </c>
      <c r="E87" s="81" t="s">
        <v>106</v>
      </c>
      <c r="F87" s="52">
        <v>5.35</v>
      </c>
      <c r="G87" s="52">
        <f t="shared" si="8"/>
        <v>6.3199999999999994</v>
      </c>
      <c r="H87" s="110"/>
      <c r="I87" s="81">
        <f>VLOOKUP(C87,Recipes!$A$2:$N$4,10,FALSE())</f>
        <v>10.940000000000001</v>
      </c>
      <c r="J87" s="81">
        <f>VLOOKUP(C87,Recipes!$A$2:$N$4,12,FALSE())</f>
        <v>5.2703573566378441E-2</v>
      </c>
      <c r="K87" s="81">
        <f t="shared" si="9"/>
        <v>10.781889279300866</v>
      </c>
      <c r="L87" s="81">
        <f t="shared" si="10"/>
        <v>11.098110720699136</v>
      </c>
      <c r="M87" s="81" t="str">
        <f t="shared" si="11"/>
        <v>NG</v>
      </c>
      <c r="N87" s="117">
        <f t="shared" si="12"/>
        <v>1</v>
      </c>
      <c r="O87" s="81">
        <f t="shared" si="13"/>
        <v>4.6200000000000019</v>
      </c>
      <c r="P87" s="81">
        <f>IF(G87="","",ABS(O87-Components!$C$2)/Components!$D$2)</f>
        <v>282.44546127791642</v>
      </c>
      <c r="Q87" s="81">
        <f>IF(G87="","",ABS(O87-Components!$C$3)/Components!$D$3)</f>
        <v>42.329418967722518</v>
      </c>
      <c r="R87" s="81">
        <f>IF(G87="","",ABS(O87-Components!$C$4)/Components!$D$4)</f>
        <v>259.44350701710306</v>
      </c>
      <c r="S87" s="81">
        <f>IF(G87="","",ABS(O87-Components!$C$5)/Components!$D$5)</f>
        <v>2.2769562693538448</v>
      </c>
      <c r="T87" s="81">
        <f>IF(G87="","",ABS(O87-Components!$C$6)/Components!$D$6)</f>
        <v>125.38990078868505</v>
      </c>
      <c r="U87" s="81">
        <f>IF(G87="","",ABS(O87-Components!$C$7)/Components!$D$7)</f>
        <v>129.07517398514713</v>
      </c>
      <c r="V87" s="81" t="str">
        <f>IF(G87="","",IF(M87="OK","NONE",INDEX({"S1","S2","W1","W2","N1","N2"},MATCH(MIN(P87:U87),P87:U87,0))))</f>
        <v>W2</v>
      </c>
      <c r="W87" s="117">
        <f t="shared" si="14"/>
        <v>1</v>
      </c>
      <c r="X87" s="107"/>
    </row>
    <row r="88" spans="1:24">
      <c r="A88" s="115">
        <v>86</v>
      </c>
      <c r="B88" s="116">
        <v>3</v>
      </c>
      <c r="C88" s="81" t="s">
        <v>128</v>
      </c>
      <c r="D88" s="111" t="s">
        <v>240</v>
      </c>
      <c r="E88" s="81" t="s">
        <v>106</v>
      </c>
      <c r="F88" s="52">
        <v>5.38</v>
      </c>
      <c r="G88" s="52">
        <f t="shared" si="8"/>
        <v>6.35</v>
      </c>
      <c r="H88" s="110"/>
      <c r="I88" s="81">
        <f>VLOOKUP(C88,Recipes!$A$2:$N$4,10,FALSE())</f>
        <v>10.940000000000001</v>
      </c>
      <c r="J88" s="81">
        <f>VLOOKUP(C88,Recipes!$A$2:$N$4,12,FALSE())</f>
        <v>5.2703573566378441E-2</v>
      </c>
      <c r="K88" s="81">
        <f t="shared" si="9"/>
        <v>10.781889279300866</v>
      </c>
      <c r="L88" s="81">
        <f t="shared" si="10"/>
        <v>11.098110720699136</v>
      </c>
      <c r="M88" s="81" t="str">
        <f t="shared" si="11"/>
        <v>NG</v>
      </c>
      <c r="N88" s="117">
        <f t="shared" si="12"/>
        <v>1</v>
      </c>
      <c r="O88" s="81">
        <f t="shared" si="13"/>
        <v>4.5900000000000016</v>
      </c>
      <c r="P88" s="81">
        <f>IF(G88="","",ABS(O88-Components!$C$2)/Components!$D$2)</f>
        <v>277.90615922166415</v>
      </c>
      <c r="Q88" s="81">
        <f>IF(G88="","",ABS(O88-Components!$C$3)/Components!$D$3)</f>
        <v>40.154962513901147</v>
      </c>
      <c r="R88" s="81">
        <f>IF(G88="","",ABS(O88-Components!$C$4)/Components!$D$4)</f>
        <v>257.29737506567483</v>
      </c>
      <c r="S88" s="81">
        <f>IF(G88="","",ABS(O88-Components!$C$5)/Components!$D$5)</f>
        <v>1.0855256632965518</v>
      </c>
      <c r="T88" s="81">
        <f>IF(G88="","",ABS(O88-Components!$C$6)/Components!$D$6)</f>
        <v>124.3040650270203</v>
      </c>
      <c r="U88" s="81">
        <f>IF(G88="","",ABS(O88-Components!$C$7)/Components!$D$7)</f>
        <v>127.8821201021582</v>
      </c>
      <c r="V88" s="81" t="str">
        <f>IF(G88="","",IF(M88="OK","NONE",INDEX({"S1","S2","W1","W2","N1","N2"},MATCH(MIN(P88:U88),P88:U88,0))))</f>
        <v>W2</v>
      </c>
      <c r="W88" s="117">
        <f t="shared" si="14"/>
        <v>1</v>
      </c>
      <c r="X88" s="107"/>
    </row>
    <row r="89" spans="1:24">
      <c r="A89" s="115">
        <v>87</v>
      </c>
      <c r="B89" s="116">
        <v>3</v>
      </c>
      <c r="C89" s="81" t="s">
        <v>128</v>
      </c>
      <c r="D89" s="111" t="s">
        <v>240</v>
      </c>
      <c r="E89" s="81" t="s">
        <v>106</v>
      </c>
      <c r="F89" s="52">
        <v>5.34</v>
      </c>
      <c r="G89" s="52">
        <f t="shared" si="8"/>
        <v>6.31</v>
      </c>
      <c r="H89" s="110"/>
      <c r="I89" s="81">
        <f>VLOOKUP(C89,Recipes!$A$2:$N$4,10,FALSE())</f>
        <v>10.940000000000001</v>
      </c>
      <c r="J89" s="81">
        <f>VLOOKUP(C89,Recipes!$A$2:$N$4,12,FALSE())</f>
        <v>5.2703573566378441E-2</v>
      </c>
      <c r="K89" s="81">
        <f t="shared" si="9"/>
        <v>10.781889279300866</v>
      </c>
      <c r="L89" s="81">
        <f t="shared" si="10"/>
        <v>11.098110720699136</v>
      </c>
      <c r="M89" s="81" t="str">
        <f t="shared" si="11"/>
        <v>NG</v>
      </c>
      <c r="N89" s="117">
        <f t="shared" si="12"/>
        <v>1</v>
      </c>
      <c r="O89" s="81">
        <f t="shared" si="13"/>
        <v>4.6300000000000017</v>
      </c>
      <c r="P89" s="81">
        <f>IF(G89="","",ABS(O89-Components!$C$2)/Components!$D$2)</f>
        <v>283.95856196333381</v>
      </c>
      <c r="Q89" s="81">
        <f>IF(G89="","",ABS(O89-Components!$C$3)/Components!$D$3)</f>
        <v>43.054237785662949</v>
      </c>
      <c r="R89" s="81">
        <f>IF(G89="","",ABS(O89-Components!$C$4)/Components!$D$4)</f>
        <v>260.15888433424578</v>
      </c>
      <c r="S89" s="81">
        <f>IF(G89="","",ABS(O89-Components!$C$5)/Components!$D$5)</f>
        <v>2.6740998047062643</v>
      </c>
      <c r="T89" s="81">
        <f>IF(G89="","",ABS(O89-Components!$C$6)/Components!$D$6)</f>
        <v>125.75184604257329</v>
      </c>
      <c r="U89" s="81">
        <f>IF(G89="","",ABS(O89-Components!$C$7)/Components!$D$7)</f>
        <v>129.47285861281011</v>
      </c>
      <c r="V89" s="81" t="str">
        <f>IF(G89="","",IF(M89="OK","NONE",INDEX({"S1","S2","W1","W2","N1","N2"},MATCH(MIN(P89:U89),P89:U89,0))))</f>
        <v>W2</v>
      </c>
      <c r="W89" s="117">
        <f t="shared" si="14"/>
        <v>1</v>
      </c>
      <c r="X89" s="107"/>
    </row>
    <row r="90" spans="1:24">
      <c r="A90" s="115">
        <v>88</v>
      </c>
      <c r="B90" s="116">
        <v>3</v>
      </c>
      <c r="C90" s="81" t="s">
        <v>128</v>
      </c>
      <c r="D90" s="111" t="s">
        <v>240</v>
      </c>
      <c r="E90" s="81" t="s">
        <v>106</v>
      </c>
      <c r="F90" s="52">
        <v>5.42</v>
      </c>
      <c r="G90" s="52">
        <f t="shared" si="8"/>
        <v>6.39</v>
      </c>
      <c r="H90" s="110"/>
      <c r="I90" s="81">
        <f>VLOOKUP(C90,Recipes!$A$2:$N$4,10,FALSE())</f>
        <v>10.940000000000001</v>
      </c>
      <c r="J90" s="81">
        <f>VLOOKUP(C90,Recipes!$A$2:$N$4,12,FALSE())</f>
        <v>5.2703573566378441E-2</v>
      </c>
      <c r="K90" s="81">
        <f t="shared" si="9"/>
        <v>10.781889279300866</v>
      </c>
      <c r="L90" s="81">
        <f t="shared" si="10"/>
        <v>11.098110720699136</v>
      </c>
      <c r="M90" s="81" t="str">
        <f t="shared" si="11"/>
        <v>NG</v>
      </c>
      <c r="N90" s="117">
        <f t="shared" si="12"/>
        <v>1</v>
      </c>
      <c r="O90" s="81">
        <f t="shared" si="13"/>
        <v>4.5500000000000016</v>
      </c>
      <c r="P90" s="81">
        <f>IF(G90="","",ABS(O90-Components!$C$2)/Components!$D$2)</f>
        <v>271.85375647999456</v>
      </c>
      <c r="Q90" s="81">
        <f>IF(G90="","",ABS(O90-Components!$C$3)/Components!$D$3)</f>
        <v>37.255687242139338</v>
      </c>
      <c r="R90" s="81">
        <f>IF(G90="","",ABS(O90-Components!$C$4)/Components!$D$4)</f>
        <v>254.43586579710382</v>
      </c>
      <c r="S90" s="81">
        <f>IF(G90="","",ABS(O90-Components!$C$5)/Components!$D$5)</f>
        <v>0.50304847811316089</v>
      </c>
      <c r="T90" s="81">
        <f>IF(G90="","",ABS(O90-Components!$C$6)/Components!$D$6)</f>
        <v>122.85628401146732</v>
      </c>
      <c r="U90" s="81">
        <f>IF(G90="","",ABS(O90-Components!$C$7)/Components!$D$7)</f>
        <v>126.29138159150629</v>
      </c>
      <c r="V90" s="81" t="str">
        <f>IF(G90="","",IF(M90="OK","NONE",INDEX({"S1","S2","W1","W2","N1","N2"},MATCH(MIN(P90:U90),P90:U90,0))))</f>
        <v>W2</v>
      </c>
      <c r="W90" s="117">
        <f t="shared" si="14"/>
        <v>1</v>
      </c>
      <c r="X90" s="107"/>
    </row>
    <row r="91" spans="1:24">
      <c r="A91" s="115">
        <v>89</v>
      </c>
      <c r="B91" s="116">
        <v>3</v>
      </c>
      <c r="C91" s="81" t="s">
        <v>128</v>
      </c>
      <c r="D91" s="111" t="s">
        <v>240</v>
      </c>
      <c r="E91" s="81" t="s">
        <v>106</v>
      </c>
      <c r="F91" s="52">
        <v>5.4</v>
      </c>
      <c r="G91" s="52">
        <f t="shared" si="8"/>
        <v>6.37</v>
      </c>
      <c r="H91" s="110"/>
      <c r="I91" s="81">
        <f>VLOOKUP(C91,Recipes!$A$2:$N$4,10,FALSE())</f>
        <v>10.940000000000001</v>
      </c>
      <c r="J91" s="81">
        <f>VLOOKUP(C91,Recipes!$A$2:$N$4,12,FALSE())</f>
        <v>5.2703573566378441E-2</v>
      </c>
      <c r="K91" s="81">
        <f t="shared" si="9"/>
        <v>10.781889279300866</v>
      </c>
      <c r="L91" s="81">
        <f t="shared" si="10"/>
        <v>11.098110720699136</v>
      </c>
      <c r="M91" s="81" t="str">
        <f t="shared" si="11"/>
        <v>NG</v>
      </c>
      <c r="N91" s="117">
        <f t="shared" si="12"/>
        <v>1</v>
      </c>
      <c r="O91" s="81">
        <f t="shared" si="13"/>
        <v>4.5700000000000012</v>
      </c>
      <c r="P91" s="81">
        <f>IF(G91="","",ABS(O91-Components!$C$2)/Components!$D$2)</f>
        <v>274.87995785082927</v>
      </c>
      <c r="Q91" s="81">
        <f>IF(G91="","",ABS(O91-Components!$C$3)/Components!$D$3)</f>
        <v>38.705324878020207</v>
      </c>
      <c r="R91" s="81">
        <f>IF(G91="","",ABS(O91-Components!$C$4)/Components!$D$4)</f>
        <v>255.86662043138929</v>
      </c>
      <c r="S91" s="81">
        <f>IF(G91="","",ABS(O91-Components!$C$5)/Components!$D$5)</f>
        <v>0.29123859259167773</v>
      </c>
      <c r="T91" s="81">
        <f>IF(G91="","",ABS(O91-Components!$C$6)/Components!$D$6)</f>
        <v>123.5801745192438</v>
      </c>
      <c r="U91" s="81">
        <f>IF(G91="","",ABS(O91-Components!$C$7)/Components!$D$7)</f>
        <v>127.08675084683223</v>
      </c>
      <c r="V91" s="81" t="str">
        <f>IF(G91="","",IF(M91="OK","NONE",INDEX({"S1","S2","W1","W2","N1","N2"},MATCH(MIN(P91:U91),P91:U91,0))))</f>
        <v>W2</v>
      </c>
      <c r="W91" s="117">
        <f t="shared" si="14"/>
        <v>1</v>
      </c>
      <c r="X91" s="107"/>
    </row>
    <row r="92" spans="1:24">
      <c r="A92" s="115">
        <v>90</v>
      </c>
      <c r="B92" s="116">
        <v>3</v>
      </c>
      <c r="C92" s="81" t="s">
        <v>128</v>
      </c>
      <c r="D92" s="111" t="s">
        <v>240</v>
      </c>
      <c r="E92" s="81" t="s">
        <v>106</v>
      </c>
      <c r="F92" s="52">
        <v>5.42</v>
      </c>
      <c r="G92" s="52">
        <f t="shared" si="8"/>
        <v>6.39</v>
      </c>
      <c r="H92" s="110"/>
      <c r="I92" s="81">
        <f>VLOOKUP(C92,Recipes!$A$2:$N$4,10,FALSE())</f>
        <v>10.940000000000001</v>
      </c>
      <c r="J92" s="81">
        <f>VLOOKUP(C92,Recipes!$A$2:$N$4,12,FALSE())</f>
        <v>5.2703573566378441E-2</v>
      </c>
      <c r="K92" s="81">
        <f t="shared" si="9"/>
        <v>10.781889279300866</v>
      </c>
      <c r="L92" s="81">
        <f t="shared" si="10"/>
        <v>11.098110720699136</v>
      </c>
      <c r="M92" s="81" t="str">
        <f t="shared" si="11"/>
        <v>NG</v>
      </c>
      <c r="N92" s="117">
        <f t="shared" si="12"/>
        <v>1</v>
      </c>
      <c r="O92" s="81">
        <f t="shared" si="13"/>
        <v>4.5500000000000016</v>
      </c>
      <c r="P92" s="81">
        <f>IF(G92="","",ABS(O92-Components!$C$2)/Components!$D$2)</f>
        <v>271.85375647999456</v>
      </c>
      <c r="Q92" s="81">
        <f>IF(G92="","",ABS(O92-Components!$C$3)/Components!$D$3)</f>
        <v>37.255687242139338</v>
      </c>
      <c r="R92" s="81">
        <f>IF(G92="","",ABS(O92-Components!$C$4)/Components!$D$4)</f>
        <v>254.43586579710382</v>
      </c>
      <c r="S92" s="81">
        <f>IF(G92="","",ABS(O92-Components!$C$5)/Components!$D$5)</f>
        <v>0.50304847811316089</v>
      </c>
      <c r="T92" s="81">
        <f>IF(G92="","",ABS(O92-Components!$C$6)/Components!$D$6)</f>
        <v>122.85628401146732</v>
      </c>
      <c r="U92" s="81">
        <f>IF(G92="","",ABS(O92-Components!$C$7)/Components!$D$7)</f>
        <v>126.29138159150629</v>
      </c>
      <c r="V92" s="81" t="str">
        <f>IF(G92="","",IF(M92="OK","NONE",INDEX({"S1","S2","W1","W2","N1","N2"},MATCH(MIN(P92:U92),P92:U92,0))))</f>
        <v>W2</v>
      </c>
      <c r="W92" s="117">
        <f t="shared" si="14"/>
        <v>1</v>
      </c>
      <c r="X92" s="107"/>
    </row>
    <row r="93" spans="1:24">
      <c r="A93" s="115">
        <v>91</v>
      </c>
      <c r="B93" s="116">
        <v>4</v>
      </c>
      <c r="C93" s="81" t="s">
        <v>128</v>
      </c>
      <c r="D93" s="111" t="s">
        <v>240</v>
      </c>
      <c r="E93" s="81" t="s">
        <v>110</v>
      </c>
      <c r="F93" s="52">
        <v>8.61</v>
      </c>
      <c r="G93" s="52">
        <f t="shared" si="8"/>
        <v>9.58</v>
      </c>
      <c r="H93" s="110"/>
      <c r="I93" s="81">
        <f>VLOOKUP(C93,Recipes!$A$2:$N$4,10,FALSE())</f>
        <v>10.940000000000001</v>
      </c>
      <c r="J93" s="81">
        <f>VLOOKUP(C93,Recipes!$A$2:$N$4,12,FALSE())</f>
        <v>5.2703573566378441E-2</v>
      </c>
      <c r="K93" s="81">
        <f t="shared" si="9"/>
        <v>10.781889279300866</v>
      </c>
      <c r="L93" s="81">
        <f t="shared" si="10"/>
        <v>11.098110720699136</v>
      </c>
      <c r="M93" s="81" t="str">
        <f t="shared" si="11"/>
        <v>NG</v>
      </c>
      <c r="N93" s="117">
        <f t="shared" si="12"/>
        <v>1</v>
      </c>
      <c r="O93" s="81">
        <f t="shared" si="13"/>
        <v>1.3600000000000012</v>
      </c>
      <c r="P93" s="81">
        <f>IF(G93="","",ABS(O93-Components!$C$2)/Components!$D$2)</f>
        <v>210.82536216815774</v>
      </c>
      <c r="Q93" s="81">
        <f>IF(G93="","",ABS(O93-Components!$C$3)/Components!$D$3)</f>
        <v>193.96151568086464</v>
      </c>
      <c r="R93" s="81">
        <f>IF(G93="","",ABS(O93-Components!$C$4)/Components!$D$4)</f>
        <v>26.230501628567506</v>
      </c>
      <c r="S93" s="81">
        <f>IF(G93="","",ABS(O93-Components!$C$5)/Components!$D$5)</f>
        <v>127.19183625553764</v>
      </c>
      <c r="T93" s="81">
        <f>IF(G93="","",ABS(O93-Components!$C$6)/Components!$D$6)</f>
        <v>7.395748021116443</v>
      </c>
      <c r="U93" s="81">
        <f>IF(G93="","",ABS(O93-Components!$C$7)/Components!$D$7)</f>
        <v>0.57001463298342292</v>
      </c>
      <c r="V93" s="81" t="str">
        <f>IF(G93="","",IF(M93="OK","NONE",INDEX({"S1","S2","W1","W2","N1","N2"},MATCH(MIN(P93:U93),P93:U93,0))))</f>
        <v>N2</v>
      </c>
      <c r="W93" s="117">
        <f t="shared" si="14"/>
        <v>1</v>
      </c>
      <c r="X93" s="107"/>
    </row>
    <row r="94" spans="1:24">
      <c r="A94" s="115">
        <v>92</v>
      </c>
      <c r="B94" s="116">
        <v>4</v>
      </c>
      <c r="C94" s="81" t="s">
        <v>128</v>
      </c>
      <c r="D94" s="111" t="s">
        <v>240</v>
      </c>
      <c r="E94" s="81" t="s">
        <v>110</v>
      </c>
      <c r="F94" s="52">
        <v>8.6199999999999992</v>
      </c>
      <c r="G94" s="52">
        <f t="shared" si="8"/>
        <v>9.59</v>
      </c>
      <c r="H94" s="110"/>
      <c r="I94" s="81">
        <f>VLOOKUP(C94,Recipes!$A$2:$N$4,10,FALSE())</f>
        <v>10.940000000000001</v>
      </c>
      <c r="J94" s="81">
        <f>VLOOKUP(C94,Recipes!$A$2:$N$4,12,FALSE())</f>
        <v>5.2703573566378441E-2</v>
      </c>
      <c r="K94" s="81">
        <f t="shared" si="9"/>
        <v>10.781889279300866</v>
      </c>
      <c r="L94" s="81">
        <f t="shared" si="10"/>
        <v>11.098110720699136</v>
      </c>
      <c r="M94" s="81" t="str">
        <f t="shared" si="11"/>
        <v>NG</v>
      </c>
      <c r="N94" s="117">
        <f t="shared" si="12"/>
        <v>1</v>
      </c>
      <c r="O94" s="81">
        <f t="shared" si="13"/>
        <v>1.3500000000000014</v>
      </c>
      <c r="P94" s="81">
        <f>IF(G94="","",ABS(O94-Components!$C$2)/Components!$D$2)</f>
        <v>212.33846285357509</v>
      </c>
      <c r="Q94" s="81">
        <f>IF(G94="","",ABS(O94-Components!$C$3)/Components!$D$3)</f>
        <v>194.68633449880505</v>
      </c>
      <c r="R94" s="81">
        <f>IF(G94="","",ABS(O94-Components!$C$4)/Components!$D$4)</f>
        <v>25.515124311424774</v>
      </c>
      <c r="S94" s="81">
        <f>IF(G94="","",ABS(O94-Components!$C$5)/Components!$D$5)</f>
        <v>127.58897979089005</v>
      </c>
      <c r="T94" s="81">
        <f>IF(G94="","",ABS(O94-Components!$C$6)/Components!$D$6)</f>
        <v>7.0338027672282033</v>
      </c>
      <c r="U94" s="81">
        <f>IF(G94="","",ABS(O94-Components!$C$7)/Components!$D$7)</f>
        <v>0.96769926064639156</v>
      </c>
      <c r="V94" s="81" t="str">
        <f>IF(G94="","",IF(M94="OK","NONE",INDEX({"S1","S2","W1","W2","N1","N2"},MATCH(MIN(P94:U94),P94:U94,0))))</f>
        <v>N2</v>
      </c>
      <c r="W94" s="117">
        <f t="shared" si="14"/>
        <v>1</v>
      </c>
      <c r="X94" s="107"/>
    </row>
    <row r="95" spans="1:24">
      <c r="A95" s="115">
        <v>93</v>
      </c>
      <c r="B95" s="116">
        <v>4</v>
      </c>
      <c r="C95" s="81" t="s">
        <v>128</v>
      </c>
      <c r="D95" s="111" t="s">
        <v>240</v>
      </c>
      <c r="E95" s="81" t="s">
        <v>110</v>
      </c>
      <c r="F95" s="52">
        <v>8.6300000000000008</v>
      </c>
      <c r="G95" s="52">
        <f t="shared" si="8"/>
        <v>9.6000000000000014</v>
      </c>
      <c r="H95" s="110"/>
      <c r="I95" s="81">
        <f>VLOOKUP(C95,Recipes!$A$2:$N$4,10,FALSE())</f>
        <v>10.940000000000001</v>
      </c>
      <c r="J95" s="81">
        <f>VLOOKUP(C95,Recipes!$A$2:$N$4,12,FALSE())</f>
        <v>5.2703573566378441E-2</v>
      </c>
      <c r="K95" s="81">
        <f t="shared" si="9"/>
        <v>10.781889279300866</v>
      </c>
      <c r="L95" s="81">
        <f t="shared" si="10"/>
        <v>11.098110720699136</v>
      </c>
      <c r="M95" s="81" t="str">
        <f t="shared" si="11"/>
        <v>NG</v>
      </c>
      <c r="N95" s="117">
        <f t="shared" si="12"/>
        <v>1</v>
      </c>
      <c r="O95" s="81">
        <f t="shared" si="13"/>
        <v>1.3399999999999999</v>
      </c>
      <c r="P95" s="81">
        <f>IF(G95="","",ABS(O95-Components!$C$2)/Components!$D$2)</f>
        <v>213.85156353899274</v>
      </c>
      <c r="Q95" s="81">
        <f>IF(G95="","",ABS(O95-Components!$C$3)/Components!$D$3)</f>
        <v>195.41115331674561</v>
      </c>
      <c r="R95" s="81">
        <f>IF(G95="","",ABS(O95-Components!$C$4)/Components!$D$4)</f>
        <v>24.799746994281914</v>
      </c>
      <c r="S95" s="81">
        <f>IF(G95="","",ABS(O95-Components!$C$5)/Components!$D$5)</f>
        <v>127.98612332624255</v>
      </c>
      <c r="T95" s="81">
        <f>IF(G95="","",ABS(O95-Components!$C$6)/Components!$D$6)</f>
        <v>6.6718575133398996</v>
      </c>
      <c r="U95" s="81">
        <f>IF(G95="","",ABS(O95-Components!$C$7)/Components!$D$7)</f>
        <v>1.3653838883094307</v>
      </c>
      <c r="V95" s="81" t="str">
        <f>IF(G95="","",IF(M95="OK","NONE",INDEX({"S1","S2","W1","W2","N1","N2"},MATCH(MIN(P95:U95),P95:U95,0))))</f>
        <v>N2</v>
      </c>
      <c r="W95" s="117">
        <f t="shared" si="14"/>
        <v>1</v>
      </c>
      <c r="X95" s="107"/>
    </row>
    <row r="96" spans="1:24">
      <c r="A96" s="115">
        <v>94</v>
      </c>
      <c r="B96" s="116">
        <v>4</v>
      </c>
      <c r="C96" s="81" t="s">
        <v>128</v>
      </c>
      <c r="D96" s="111" t="s">
        <v>240</v>
      </c>
      <c r="E96" s="81" t="s">
        <v>110</v>
      </c>
      <c r="F96" s="52">
        <v>8.6199999999999992</v>
      </c>
      <c r="G96" s="52">
        <f t="shared" si="8"/>
        <v>9.59</v>
      </c>
      <c r="H96" s="110"/>
      <c r="I96" s="81">
        <f>VLOOKUP(C96,Recipes!$A$2:$N$4,10,FALSE())</f>
        <v>10.940000000000001</v>
      </c>
      <c r="J96" s="81">
        <f>VLOOKUP(C96,Recipes!$A$2:$N$4,12,FALSE())</f>
        <v>5.2703573566378441E-2</v>
      </c>
      <c r="K96" s="81">
        <f t="shared" si="9"/>
        <v>10.781889279300866</v>
      </c>
      <c r="L96" s="81">
        <f t="shared" si="10"/>
        <v>11.098110720699136</v>
      </c>
      <c r="M96" s="81" t="str">
        <f t="shared" si="11"/>
        <v>NG</v>
      </c>
      <c r="N96" s="117">
        <f t="shared" si="12"/>
        <v>1</v>
      </c>
      <c r="O96" s="81">
        <f t="shared" si="13"/>
        <v>1.3500000000000014</v>
      </c>
      <c r="P96" s="81">
        <f>IF(G96="","",ABS(O96-Components!$C$2)/Components!$D$2)</f>
        <v>212.33846285357509</v>
      </c>
      <c r="Q96" s="81">
        <f>IF(G96="","",ABS(O96-Components!$C$3)/Components!$D$3)</f>
        <v>194.68633449880505</v>
      </c>
      <c r="R96" s="81">
        <f>IF(G96="","",ABS(O96-Components!$C$4)/Components!$D$4)</f>
        <v>25.515124311424774</v>
      </c>
      <c r="S96" s="81">
        <f>IF(G96="","",ABS(O96-Components!$C$5)/Components!$D$5)</f>
        <v>127.58897979089005</v>
      </c>
      <c r="T96" s="81">
        <f>IF(G96="","",ABS(O96-Components!$C$6)/Components!$D$6)</f>
        <v>7.0338027672282033</v>
      </c>
      <c r="U96" s="81">
        <f>IF(G96="","",ABS(O96-Components!$C$7)/Components!$D$7)</f>
        <v>0.96769926064639156</v>
      </c>
      <c r="V96" s="81" t="str">
        <f>IF(G96="","",IF(M96="OK","NONE",INDEX({"S1","S2","W1","W2","N1","N2"},MATCH(MIN(P96:U96),P96:U96,0))))</f>
        <v>N2</v>
      </c>
      <c r="W96" s="117">
        <f t="shared" si="14"/>
        <v>1</v>
      </c>
      <c r="X96" s="107"/>
    </row>
    <row r="97" spans="1:24">
      <c r="A97" s="115">
        <v>95</v>
      </c>
      <c r="B97" s="116">
        <v>4</v>
      </c>
      <c r="C97" s="81" t="s">
        <v>128</v>
      </c>
      <c r="D97" s="111" t="s">
        <v>240</v>
      </c>
      <c r="E97" s="81" t="s">
        <v>110</v>
      </c>
      <c r="F97" s="52">
        <v>8.5399999999999991</v>
      </c>
      <c r="G97" s="52">
        <f t="shared" si="8"/>
        <v>9.51</v>
      </c>
      <c r="H97" s="110"/>
      <c r="I97" s="81">
        <f>VLOOKUP(C97,Recipes!$A$2:$N$4,10,FALSE())</f>
        <v>10.940000000000001</v>
      </c>
      <c r="J97" s="81">
        <f>VLOOKUP(C97,Recipes!$A$2:$N$4,12,FALSE())</f>
        <v>5.2703573566378441E-2</v>
      </c>
      <c r="K97" s="81">
        <f t="shared" si="9"/>
        <v>10.781889279300866</v>
      </c>
      <c r="L97" s="81">
        <f t="shared" si="10"/>
        <v>11.098110720699136</v>
      </c>
      <c r="M97" s="81" t="str">
        <f t="shared" si="11"/>
        <v>NG</v>
      </c>
      <c r="N97" s="117">
        <f t="shared" si="12"/>
        <v>1</v>
      </c>
      <c r="O97" s="81">
        <f t="shared" si="13"/>
        <v>1.4300000000000015</v>
      </c>
      <c r="P97" s="81">
        <f>IF(G97="","",ABS(O97-Components!$C$2)/Components!$D$2)</f>
        <v>200.23365737023585</v>
      </c>
      <c r="Q97" s="81">
        <f>IF(G97="","",ABS(O97-Components!$C$3)/Components!$D$3)</f>
        <v>188.88778395528144</v>
      </c>
      <c r="R97" s="81">
        <f>IF(G97="","",ABS(O97-Components!$C$4)/Components!$D$4)</f>
        <v>31.238142848566753</v>
      </c>
      <c r="S97" s="81">
        <f>IF(G97="","",ABS(O97-Components!$C$5)/Components!$D$5)</f>
        <v>124.41183150807063</v>
      </c>
      <c r="T97" s="81">
        <f>IF(G97="","",ABS(O97-Components!$C$6)/Components!$D$6)</f>
        <v>9.9293647983341842</v>
      </c>
      <c r="U97" s="81">
        <f>IF(G97="","",ABS(O97-Components!$C$7)/Components!$D$7)</f>
        <v>2.213777760657428</v>
      </c>
      <c r="V97" s="81" t="str">
        <f>IF(G97="","",IF(M97="OK","NONE",INDEX({"S1","S2","W1","W2","N1","N2"},MATCH(MIN(P97:U97),P97:U97,0))))</f>
        <v>N2</v>
      </c>
      <c r="W97" s="117">
        <f t="shared" si="14"/>
        <v>1</v>
      </c>
      <c r="X97" s="107"/>
    </row>
    <row r="98" spans="1:24">
      <c r="A98" s="115">
        <v>96</v>
      </c>
      <c r="B98" s="116">
        <v>4</v>
      </c>
      <c r="C98" s="81" t="s">
        <v>128</v>
      </c>
      <c r="D98" s="111" t="s">
        <v>240</v>
      </c>
      <c r="E98" s="81" t="s">
        <v>110</v>
      </c>
      <c r="F98" s="52">
        <v>8.48</v>
      </c>
      <c r="G98" s="52">
        <f t="shared" si="8"/>
        <v>9.4500000000000011</v>
      </c>
      <c r="H98" s="110"/>
      <c r="I98" s="81">
        <f>VLOOKUP(C98,Recipes!$A$2:$N$4,10,FALSE())</f>
        <v>10.940000000000001</v>
      </c>
      <c r="J98" s="81">
        <f>VLOOKUP(C98,Recipes!$A$2:$N$4,12,FALSE())</f>
        <v>5.2703573566378441E-2</v>
      </c>
      <c r="K98" s="81">
        <f t="shared" si="9"/>
        <v>10.781889279300866</v>
      </c>
      <c r="L98" s="81">
        <f t="shared" si="10"/>
        <v>11.098110720699136</v>
      </c>
      <c r="M98" s="81" t="str">
        <f t="shared" si="11"/>
        <v>NG</v>
      </c>
      <c r="N98" s="117">
        <f t="shared" si="12"/>
        <v>1</v>
      </c>
      <c r="O98" s="81">
        <f t="shared" si="13"/>
        <v>1.4900000000000002</v>
      </c>
      <c r="P98" s="81">
        <f>IF(G98="","",ABS(O98-Components!$C$2)/Components!$D$2)</f>
        <v>191.15505325773162</v>
      </c>
      <c r="Q98" s="81">
        <f>IF(G98="","",ABS(O98-Components!$C$3)/Components!$D$3)</f>
        <v>184.53887104763882</v>
      </c>
      <c r="R98" s="81">
        <f>IF(G98="","",ABS(O98-Components!$C$4)/Components!$D$4)</f>
        <v>35.530406751423143</v>
      </c>
      <c r="S98" s="81">
        <f>IF(G98="","",ABS(O98-Components!$C$5)/Components!$D$5)</f>
        <v>122.02897029595611</v>
      </c>
      <c r="T98" s="81">
        <f>IF(G98="","",ABS(O98-Components!$C$6)/Components!$D$6)</f>
        <v>12.101036321663621</v>
      </c>
      <c r="U98" s="81">
        <f>IF(G98="","",ABS(O98-Components!$C$7)/Components!$D$7)</f>
        <v>4.5998855266352399</v>
      </c>
      <c r="V98" s="81" t="str">
        <f>IF(G98="","",IF(M98="OK","NONE",INDEX({"S1","S2","W1","W2","N1","N2"},MATCH(MIN(P98:U98),P98:U98,0))))</f>
        <v>N2</v>
      </c>
      <c r="W98" s="117">
        <f t="shared" si="14"/>
        <v>1</v>
      </c>
      <c r="X98" s="107"/>
    </row>
    <row r="99" spans="1:24">
      <c r="A99" s="115">
        <v>97</v>
      </c>
      <c r="B99" s="116">
        <v>4</v>
      </c>
      <c r="C99" s="81" t="s">
        <v>128</v>
      </c>
      <c r="D99" s="111" t="s">
        <v>240</v>
      </c>
      <c r="E99" s="81" t="s">
        <v>110</v>
      </c>
      <c r="F99" s="52">
        <v>8.6</v>
      </c>
      <c r="G99" s="52">
        <f t="shared" si="8"/>
        <v>9.57</v>
      </c>
      <c r="H99" s="110"/>
      <c r="I99" s="81">
        <f>VLOOKUP(C99,Recipes!$A$2:$N$4,10,FALSE())</f>
        <v>10.940000000000001</v>
      </c>
      <c r="J99" s="81">
        <f>VLOOKUP(C99,Recipes!$A$2:$N$4,12,FALSE())</f>
        <v>5.2703573566378441E-2</v>
      </c>
      <c r="K99" s="81">
        <f t="shared" si="9"/>
        <v>10.781889279300866</v>
      </c>
      <c r="L99" s="81">
        <f t="shared" si="10"/>
        <v>11.098110720699136</v>
      </c>
      <c r="M99" s="81" t="str">
        <f t="shared" si="11"/>
        <v>NG</v>
      </c>
      <c r="N99" s="117">
        <f t="shared" si="12"/>
        <v>1</v>
      </c>
      <c r="O99" s="81">
        <f t="shared" si="13"/>
        <v>1.370000000000001</v>
      </c>
      <c r="P99" s="81">
        <f>IF(G99="","",ABS(O99-Components!$C$2)/Components!$D$2)</f>
        <v>209.31226148274035</v>
      </c>
      <c r="Q99" s="81">
        <f>IF(G99="","",ABS(O99-Components!$C$3)/Components!$D$3)</f>
        <v>193.23669686292419</v>
      </c>
      <c r="R99" s="81">
        <f>IF(G99="","",ABS(O99-Components!$C$4)/Components!$D$4)</f>
        <v>26.945878945710238</v>
      </c>
      <c r="S99" s="81">
        <f>IF(G99="","",ABS(O99-Components!$C$5)/Components!$D$5)</f>
        <v>126.79469272018522</v>
      </c>
      <c r="T99" s="81">
        <f>IF(G99="","",ABS(O99-Components!$C$6)/Components!$D$6)</f>
        <v>7.7576932750046828</v>
      </c>
      <c r="U99" s="81">
        <f>IF(G99="","",ABS(O99-Components!$C$7)/Components!$D$7)</f>
        <v>0.17233000532045431</v>
      </c>
      <c r="V99" s="81" t="str">
        <f>IF(G99="","",IF(M99="OK","NONE",INDEX({"S1","S2","W1","W2","N1","N2"},MATCH(MIN(P99:U99),P99:U99,0))))</f>
        <v>N2</v>
      </c>
      <c r="W99" s="117">
        <f t="shared" si="14"/>
        <v>1</v>
      </c>
      <c r="X99" s="107"/>
    </row>
    <row r="100" spans="1:24">
      <c r="A100" s="115">
        <v>98</v>
      </c>
      <c r="B100" s="116">
        <v>4</v>
      </c>
      <c r="C100" s="81" t="s">
        <v>128</v>
      </c>
      <c r="D100" s="111" t="s">
        <v>240</v>
      </c>
      <c r="E100" s="81" t="s">
        <v>110</v>
      </c>
      <c r="F100" s="52">
        <v>8.6300000000000008</v>
      </c>
      <c r="G100" s="52">
        <f t="shared" si="8"/>
        <v>9.6000000000000014</v>
      </c>
      <c r="H100" s="110"/>
      <c r="I100" s="81">
        <f>VLOOKUP(C100,Recipes!$A$2:$N$4,10,FALSE())</f>
        <v>10.940000000000001</v>
      </c>
      <c r="J100" s="81">
        <f>VLOOKUP(C100,Recipes!$A$2:$N$4,12,FALSE())</f>
        <v>5.2703573566378441E-2</v>
      </c>
      <c r="K100" s="81">
        <f t="shared" si="9"/>
        <v>10.781889279300866</v>
      </c>
      <c r="L100" s="81">
        <f t="shared" si="10"/>
        <v>11.098110720699136</v>
      </c>
      <c r="M100" s="81" t="str">
        <f t="shared" si="11"/>
        <v>NG</v>
      </c>
      <c r="N100" s="117">
        <f t="shared" si="12"/>
        <v>1</v>
      </c>
      <c r="O100" s="81">
        <f t="shared" si="13"/>
        <v>1.3399999999999999</v>
      </c>
      <c r="P100" s="81">
        <f>IF(G100="","",ABS(O100-Components!$C$2)/Components!$D$2)</f>
        <v>213.85156353899274</v>
      </c>
      <c r="Q100" s="81">
        <f>IF(G100="","",ABS(O100-Components!$C$3)/Components!$D$3)</f>
        <v>195.41115331674561</v>
      </c>
      <c r="R100" s="81">
        <f>IF(G100="","",ABS(O100-Components!$C$4)/Components!$D$4)</f>
        <v>24.799746994281914</v>
      </c>
      <c r="S100" s="81">
        <f>IF(G100="","",ABS(O100-Components!$C$5)/Components!$D$5)</f>
        <v>127.98612332624255</v>
      </c>
      <c r="T100" s="81">
        <f>IF(G100="","",ABS(O100-Components!$C$6)/Components!$D$6)</f>
        <v>6.6718575133398996</v>
      </c>
      <c r="U100" s="81">
        <f>IF(G100="","",ABS(O100-Components!$C$7)/Components!$D$7)</f>
        <v>1.3653838883094307</v>
      </c>
      <c r="V100" s="81" t="str">
        <f>IF(G100="","",IF(M100="OK","NONE",INDEX({"S1","S2","W1","W2","N1","N2"},MATCH(MIN(P100:U100),P100:U100,0))))</f>
        <v>N2</v>
      </c>
      <c r="W100" s="117">
        <f t="shared" si="14"/>
        <v>1</v>
      </c>
      <c r="X100" s="107"/>
    </row>
    <row r="101" spans="1:24">
      <c r="A101" s="115">
        <v>99</v>
      </c>
      <c r="B101" s="116">
        <v>4</v>
      </c>
      <c r="C101" s="81" t="s">
        <v>128</v>
      </c>
      <c r="D101" s="111" t="s">
        <v>240</v>
      </c>
      <c r="E101" s="81" t="s">
        <v>110</v>
      </c>
      <c r="F101" s="52">
        <v>8.6</v>
      </c>
      <c r="G101" s="52">
        <f t="shared" si="8"/>
        <v>9.57</v>
      </c>
      <c r="H101" s="110"/>
      <c r="I101" s="81">
        <f>VLOOKUP(C101,Recipes!$A$2:$N$4,10,FALSE())</f>
        <v>10.940000000000001</v>
      </c>
      <c r="J101" s="81">
        <f>VLOOKUP(C101,Recipes!$A$2:$N$4,12,FALSE())</f>
        <v>5.2703573566378441E-2</v>
      </c>
      <c r="K101" s="81">
        <f t="shared" si="9"/>
        <v>10.781889279300866</v>
      </c>
      <c r="L101" s="81">
        <f t="shared" si="10"/>
        <v>11.098110720699136</v>
      </c>
      <c r="M101" s="81" t="str">
        <f t="shared" si="11"/>
        <v>NG</v>
      </c>
      <c r="N101" s="117">
        <f t="shared" si="12"/>
        <v>1</v>
      </c>
      <c r="O101" s="81">
        <f t="shared" si="13"/>
        <v>1.370000000000001</v>
      </c>
      <c r="P101" s="81">
        <f>IF(G101="","",ABS(O101-Components!$C$2)/Components!$D$2)</f>
        <v>209.31226148274035</v>
      </c>
      <c r="Q101" s="81">
        <f>IF(G101="","",ABS(O101-Components!$C$3)/Components!$D$3)</f>
        <v>193.23669686292419</v>
      </c>
      <c r="R101" s="81">
        <f>IF(G101="","",ABS(O101-Components!$C$4)/Components!$D$4)</f>
        <v>26.945878945710238</v>
      </c>
      <c r="S101" s="81">
        <f>IF(G101="","",ABS(O101-Components!$C$5)/Components!$D$5)</f>
        <v>126.79469272018522</v>
      </c>
      <c r="T101" s="81">
        <f>IF(G101="","",ABS(O101-Components!$C$6)/Components!$D$6)</f>
        <v>7.7576932750046828</v>
      </c>
      <c r="U101" s="81">
        <f>IF(G101="","",ABS(O101-Components!$C$7)/Components!$D$7)</f>
        <v>0.17233000532045431</v>
      </c>
      <c r="V101" s="81" t="str">
        <f>IF(G101="","",IF(M101="OK","NONE",INDEX({"S1","S2","W1","W2","N1","N2"},MATCH(MIN(P101:U101),P101:U101,0))))</f>
        <v>N2</v>
      </c>
      <c r="W101" s="117">
        <f t="shared" si="14"/>
        <v>1</v>
      </c>
      <c r="X101" s="107"/>
    </row>
    <row r="102" spans="1:24">
      <c r="A102" s="115">
        <v>100</v>
      </c>
      <c r="B102" s="116">
        <v>4</v>
      </c>
      <c r="C102" s="81" t="s">
        <v>128</v>
      </c>
      <c r="D102" s="111" t="s">
        <v>240</v>
      </c>
      <c r="E102" s="81" t="s">
        <v>110</v>
      </c>
      <c r="F102" s="52">
        <v>8.6199999999999992</v>
      </c>
      <c r="G102" s="52">
        <f t="shared" si="8"/>
        <v>9.59</v>
      </c>
      <c r="H102" s="110"/>
      <c r="I102" s="81">
        <f>VLOOKUP(C102,Recipes!$A$2:$N$4,10,FALSE())</f>
        <v>10.940000000000001</v>
      </c>
      <c r="J102" s="81">
        <f>VLOOKUP(C102,Recipes!$A$2:$N$4,12,FALSE())</f>
        <v>5.2703573566378441E-2</v>
      </c>
      <c r="K102" s="81">
        <f t="shared" si="9"/>
        <v>10.781889279300866</v>
      </c>
      <c r="L102" s="81">
        <f t="shared" si="10"/>
        <v>11.098110720699136</v>
      </c>
      <c r="M102" s="81" t="str">
        <f t="shared" si="11"/>
        <v>NG</v>
      </c>
      <c r="N102" s="117">
        <f t="shared" si="12"/>
        <v>1</v>
      </c>
      <c r="O102" s="81">
        <f t="shared" si="13"/>
        <v>1.3500000000000014</v>
      </c>
      <c r="P102" s="81">
        <f>IF(G102="","",ABS(O102-Components!$C$2)/Components!$D$2)</f>
        <v>212.33846285357509</v>
      </c>
      <c r="Q102" s="81">
        <f>IF(G102="","",ABS(O102-Components!$C$3)/Components!$D$3)</f>
        <v>194.68633449880505</v>
      </c>
      <c r="R102" s="81">
        <f>IF(G102="","",ABS(O102-Components!$C$4)/Components!$D$4)</f>
        <v>25.515124311424774</v>
      </c>
      <c r="S102" s="81">
        <f>IF(G102="","",ABS(O102-Components!$C$5)/Components!$D$5)</f>
        <v>127.58897979089005</v>
      </c>
      <c r="T102" s="81">
        <f>IF(G102="","",ABS(O102-Components!$C$6)/Components!$D$6)</f>
        <v>7.0338027672282033</v>
      </c>
      <c r="U102" s="81">
        <f>IF(G102="","",ABS(O102-Components!$C$7)/Components!$D$7)</f>
        <v>0.96769926064639156</v>
      </c>
      <c r="V102" s="81" t="str">
        <f>IF(G102="","",IF(M102="OK","NONE",INDEX({"S1","S2","W1","W2","N1","N2"},MATCH(MIN(P102:U102),P102:U102,0))))</f>
        <v>N2</v>
      </c>
      <c r="W102" s="117">
        <f t="shared" si="14"/>
        <v>1</v>
      </c>
      <c r="X102" s="107"/>
    </row>
    <row r="103" spans="1:24">
      <c r="A103" s="115">
        <v>101</v>
      </c>
      <c r="B103" s="116">
        <v>4</v>
      </c>
      <c r="C103" s="81" t="s">
        <v>128</v>
      </c>
      <c r="D103" s="111" t="s">
        <v>240</v>
      </c>
      <c r="E103" s="81" t="s">
        <v>110</v>
      </c>
      <c r="F103" s="52">
        <v>8.6</v>
      </c>
      <c r="G103" s="52">
        <f t="shared" si="8"/>
        <v>9.57</v>
      </c>
      <c r="H103" s="110"/>
      <c r="I103" s="81">
        <f>VLOOKUP(C103,Recipes!$A$2:$N$4,10,FALSE())</f>
        <v>10.940000000000001</v>
      </c>
      <c r="J103" s="81">
        <f>VLOOKUP(C103,Recipes!$A$2:$N$4,12,FALSE())</f>
        <v>5.2703573566378441E-2</v>
      </c>
      <c r="K103" s="81">
        <f t="shared" si="9"/>
        <v>10.781889279300866</v>
      </c>
      <c r="L103" s="81">
        <f t="shared" si="10"/>
        <v>11.098110720699136</v>
      </c>
      <c r="M103" s="81" t="str">
        <f t="shared" si="11"/>
        <v>NG</v>
      </c>
      <c r="N103" s="117">
        <f t="shared" si="12"/>
        <v>1</v>
      </c>
      <c r="O103" s="81">
        <f t="shared" si="13"/>
        <v>1.370000000000001</v>
      </c>
      <c r="P103" s="81">
        <f>IF(G103="","",ABS(O103-Components!$C$2)/Components!$D$2)</f>
        <v>209.31226148274035</v>
      </c>
      <c r="Q103" s="81">
        <f>IF(G103="","",ABS(O103-Components!$C$3)/Components!$D$3)</f>
        <v>193.23669686292419</v>
      </c>
      <c r="R103" s="81">
        <f>IF(G103="","",ABS(O103-Components!$C$4)/Components!$D$4)</f>
        <v>26.945878945710238</v>
      </c>
      <c r="S103" s="81">
        <f>IF(G103="","",ABS(O103-Components!$C$5)/Components!$D$5)</f>
        <v>126.79469272018522</v>
      </c>
      <c r="T103" s="81">
        <f>IF(G103="","",ABS(O103-Components!$C$6)/Components!$D$6)</f>
        <v>7.7576932750046828</v>
      </c>
      <c r="U103" s="81">
        <f>IF(G103="","",ABS(O103-Components!$C$7)/Components!$D$7)</f>
        <v>0.17233000532045431</v>
      </c>
      <c r="V103" s="81" t="str">
        <f>IF(G103="","",IF(M103="OK","NONE",INDEX({"S1","S2","W1","W2","N1","N2"},MATCH(MIN(P103:U103),P103:U103,0))))</f>
        <v>N2</v>
      </c>
      <c r="W103" s="117">
        <f t="shared" si="14"/>
        <v>1</v>
      </c>
      <c r="X103" s="107"/>
    </row>
    <row r="104" spans="1:24">
      <c r="A104" s="115">
        <v>102</v>
      </c>
      <c r="B104" s="116">
        <v>4</v>
      </c>
      <c r="C104" s="81" t="s">
        <v>128</v>
      </c>
      <c r="D104" s="111" t="s">
        <v>240</v>
      </c>
      <c r="E104" s="81" t="s">
        <v>110</v>
      </c>
      <c r="F104" s="52">
        <v>8.5399999999999991</v>
      </c>
      <c r="G104" s="52">
        <f t="shared" si="8"/>
        <v>9.51</v>
      </c>
      <c r="H104" s="110"/>
      <c r="I104" s="81">
        <f>VLOOKUP(C104,Recipes!$A$2:$N$4,10,FALSE())</f>
        <v>10.940000000000001</v>
      </c>
      <c r="J104" s="81">
        <f>VLOOKUP(C104,Recipes!$A$2:$N$4,12,FALSE())</f>
        <v>5.2703573566378441E-2</v>
      </c>
      <c r="K104" s="81">
        <f t="shared" si="9"/>
        <v>10.781889279300866</v>
      </c>
      <c r="L104" s="81">
        <f t="shared" si="10"/>
        <v>11.098110720699136</v>
      </c>
      <c r="M104" s="81" t="str">
        <f t="shared" si="11"/>
        <v>NG</v>
      </c>
      <c r="N104" s="117">
        <f t="shared" si="12"/>
        <v>1</v>
      </c>
      <c r="O104" s="81">
        <f t="shared" si="13"/>
        <v>1.4300000000000015</v>
      </c>
      <c r="P104" s="81">
        <f>IF(G104="","",ABS(O104-Components!$C$2)/Components!$D$2)</f>
        <v>200.23365737023585</v>
      </c>
      <c r="Q104" s="81">
        <f>IF(G104="","",ABS(O104-Components!$C$3)/Components!$D$3)</f>
        <v>188.88778395528144</v>
      </c>
      <c r="R104" s="81">
        <f>IF(G104="","",ABS(O104-Components!$C$4)/Components!$D$4)</f>
        <v>31.238142848566753</v>
      </c>
      <c r="S104" s="81">
        <f>IF(G104="","",ABS(O104-Components!$C$5)/Components!$D$5)</f>
        <v>124.41183150807063</v>
      </c>
      <c r="T104" s="81">
        <f>IF(G104="","",ABS(O104-Components!$C$6)/Components!$D$6)</f>
        <v>9.9293647983341842</v>
      </c>
      <c r="U104" s="81">
        <f>IF(G104="","",ABS(O104-Components!$C$7)/Components!$D$7)</f>
        <v>2.213777760657428</v>
      </c>
      <c r="V104" s="81" t="str">
        <f>IF(G104="","",IF(M104="OK","NONE",INDEX({"S1","S2","W1","W2","N1","N2"},MATCH(MIN(P104:U104),P104:U104,0))))</f>
        <v>N2</v>
      </c>
      <c r="W104" s="117">
        <f t="shared" si="14"/>
        <v>1</v>
      </c>
      <c r="X104" s="107"/>
    </row>
    <row r="105" spans="1:24">
      <c r="A105" s="115">
        <v>103</v>
      </c>
      <c r="B105" s="116">
        <v>4</v>
      </c>
      <c r="C105" s="81" t="s">
        <v>128</v>
      </c>
      <c r="D105" s="111" t="s">
        <v>240</v>
      </c>
      <c r="E105" s="81" t="s">
        <v>110</v>
      </c>
      <c r="F105" s="52">
        <v>8.64</v>
      </c>
      <c r="G105" s="52">
        <f t="shared" si="8"/>
        <v>9.6100000000000012</v>
      </c>
      <c r="H105" s="110"/>
      <c r="I105" s="81">
        <f>VLOOKUP(C105,Recipes!$A$2:$N$4,10,FALSE())</f>
        <v>10.940000000000001</v>
      </c>
      <c r="J105" s="81">
        <f>VLOOKUP(C105,Recipes!$A$2:$N$4,12,FALSE())</f>
        <v>5.2703573566378441E-2</v>
      </c>
      <c r="K105" s="81">
        <f t="shared" si="9"/>
        <v>10.781889279300866</v>
      </c>
      <c r="L105" s="81">
        <f t="shared" si="10"/>
        <v>11.098110720699136</v>
      </c>
      <c r="M105" s="81" t="str">
        <f t="shared" si="11"/>
        <v>NG</v>
      </c>
      <c r="N105" s="117">
        <f t="shared" si="12"/>
        <v>1</v>
      </c>
      <c r="O105" s="81">
        <f t="shared" si="13"/>
        <v>1.33</v>
      </c>
      <c r="P105" s="81">
        <f>IF(G105="","",ABS(O105-Components!$C$2)/Components!$D$2)</f>
        <v>215.36466422441012</v>
      </c>
      <c r="Q105" s="81">
        <f>IF(G105="","",ABS(O105-Components!$C$3)/Components!$D$3)</f>
        <v>196.13597213468606</v>
      </c>
      <c r="R105" s="81">
        <f>IF(G105="","",ABS(O105-Components!$C$4)/Components!$D$4)</f>
        <v>24.084369677139183</v>
      </c>
      <c r="S105" s="81">
        <f>IF(G105="","",ABS(O105-Components!$C$5)/Components!$D$5)</f>
        <v>128.38326686159496</v>
      </c>
      <c r="T105" s="81">
        <f>IF(G105="","",ABS(O105-Components!$C$6)/Components!$D$6)</f>
        <v>6.3099122594516599</v>
      </c>
      <c r="U105" s="81">
        <f>IF(G105="","",ABS(O105-Components!$C$7)/Components!$D$7)</f>
        <v>1.7630685159723993</v>
      </c>
      <c r="V105" s="81" t="str">
        <f>IF(G105="","",IF(M105="OK","NONE",INDEX({"S1","S2","W1","W2","N1","N2"},MATCH(MIN(P105:U105),P105:U105,0))))</f>
        <v>N2</v>
      </c>
      <c r="W105" s="117">
        <f t="shared" si="14"/>
        <v>1</v>
      </c>
      <c r="X105" s="107"/>
    </row>
    <row r="106" spans="1:24">
      <c r="A106" s="115">
        <v>104</v>
      </c>
      <c r="B106" s="116">
        <v>4</v>
      </c>
      <c r="C106" s="81" t="s">
        <v>128</v>
      </c>
      <c r="D106" s="111" t="s">
        <v>240</v>
      </c>
      <c r="E106" s="81" t="s">
        <v>110</v>
      </c>
      <c r="F106" s="52">
        <v>8.6</v>
      </c>
      <c r="G106" s="52">
        <f t="shared" si="8"/>
        <v>9.57</v>
      </c>
      <c r="H106" s="110"/>
      <c r="I106" s="81">
        <f>VLOOKUP(C106,Recipes!$A$2:$N$4,10,FALSE())</f>
        <v>10.940000000000001</v>
      </c>
      <c r="J106" s="81">
        <f>VLOOKUP(C106,Recipes!$A$2:$N$4,12,FALSE())</f>
        <v>5.2703573566378441E-2</v>
      </c>
      <c r="K106" s="81">
        <f t="shared" si="9"/>
        <v>10.781889279300866</v>
      </c>
      <c r="L106" s="81">
        <f t="shared" si="10"/>
        <v>11.098110720699136</v>
      </c>
      <c r="M106" s="81" t="str">
        <f t="shared" si="11"/>
        <v>NG</v>
      </c>
      <c r="N106" s="117">
        <f t="shared" si="12"/>
        <v>1</v>
      </c>
      <c r="O106" s="81">
        <f t="shared" si="13"/>
        <v>1.370000000000001</v>
      </c>
      <c r="P106" s="81">
        <f>IF(G106="","",ABS(O106-Components!$C$2)/Components!$D$2)</f>
        <v>209.31226148274035</v>
      </c>
      <c r="Q106" s="81">
        <f>IF(G106="","",ABS(O106-Components!$C$3)/Components!$D$3)</f>
        <v>193.23669686292419</v>
      </c>
      <c r="R106" s="81">
        <f>IF(G106="","",ABS(O106-Components!$C$4)/Components!$D$4)</f>
        <v>26.945878945710238</v>
      </c>
      <c r="S106" s="81">
        <f>IF(G106="","",ABS(O106-Components!$C$5)/Components!$D$5)</f>
        <v>126.79469272018522</v>
      </c>
      <c r="T106" s="81">
        <f>IF(G106="","",ABS(O106-Components!$C$6)/Components!$D$6)</f>
        <v>7.7576932750046828</v>
      </c>
      <c r="U106" s="81">
        <f>IF(G106="","",ABS(O106-Components!$C$7)/Components!$D$7)</f>
        <v>0.17233000532045431</v>
      </c>
      <c r="V106" s="81" t="str">
        <f>IF(G106="","",IF(M106="OK","NONE",INDEX({"S1","S2","W1","W2","N1","N2"},MATCH(MIN(P106:U106),P106:U106,0))))</f>
        <v>N2</v>
      </c>
      <c r="W106" s="117">
        <f t="shared" si="14"/>
        <v>1</v>
      </c>
      <c r="X106" s="107"/>
    </row>
    <row r="107" spans="1:24">
      <c r="A107" s="115">
        <v>105</v>
      </c>
      <c r="B107" s="116">
        <v>4</v>
      </c>
      <c r="C107" s="81" t="s">
        <v>128</v>
      </c>
      <c r="D107" s="111" t="s">
        <v>240</v>
      </c>
      <c r="E107" s="81" t="s">
        <v>110</v>
      </c>
      <c r="F107" s="52">
        <v>8.59</v>
      </c>
      <c r="G107" s="52">
        <f t="shared" si="8"/>
        <v>9.56</v>
      </c>
      <c r="H107" s="110"/>
      <c r="I107" s="81">
        <f>VLOOKUP(C107,Recipes!$A$2:$N$4,10,FALSE())</f>
        <v>10.940000000000001</v>
      </c>
      <c r="J107" s="81">
        <f>VLOOKUP(C107,Recipes!$A$2:$N$4,12,FALSE())</f>
        <v>5.2703573566378441E-2</v>
      </c>
      <c r="K107" s="81">
        <f t="shared" si="9"/>
        <v>10.781889279300866</v>
      </c>
      <c r="L107" s="81">
        <f t="shared" si="10"/>
        <v>11.098110720699136</v>
      </c>
      <c r="M107" s="81" t="str">
        <f t="shared" si="11"/>
        <v>NG</v>
      </c>
      <c r="N107" s="117">
        <f t="shared" si="12"/>
        <v>1</v>
      </c>
      <c r="O107" s="81">
        <f t="shared" si="13"/>
        <v>1.3800000000000008</v>
      </c>
      <c r="P107" s="81">
        <f>IF(G107="","",ABS(O107-Components!$C$2)/Components!$D$2)</f>
        <v>207.799160797323</v>
      </c>
      <c r="Q107" s="81">
        <f>IF(G107="","",ABS(O107-Components!$C$3)/Components!$D$3)</f>
        <v>192.51187804498375</v>
      </c>
      <c r="R107" s="81">
        <f>IF(G107="","",ABS(O107-Components!$C$4)/Components!$D$4)</f>
        <v>27.661256262852969</v>
      </c>
      <c r="S107" s="81">
        <f>IF(G107="","",ABS(O107-Components!$C$5)/Components!$D$5)</f>
        <v>126.3975491848328</v>
      </c>
      <c r="T107" s="81">
        <f>IF(G107="","",ABS(O107-Components!$C$6)/Components!$D$6)</f>
        <v>8.1196385288929225</v>
      </c>
      <c r="U107" s="81">
        <f>IF(G107="","",ABS(O107-Components!$C$7)/Components!$D$7)</f>
        <v>0.2253546223425143</v>
      </c>
      <c r="V107" s="81" t="str">
        <f>IF(G107="","",IF(M107="OK","NONE",INDEX({"S1","S2","W1","W2","N1","N2"},MATCH(MIN(P107:U107),P107:U107,0))))</f>
        <v>N2</v>
      </c>
      <c r="W107" s="117">
        <f t="shared" si="14"/>
        <v>1</v>
      </c>
      <c r="X107" s="107"/>
    </row>
    <row r="108" spans="1:24">
      <c r="A108" s="115">
        <v>106</v>
      </c>
      <c r="B108" s="116">
        <v>4</v>
      </c>
      <c r="C108" s="81" t="s">
        <v>128</v>
      </c>
      <c r="D108" s="111" t="s">
        <v>240</v>
      </c>
      <c r="E108" s="81" t="s">
        <v>110</v>
      </c>
      <c r="F108" s="52">
        <v>8.57</v>
      </c>
      <c r="G108" s="52">
        <f t="shared" si="8"/>
        <v>9.5400000000000009</v>
      </c>
      <c r="H108" s="110"/>
      <c r="I108" s="81">
        <f>VLOOKUP(C108,Recipes!$A$2:$N$4,10,FALSE())</f>
        <v>10.940000000000001</v>
      </c>
      <c r="J108" s="81">
        <f>VLOOKUP(C108,Recipes!$A$2:$N$4,12,FALSE())</f>
        <v>5.2703573566378441E-2</v>
      </c>
      <c r="K108" s="81">
        <f t="shared" si="9"/>
        <v>10.781889279300866</v>
      </c>
      <c r="L108" s="81">
        <f t="shared" si="10"/>
        <v>11.098110720699136</v>
      </c>
      <c r="M108" s="81" t="str">
        <f t="shared" si="11"/>
        <v>NG</v>
      </c>
      <c r="N108" s="117">
        <f t="shared" si="12"/>
        <v>1</v>
      </c>
      <c r="O108" s="81">
        <f t="shared" si="13"/>
        <v>1.4000000000000004</v>
      </c>
      <c r="P108" s="81">
        <f>IF(G108="","",ABS(O108-Components!$C$2)/Components!$D$2)</f>
        <v>204.77295942648823</v>
      </c>
      <c r="Q108" s="81">
        <f>IF(G108="","",ABS(O108-Components!$C$3)/Components!$D$3)</f>
        <v>191.06224040910288</v>
      </c>
      <c r="R108" s="81">
        <f>IF(G108="","",ABS(O108-Components!$C$4)/Components!$D$4)</f>
        <v>29.092010897138433</v>
      </c>
      <c r="S108" s="81">
        <f>IF(G108="","",ABS(O108-Components!$C$5)/Components!$D$5)</f>
        <v>125.60326211412796</v>
      </c>
      <c r="T108" s="81">
        <f>IF(G108="","",ABS(O108-Components!$C$6)/Components!$D$6)</f>
        <v>8.8435290366694002</v>
      </c>
      <c r="U108" s="81">
        <f>IF(G108="","",ABS(O108-Components!$C$7)/Components!$D$7)</f>
        <v>1.0207238776684515</v>
      </c>
      <c r="V108" s="81" t="str">
        <f>IF(G108="","",IF(M108="OK","NONE",INDEX({"S1","S2","W1","W2","N1","N2"},MATCH(MIN(P108:U108),P108:U108,0))))</f>
        <v>N2</v>
      </c>
      <c r="W108" s="117">
        <f t="shared" si="14"/>
        <v>1</v>
      </c>
      <c r="X108" s="107"/>
    </row>
    <row r="109" spans="1:24">
      <c r="A109" s="115">
        <v>107</v>
      </c>
      <c r="B109" s="116">
        <v>4</v>
      </c>
      <c r="C109" s="81" t="s">
        <v>128</v>
      </c>
      <c r="D109" s="111" t="s">
        <v>240</v>
      </c>
      <c r="E109" s="81" t="s">
        <v>110</v>
      </c>
      <c r="F109" s="52">
        <v>8.61</v>
      </c>
      <c r="G109" s="52">
        <f t="shared" si="8"/>
        <v>9.58</v>
      </c>
      <c r="H109" s="110"/>
      <c r="I109" s="81">
        <f>VLOOKUP(C109,Recipes!$A$2:$N$4,10,FALSE())</f>
        <v>10.940000000000001</v>
      </c>
      <c r="J109" s="81">
        <f>VLOOKUP(C109,Recipes!$A$2:$N$4,12,FALSE())</f>
        <v>5.2703573566378441E-2</v>
      </c>
      <c r="K109" s="81">
        <f t="shared" si="9"/>
        <v>10.781889279300866</v>
      </c>
      <c r="L109" s="81">
        <f t="shared" si="10"/>
        <v>11.098110720699136</v>
      </c>
      <c r="M109" s="81" t="str">
        <f t="shared" si="11"/>
        <v>NG</v>
      </c>
      <c r="N109" s="117">
        <f t="shared" si="12"/>
        <v>1</v>
      </c>
      <c r="O109" s="81">
        <f t="shared" si="13"/>
        <v>1.3600000000000012</v>
      </c>
      <c r="P109" s="81">
        <f>IF(G109="","",ABS(O109-Components!$C$2)/Components!$D$2)</f>
        <v>210.82536216815774</v>
      </c>
      <c r="Q109" s="81">
        <f>IF(G109="","",ABS(O109-Components!$C$3)/Components!$D$3)</f>
        <v>193.96151568086464</v>
      </c>
      <c r="R109" s="81">
        <f>IF(G109="","",ABS(O109-Components!$C$4)/Components!$D$4)</f>
        <v>26.230501628567506</v>
      </c>
      <c r="S109" s="81">
        <f>IF(G109="","",ABS(O109-Components!$C$5)/Components!$D$5)</f>
        <v>127.19183625553764</v>
      </c>
      <c r="T109" s="81">
        <f>IF(G109="","",ABS(O109-Components!$C$6)/Components!$D$6)</f>
        <v>7.395748021116443</v>
      </c>
      <c r="U109" s="81">
        <f>IF(G109="","",ABS(O109-Components!$C$7)/Components!$D$7)</f>
        <v>0.57001463298342292</v>
      </c>
      <c r="V109" s="81" t="str">
        <f>IF(G109="","",IF(M109="OK","NONE",INDEX({"S1","S2","W1","W2","N1","N2"},MATCH(MIN(P109:U109),P109:U109,0))))</f>
        <v>N2</v>
      </c>
      <c r="W109" s="117">
        <f t="shared" si="14"/>
        <v>1</v>
      </c>
      <c r="X109" s="107"/>
    </row>
    <row r="110" spans="1:24">
      <c r="A110" s="115">
        <v>108</v>
      </c>
      <c r="B110" s="116">
        <v>4</v>
      </c>
      <c r="C110" s="81" t="s">
        <v>128</v>
      </c>
      <c r="D110" s="111" t="s">
        <v>240</v>
      </c>
      <c r="E110" s="81" t="s">
        <v>110</v>
      </c>
      <c r="F110" s="52">
        <v>8.59</v>
      </c>
      <c r="G110" s="52">
        <f t="shared" si="8"/>
        <v>9.56</v>
      </c>
      <c r="H110" s="110"/>
      <c r="I110" s="81">
        <f>VLOOKUP(C110,Recipes!$A$2:$N$4,10,FALSE())</f>
        <v>10.940000000000001</v>
      </c>
      <c r="J110" s="81">
        <f>VLOOKUP(C110,Recipes!$A$2:$N$4,12,FALSE())</f>
        <v>5.2703573566378441E-2</v>
      </c>
      <c r="K110" s="81">
        <f t="shared" si="9"/>
        <v>10.781889279300866</v>
      </c>
      <c r="L110" s="81">
        <f t="shared" si="10"/>
        <v>11.098110720699136</v>
      </c>
      <c r="M110" s="81" t="str">
        <f t="shared" si="11"/>
        <v>NG</v>
      </c>
      <c r="N110" s="117">
        <f t="shared" si="12"/>
        <v>1</v>
      </c>
      <c r="O110" s="81">
        <f t="shared" si="13"/>
        <v>1.3800000000000008</v>
      </c>
      <c r="P110" s="81">
        <f>IF(G110="","",ABS(O110-Components!$C$2)/Components!$D$2)</f>
        <v>207.799160797323</v>
      </c>
      <c r="Q110" s="81">
        <f>IF(G110="","",ABS(O110-Components!$C$3)/Components!$D$3)</f>
        <v>192.51187804498375</v>
      </c>
      <c r="R110" s="81">
        <f>IF(G110="","",ABS(O110-Components!$C$4)/Components!$D$4)</f>
        <v>27.661256262852969</v>
      </c>
      <c r="S110" s="81">
        <f>IF(G110="","",ABS(O110-Components!$C$5)/Components!$D$5)</f>
        <v>126.3975491848328</v>
      </c>
      <c r="T110" s="81">
        <f>IF(G110="","",ABS(O110-Components!$C$6)/Components!$D$6)</f>
        <v>8.1196385288929225</v>
      </c>
      <c r="U110" s="81">
        <f>IF(G110="","",ABS(O110-Components!$C$7)/Components!$D$7)</f>
        <v>0.2253546223425143</v>
      </c>
      <c r="V110" s="81" t="str">
        <f>IF(G110="","",IF(M110="OK","NONE",INDEX({"S1","S2","W1","W2","N1","N2"},MATCH(MIN(P110:U110),P110:U110,0))))</f>
        <v>N2</v>
      </c>
      <c r="W110" s="117">
        <f t="shared" si="14"/>
        <v>1</v>
      </c>
      <c r="X110" s="107"/>
    </row>
    <row r="111" spans="1:24">
      <c r="A111" s="115">
        <v>109</v>
      </c>
      <c r="B111" s="116">
        <v>4</v>
      </c>
      <c r="C111" s="81" t="s">
        <v>128</v>
      </c>
      <c r="D111" s="111" t="s">
        <v>240</v>
      </c>
      <c r="E111" s="81" t="s">
        <v>110</v>
      </c>
      <c r="F111" s="52">
        <v>8.5</v>
      </c>
      <c r="G111" s="52">
        <f t="shared" si="8"/>
        <v>9.4700000000000006</v>
      </c>
      <c r="H111" s="110"/>
      <c r="I111" s="81">
        <f>VLOOKUP(C111,Recipes!$A$2:$N$4,10,FALSE())</f>
        <v>10.940000000000001</v>
      </c>
      <c r="J111" s="81">
        <f>VLOOKUP(C111,Recipes!$A$2:$N$4,12,FALSE())</f>
        <v>5.2703573566378441E-2</v>
      </c>
      <c r="K111" s="81">
        <f t="shared" si="9"/>
        <v>10.781889279300866</v>
      </c>
      <c r="L111" s="81">
        <f t="shared" si="10"/>
        <v>11.098110720699136</v>
      </c>
      <c r="M111" s="81" t="str">
        <f t="shared" si="11"/>
        <v>NG</v>
      </c>
      <c r="N111" s="117">
        <f t="shared" si="12"/>
        <v>1</v>
      </c>
      <c r="O111" s="81">
        <f t="shared" si="13"/>
        <v>1.4700000000000006</v>
      </c>
      <c r="P111" s="81">
        <f>IF(G111="","",ABS(O111-Components!$C$2)/Components!$D$2)</f>
        <v>194.18125462856636</v>
      </c>
      <c r="Q111" s="81">
        <f>IF(G111="","",ABS(O111-Components!$C$3)/Components!$D$3)</f>
        <v>185.98850868351971</v>
      </c>
      <c r="R111" s="81">
        <f>IF(G111="","",ABS(O111-Components!$C$4)/Components!$D$4)</f>
        <v>34.09965211713768</v>
      </c>
      <c r="S111" s="81">
        <f>IF(G111="","",ABS(O111-Components!$C$5)/Components!$D$5)</f>
        <v>122.82325736666095</v>
      </c>
      <c r="T111" s="81">
        <f>IF(G111="","",ABS(O111-Components!$C$6)/Components!$D$6)</f>
        <v>11.377145813887141</v>
      </c>
      <c r="U111" s="81">
        <f>IF(G111="","",ABS(O111-Components!$C$7)/Components!$D$7)</f>
        <v>3.8045162713093026</v>
      </c>
      <c r="V111" s="81" t="str">
        <f>IF(G111="","",IF(M111="OK","NONE",INDEX({"S1","S2","W1","W2","N1","N2"},MATCH(MIN(P111:U111),P111:U111,0))))</f>
        <v>N2</v>
      </c>
      <c r="W111" s="117">
        <f t="shared" si="14"/>
        <v>1</v>
      </c>
      <c r="X111" s="107"/>
    </row>
    <row r="112" spans="1:24">
      <c r="A112" s="115">
        <v>110</v>
      </c>
      <c r="B112" s="116">
        <v>4</v>
      </c>
      <c r="C112" s="81" t="s">
        <v>128</v>
      </c>
      <c r="D112" s="111" t="s">
        <v>240</v>
      </c>
      <c r="E112" s="81" t="s">
        <v>110</v>
      </c>
      <c r="F112" s="52">
        <v>8.6199999999999992</v>
      </c>
      <c r="G112" s="52">
        <f t="shared" si="8"/>
        <v>9.59</v>
      </c>
      <c r="H112" s="110"/>
      <c r="I112" s="81">
        <f>VLOOKUP(C112,Recipes!$A$2:$N$4,10,FALSE())</f>
        <v>10.940000000000001</v>
      </c>
      <c r="J112" s="81">
        <f>VLOOKUP(C112,Recipes!$A$2:$N$4,12,FALSE())</f>
        <v>5.2703573566378441E-2</v>
      </c>
      <c r="K112" s="81">
        <f t="shared" si="9"/>
        <v>10.781889279300866</v>
      </c>
      <c r="L112" s="81">
        <f t="shared" si="10"/>
        <v>11.098110720699136</v>
      </c>
      <c r="M112" s="81" t="str">
        <f t="shared" si="11"/>
        <v>NG</v>
      </c>
      <c r="N112" s="117">
        <f t="shared" si="12"/>
        <v>1</v>
      </c>
      <c r="O112" s="81">
        <f t="shared" si="13"/>
        <v>1.3500000000000014</v>
      </c>
      <c r="P112" s="81">
        <f>IF(G112="","",ABS(O112-Components!$C$2)/Components!$D$2)</f>
        <v>212.33846285357509</v>
      </c>
      <c r="Q112" s="81">
        <f>IF(G112="","",ABS(O112-Components!$C$3)/Components!$D$3)</f>
        <v>194.68633449880505</v>
      </c>
      <c r="R112" s="81">
        <f>IF(G112="","",ABS(O112-Components!$C$4)/Components!$D$4)</f>
        <v>25.515124311424774</v>
      </c>
      <c r="S112" s="81">
        <f>IF(G112="","",ABS(O112-Components!$C$5)/Components!$D$5)</f>
        <v>127.58897979089005</v>
      </c>
      <c r="T112" s="81">
        <f>IF(G112="","",ABS(O112-Components!$C$6)/Components!$D$6)</f>
        <v>7.0338027672282033</v>
      </c>
      <c r="U112" s="81">
        <f>IF(G112="","",ABS(O112-Components!$C$7)/Components!$D$7)</f>
        <v>0.96769926064639156</v>
      </c>
      <c r="V112" s="81" t="str">
        <f>IF(G112="","",IF(M112="OK","NONE",INDEX({"S1","S2","W1","W2","N1","N2"},MATCH(MIN(P112:U112),P112:U112,0))))</f>
        <v>N2</v>
      </c>
      <c r="W112" s="117">
        <f t="shared" si="14"/>
        <v>1</v>
      </c>
      <c r="X112" s="107"/>
    </row>
    <row r="113" spans="1:24">
      <c r="A113" s="115">
        <v>111</v>
      </c>
      <c r="B113" s="116">
        <v>4</v>
      </c>
      <c r="C113" s="81" t="s">
        <v>128</v>
      </c>
      <c r="D113" s="111" t="s">
        <v>240</v>
      </c>
      <c r="E113" s="81" t="s">
        <v>110</v>
      </c>
      <c r="F113" s="52">
        <v>8.61</v>
      </c>
      <c r="G113" s="52">
        <f t="shared" si="8"/>
        <v>9.58</v>
      </c>
      <c r="H113" s="110"/>
      <c r="I113" s="81">
        <f>VLOOKUP(C113,Recipes!$A$2:$N$4,10,FALSE())</f>
        <v>10.940000000000001</v>
      </c>
      <c r="J113" s="81">
        <f>VLOOKUP(C113,Recipes!$A$2:$N$4,12,FALSE())</f>
        <v>5.2703573566378441E-2</v>
      </c>
      <c r="K113" s="81">
        <f t="shared" si="9"/>
        <v>10.781889279300866</v>
      </c>
      <c r="L113" s="81">
        <f t="shared" si="10"/>
        <v>11.098110720699136</v>
      </c>
      <c r="M113" s="81" t="str">
        <f t="shared" si="11"/>
        <v>NG</v>
      </c>
      <c r="N113" s="117">
        <f t="shared" si="12"/>
        <v>1</v>
      </c>
      <c r="O113" s="81">
        <f t="shared" si="13"/>
        <v>1.3600000000000012</v>
      </c>
      <c r="P113" s="81">
        <f>IF(G113="","",ABS(O113-Components!$C$2)/Components!$D$2)</f>
        <v>210.82536216815774</v>
      </c>
      <c r="Q113" s="81">
        <f>IF(G113="","",ABS(O113-Components!$C$3)/Components!$D$3)</f>
        <v>193.96151568086464</v>
      </c>
      <c r="R113" s="81">
        <f>IF(G113="","",ABS(O113-Components!$C$4)/Components!$D$4)</f>
        <v>26.230501628567506</v>
      </c>
      <c r="S113" s="81">
        <f>IF(G113="","",ABS(O113-Components!$C$5)/Components!$D$5)</f>
        <v>127.19183625553764</v>
      </c>
      <c r="T113" s="81">
        <f>IF(G113="","",ABS(O113-Components!$C$6)/Components!$D$6)</f>
        <v>7.395748021116443</v>
      </c>
      <c r="U113" s="81">
        <f>IF(G113="","",ABS(O113-Components!$C$7)/Components!$D$7)</f>
        <v>0.57001463298342292</v>
      </c>
      <c r="V113" s="81" t="str">
        <f>IF(G113="","",IF(M113="OK","NONE",INDEX({"S1","S2","W1","W2","N1","N2"},MATCH(MIN(P113:U113),P113:U113,0))))</f>
        <v>N2</v>
      </c>
      <c r="W113" s="117">
        <f t="shared" si="14"/>
        <v>1</v>
      </c>
      <c r="X113" s="107"/>
    </row>
    <row r="114" spans="1:24">
      <c r="A114" s="115">
        <v>112</v>
      </c>
      <c r="B114" s="116">
        <v>4</v>
      </c>
      <c r="C114" s="81" t="s">
        <v>128</v>
      </c>
      <c r="D114" s="111" t="s">
        <v>240</v>
      </c>
      <c r="E114" s="81" t="s">
        <v>110</v>
      </c>
      <c r="F114" s="52">
        <v>8.58</v>
      </c>
      <c r="G114" s="52">
        <f t="shared" si="8"/>
        <v>9.5500000000000007</v>
      </c>
      <c r="H114" s="110"/>
      <c r="I114" s="81">
        <f>VLOOKUP(C114,Recipes!$A$2:$N$4,10,FALSE())</f>
        <v>10.940000000000001</v>
      </c>
      <c r="J114" s="81">
        <f>VLOOKUP(C114,Recipes!$A$2:$N$4,12,FALSE())</f>
        <v>5.2703573566378441E-2</v>
      </c>
      <c r="K114" s="81">
        <f t="shared" si="9"/>
        <v>10.781889279300866</v>
      </c>
      <c r="L114" s="81">
        <f t="shared" si="10"/>
        <v>11.098110720699136</v>
      </c>
      <c r="M114" s="81" t="str">
        <f t="shared" si="11"/>
        <v>NG</v>
      </c>
      <c r="N114" s="117">
        <f t="shared" si="12"/>
        <v>1</v>
      </c>
      <c r="O114" s="81">
        <f t="shared" si="13"/>
        <v>1.3900000000000006</v>
      </c>
      <c r="P114" s="81">
        <f>IF(G114="","",ABS(O114-Components!$C$2)/Components!$D$2)</f>
        <v>206.28606011190561</v>
      </c>
      <c r="Q114" s="81">
        <f>IF(G114="","",ABS(O114-Components!$C$3)/Components!$D$3)</f>
        <v>191.78705922704333</v>
      </c>
      <c r="R114" s="81">
        <f>IF(G114="","",ABS(O114-Components!$C$4)/Components!$D$4)</f>
        <v>28.376633579995701</v>
      </c>
      <c r="S114" s="81">
        <f>IF(G114="","",ABS(O114-Components!$C$5)/Components!$D$5)</f>
        <v>126.00040564948038</v>
      </c>
      <c r="T114" s="81">
        <f>IF(G114="","",ABS(O114-Components!$C$6)/Components!$D$6)</f>
        <v>8.4815837827811613</v>
      </c>
      <c r="U114" s="81">
        <f>IF(G114="","",ABS(O114-Components!$C$7)/Components!$D$7)</f>
        <v>0.62303925000548288</v>
      </c>
      <c r="V114" s="81" t="str">
        <f>IF(G114="","",IF(M114="OK","NONE",INDEX({"S1","S2","W1","W2","N1","N2"},MATCH(MIN(P114:U114),P114:U114,0))))</f>
        <v>N2</v>
      </c>
      <c r="W114" s="117">
        <f t="shared" si="14"/>
        <v>1</v>
      </c>
      <c r="X114" s="107"/>
    </row>
    <row r="115" spans="1:24">
      <c r="A115" s="115">
        <v>113</v>
      </c>
      <c r="B115" s="116">
        <v>4</v>
      </c>
      <c r="C115" s="81" t="s">
        <v>128</v>
      </c>
      <c r="D115" s="111" t="s">
        <v>240</v>
      </c>
      <c r="E115" s="81" t="s">
        <v>110</v>
      </c>
      <c r="F115" s="52">
        <v>8.59</v>
      </c>
      <c r="G115" s="52">
        <f t="shared" si="8"/>
        <v>9.56</v>
      </c>
      <c r="H115" s="110"/>
      <c r="I115" s="81">
        <f>VLOOKUP(C115,Recipes!$A$2:$N$4,10,FALSE())</f>
        <v>10.940000000000001</v>
      </c>
      <c r="J115" s="81">
        <f>VLOOKUP(C115,Recipes!$A$2:$N$4,12,FALSE())</f>
        <v>5.2703573566378441E-2</v>
      </c>
      <c r="K115" s="81">
        <f t="shared" si="9"/>
        <v>10.781889279300866</v>
      </c>
      <c r="L115" s="81">
        <f t="shared" si="10"/>
        <v>11.098110720699136</v>
      </c>
      <c r="M115" s="81" t="str">
        <f t="shared" si="11"/>
        <v>NG</v>
      </c>
      <c r="N115" s="117">
        <f t="shared" si="12"/>
        <v>1</v>
      </c>
      <c r="O115" s="81">
        <f t="shared" si="13"/>
        <v>1.3800000000000008</v>
      </c>
      <c r="P115" s="81">
        <f>IF(G115="","",ABS(O115-Components!$C$2)/Components!$D$2)</f>
        <v>207.799160797323</v>
      </c>
      <c r="Q115" s="81">
        <f>IF(G115="","",ABS(O115-Components!$C$3)/Components!$D$3)</f>
        <v>192.51187804498375</v>
      </c>
      <c r="R115" s="81">
        <f>IF(G115="","",ABS(O115-Components!$C$4)/Components!$D$4)</f>
        <v>27.661256262852969</v>
      </c>
      <c r="S115" s="81">
        <f>IF(G115="","",ABS(O115-Components!$C$5)/Components!$D$5)</f>
        <v>126.3975491848328</v>
      </c>
      <c r="T115" s="81">
        <f>IF(G115="","",ABS(O115-Components!$C$6)/Components!$D$6)</f>
        <v>8.1196385288929225</v>
      </c>
      <c r="U115" s="81">
        <f>IF(G115="","",ABS(O115-Components!$C$7)/Components!$D$7)</f>
        <v>0.2253546223425143</v>
      </c>
      <c r="V115" s="81" t="str">
        <f>IF(G115="","",IF(M115="OK","NONE",INDEX({"S1","S2","W1","W2","N1","N2"},MATCH(MIN(P115:U115),P115:U115,0))))</f>
        <v>N2</v>
      </c>
      <c r="W115" s="117">
        <f t="shared" si="14"/>
        <v>1</v>
      </c>
      <c r="X115" s="107"/>
    </row>
    <row r="116" spans="1:24">
      <c r="A116" s="115">
        <v>114</v>
      </c>
      <c r="B116" s="116">
        <v>4</v>
      </c>
      <c r="C116" s="81" t="s">
        <v>128</v>
      </c>
      <c r="D116" s="111" t="s">
        <v>240</v>
      </c>
      <c r="E116" s="81" t="s">
        <v>110</v>
      </c>
      <c r="F116" s="52">
        <v>8.6300000000000008</v>
      </c>
      <c r="G116" s="52">
        <f t="shared" si="8"/>
        <v>9.6000000000000014</v>
      </c>
      <c r="H116" s="110"/>
      <c r="I116" s="81">
        <f>VLOOKUP(C116,Recipes!$A$2:$N$4,10,FALSE())</f>
        <v>10.940000000000001</v>
      </c>
      <c r="J116" s="81">
        <f>VLOOKUP(C116,Recipes!$A$2:$N$4,12,FALSE())</f>
        <v>5.2703573566378441E-2</v>
      </c>
      <c r="K116" s="81">
        <f t="shared" si="9"/>
        <v>10.781889279300866</v>
      </c>
      <c r="L116" s="81">
        <f t="shared" si="10"/>
        <v>11.098110720699136</v>
      </c>
      <c r="M116" s="81" t="str">
        <f t="shared" si="11"/>
        <v>NG</v>
      </c>
      <c r="N116" s="117">
        <f t="shared" si="12"/>
        <v>1</v>
      </c>
      <c r="O116" s="81">
        <f t="shared" si="13"/>
        <v>1.3399999999999999</v>
      </c>
      <c r="P116" s="81">
        <f>IF(G116="","",ABS(O116-Components!$C$2)/Components!$D$2)</f>
        <v>213.85156353899274</v>
      </c>
      <c r="Q116" s="81">
        <f>IF(G116="","",ABS(O116-Components!$C$3)/Components!$D$3)</f>
        <v>195.41115331674561</v>
      </c>
      <c r="R116" s="81">
        <f>IF(G116="","",ABS(O116-Components!$C$4)/Components!$D$4)</f>
        <v>24.799746994281914</v>
      </c>
      <c r="S116" s="81">
        <f>IF(G116="","",ABS(O116-Components!$C$5)/Components!$D$5)</f>
        <v>127.98612332624255</v>
      </c>
      <c r="T116" s="81">
        <f>IF(G116="","",ABS(O116-Components!$C$6)/Components!$D$6)</f>
        <v>6.6718575133398996</v>
      </c>
      <c r="U116" s="81">
        <f>IF(G116="","",ABS(O116-Components!$C$7)/Components!$D$7)</f>
        <v>1.3653838883094307</v>
      </c>
      <c r="V116" s="81" t="str">
        <f>IF(G116="","",IF(M116="OK","NONE",INDEX({"S1","S2","W1","W2","N1","N2"},MATCH(MIN(P116:U116),P116:U116,0))))</f>
        <v>N2</v>
      </c>
      <c r="W116" s="117">
        <f t="shared" si="14"/>
        <v>1</v>
      </c>
      <c r="X116" s="107"/>
    </row>
    <row r="117" spans="1:24">
      <c r="A117" s="115">
        <v>115</v>
      </c>
      <c r="B117" s="116">
        <v>4</v>
      </c>
      <c r="C117" s="81" t="s">
        <v>128</v>
      </c>
      <c r="D117" s="111" t="s">
        <v>240</v>
      </c>
      <c r="E117" s="81" t="s">
        <v>110</v>
      </c>
      <c r="F117" s="52">
        <v>8.6300000000000008</v>
      </c>
      <c r="G117" s="52">
        <f t="shared" si="8"/>
        <v>9.6000000000000014</v>
      </c>
      <c r="H117" s="110"/>
      <c r="I117" s="81">
        <f>VLOOKUP(C117,Recipes!$A$2:$N$4,10,FALSE())</f>
        <v>10.940000000000001</v>
      </c>
      <c r="J117" s="81">
        <f>VLOOKUP(C117,Recipes!$A$2:$N$4,12,FALSE())</f>
        <v>5.2703573566378441E-2</v>
      </c>
      <c r="K117" s="81">
        <f t="shared" si="9"/>
        <v>10.781889279300866</v>
      </c>
      <c r="L117" s="81">
        <f t="shared" si="10"/>
        <v>11.098110720699136</v>
      </c>
      <c r="M117" s="81" t="str">
        <f t="shared" si="11"/>
        <v>NG</v>
      </c>
      <c r="N117" s="117">
        <f t="shared" si="12"/>
        <v>1</v>
      </c>
      <c r="O117" s="81">
        <f t="shared" si="13"/>
        <v>1.3399999999999999</v>
      </c>
      <c r="P117" s="81">
        <f>IF(G117="","",ABS(O117-Components!$C$2)/Components!$D$2)</f>
        <v>213.85156353899274</v>
      </c>
      <c r="Q117" s="81">
        <f>IF(G117="","",ABS(O117-Components!$C$3)/Components!$D$3)</f>
        <v>195.41115331674561</v>
      </c>
      <c r="R117" s="81">
        <f>IF(G117="","",ABS(O117-Components!$C$4)/Components!$D$4)</f>
        <v>24.799746994281914</v>
      </c>
      <c r="S117" s="81">
        <f>IF(G117="","",ABS(O117-Components!$C$5)/Components!$D$5)</f>
        <v>127.98612332624255</v>
      </c>
      <c r="T117" s="81">
        <f>IF(G117="","",ABS(O117-Components!$C$6)/Components!$D$6)</f>
        <v>6.6718575133398996</v>
      </c>
      <c r="U117" s="81">
        <f>IF(G117="","",ABS(O117-Components!$C$7)/Components!$D$7)</f>
        <v>1.3653838883094307</v>
      </c>
      <c r="V117" s="81" t="str">
        <f>IF(G117="","",IF(M117="OK","NONE",INDEX({"S1","S2","W1","W2","N1","N2"},MATCH(MIN(P117:U117),P117:U117,0))))</f>
        <v>N2</v>
      </c>
      <c r="W117" s="117">
        <f t="shared" si="14"/>
        <v>1</v>
      </c>
      <c r="X117" s="107"/>
    </row>
    <row r="118" spans="1:24">
      <c r="A118" s="115">
        <v>116</v>
      </c>
      <c r="B118" s="116">
        <v>4</v>
      </c>
      <c r="C118" s="81" t="s">
        <v>128</v>
      </c>
      <c r="D118" s="111" t="s">
        <v>240</v>
      </c>
      <c r="E118" s="81" t="s">
        <v>110</v>
      </c>
      <c r="F118" s="52">
        <v>8.59</v>
      </c>
      <c r="G118" s="52">
        <f t="shared" si="8"/>
        <v>9.56</v>
      </c>
      <c r="H118" s="110"/>
      <c r="I118" s="81">
        <f>VLOOKUP(C118,Recipes!$A$2:$N$4,10,FALSE())</f>
        <v>10.940000000000001</v>
      </c>
      <c r="J118" s="81">
        <f>VLOOKUP(C118,Recipes!$A$2:$N$4,12,FALSE())</f>
        <v>5.2703573566378441E-2</v>
      </c>
      <c r="K118" s="81">
        <f t="shared" si="9"/>
        <v>10.781889279300866</v>
      </c>
      <c r="L118" s="81">
        <f t="shared" si="10"/>
        <v>11.098110720699136</v>
      </c>
      <c r="M118" s="81" t="str">
        <f t="shared" si="11"/>
        <v>NG</v>
      </c>
      <c r="N118" s="117">
        <f t="shared" si="12"/>
        <v>1</v>
      </c>
      <c r="O118" s="81">
        <f t="shared" si="13"/>
        <v>1.3800000000000008</v>
      </c>
      <c r="P118" s="81">
        <f>IF(G118="","",ABS(O118-Components!$C$2)/Components!$D$2)</f>
        <v>207.799160797323</v>
      </c>
      <c r="Q118" s="81">
        <f>IF(G118="","",ABS(O118-Components!$C$3)/Components!$D$3)</f>
        <v>192.51187804498375</v>
      </c>
      <c r="R118" s="81">
        <f>IF(G118="","",ABS(O118-Components!$C$4)/Components!$D$4)</f>
        <v>27.661256262852969</v>
      </c>
      <c r="S118" s="81">
        <f>IF(G118="","",ABS(O118-Components!$C$5)/Components!$D$5)</f>
        <v>126.3975491848328</v>
      </c>
      <c r="T118" s="81">
        <f>IF(G118="","",ABS(O118-Components!$C$6)/Components!$D$6)</f>
        <v>8.1196385288929225</v>
      </c>
      <c r="U118" s="81">
        <f>IF(G118="","",ABS(O118-Components!$C$7)/Components!$D$7)</f>
        <v>0.2253546223425143</v>
      </c>
      <c r="V118" s="81" t="str">
        <f>IF(G118="","",IF(M118="OK","NONE",INDEX({"S1","S2","W1","W2","N1","N2"},MATCH(MIN(P118:U118),P118:U118,0))))</f>
        <v>N2</v>
      </c>
      <c r="W118" s="117">
        <f t="shared" si="14"/>
        <v>1</v>
      </c>
      <c r="X118" s="107"/>
    </row>
    <row r="119" spans="1:24">
      <c r="A119" s="115">
        <v>117</v>
      </c>
      <c r="B119" s="116">
        <v>4</v>
      </c>
      <c r="C119" s="81" t="s">
        <v>128</v>
      </c>
      <c r="D119" s="111" t="s">
        <v>240</v>
      </c>
      <c r="E119" s="81" t="s">
        <v>110</v>
      </c>
      <c r="F119" s="52">
        <v>8.56</v>
      </c>
      <c r="G119" s="52">
        <f t="shared" si="8"/>
        <v>9.5300000000000011</v>
      </c>
      <c r="H119" s="110"/>
      <c r="I119" s="81">
        <f>VLOOKUP(C119,Recipes!$A$2:$N$4,10,FALSE())</f>
        <v>10.940000000000001</v>
      </c>
      <c r="J119" s="81">
        <f>VLOOKUP(C119,Recipes!$A$2:$N$4,12,FALSE())</f>
        <v>5.2703573566378441E-2</v>
      </c>
      <c r="K119" s="81">
        <f t="shared" si="9"/>
        <v>10.781889279300866</v>
      </c>
      <c r="L119" s="81">
        <f t="shared" si="10"/>
        <v>11.098110720699136</v>
      </c>
      <c r="M119" s="81" t="str">
        <f t="shared" si="11"/>
        <v>NG</v>
      </c>
      <c r="N119" s="117">
        <f t="shared" si="12"/>
        <v>1</v>
      </c>
      <c r="O119" s="81">
        <f t="shared" si="13"/>
        <v>1.4100000000000001</v>
      </c>
      <c r="P119" s="81">
        <f>IF(G119="","",ABS(O119-Components!$C$2)/Components!$D$2)</f>
        <v>203.25985874107087</v>
      </c>
      <c r="Q119" s="81">
        <f>IF(G119="","",ABS(O119-Components!$C$3)/Components!$D$3)</f>
        <v>190.33742159116244</v>
      </c>
      <c r="R119" s="81">
        <f>IF(G119="","",ABS(O119-Components!$C$4)/Components!$D$4)</f>
        <v>29.807388214281165</v>
      </c>
      <c r="S119" s="81">
        <f>IF(G119="","",ABS(O119-Components!$C$5)/Components!$D$5)</f>
        <v>125.20611857877554</v>
      </c>
      <c r="T119" s="81">
        <f>IF(G119="","",ABS(O119-Components!$C$6)/Components!$D$6)</f>
        <v>9.2054742905576408</v>
      </c>
      <c r="U119" s="81">
        <f>IF(G119="","",ABS(O119-Components!$C$7)/Components!$D$7)</f>
        <v>1.4184085053314202</v>
      </c>
      <c r="V119" s="81" t="str">
        <f>IF(G119="","",IF(M119="OK","NONE",INDEX({"S1","S2","W1","W2","N1","N2"},MATCH(MIN(P119:U119),P119:U119,0))))</f>
        <v>N2</v>
      </c>
      <c r="W119" s="117">
        <f t="shared" si="14"/>
        <v>1</v>
      </c>
      <c r="X119" s="107"/>
    </row>
    <row r="120" spans="1:24">
      <c r="A120" s="115">
        <v>118</v>
      </c>
      <c r="B120" s="116">
        <v>4</v>
      </c>
      <c r="C120" s="81" t="s">
        <v>128</v>
      </c>
      <c r="D120" s="111" t="s">
        <v>240</v>
      </c>
      <c r="E120" s="81" t="s">
        <v>110</v>
      </c>
      <c r="F120" s="52">
        <v>8.58</v>
      </c>
      <c r="G120" s="52">
        <f t="shared" si="8"/>
        <v>9.5500000000000007</v>
      </c>
      <c r="H120" s="110"/>
      <c r="I120" s="81">
        <f>VLOOKUP(C120,Recipes!$A$2:$N$4,10,FALSE())</f>
        <v>10.940000000000001</v>
      </c>
      <c r="J120" s="81">
        <f>VLOOKUP(C120,Recipes!$A$2:$N$4,12,FALSE())</f>
        <v>5.2703573566378441E-2</v>
      </c>
      <c r="K120" s="81">
        <f t="shared" si="9"/>
        <v>10.781889279300866</v>
      </c>
      <c r="L120" s="81">
        <f t="shared" si="10"/>
        <v>11.098110720699136</v>
      </c>
      <c r="M120" s="81" t="str">
        <f t="shared" si="11"/>
        <v>NG</v>
      </c>
      <c r="N120" s="117">
        <f t="shared" si="12"/>
        <v>1</v>
      </c>
      <c r="O120" s="81">
        <f t="shared" si="13"/>
        <v>1.3900000000000006</v>
      </c>
      <c r="P120" s="81">
        <f>IF(G120="","",ABS(O120-Components!$C$2)/Components!$D$2)</f>
        <v>206.28606011190561</v>
      </c>
      <c r="Q120" s="81">
        <f>IF(G120="","",ABS(O120-Components!$C$3)/Components!$D$3)</f>
        <v>191.78705922704333</v>
      </c>
      <c r="R120" s="81">
        <f>IF(G120="","",ABS(O120-Components!$C$4)/Components!$D$4)</f>
        <v>28.376633579995701</v>
      </c>
      <c r="S120" s="81">
        <f>IF(G120="","",ABS(O120-Components!$C$5)/Components!$D$5)</f>
        <v>126.00040564948038</v>
      </c>
      <c r="T120" s="81">
        <f>IF(G120="","",ABS(O120-Components!$C$6)/Components!$D$6)</f>
        <v>8.4815837827811613</v>
      </c>
      <c r="U120" s="81">
        <f>IF(G120="","",ABS(O120-Components!$C$7)/Components!$D$7)</f>
        <v>0.62303925000548288</v>
      </c>
      <c r="V120" s="81" t="str">
        <f>IF(G120="","",IF(M120="OK","NONE",INDEX({"S1","S2","W1","W2","N1","N2"},MATCH(MIN(P120:U120),P120:U120,0))))</f>
        <v>N2</v>
      </c>
      <c r="W120" s="117">
        <f t="shared" si="14"/>
        <v>1</v>
      </c>
      <c r="X120" s="107"/>
    </row>
    <row r="121" spans="1:24">
      <c r="A121" s="115">
        <v>119</v>
      </c>
      <c r="B121" s="116">
        <v>4</v>
      </c>
      <c r="C121" s="81" t="s">
        <v>128</v>
      </c>
      <c r="D121" s="111" t="s">
        <v>240</v>
      </c>
      <c r="E121" s="81" t="s">
        <v>110</v>
      </c>
      <c r="F121" s="52">
        <v>8.6300000000000008</v>
      </c>
      <c r="G121" s="52">
        <f t="shared" si="8"/>
        <v>9.6000000000000014</v>
      </c>
      <c r="H121" s="110"/>
      <c r="I121" s="81">
        <f>VLOOKUP(C121,Recipes!$A$2:$N$4,10,FALSE())</f>
        <v>10.940000000000001</v>
      </c>
      <c r="J121" s="81">
        <f>VLOOKUP(C121,Recipes!$A$2:$N$4,12,FALSE())</f>
        <v>5.2703573566378441E-2</v>
      </c>
      <c r="K121" s="81">
        <f t="shared" si="9"/>
        <v>10.781889279300866</v>
      </c>
      <c r="L121" s="81">
        <f t="shared" si="10"/>
        <v>11.098110720699136</v>
      </c>
      <c r="M121" s="81" t="str">
        <f t="shared" si="11"/>
        <v>NG</v>
      </c>
      <c r="N121" s="117">
        <f t="shared" si="12"/>
        <v>1</v>
      </c>
      <c r="O121" s="81">
        <f t="shared" si="13"/>
        <v>1.3399999999999999</v>
      </c>
      <c r="P121" s="81">
        <f>IF(G121="","",ABS(O121-Components!$C$2)/Components!$D$2)</f>
        <v>213.85156353899274</v>
      </c>
      <c r="Q121" s="81">
        <f>IF(G121="","",ABS(O121-Components!$C$3)/Components!$D$3)</f>
        <v>195.41115331674561</v>
      </c>
      <c r="R121" s="81">
        <f>IF(G121="","",ABS(O121-Components!$C$4)/Components!$D$4)</f>
        <v>24.799746994281914</v>
      </c>
      <c r="S121" s="81">
        <f>IF(G121="","",ABS(O121-Components!$C$5)/Components!$D$5)</f>
        <v>127.98612332624255</v>
      </c>
      <c r="T121" s="81">
        <f>IF(G121="","",ABS(O121-Components!$C$6)/Components!$D$6)</f>
        <v>6.6718575133398996</v>
      </c>
      <c r="U121" s="81">
        <f>IF(G121="","",ABS(O121-Components!$C$7)/Components!$D$7)</f>
        <v>1.3653838883094307</v>
      </c>
      <c r="V121" s="81" t="str">
        <f>IF(G121="","",IF(M121="OK","NONE",INDEX({"S1","S2","W1","W2","N1","N2"},MATCH(MIN(P121:U121),P121:U121,0))))</f>
        <v>N2</v>
      </c>
      <c r="W121" s="117">
        <f t="shared" si="14"/>
        <v>1</v>
      </c>
      <c r="X121" s="107"/>
    </row>
    <row r="122" spans="1:24">
      <c r="A122" s="115">
        <v>120</v>
      </c>
      <c r="B122" s="116">
        <v>4</v>
      </c>
      <c r="C122" s="81" t="s">
        <v>128</v>
      </c>
      <c r="D122" s="111" t="s">
        <v>240</v>
      </c>
      <c r="E122" s="81" t="s">
        <v>110</v>
      </c>
      <c r="F122" s="52">
        <v>8.59</v>
      </c>
      <c r="G122" s="52">
        <f t="shared" si="8"/>
        <v>9.56</v>
      </c>
      <c r="H122" s="110"/>
      <c r="I122" s="81">
        <f>VLOOKUP(C122,Recipes!$A$2:$N$4,10,FALSE())</f>
        <v>10.940000000000001</v>
      </c>
      <c r="J122" s="81">
        <f>VLOOKUP(C122,Recipes!$A$2:$N$4,12,FALSE())</f>
        <v>5.2703573566378441E-2</v>
      </c>
      <c r="K122" s="81">
        <f t="shared" si="9"/>
        <v>10.781889279300866</v>
      </c>
      <c r="L122" s="81">
        <f t="shared" si="10"/>
        <v>11.098110720699136</v>
      </c>
      <c r="M122" s="81" t="str">
        <f t="shared" si="11"/>
        <v>NG</v>
      </c>
      <c r="N122" s="117">
        <f t="shared" si="12"/>
        <v>1</v>
      </c>
      <c r="O122" s="81">
        <f t="shared" si="13"/>
        <v>1.3800000000000008</v>
      </c>
      <c r="P122" s="81">
        <f>IF(G122="","",ABS(O122-Components!$C$2)/Components!$D$2)</f>
        <v>207.799160797323</v>
      </c>
      <c r="Q122" s="81">
        <f>IF(G122="","",ABS(O122-Components!$C$3)/Components!$D$3)</f>
        <v>192.51187804498375</v>
      </c>
      <c r="R122" s="81">
        <f>IF(G122="","",ABS(O122-Components!$C$4)/Components!$D$4)</f>
        <v>27.661256262852969</v>
      </c>
      <c r="S122" s="81">
        <f>IF(G122="","",ABS(O122-Components!$C$5)/Components!$D$5)</f>
        <v>126.3975491848328</v>
      </c>
      <c r="T122" s="81">
        <f>IF(G122="","",ABS(O122-Components!$C$6)/Components!$D$6)</f>
        <v>8.1196385288929225</v>
      </c>
      <c r="U122" s="81">
        <f>IF(G122="","",ABS(O122-Components!$C$7)/Components!$D$7)</f>
        <v>0.2253546223425143</v>
      </c>
      <c r="V122" s="81" t="str">
        <f>IF(G122="","",IF(M122="OK","NONE",INDEX({"S1","S2","W1","W2","N1","N2"},MATCH(MIN(P122:U122),P122:U122,0))))</f>
        <v>N2</v>
      </c>
      <c r="W122" s="117">
        <f t="shared" si="14"/>
        <v>1</v>
      </c>
      <c r="X122" s="107"/>
    </row>
    <row r="123" spans="1:24">
      <c r="A123" s="115">
        <v>121</v>
      </c>
      <c r="B123" s="116">
        <v>5</v>
      </c>
      <c r="C123" s="81" t="s">
        <v>130</v>
      </c>
      <c r="D123" s="109" t="s">
        <v>238</v>
      </c>
      <c r="E123" s="81" t="s">
        <v>239</v>
      </c>
      <c r="F123" s="52">
        <v>8.9499999999999993</v>
      </c>
      <c r="G123" s="52">
        <f t="shared" si="8"/>
        <v>9.92</v>
      </c>
      <c r="H123" s="110"/>
      <c r="I123" s="81">
        <v>9.91</v>
      </c>
      <c r="J123" s="81">
        <f>VLOOKUP(C123,Recipes!$A$2:$N$4,12,FALSE())</f>
        <v>5.0137397426368718E-2</v>
      </c>
      <c r="K123" s="81">
        <f t="shared" si="9"/>
        <v>9.7595878077208944</v>
      </c>
      <c r="L123" s="81">
        <f t="shared" si="10"/>
        <v>10.060412192279106</v>
      </c>
      <c r="M123" s="81" t="str">
        <f t="shared" si="11"/>
        <v>OK</v>
      </c>
      <c r="N123" s="117">
        <f t="shared" si="12"/>
        <v>1</v>
      </c>
      <c r="O123" s="81">
        <f t="shared" si="13"/>
        <v>-9.9999999999997868E-3</v>
      </c>
      <c r="P123" s="81">
        <f>IF(G123="","",ABS(O123-Components!$C$2)/Components!$D$2)</f>
        <v>418.12015607034238</v>
      </c>
      <c r="Q123" s="81">
        <f>IF(G123="","",ABS(O123-Components!$C$3)/Components!$D$3)</f>
        <v>293.26169373870653</v>
      </c>
      <c r="R123" s="81">
        <f>IF(G123="","",ABS(O123-Components!$C$4)/Components!$D$4)</f>
        <v>71.776190819988912</v>
      </c>
      <c r="S123" s="81">
        <f>IF(G123="","",ABS(O123-Components!$C$5)/Components!$D$5)</f>
        <v>181.60050059882028</v>
      </c>
      <c r="T123" s="81">
        <f>IF(G123="","",ABS(O123-Components!$C$6)/Components!$D$6)</f>
        <v>42.190751761573459</v>
      </c>
      <c r="U123" s="81">
        <f>IF(G123="","",ABS(O123-Components!$C$7)/Components!$D$7)</f>
        <v>55.05280862281132</v>
      </c>
      <c r="V123" s="81" t="str">
        <f>IF(G123="","",IF(M123="OK","NONE",INDEX({"S1","S2","W1","W2","N1","N2"},MATCH(MIN(P123:U123),P123:U123,0))))</f>
        <v>NONE</v>
      </c>
      <c r="W123" s="117">
        <f t="shared" si="14"/>
        <v>1</v>
      </c>
      <c r="X123" s="107"/>
    </row>
    <row r="124" spans="1:24">
      <c r="A124" s="115">
        <v>122</v>
      </c>
      <c r="B124" s="116">
        <v>5</v>
      </c>
      <c r="C124" s="81" t="s">
        <v>130</v>
      </c>
      <c r="D124" s="109" t="s">
        <v>238</v>
      </c>
      <c r="E124" s="81" t="s">
        <v>239</v>
      </c>
      <c r="F124" s="52">
        <v>8.94</v>
      </c>
      <c r="G124" s="52">
        <f t="shared" si="8"/>
        <v>9.91</v>
      </c>
      <c r="H124" s="110"/>
      <c r="I124" s="81">
        <v>9.91</v>
      </c>
      <c r="J124" s="81">
        <f>VLOOKUP(C124,Recipes!$A$2:$N$4,12,FALSE())</f>
        <v>5.0137397426368718E-2</v>
      </c>
      <c r="K124" s="81">
        <f t="shared" si="9"/>
        <v>9.7595878077208944</v>
      </c>
      <c r="L124" s="81">
        <f t="shared" si="10"/>
        <v>10.060412192279106</v>
      </c>
      <c r="M124" s="81" t="str">
        <f t="shared" si="11"/>
        <v>OK</v>
      </c>
      <c r="N124" s="117">
        <f t="shared" si="12"/>
        <v>1</v>
      </c>
      <c r="O124" s="81">
        <f t="shared" si="13"/>
        <v>0</v>
      </c>
      <c r="P124" s="81">
        <f>IF(G124="","",ABS(O124-Components!$C$2)/Components!$D$2)</f>
        <v>416.60705538492499</v>
      </c>
      <c r="Q124" s="81">
        <f>IF(G124="","",ABS(O124-Components!$C$3)/Components!$D$3)</f>
        <v>292.53687492076608</v>
      </c>
      <c r="R124" s="81">
        <f>IF(G124="","",ABS(O124-Components!$C$4)/Components!$D$4)</f>
        <v>71.060813502846173</v>
      </c>
      <c r="S124" s="81">
        <f>IF(G124="","",ABS(O124-Components!$C$5)/Components!$D$5)</f>
        <v>181.20335706346788</v>
      </c>
      <c r="T124" s="81">
        <f>IF(G124="","",ABS(O124-Components!$C$6)/Components!$D$6)</f>
        <v>41.828806507685222</v>
      </c>
      <c r="U124" s="81">
        <f>IF(G124="","",ABS(O124-Components!$C$7)/Components!$D$7)</f>
        <v>54.655123995148351</v>
      </c>
      <c r="V124" s="81" t="str">
        <f>IF(G124="","",IF(M124="OK","NONE",INDEX({"S1","S2","W1","W2","N1","N2"},MATCH(MIN(P124:U124),P124:U124,0))))</f>
        <v>NONE</v>
      </c>
      <c r="W124" s="117">
        <f t="shared" si="14"/>
        <v>1</v>
      </c>
      <c r="X124" s="107"/>
    </row>
    <row r="125" spans="1:24">
      <c r="A125" s="115">
        <v>123</v>
      </c>
      <c r="B125" s="116">
        <v>5</v>
      </c>
      <c r="C125" s="81" t="s">
        <v>130</v>
      </c>
      <c r="D125" s="109" t="s">
        <v>238</v>
      </c>
      <c r="E125" s="81" t="s">
        <v>239</v>
      </c>
      <c r="F125" s="52">
        <v>8.94</v>
      </c>
      <c r="G125" s="52">
        <f t="shared" si="8"/>
        <v>9.91</v>
      </c>
      <c r="H125" s="110"/>
      <c r="I125" s="81">
        <v>9.91</v>
      </c>
      <c r="J125" s="81">
        <f>VLOOKUP(C125,Recipes!$A$2:$N$4,12,FALSE())</f>
        <v>5.0137397426368718E-2</v>
      </c>
      <c r="K125" s="81">
        <f t="shared" si="9"/>
        <v>9.7595878077208944</v>
      </c>
      <c r="L125" s="81">
        <f t="shared" si="10"/>
        <v>10.060412192279106</v>
      </c>
      <c r="M125" s="81" t="str">
        <f t="shared" si="11"/>
        <v>OK</v>
      </c>
      <c r="N125" s="117">
        <f t="shared" si="12"/>
        <v>1</v>
      </c>
      <c r="O125" s="81">
        <f t="shared" si="13"/>
        <v>0</v>
      </c>
      <c r="P125" s="81">
        <f>IF(G125="","",ABS(O125-Components!$C$2)/Components!$D$2)</f>
        <v>416.60705538492499</v>
      </c>
      <c r="Q125" s="81">
        <f>IF(G125="","",ABS(O125-Components!$C$3)/Components!$D$3)</f>
        <v>292.53687492076608</v>
      </c>
      <c r="R125" s="81">
        <f>IF(G125="","",ABS(O125-Components!$C$4)/Components!$D$4)</f>
        <v>71.060813502846173</v>
      </c>
      <c r="S125" s="81">
        <f>IF(G125="","",ABS(O125-Components!$C$5)/Components!$D$5)</f>
        <v>181.20335706346788</v>
      </c>
      <c r="T125" s="81">
        <f>IF(G125="","",ABS(O125-Components!$C$6)/Components!$D$6)</f>
        <v>41.828806507685222</v>
      </c>
      <c r="U125" s="81">
        <f>IF(G125="","",ABS(O125-Components!$C$7)/Components!$D$7)</f>
        <v>54.655123995148351</v>
      </c>
      <c r="V125" s="81" t="str">
        <f>IF(G125="","",IF(M125="OK","NONE",INDEX({"S1","S2","W1","W2","N1","N2"},MATCH(MIN(P125:U125),P125:U125,0))))</f>
        <v>NONE</v>
      </c>
      <c r="W125" s="117">
        <f t="shared" si="14"/>
        <v>1</v>
      </c>
      <c r="X125" s="107"/>
    </row>
    <row r="126" spans="1:24">
      <c r="A126" s="115">
        <v>124</v>
      </c>
      <c r="B126" s="116">
        <v>5</v>
      </c>
      <c r="C126" s="81" t="s">
        <v>130</v>
      </c>
      <c r="D126" s="109" t="s">
        <v>238</v>
      </c>
      <c r="E126" s="81" t="s">
        <v>239</v>
      </c>
      <c r="F126" s="52">
        <v>8.89</v>
      </c>
      <c r="G126" s="52">
        <f t="shared" si="8"/>
        <v>9.8600000000000012</v>
      </c>
      <c r="H126" s="110"/>
      <c r="I126" s="81">
        <v>9.91</v>
      </c>
      <c r="J126" s="81">
        <f>VLOOKUP(C126,Recipes!$A$2:$N$4,12,FALSE())</f>
        <v>5.0137397426368718E-2</v>
      </c>
      <c r="K126" s="81">
        <f t="shared" si="9"/>
        <v>9.7595878077208944</v>
      </c>
      <c r="L126" s="81">
        <f t="shared" si="10"/>
        <v>10.060412192279106</v>
      </c>
      <c r="M126" s="81" t="str">
        <f t="shared" si="11"/>
        <v>OK</v>
      </c>
      <c r="N126" s="117">
        <f t="shared" si="12"/>
        <v>1</v>
      </c>
      <c r="O126" s="81">
        <f t="shared" si="13"/>
        <v>4.9999999999998934E-2</v>
      </c>
      <c r="P126" s="81">
        <f>IF(G126="","",ABS(O126-Components!$C$2)/Components!$D$2)</f>
        <v>409.04155195783812</v>
      </c>
      <c r="Q126" s="81">
        <f>IF(G126="","",ABS(O126-Components!$C$3)/Components!$D$3)</f>
        <v>288.91278083106391</v>
      </c>
      <c r="R126" s="81">
        <f>IF(G126="","",ABS(O126-Components!$C$4)/Components!$D$4)</f>
        <v>67.483926917132521</v>
      </c>
      <c r="S126" s="81">
        <f>IF(G126="","",ABS(O126-Components!$C$5)/Components!$D$5)</f>
        <v>179.21763938670577</v>
      </c>
      <c r="T126" s="81">
        <f>IF(G126="","",ABS(O126-Components!$C$6)/Components!$D$6)</f>
        <v>40.019080238244022</v>
      </c>
      <c r="U126" s="81">
        <f>IF(G126="","",ABS(O126-Components!$C$7)/Components!$D$7)</f>
        <v>52.666700856833515</v>
      </c>
      <c r="V126" s="81" t="str">
        <f>IF(G126="","",IF(M126="OK","NONE",INDEX({"S1","S2","W1","W2","N1","N2"},MATCH(MIN(P126:U126),P126:U126,0))))</f>
        <v>NONE</v>
      </c>
      <c r="W126" s="117">
        <f t="shared" si="14"/>
        <v>1</v>
      </c>
      <c r="X126" s="107"/>
    </row>
    <row r="127" spans="1:24">
      <c r="A127" s="115">
        <v>125</v>
      </c>
      <c r="B127" s="116">
        <v>5</v>
      </c>
      <c r="C127" s="81" t="s">
        <v>130</v>
      </c>
      <c r="D127" s="109" t="s">
        <v>238</v>
      </c>
      <c r="E127" s="81" t="s">
        <v>239</v>
      </c>
      <c r="F127" s="52">
        <v>8.89</v>
      </c>
      <c r="G127" s="52">
        <f t="shared" si="8"/>
        <v>9.8600000000000012</v>
      </c>
      <c r="H127" s="110"/>
      <c r="I127" s="81">
        <v>9.91</v>
      </c>
      <c r="J127" s="81">
        <f>VLOOKUP(C127,Recipes!$A$2:$N$4,12,FALSE())</f>
        <v>5.0137397426368718E-2</v>
      </c>
      <c r="K127" s="81">
        <f t="shared" si="9"/>
        <v>9.7595878077208944</v>
      </c>
      <c r="L127" s="81">
        <f t="shared" si="10"/>
        <v>10.060412192279106</v>
      </c>
      <c r="M127" s="81" t="str">
        <f t="shared" si="11"/>
        <v>OK</v>
      </c>
      <c r="N127" s="117">
        <f t="shared" si="12"/>
        <v>1</v>
      </c>
      <c r="O127" s="81">
        <f t="shared" si="13"/>
        <v>4.9999999999998934E-2</v>
      </c>
      <c r="P127" s="81">
        <f>IF(G127="","",ABS(O127-Components!$C$2)/Components!$D$2)</f>
        <v>409.04155195783812</v>
      </c>
      <c r="Q127" s="81">
        <f>IF(G127="","",ABS(O127-Components!$C$3)/Components!$D$3)</f>
        <v>288.91278083106391</v>
      </c>
      <c r="R127" s="81">
        <f>IF(G127="","",ABS(O127-Components!$C$4)/Components!$D$4)</f>
        <v>67.483926917132521</v>
      </c>
      <c r="S127" s="81">
        <f>IF(G127="","",ABS(O127-Components!$C$5)/Components!$D$5)</f>
        <v>179.21763938670577</v>
      </c>
      <c r="T127" s="81">
        <f>IF(G127="","",ABS(O127-Components!$C$6)/Components!$D$6)</f>
        <v>40.019080238244022</v>
      </c>
      <c r="U127" s="81">
        <f>IF(G127="","",ABS(O127-Components!$C$7)/Components!$D$7)</f>
        <v>52.666700856833515</v>
      </c>
      <c r="V127" s="81" t="str">
        <f>IF(G127="","",IF(M127="OK","NONE",INDEX({"S1","S2","W1","W2","N1","N2"},MATCH(MIN(P127:U127),P127:U127,0))))</f>
        <v>NONE</v>
      </c>
      <c r="W127" s="117">
        <f t="shared" si="14"/>
        <v>1</v>
      </c>
      <c r="X127" s="107"/>
    </row>
    <row r="128" spans="1:24">
      <c r="A128" s="115">
        <v>126</v>
      </c>
      <c r="B128" s="116">
        <v>5</v>
      </c>
      <c r="C128" s="81" t="s">
        <v>130</v>
      </c>
      <c r="D128" s="109" t="s">
        <v>238</v>
      </c>
      <c r="E128" s="81" t="s">
        <v>239</v>
      </c>
      <c r="F128" s="61">
        <v>8.8800000000000008</v>
      </c>
      <c r="G128" s="52">
        <f t="shared" si="8"/>
        <v>9.8500000000000014</v>
      </c>
      <c r="H128" s="110"/>
      <c r="I128" s="81">
        <v>9.91</v>
      </c>
      <c r="J128" s="81">
        <f>VLOOKUP(C128,Recipes!$A$2:$N$4,12,FALSE())</f>
        <v>5.0137397426368718E-2</v>
      </c>
      <c r="K128" s="81">
        <f t="shared" si="9"/>
        <v>9.7595878077208944</v>
      </c>
      <c r="L128" s="81">
        <f t="shared" si="10"/>
        <v>10.060412192279106</v>
      </c>
      <c r="M128" s="81" t="str">
        <f t="shared" si="11"/>
        <v>OK</v>
      </c>
      <c r="N128" s="117">
        <f t="shared" si="12"/>
        <v>1</v>
      </c>
      <c r="O128" s="81">
        <f t="shared" si="13"/>
        <v>5.9999999999998721E-2</v>
      </c>
      <c r="P128" s="81">
        <f>IF(G128="","",ABS(O128-Components!$C$2)/Components!$D$2)</f>
        <v>407.52845127242074</v>
      </c>
      <c r="Q128" s="81">
        <f>IF(G128="","",ABS(O128-Components!$C$3)/Components!$D$3)</f>
        <v>288.18796201312347</v>
      </c>
      <c r="R128" s="81">
        <f>IF(G128="","",ABS(O128-Components!$C$4)/Components!$D$4)</f>
        <v>66.768549599989782</v>
      </c>
      <c r="S128" s="81">
        <f>IF(G128="","",ABS(O128-Components!$C$5)/Components!$D$5)</f>
        <v>178.82049585135334</v>
      </c>
      <c r="T128" s="81">
        <f>IF(G128="","",ABS(O128-Components!$C$6)/Components!$D$6)</f>
        <v>39.657134984355785</v>
      </c>
      <c r="U128" s="81">
        <f>IF(G128="","",ABS(O128-Components!$C$7)/Components!$D$7)</f>
        <v>52.269016229170546</v>
      </c>
      <c r="V128" s="81" t="str">
        <f>IF(G128="","",IF(M128="OK","NONE",INDEX({"S1","S2","W1","W2","N1","N2"},MATCH(MIN(P128:U128),P128:U128,0))))</f>
        <v>NONE</v>
      </c>
      <c r="W128" s="117">
        <f t="shared" si="14"/>
        <v>1</v>
      </c>
      <c r="X128" s="107"/>
    </row>
    <row r="129" spans="1:24">
      <c r="A129" s="115">
        <v>127</v>
      </c>
      <c r="B129" s="116">
        <v>5</v>
      </c>
      <c r="C129" s="81" t="s">
        <v>130</v>
      </c>
      <c r="D129" s="109" t="s">
        <v>238</v>
      </c>
      <c r="E129" s="81" t="s">
        <v>239</v>
      </c>
      <c r="F129" s="61">
        <v>8.91</v>
      </c>
      <c r="G129" s="52">
        <f t="shared" si="8"/>
        <v>9.8800000000000008</v>
      </c>
      <c r="H129" s="110"/>
      <c r="I129" s="81">
        <v>9.91</v>
      </c>
      <c r="J129" s="81">
        <f>VLOOKUP(C129,Recipes!$A$2:$N$4,12,FALSE())</f>
        <v>5.0137397426368718E-2</v>
      </c>
      <c r="K129" s="81">
        <f t="shared" si="9"/>
        <v>9.7595878077208944</v>
      </c>
      <c r="L129" s="81">
        <f t="shared" si="10"/>
        <v>10.060412192279106</v>
      </c>
      <c r="M129" s="81" t="str">
        <f t="shared" si="11"/>
        <v>OK</v>
      </c>
      <c r="N129" s="117">
        <f t="shared" si="12"/>
        <v>1</v>
      </c>
      <c r="O129" s="81">
        <f t="shared" si="13"/>
        <v>2.9999999999999361E-2</v>
      </c>
      <c r="P129" s="81">
        <f>IF(G129="","",ABS(O129-Components!$C$2)/Components!$D$2)</f>
        <v>412.06775332867289</v>
      </c>
      <c r="Q129" s="81">
        <f>IF(G129="","",ABS(O129-Components!$C$3)/Components!$D$3)</f>
        <v>290.36241846694475</v>
      </c>
      <c r="R129" s="81">
        <f>IF(G129="","",ABS(O129-Components!$C$4)/Components!$D$4)</f>
        <v>68.914681551417985</v>
      </c>
      <c r="S129" s="81">
        <f>IF(G129="","",ABS(O129-Components!$C$5)/Components!$D$5)</f>
        <v>180.0119264574106</v>
      </c>
      <c r="T129" s="81">
        <f>IF(G129="","",ABS(O129-Components!$C$6)/Components!$D$6)</f>
        <v>40.742970746020504</v>
      </c>
      <c r="U129" s="81">
        <f>IF(G129="","",ABS(O129-Components!$C$7)/Components!$D$7)</f>
        <v>53.462070112159452</v>
      </c>
      <c r="V129" s="81" t="str">
        <f>IF(G129="","",IF(M129="OK","NONE",INDEX({"S1","S2","W1","W2","N1","N2"},MATCH(MIN(P129:U129),P129:U129,0))))</f>
        <v>NONE</v>
      </c>
      <c r="W129" s="117">
        <f t="shared" si="14"/>
        <v>1</v>
      </c>
      <c r="X129" s="107"/>
    </row>
    <row r="130" spans="1:24">
      <c r="A130" s="115">
        <v>128</v>
      </c>
      <c r="B130" s="116">
        <v>5</v>
      </c>
      <c r="C130" s="81" t="s">
        <v>130</v>
      </c>
      <c r="D130" s="109" t="s">
        <v>238</v>
      </c>
      <c r="E130" s="81" t="s">
        <v>239</v>
      </c>
      <c r="F130" s="61">
        <v>8.85</v>
      </c>
      <c r="G130" s="52">
        <f t="shared" si="8"/>
        <v>9.82</v>
      </c>
      <c r="H130" s="110"/>
      <c r="I130" s="81">
        <v>9.91</v>
      </c>
      <c r="J130" s="81">
        <f>VLOOKUP(C130,Recipes!$A$2:$N$4,12,FALSE())</f>
        <v>5.0137397426368718E-2</v>
      </c>
      <c r="K130" s="81">
        <f t="shared" si="9"/>
        <v>9.7595878077208944</v>
      </c>
      <c r="L130" s="81">
        <f t="shared" si="10"/>
        <v>10.060412192279106</v>
      </c>
      <c r="M130" s="81" t="str">
        <f t="shared" si="11"/>
        <v>OK</v>
      </c>
      <c r="N130" s="117">
        <f t="shared" si="12"/>
        <v>1</v>
      </c>
      <c r="O130" s="81">
        <f t="shared" si="13"/>
        <v>8.9999999999999858E-2</v>
      </c>
      <c r="P130" s="81">
        <f>IF(G130="","",ABS(O130-Components!$C$2)/Components!$D$2)</f>
        <v>402.98914921616836</v>
      </c>
      <c r="Q130" s="81">
        <f>IF(G130="","",ABS(O130-Components!$C$3)/Components!$D$3)</f>
        <v>286.01350555930202</v>
      </c>
      <c r="R130" s="81">
        <f>IF(G130="","",ABS(O130-Components!$C$4)/Components!$D$4)</f>
        <v>64.622417648561466</v>
      </c>
      <c r="S130" s="81">
        <f>IF(G130="","",ABS(O130-Components!$C$5)/Components!$D$5)</f>
        <v>177.62906524529603</v>
      </c>
      <c r="T130" s="81">
        <f>IF(G130="","",ABS(O130-Components!$C$6)/Components!$D$6)</f>
        <v>38.571299222691003</v>
      </c>
      <c r="U130" s="81">
        <f>IF(G130="","",ABS(O130-Components!$C$7)/Components!$D$7)</f>
        <v>51.075962346181569</v>
      </c>
      <c r="V130" s="81" t="str">
        <f>IF(G130="","",IF(M130="OK","NONE",INDEX({"S1","S2","W1","W2","N1","N2"},MATCH(MIN(P130:U130),P130:U130,0))))</f>
        <v>NONE</v>
      </c>
      <c r="W130" s="117">
        <f t="shared" si="14"/>
        <v>1</v>
      </c>
      <c r="X130" s="107"/>
    </row>
    <row r="131" spans="1:24">
      <c r="A131" s="115">
        <v>129</v>
      </c>
      <c r="B131" s="116">
        <v>5</v>
      </c>
      <c r="C131" s="81" t="s">
        <v>130</v>
      </c>
      <c r="D131" s="109" t="s">
        <v>238</v>
      </c>
      <c r="E131" s="81" t="s">
        <v>239</v>
      </c>
      <c r="F131" s="61">
        <v>8.8800000000000008</v>
      </c>
      <c r="G131" s="52">
        <f t="shared" ref="G131:G194" si="15">0.97+F131</f>
        <v>9.8500000000000014</v>
      </c>
      <c r="H131" s="110"/>
      <c r="I131" s="81">
        <v>9.91</v>
      </c>
      <c r="J131" s="81">
        <f>VLOOKUP(C131,Recipes!$A$2:$N$4,12,FALSE())</f>
        <v>5.0137397426368718E-2</v>
      </c>
      <c r="K131" s="81">
        <f t="shared" ref="K131:K194" si="16">I131-3*J131</f>
        <v>9.7595878077208944</v>
      </c>
      <c r="L131" s="81">
        <f t="shared" ref="L131:L194" si="17">I131+3*J131</f>
        <v>10.060412192279106</v>
      </c>
      <c r="M131" s="81" t="str">
        <f t="shared" si="11"/>
        <v>OK</v>
      </c>
      <c r="N131" s="117">
        <f t="shared" si="12"/>
        <v>1</v>
      </c>
      <c r="O131" s="81">
        <f t="shared" si="13"/>
        <v>5.9999999999998721E-2</v>
      </c>
      <c r="P131" s="81">
        <f>IF(G131="","",ABS(O131-Components!$C$2)/Components!$D$2)</f>
        <v>407.52845127242074</v>
      </c>
      <c r="Q131" s="81">
        <f>IF(G131="","",ABS(O131-Components!$C$3)/Components!$D$3)</f>
        <v>288.18796201312347</v>
      </c>
      <c r="R131" s="81">
        <f>IF(G131="","",ABS(O131-Components!$C$4)/Components!$D$4)</f>
        <v>66.768549599989782</v>
      </c>
      <c r="S131" s="81">
        <f>IF(G131="","",ABS(O131-Components!$C$5)/Components!$D$5)</f>
        <v>178.82049585135334</v>
      </c>
      <c r="T131" s="81">
        <f>IF(G131="","",ABS(O131-Components!$C$6)/Components!$D$6)</f>
        <v>39.657134984355785</v>
      </c>
      <c r="U131" s="81">
        <f>IF(G131="","",ABS(O131-Components!$C$7)/Components!$D$7)</f>
        <v>52.269016229170546</v>
      </c>
      <c r="V131" s="81" t="str">
        <f>IF(G131="","",IF(M131="OK","NONE",INDEX({"S1","S2","W1","W2","N1","N2"},MATCH(MIN(P131:U131),P131:U131,0))))</f>
        <v>NONE</v>
      </c>
      <c r="W131" s="117">
        <f t="shared" si="14"/>
        <v>1</v>
      </c>
      <c r="X131" s="107"/>
    </row>
    <row r="132" spans="1:24">
      <c r="A132" s="115">
        <v>130</v>
      </c>
      <c r="B132" s="116">
        <v>5</v>
      </c>
      <c r="C132" s="81" t="s">
        <v>130</v>
      </c>
      <c r="D132" s="109" t="s">
        <v>238</v>
      </c>
      <c r="E132" s="81" t="s">
        <v>239</v>
      </c>
      <c r="F132" s="61">
        <v>8.8699999999999992</v>
      </c>
      <c r="G132" s="52">
        <f t="shared" si="15"/>
        <v>9.84</v>
      </c>
      <c r="H132" s="110"/>
      <c r="I132" s="81">
        <v>9.91</v>
      </c>
      <c r="J132" s="81">
        <f>VLOOKUP(C132,Recipes!$A$2:$N$4,12,FALSE())</f>
        <v>5.0137397426368718E-2</v>
      </c>
      <c r="K132" s="81">
        <f t="shared" si="16"/>
        <v>9.7595878077208944</v>
      </c>
      <c r="L132" s="81">
        <f t="shared" si="17"/>
        <v>10.060412192279106</v>
      </c>
      <c r="M132" s="81" t="str">
        <f t="shared" ref="M132:M195" si="18">IF(G132="","",IF(AND(G132&gt;=K132,G132&lt;=L132),"OK","NG"))</f>
        <v>OK</v>
      </c>
      <c r="N132" s="117">
        <f t="shared" ref="N132:N195" si="19">IF(M132="","",IF(M132=D132,1,0))</f>
        <v>1</v>
      </c>
      <c r="O132" s="81">
        <f t="shared" ref="O132:O195" si="20">IF(G132="","",I132-G132)</f>
        <v>7.0000000000000284E-2</v>
      </c>
      <c r="P132" s="81">
        <f>IF(G132="","",ABS(O132-Components!$C$2)/Components!$D$2)</f>
        <v>406.01535058700313</v>
      </c>
      <c r="Q132" s="81">
        <f>IF(G132="","",ABS(O132-Components!$C$3)/Components!$D$3)</f>
        <v>287.46314319518291</v>
      </c>
      <c r="R132" s="81">
        <f>IF(G132="","",ABS(O132-Components!$C$4)/Components!$D$4)</f>
        <v>66.05317228284693</v>
      </c>
      <c r="S132" s="81">
        <f>IF(G132="","",ABS(O132-Components!$C$5)/Components!$D$5)</f>
        <v>178.42335231600086</v>
      </c>
      <c r="T132" s="81">
        <f>IF(G132="","",ABS(O132-Components!$C$6)/Components!$D$6)</f>
        <v>39.295189730467477</v>
      </c>
      <c r="U132" s="81">
        <f>IF(G132="","",ABS(O132-Components!$C$7)/Components!$D$7)</f>
        <v>51.871331601507507</v>
      </c>
      <c r="V132" s="81" t="str">
        <f>IF(G132="","",IF(M132="OK","NONE",INDEX({"S1","S2","W1","W2","N1","N2"},MATCH(MIN(P132:U132),P132:U132,0))))</f>
        <v>NONE</v>
      </c>
      <c r="W132" s="117">
        <f t="shared" ref="W132:W195" si="21">IF(G132="","",IF(V132=E132,1,0))</f>
        <v>1</v>
      </c>
      <c r="X132" s="107"/>
    </row>
    <row r="133" spans="1:24">
      <c r="A133" s="115">
        <v>131</v>
      </c>
      <c r="B133" s="116">
        <v>5</v>
      </c>
      <c r="C133" s="81" t="s">
        <v>130</v>
      </c>
      <c r="D133" s="109" t="s">
        <v>238</v>
      </c>
      <c r="E133" s="81" t="s">
        <v>239</v>
      </c>
      <c r="F133" s="61">
        <v>8.89</v>
      </c>
      <c r="G133" s="52">
        <f t="shared" si="15"/>
        <v>9.8600000000000012</v>
      </c>
      <c r="H133" s="110"/>
      <c r="I133" s="81">
        <v>9.91</v>
      </c>
      <c r="J133" s="81">
        <f>VLOOKUP(C133,Recipes!$A$2:$N$4,12,FALSE())</f>
        <v>5.0137397426368718E-2</v>
      </c>
      <c r="K133" s="81">
        <f t="shared" si="16"/>
        <v>9.7595878077208944</v>
      </c>
      <c r="L133" s="81">
        <f t="shared" si="17"/>
        <v>10.060412192279106</v>
      </c>
      <c r="M133" s="81" t="str">
        <f t="shared" si="18"/>
        <v>OK</v>
      </c>
      <c r="N133" s="117">
        <f t="shared" si="19"/>
        <v>1</v>
      </c>
      <c r="O133" s="81">
        <f t="shared" si="20"/>
        <v>4.9999999999998934E-2</v>
      </c>
      <c r="P133" s="81">
        <f>IF(G133="","",ABS(O133-Components!$C$2)/Components!$D$2)</f>
        <v>409.04155195783812</v>
      </c>
      <c r="Q133" s="81">
        <f>IF(G133="","",ABS(O133-Components!$C$3)/Components!$D$3)</f>
        <v>288.91278083106391</v>
      </c>
      <c r="R133" s="81">
        <f>IF(G133="","",ABS(O133-Components!$C$4)/Components!$D$4)</f>
        <v>67.483926917132521</v>
      </c>
      <c r="S133" s="81">
        <f>IF(G133="","",ABS(O133-Components!$C$5)/Components!$D$5)</f>
        <v>179.21763938670577</v>
      </c>
      <c r="T133" s="81">
        <f>IF(G133="","",ABS(O133-Components!$C$6)/Components!$D$6)</f>
        <v>40.019080238244022</v>
      </c>
      <c r="U133" s="81">
        <f>IF(G133="","",ABS(O133-Components!$C$7)/Components!$D$7)</f>
        <v>52.666700856833515</v>
      </c>
      <c r="V133" s="81" t="str">
        <f>IF(G133="","",IF(M133="OK","NONE",INDEX({"S1","S2","W1","W2","N1","N2"},MATCH(MIN(P133:U133),P133:U133,0))))</f>
        <v>NONE</v>
      </c>
      <c r="W133" s="117">
        <f t="shared" si="21"/>
        <v>1</v>
      </c>
      <c r="X133" s="107"/>
    </row>
    <row r="134" spans="1:24">
      <c r="A134" s="115">
        <v>132</v>
      </c>
      <c r="B134" s="116">
        <v>5</v>
      </c>
      <c r="C134" s="81" t="s">
        <v>130</v>
      </c>
      <c r="D134" s="109" t="s">
        <v>238</v>
      </c>
      <c r="E134" s="81" t="s">
        <v>239</v>
      </c>
      <c r="F134" s="61">
        <v>8.8699999999999992</v>
      </c>
      <c r="G134" s="52">
        <f t="shared" si="15"/>
        <v>9.84</v>
      </c>
      <c r="H134" s="110"/>
      <c r="I134" s="81">
        <v>9.91</v>
      </c>
      <c r="J134" s="81">
        <f>VLOOKUP(C134,Recipes!$A$2:$N$4,12,FALSE())</f>
        <v>5.0137397426368718E-2</v>
      </c>
      <c r="K134" s="81">
        <f t="shared" si="16"/>
        <v>9.7595878077208944</v>
      </c>
      <c r="L134" s="81">
        <f t="shared" si="17"/>
        <v>10.060412192279106</v>
      </c>
      <c r="M134" s="81" t="str">
        <f t="shared" si="18"/>
        <v>OK</v>
      </c>
      <c r="N134" s="117">
        <f t="shared" si="19"/>
        <v>1</v>
      </c>
      <c r="O134" s="81">
        <f t="shared" si="20"/>
        <v>7.0000000000000284E-2</v>
      </c>
      <c r="P134" s="81">
        <f>IF(G134="","",ABS(O134-Components!$C$2)/Components!$D$2)</f>
        <v>406.01535058700313</v>
      </c>
      <c r="Q134" s="81">
        <f>IF(G134="","",ABS(O134-Components!$C$3)/Components!$D$3)</f>
        <v>287.46314319518291</v>
      </c>
      <c r="R134" s="81">
        <f>IF(G134="","",ABS(O134-Components!$C$4)/Components!$D$4)</f>
        <v>66.05317228284693</v>
      </c>
      <c r="S134" s="81">
        <f>IF(G134="","",ABS(O134-Components!$C$5)/Components!$D$5)</f>
        <v>178.42335231600086</v>
      </c>
      <c r="T134" s="81">
        <f>IF(G134="","",ABS(O134-Components!$C$6)/Components!$D$6)</f>
        <v>39.295189730467477</v>
      </c>
      <c r="U134" s="81">
        <f>IF(G134="","",ABS(O134-Components!$C$7)/Components!$D$7)</f>
        <v>51.871331601507507</v>
      </c>
      <c r="V134" s="81" t="str">
        <f>IF(G134="","",IF(M134="OK","NONE",INDEX({"S1","S2","W1","W2","N1","N2"},MATCH(MIN(P134:U134),P134:U134,0))))</f>
        <v>NONE</v>
      </c>
      <c r="W134" s="117">
        <f t="shared" si="21"/>
        <v>1</v>
      </c>
      <c r="X134" s="107"/>
    </row>
    <row r="135" spans="1:24">
      <c r="A135" s="115">
        <v>133</v>
      </c>
      <c r="B135" s="116">
        <v>5</v>
      </c>
      <c r="C135" s="81" t="s">
        <v>130</v>
      </c>
      <c r="D135" s="109" t="s">
        <v>238</v>
      </c>
      <c r="E135" s="81" t="s">
        <v>239</v>
      </c>
      <c r="F135" s="61">
        <v>8.9700000000000006</v>
      </c>
      <c r="G135" s="52">
        <f t="shared" si="15"/>
        <v>9.9400000000000013</v>
      </c>
      <c r="H135" s="110"/>
      <c r="I135" s="81">
        <v>9.91</v>
      </c>
      <c r="J135" s="81">
        <f>VLOOKUP(C135,Recipes!$A$2:$N$4,12,FALSE())</f>
        <v>5.0137397426368718E-2</v>
      </c>
      <c r="K135" s="81">
        <f t="shared" si="16"/>
        <v>9.7595878077208944</v>
      </c>
      <c r="L135" s="81">
        <f t="shared" si="17"/>
        <v>10.060412192279106</v>
      </c>
      <c r="M135" s="81" t="str">
        <f t="shared" si="18"/>
        <v>OK</v>
      </c>
      <c r="N135" s="117">
        <f t="shared" si="19"/>
        <v>1</v>
      </c>
      <c r="O135" s="81">
        <f t="shared" si="20"/>
        <v>-3.0000000000001137E-2</v>
      </c>
      <c r="P135" s="81">
        <f>IF(G135="","",ABS(O135-Components!$C$2)/Components!$D$2)</f>
        <v>421.14635744117737</v>
      </c>
      <c r="Q135" s="81">
        <f>IF(G135="","",ABS(O135-Components!$C$3)/Components!$D$3)</f>
        <v>294.71133137458753</v>
      </c>
      <c r="R135" s="81">
        <f>IF(G135="","",ABS(O135-Components!$C$4)/Components!$D$4)</f>
        <v>73.206945454274504</v>
      </c>
      <c r="S135" s="81">
        <f>IF(G135="","",ABS(O135-Components!$C$5)/Components!$D$5)</f>
        <v>182.39478766952519</v>
      </c>
      <c r="T135" s="81">
        <f>IF(G135="","",ABS(O135-Components!$C$6)/Components!$D$6)</f>
        <v>42.914642269350004</v>
      </c>
      <c r="U135" s="81">
        <f>IF(G135="","",ABS(O135-Components!$C$7)/Components!$D$7)</f>
        <v>55.848177878137328</v>
      </c>
      <c r="V135" s="81" t="str">
        <f>IF(G135="","",IF(M135="OK","NONE",INDEX({"S1","S2","W1","W2","N1","N2"},MATCH(MIN(P135:U135),P135:U135,0))))</f>
        <v>NONE</v>
      </c>
      <c r="W135" s="117">
        <f t="shared" si="21"/>
        <v>1</v>
      </c>
      <c r="X135" s="107"/>
    </row>
    <row r="136" spans="1:24">
      <c r="A136" s="115">
        <v>134</v>
      </c>
      <c r="B136" s="116">
        <v>5</v>
      </c>
      <c r="C136" s="81" t="s">
        <v>130</v>
      </c>
      <c r="D136" s="109" t="s">
        <v>238</v>
      </c>
      <c r="E136" s="81" t="s">
        <v>239</v>
      </c>
      <c r="F136" s="61">
        <v>8.94</v>
      </c>
      <c r="G136" s="52">
        <f t="shared" si="15"/>
        <v>9.91</v>
      </c>
      <c r="H136" s="110"/>
      <c r="I136" s="81">
        <v>9.91</v>
      </c>
      <c r="J136" s="81">
        <f>VLOOKUP(C136,Recipes!$A$2:$N$4,12,FALSE())</f>
        <v>5.0137397426368718E-2</v>
      </c>
      <c r="K136" s="81">
        <f t="shared" si="16"/>
        <v>9.7595878077208944</v>
      </c>
      <c r="L136" s="81">
        <f t="shared" si="17"/>
        <v>10.060412192279106</v>
      </c>
      <c r="M136" s="81" t="str">
        <f t="shared" si="18"/>
        <v>OK</v>
      </c>
      <c r="N136" s="117">
        <f t="shared" si="19"/>
        <v>1</v>
      </c>
      <c r="O136" s="81">
        <f t="shared" si="20"/>
        <v>0</v>
      </c>
      <c r="P136" s="81">
        <f>IF(G136="","",ABS(O136-Components!$C$2)/Components!$D$2)</f>
        <v>416.60705538492499</v>
      </c>
      <c r="Q136" s="81">
        <f>IF(G136="","",ABS(O136-Components!$C$3)/Components!$D$3)</f>
        <v>292.53687492076608</v>
      </c>
      <c r="R136" s="81">
        <f>IF(G136="","",ABS(O136-Components!$C$4)/Components!$D$4)</f>
        <v>71.060813502846173</v>
      </c>
      <c r="S136" s="81">
        <f>IF(G136="","",ABS(O136-Components!$C$5)/Components!$D$5)</f>
        <v>181.20335706346788</v>
      </c>
      <c r="T136" s="81">
        <f>IF(G136="","",ABS(O136-Components!$C$6)/Components!$D$6)</f>
        <v>41.828806507685222</v>
      </c>
      <c r="U136" s="81">
        <f>IF(G136="","",ABS(O136-Components!$C$7)/Components!$D$7)</f>
        <v>54.655123995148351</v>
      </c>
      <c r="V136" s="81" t="str">
        <f>IF(G136="","",IF(M136="OK","NONE",INDEX({"S1","S2","W1","W2","N1","N2"},MATCH(MIN(P136:U136),P136:U136,0))))</f>
        <v>NONE</v>
      </c>
      <c r="W136" s="117">
        <f t="shared" si="21"/>
        <v>1</v>
      </c>
      <c r="X136" s="107"/>
    </row>
    <row r="137" spans="1:24">
      <c r="A137" s="115">
        <v>135</v>
      </c>
      <c r="B137" s="116">
        <v>5</v>
      </c>
      <c r="C137" s="81" t="s">
        <v>130</v>
      </c>
      <c r="D137" s="109" t="s">
        <v>238</v>
      </c>
      <c r="E137" s="81" t="s">
        <v>239</v>
      </c>
      <c r="F137" s="61">
        <v>8.89</v>
      </c>
      <c r="G137" s="52">
        <f t="shared" si="15"/>
        <v>9.8600000000000012</v>
      </c>
      <c r="H137" s="110"/>
      <c r="I137" s="81">
        <v>9.91</v>
      </c>
      <c r="J137" s="81">
        <f>VLOOKUP(C137,Recipes!$A$2:$N$4,12,FALSE())</f>
        <v>5.0137397426368718E-2</v>
      </c>
      <c r="K137" s="81">
        <f t="shared" si="16"/>
        <v>9.7595878077208944</v>
      </c>
      <c r="L137" s="81">
        <f t="shared" si="17"/>
        <v>10.060412192279106</v>
      </c>
      <c r="M137" s="81" t="str">
        <f t="shared" si="18"/>
        <v>OK</v>
      </c>
      <c r="N137" s="117">
        <f t="shared" si="19"/>
        <v>1</v>
      </c>
      <c r="O137" s="81">
        <f t="shared" si="20"/>
        <v>4.9999999999998934E-2</v>
      </c>
      <c r="P137" s="81">
        <f>IF(G137="","",ABS(O137-Components!$C$2)/Components!$D$2)</f>
        <v>409.04155195783812</v>
      </c>
      <c r="Q137" s="81">
        <f>IF(G137="","",ABS(O137-Components!$C$3)/Components!$D$3)</f>
        <v>288.91278083106391</v>
      </c>
      <c r="R137" s="81">
        <f>IF(G137="","",ABS(O137-Components!$C$4)/Components!$D$4)</f>
        <v>67.483926917132521</v>
      </c>
      <c r="S137" s="81">
        <f>IF(G137="","",ABS(O137-Components!$C$5)/Components!$D$5)</f>
        <v>179.21763938670577</v>
      </c>
      <c r="T137" s="81">
        <f>IF(G137="","",ABS(O137-Components!$C$6)/Components!$D$6)</f>
        <v>40.019080238244022</v>
      </c>
      <c r="U137" s="81">
        <f>IF(G137="","",ABS(O137-Components!$C$7)/Components!$D$7)</f>
        <v>52.666700856833515</v>
      </c>
      <c r="V137" s="81" t="str">
        <f>IF(G137="","",IF(M137="OK","NONE",INDEX({"S1","S2","W1","W2","N1","N2"},MATCH(MIN(P137:U137),P137:U137,0))))</f>
        <v>NONE</v>
      </c>
      <c r="W137" s="117">
        <f t="shared" si="21"/>
        <v>1</v>
      </c>
      <c r="X137" s="107"/>
    </row>
    <row r="138" spans="1:24">
      <c r="A138" s="115">
        <v>136</v>
      </c>
      <c r="B138" s="116">
        <v>5</v>
      </c>
      <c r="C138" s="81" t="s">
        <v>130</v>
      </c>
      <c r="D138" s="109" t="s">
        <v>238</v>
      </c>
      <c r="E138" s="81" t="s">
        <v>239</v>
      </c>
      <c r="F138" s="61">
        <v>8.8800000000000008</v>
      </c>
      <c r="G138" s="52">
        <f t="shared" si="15"/>
        <v>9.8500000000000014</v>
      </c>
      <c r="H138" s="110"/>
      <c r="I138" s="81">
        <v>9.91</v>
      </c>
      <c r="J138" s="81">
        <f>VLOOKUP(C138,Recipes!$A$2:$N$4,12,FALSE())</f>
        <v>5.0137397426368718E-2</v>
      </c>
      <c r="K138" s="81">
        <f t="shared" si="16"/>
        <v>9.7595878077208944</v>
      </c>
      <c r="L138" s="81">
        <f t="shared" si="17"/>
        <v>10.060412192279106</v>
      </c>
      <c r="M138" s="81" t="str">
        <f t="shared" si="18"/>
        <v>OK</v>
      </c>
      <c r="N138" s="117">
        <f t="shared" si="19"/>
        <v>1</v>
      </c>
      <c r="O138" s="81">
        <f t="shared" si="20"/>
        <v>5.9999999999998721E-2</v>
      </c>
      <c r="P138" s="81">
        <f>IF(G138="","",ABS(O138-Components!$C$2)/Components!$D$2)</f>
        <v>407.52845127242074</v>
      </c>
      <c r="Q138" s="81">
        <f>IF(G138="","",ABS(O138-Components!$C$3)/Components!$D$3)</f>
        <v>288.18796201312347</v>
      </c>
      <c r="R138" s="81">
        <f>IF(G138="","",ABS(O138-Components!$C$4)/Components!$D$4)</f>
        <v>66.768549599989782</v>
      </c>
      <c r="S138" s="81">
        <f>IF(G138="","",ABS(O138-Components!$C$5)/Components!$D$5)</f>
        <v>178.82049585135334</v>
      </c>
      <c r="T138" s="81">
        <f>IF(G138="","",ABS(O138-Components!$C$6)/Components!$D$6)</f>
        <v>39.657134984355785</v>
      </c>
      <c r="U138" s="81">
        <f>IF(G138="","",ABS(O138-Components!$C$7)/Components!$D$7)</f>
        <v>52.269016229170546</v>
      </c>
      <c r="V138" s="81" t="str">
        <f>IF(G138="","",IF(M138="OK","NONE",INDEX({"S1","S2","W1","W2","N1","N2"},MATCH(MIN(P138:U138),P138:U138,0))))</f>
        <v>NONE</v>
      </c>
      <c r="W138" s="117">
        <f t="shared" si="21"/>
        <v>1</v>
      </c>
      <c r="X138" s="107"/>
    </row>
    <row r="139" spans="1:24">
      <c r="A139" s="115">
        <v>137</v>
      </c>
      <c r="B139" s="116">
        <v>5</v>
      </c>
      <c r="C139" s="81" t="s">
        <v>130</v>
      </c>
      <c r="D139" s="109" t="s">
        <v>238</v>
      </c>
      <c r="E139" s="81" t="s">
        <v>239</v>
      </c>
      <c r="F139" s="61">
        <v>8.93</v>
      </c>
      <c r="G139" s="52">
        <f t="shared" si="15"/>
        <v>9.9</v>
      </c>
      <c r="H139" s="110"/>
      <c r="I139" s="81">
        <v>9.91</v>
      </c>
      <c r="J139" s="81">
        <f>VLOOKUP(C139,Recipes!$A$2:$N$4,12,FALSE())</f>
        <v>5.0137397426368718E-2</v>
      </c>
      <c r="K139" s="81">
        <f t="shared" si="16"/>
        <v>9.7595878077208944</v>
      </c>
      <c r="L139" s="81">
        <f t="shared" si="17"/>
        <v>10.060412192279106</v>
      </c>
      <c r="M139" s="81" t="str">
        <f t="shared" si="18"/>
        <v>OK</v>
      </c>
      <c r="N139" s="117">
        <f t="shared" si="19"/>
        <v>1</v>
      </c>
      <c r="O139" s="81">
        <f t="shared" si="20"/>
        <v>9.9999999999997868E-3</v>
      </c>
      <c r="P139" s="81">
        <f>IF(G139="","",ABS(O139-Components!$C$2)/Components!$D$2)</f>
        <v>415.09395469950761</v>
      </c>
      <c r="Q139" s="81">
        <f>IF(G139="","",ABS(O139-Components!$C$3)/Components!$D$3)</f>
        <v>291.81205610282564</v>
      </c>
      <c r="R139" s="81">
        <f>IF(G139="","",ABS(O139-Components!$C$4)/Components!$D$4)</f>
        <v>70.345436185703448</v>
      </c>
      <c r="S139" s="81">
        <f>IF(G139="","",ABS(O139-Components!$C$5)/Components!$D$5)</f>
        <v>180.80621352811545</v>
      </c>
      <c r="T139" s="81">
        <f>IF(G139="","",ABS(O139-Components!$C$6)/Components!$D$6)</f>
        <v>41.466861253796985</v>
      </c>
      <c r="U139" s="81">
        <f>IF(G139="","",ABS(O139-Components!$C$7)/Components!$D$7)</f>
        <v>54.257439367485389</v>
      </c>
      <c r="V139" s="81" t="str">
        <f>IF(G139="","",IF(M139="OK","NONE",INDEX({"S1","S2","W1","W2","N1","N2"},MATCH(MIN(P139:U139),P139:U139,0))))</f>
        <v>NONE</v>
      </c>
      <c r="W139" s="117">
        <f t="shared" si="21"/>
        <v>1</v>
      </c>
      <c r="X139" s="107"/>
    </row>
    <row r="140" spans="1:24">
      <c r="A140" s="115">
        <v>138</v>
      </c>
      <c r="B140" s="116">
        <v>5</v>
      </c>
      <c r="C140" s="81" t="s">
        <v>130</v>
      </c>
      <c r="D140" s="109" t="s">
        <v>238</v>
      </c>
      <c r="E140" s="81" t="s">
        <v>239</v>
      </c>
      <c r="F140" s="61">
        <v>8.93</v>
      </c>
      <c r="G140" s="52">
        <f t="shared" si="15"/>
        <v>9.9</v>
      </c>
      <c r="H140" s="110"/>
      <c r="I140" s="81">
        <v>9.91</v>
      </c>
      <c r="J140" s="81">
        <f>VLOOKUP(C140,Recipes!$A$2:$N$4,12,FALSE())</f>
        <v>5.0137397426368718E-2</v>
      </c>
      <c r="K140" s="81">
        <f t="shared" si="16"/>
        <v>9.7595878077208944</v>
      </c>
      <c r="L140" s="81">
        <f t="shared" si="17"/>
        <v>10.060412192279106</v>
      </c>
      <c r="M140" s="81" t="str">
        <f t="shared" si="18"/>
        <v>OK</v>
      </c>
      <c r="N140" s="117">
        <f t="shared" si="19"/>
        <v>1</v>
      </c>
      <c r="O140" s="81">
        <f t="shared" si="20"/>
        <v>9.9999999999997868E-3</v>
      </c>
      <c r="P140" s="81">
        <f>IF(G140="","",ABS(O140-Components!$C$2)/Components!$D$2)</f>
        <v>415.09395469950761</v>
      </c>
      <c r="Q140" s="81">
        <f>IF(G140="","",ABS(O140-Components!$C$3)/Components!$D$3)</f>
        <v>291.81205610282564</v>
      </c>
      <c r="R140" s="81">
        <f>IF(G140="","",ABS(O140-Components!$C$4)/Components!$D$4)</f>
        <v>70.345436185703448</v>
      </c>
      <c r="S140" s="81">
        <f>IF(G140="","",ABS(O140-Components!$C$5)/Components!$D$5)</f>
        <v>180.80621352811545</v>
      </c>
      <c r="T140" s="81">
        <f>IF(G140="","",ABS(O140-Components!$C$6)/Components!$D$6)</f>
        <v>41.466861253796985</v>
      </c>
      <c r="U140" s="81">
        <f>IF(G140="","",ABS(O140-Components!$C$7)/Components!$D$7)</f>
        <v>54.257439367485389</v>
      </c>
      <c r="V140" s="81" t="str">
        <f>IF(G140="","",IF(M140="OK","NONE",INDEX({"S1","S2","W1","W2","N1","N2"},MATCH(MIN(P140:U140),P140:U140,0))))</f>
        <v>NONE</v>
      </c>
      <c r="W140" s="117">
        <f t="shared" si="21"/>
        <v>1</v>
      </c>
      <c r="X140" s="107"/>
    </row>
    <row r="141" spans="1:24">
      <c r="A141" s="115">
        <v>139</v>
      </c>
      <c r="B141" s="116">
        <v>5</v>
      </c>
      <c r="C141" s="81" t="s">
        <v>130</v>
      </c>
      <c r="D141" s="109" t="s">
        <v>238</v>
      </c>
      <c r="E141" s="81" t="s">
        <v>239</v>
      </c>
      <c r="F141" s="61">
        <v>8.92</v>
      </c>
      <c r="G141" s="52">
        <f t="shared" si="15"/>
        <v>9.89</v>
      </c>
      <c r="H141" s="110"/>
      <c r="I141" s="81">
        <v>9.91</v>
      </c>
      <c r="J141" s="81">
        <f>VLOOKUP(C141,Recipes!$A$2:$N$4,12,FALSE())</f>
        <v>5.0137397426368718E-2</v>
      </c>
      <c r="K141" s="81">
        <f t="shared" si="16"/>
        <v>9.7595878077208944</v>
      </c>
      <c r="L141" s="81">
        <f t="shared" si="17"/>
        <v>10.060412192279106</v>
      </c>
      <c r="M141" s="81" t="str">
        <f t="shared" si="18"/>
        <v>OK</v>
      </c>
      <c r="N141" s="117">
        <f t="shared" si="19"/>
        <v>1</v>
      </c>
      <c r="O141" s="81">
        <f t="shared" si="20"/>
        <v>1.9999999999999574E-2</v>
      </c>
      <c r="P141" s="81">
        <f>IF(G141="","",ABS(O141-Components!$C$2)/Components!$D$2)</f>
        <v>413.58085401409028</v>
      </c>
      <c r="Q141" s="81">
        <f>IF(G141="","",ABS(O141-Components!$C$3)/Components!$D$3)</f>
        <v>291.08723728488519</v>
      </c>
      <c r="R141" s="81">
        <f>IF(G141="","",ABS(O141-Components!$C$4)/Components!$D$4)</f>
        <v>69.63005886856071</v>
      </c>
      <c r="S141" s="81">
        <f>IF(G141="","",ABS(O141-Components!$C$5)/Components!$D$5)</f>
        <v>180.40906999276302</v>
      </c>
      <c r="T141" s="81">
        <f>IF(G141="","",ABS(O141-Components!$C$6)/Components!$D$6)</f>
        <v>41.104915999908741</v>
      </c>
      <c r="U141" s="81">
        <f>IF(G141="","",ABS(O141-Components!$C$7)/Components!$D$7)</f>
        <v>53.859754739822421</v>
      </c>
      <c r="V141" s="81" t="str">
        <f>IF(G141="","",IF(M141="OK","NONE",INDEX({"S1","S2","W1","W2","N1","N2"},MATCH(MIN(P141:U141),P141:U141,0))))</f>
        <v>NONE</v>
      </c>
      <c r="W141" s="117">
        <f t="shared" si="21"/>
        <v>1</v>
      </c>
      <c r="X141" s="107"/>
    </row>
    <row r="142" spans="1:24">
      <c r="A142" s="115">
        <v>140</v>
      </c>
      <c r="B142" s="116">
        <v>5</v>
      </c>
      <c r="C142" s="81" t="s">
        <v>130</v>
      </c>
      <c r="D142" s="109" t="s">
        <v>238</v>
      </c>
      <c r="E142" s="81" t="s">
        <v>239</v>
      </c>
      <c r="F142" s="61">
        <v>8.8800000000000008</v>
      </c>
      <c r="G142" s="52">
        <f t="shared" si="15"/>
        <v>9.8500000000000014</v>
      </c>
      <c r="H142" s="110"/>
      <c r="I142" s="81">
        <v>9.91</v>
      </c>
      <c r="J142" s="81">
        <f>VLOOKUP(C142,Recipes!$A$2:$N$4,12,FALSE())</f>
        <v>5.0137397426368718E-2</v>
      </c>
      <c r="K142" s="81">
        <f t="shared" si="16"/>
        <v>9.7595878077208944</v>
      </c>
      <c r="L142" s="81">
        <f t="shared" si="17"/>
        <v>10.060412192279106</v>
      </c>
      <c r="M142" s="81" t="str">
        <f t="shared" si="18"/>
        <v>OK</v>
      </c>
      <c r="N142" s="117">
        <f t="shared" si="19"/>
        <v>1</v>
      </c>
      <c r="O142" s="81">
        <f t="shared" si="20"/>
        <v>5.9999999999998721E-2</v>
      </c>
      <c r="P142" s="81">
        <f>IF(G142="","",ABS(O142-Components!$C$2)/Components!$D$2)</f>
        <v>407.52845127242074</v>
      </c>
      <c r="Q142" s="81">
        <f>IF(G142="","",ABS(O142-Components!$C$3)/Components!$D$3)</f>
        <v>288.18796201312347</v>
      </c>
      <c r="R142" s="81">
        <f>IF(G142="","",ABS(O142-Components!$C$4)/Components!$D$4)</f>
        <v>66.768549599989782</v>
      </c>
      <c r="S142" s="81">
        <f>IF(G142="","",ABS(O142-Components!$C$5)/Components!$D$5)</f>
        <v>178.82049585135334</v>
      </c>
      <c r="T142" s="81">
        <f>IF(G142="","",ABS(O142-Components!$C$6)/Components!$D$6)</f>
        <v>39.657134984355785</v>
      </c>
      <c r="U142" s="81">
        <f>IF(G142="","",ABS(O142-Components!$C$7)/Components!$D$7)</f>
        <v>52.269016229170546</v>
      </c>
      <c r="V142" s="81" t="str">
        <f>IF(G142="","",IF(M142="OK","NONE",INDEX({"S1","S2","W1","W2","N1","N2"},MATCH(MIN(P142:U142),P142:U142,0))))</f>
        <v>NONE</v>
      </c>
      <c r="W142" s="117">
        <f t="shared" si="21"/>
        <v>1</v>
      </c>
      <c r="X142" s="107"/>
    </row>
    <row r="143" spans="1:24">
      <c r="A143" s="115">
        <v>141</v>
      </c>
      <c r="B143" s="116">
        <v>5</v>
      </c>
      <c r="C143" s="81" t="s">
        <v>130</v>
      </c>
      <c r="D143" s="109" t="s">
        <v>238</v>
      </c>
      <c r="E143" s="81" t="s">
        <v>239</v>
      </c>
      <c r="F143" s="61">
        <v>8.9</v>
      </c>
      <c r="G143" s="52">
        <f t="shared" si="15"/>
        <v>9.870000000000001</v>
      </c>
      <c r="H143" s="110"/>
      <c r="I143" s="81">
        <v>9.91</v>
      </c>
      <c r="J143" s="81">
        <f>VLOOKUP(C143,Recipes!$A$2:$N$4,12,FALSE())</f>
        <v>5.0137397426368718E-2</v>
      </c>
      <c r="K143" s="81">
        <f t="shared" si="16"/>
        <v>9.7595878077208944</v>
      </c>
      <c r="L143" s="81">
        <f t="shared" si="17"/>
        <v>10.060412192279106</v>
      </c>
      <c r="M143" s="81" t="str">
        <f t="shared" si="18"/>
        <v>OK</v>
      </c>
      <c r="N143" s="117">
        <f t="shared" si="19"/>
        <v>1</v>
      </c>
      <c r="O143" s="81">
        <f t="shared" si="20"/>
        <v>3.9999999999999147E-2</v>
      </c>
      <c r="P143" s="81">
        <f>IF(G143="","",ABS(O143-Components!$C$2)/Components!$D$2)</f>
        <v>410.55465264325551</v>
      </c>
      <c r="Q143" s="81">
        <f>IF(G143="","",ABS(O143-Components!$C$3)/Components!$D$3)</f>
        <v>289.63759964900436</v>
      </c>
      <c r="R143" s="81">
        <f>IF(G143="","",ABS(O143-Components!$C$4)/Components!$D$4)</f>
        <v>68.199304234275246</v>
      </c>
      <c r="S143" s="81">
        <f>IF(G143="","",ABS(O143-Components!$C$5)/Components!$D$5)</f>
        <v>179.6147829220582</v>
      </c>
      <c r="T143" s="81">
        <f>IF(G143="","",ABS(O143-Components!$C$6)/Components!$D$6)</f>
        <v>40.381025492132267</v>
      </c>
      <c r="U143" s="81">
        <f>IF(G143="","",ABS(O143-Components!$C$7)/Components!$D$7)</f>
        <v>53.064385484496484</v>
      </c>
      <c r="V143" s="81" t="str">
        <f>IF(G143="","",IF(M143="OK","NONE",INDEX({"S1","S2","W1","W2","N1","N2"},MATCH(MIN(P143:U143),P143:U143,0))))</f>
        <v>NONE</v>
      </c>
      <c r="W143" s="117">
        <f t="shared" si="21"/>
        <v>1</v>
      </c>
      <c r="X143" s="107"/>
    </row>
    <row r="144" spans="1:24">
      <c r="A144" s="115">
        <v>142</v>
      </c>
      <c r="B144" s="116">
        <v>5</v>
      </c>
      <c r="C144" s="81" t="s">
        <v>130</v>
      </c>
      <c r="D144" s="109" t="s">
        <v>238</v>
      </c>
      <c r="E144" s="81" t="s">
        <v>239</v>
      </c>
      <c r="F144" s="61">
        <v>8.8699999999999992</v>
      </c>
      <c r="G144" s="52">
        <f t="shared" si="15"/>
        <v>9.84</v>
      </c>
      <c r="H144" s="110"/>
      <c r="I144" s="81">
        <v>9.91</v>
      </c>
      <c r="J144" s="81">
        <f>VLOOKUP(C144,Recipes!$A$2:$N$4,12,FALSE())</f>
        <v>5.0137397426368718E-2</v>
      </c>
      <c r="K144" s="81">
        <f t="shared" si="16"/>
        <v>9.7595878077208944</v>
      </c>
      <c r="L144" s="81">
        <f t="shared" si="17"/>
        <v>10.060412192279106</v>
      </c>
      <c r="M144" s="81" t="str">
        <f t="shared" si="18"/>
        <v>OK</v>
      </c>
      <c r="N144" s="117">
        <f t="shared" si="19"/>
        <v>1</v>
      </c>
      <c r="O144" s="81">
        <f t="shared" si="20"/>
        <v>7.0000000000000284E-2</v>
      </c>
      <c r="P144" s="81">
        <f>IF(G144="","",ABS(O144-Components!$C$2)/Components!$D$2)</f>
        <v>406.01535058700313</v>
      </c>
      <c r="Q144" s="81">
        <f>IF(G144="","",ABS(O144-Components!$C$3)/Components!$D$3)</f>
        <v>287.46314319518291</v>
      </c>
      <c r="R144" s="81">
        <f>IF(G144="","",ABS(O144-Components!$C$4)/Components!$D$4)</f>
        <v>66.05317228284693</v>
      </c>
      <c r="S144" s="81">
        <f>IF(G144="","",ABS(O144-Components!$C$5)/Components!$D$5)</f>
        <v>178.42335231600086</v>
      </c>
      <c r="T144" s="81">
        <f>IF(G144="","",ABS(O144-Components!$C$6)/Components!$D$6)</f>
        <v>39.295189730467477</v>
      </c>
      <c r="U144" s="81">
        <f>IF(G144="","",ABS(O144-Components!$C$7)/Components!$D$7)</f>
        <v>51.871331601507507</v>
      </c>
      <c r="V144" s="81" t="str">
        <f>IF(G144="","",IF(M144="OK","NONE",INDEX({"S1","S2","W1","W2","N1","N2"},MATCH(MIN(P144:U144),P144:U144,0))))</f>
        <v>NONE</v>
      </c>
      <c r="W144" s="117">
        <f t="shared" si="21"/>
        <v>1</v>
      </c>
      <c r="X144" s="107"/>
    </row>
    <row r="145" spans="1:24">
      <c r="A145" s="115">
        <v>143</v>
      </c>
      <c r="B145" s="116">
        <v>5</v>
      </c>
      <c r="C145" s="81" t="s">
        <v>130</v>
      </c>
      <c r="D145" s="109" t="s">
        <v>238</v>
      </c>
      <c r="E145" s="81" t="s">
        <v>239</v>
      </c>
      <c r="F145" s="61">
        <v>8.93</v>
      </c>
      <c r="G145" s="52">
        <f t="shared" si="15"/>
        <v>9.9</v>
      </c>
      <c r="H145" s="110"/>
      <c r="I145" s="81">
        <v>9.91</v>
      </c>
      <c r="J145" s="81">
        <f>VLOOKUP(C145,Recipes!$A$2:$N$4,12,FALSE())</f>
        <v>5.0137397426368718E-2</v>
      </c>
      <c r="K145" s="81">
        <f t="shared" si="16"/>
        <v>9.7595878077208944</v>
      </c>
      <c r="L145" s="81">
        <f t="shared" si="17"/>
        <v>10.060412192279106</v>
      </c>
      <c r="M145" s="81" t="str">
        <f t="shared" si="18"/>
        <v>OK</v>
      </c>
      <c r="N145" s="117">
        <f t="shared" si="19"/>
        <v>1</v>
      </c>
      <c r="O145" s="81">
        <f t="shared" si="20"/>
        <v>9.9999999999997868E-3</v>
      </c>
      <c r="P145" s="81">
        <f>IF(G145="","",ABS(O145-Components!$C$2)/Components!$D$2)</f>
        <v>415.09395469950761</v>
      </c>
      <c r="Q145" s="81">
        <f>IF(G145="","",ABS(O145-Components!$C$3)/Components!$D$3)</f>
        <v>291.81205610282564</v>
      </c>
      <c r="R145" s="81">
        <f>IF(G145="","",ABS(O145-Components!$C$4)/Components!$D$4)</f>
        <v>70.345436185703448</v>
      </c>
      <c r="S145" s="81">
        <f>IF(G145="","",ABS(O145-Components!$C$5)/Components!$D$5)</f>
        <v>180.80621352811545</v>
      </c>
      <c r="T145" s="81">
        <f>IF(G145="","",ABS(O145-Components!$C$6)/Components!$D$6)</f>
        <v>41.466861253796985</v>
      </c>
      <c r="U145" s="81">
        <f>IF(G145="","",ABS(O145-Components!$C$7)/Components!$D$7)</f>
        <v>54.257439367485389</v>
      </c>
      <c r="V145" s="81" t="str">
        <f>IF(G145="","",IF(M145="OK","NONE",INDEX({"S1","S2","W1","W2","N1","N2"},MATCH(MIN(P145:U145),P145:U145,0))))</f>
        <v>NONE</v>
      </c>
      <c r="W145" s="117">
        <f t="shared" si="21"/>
        <v>1</v>
      </c>
      <c r="X145" s="107"/>
    </row>
    <row r="146" spans="1:24">
      <c r="A146" s="115">
        <v>144</v>
      </c>
      <c r="B146" s="116">
        <v>5</v>
      </c>
      <c r="C146" s="81" t="s">
        <v>130</v>
      </c>
      <c r="D146" s="109" t="s">
        <v>238</v>
      </c>
      <c r="E146" s="81" t="s">
        <v>239</v>
      </c>
      <c r="F146" s="61">
        <v>8.94</v>
      </c>
      <c r="G146" s="52">
        <f t="shared" si="15"/>
        <v>9.91</v>
      </c>
      <c r="H146" s="110"/>
      <c r="I146" s="81">
        <v>9.91</v>
      </c>
      <c r="J146" s="81">
        <f>VLOOKUP(C146,Recipes!$A$2:$N$4,12,FALSE())</f>
        <v>5.0137397426368718E-2</v>
      </c>
      <c r="K146" s="81">
        <f t="shared" si="16"/>
        <v>9.7595878077208944</v>
      </c>
      <c r="L146" s="81">
        <f t="shared" si="17"/>
        <v>10.060412192279106</v>
      </c>
      <c r="M146" s="81" t="str">
        <f t="shared" si="18"/>
        <v>OK</v>
      </c>
      <c r="N146" s="117">
        <f t="shared" si="19"/>
        <v>1</v>
      </c>
      <c r="O146" s="81">
        <f t="shared" si="20"/>
        <v>0</v>
      </c>
      <c r="P146" s="81">
        <f>IF(G146="","",ABS(O146-Components!$C$2)/Components!$D$2)</f>
        <v>416.60705538492499</v>
      </c>
      <c r="Q146" s="81">
        <f>IF(G146="","",ABS(O146-Components!$C$3)/Components!$D$3)</f>
        <v>292.53687492076608</v>
      </c>
      <c r="R146" s="81">
        <f>IF(G146="","",ABS(O146-Components!$C$4)/Components!$D$4)</f>
        <v>71.060813502846173</v>
      </c>
      <c r="S146" s="81">
        <f>IF(G146="","",ABS(O146-Components!$C$5)/Components!$D$5)</f>
        <v>181.20335706346788</v>
      </c>
      <c r="T146" s="81">
        <f>IF(G146="","",ABS(O146-Components!$C$6)/Components!$D$6)</f>
        <v>41.828806507685222</v>
      </c>
      <c r="U146" s="81">
        <f>IF(G146="","",ABS(O146-Components!$C$7)/Components!$D$7)</f>
        <v>54.655123995148351</v>
      </c>
      <c r="V146" s="81" t="str">
        <f>IF(G146="","",IF(M146="OK","NONE",INDEX({"S1","S2","W1","W2","N1","N2"},MATCH(MIN(P146:U146),P146:U146,0))))</f>
        <v>NONE</v>
      </c>
      <c r="W146" s="117">
        <f t="shared" si="21"/>
        <v>1</v>
      </c>
      <c r="X146" s="107"/>
    </row>
    <row r="147" spans="1:24">
      <c r="A147" s="115">
        <v>145</v>
      </c>
      <c r="B147" s="116">
        <v>5</v>
      </c>
      <c r="C147" s="81" t="s">
        <v>130</v>
      </c>
      <c r="D147" s="109" t="s">
        <v>238</v>
      </c>
      <c r="E147" s="81" t="s">
        <v>239</v>
      </c>
      <c r="F147" s="61">
        <v>8.8800000000000008</v>
      </c>
      <c r="G147" s="52">
        <f t="shared" si="15"/>
        <v>9.8500000000000014</v>
      </c>
      <c r="H147" s="110"/>
      <c r="I147" s="81">
        <v>9.91</v>
      </c>
      <c r="J147" s="81">
        <f>VLOOKUP(C147,Recipes!$A$2:$N$4,12,FALSE())</f>
        <v>5.0137397426368718E-2</v>
      </c>
      <c r="K147" s="81">
        <f t="shared" si="16"/>
        <v>9.7595878077208944</v>
      </c>
      <c r="L147" s="81">
        <f t="shared" si="17"/>
        <v>10.060412192279106</v>
      </c>
      <c r="M147" s="81" t="str">
        <f t="shared" si="18"/>
        <v>OK</v>
      </c>
      <c r="N147" s="117">
        <f t="shared" si="19"/>
        <v>1</v>
      </c>
      <c r="O147" s="81">
        <f t="shared" si="20"/>
        <v>5.9999999999998721E-2</v>
      </c>
      <c r="P147" s="81">
        <f>IF(G147="","",ABS(O147-Components!$C$2)/Components!$D$2)</f>
        <v>407.52845127242074</v>
      </c>
      <c r="Q147" s="81">
        <f>IF(G147="","",ABS(O147-Components!$C$3)/Components!$D$3)</f>
        <v>288.18796201312347</v>
      </c>
      <c r="R147" s="81">
        <f>IF(G147="","",ABS(O147-Components!$C$4)/Components!$D$4)</f>
        <v>66.768549599989782</v>
      </c>
      <c r="S147" s="81">
        <f>IF(G147="","",ABS(O147-Components!$C$5)/Components!$D$5)</f>
        <v>178.82049585135334</v>
      </c>
      <c r="T147" s="81">
        <f>IF(G147="","",ABS(O147-Components!$C$6)/Components!$D$6)</f>
        <v>39.657134984355785</v>
      </c>
      <c r="U147" s="81">
        <f>IF(G147="","",ABS(O147-Components!$C$7)/Components!$D$7)</f>
        <v>52.269016229170546</v>
      </c>
      <c r="V147" s="81" t="str">
        <f>IF(G147="","",IF(M147="OK","NONE",INDEX({"S1","S2","W1","W2","N1","N2"},MATCH(MIN(P147:U147),P147:U147,0))))</f>
        <v>NONE</v>
      </c>
      <c r="W147" s="117">
        <f t="shared" si="21"/>
        <v>1</v>
      </c>
      <c r="X147" s="107"/>
    </row>
    <row r="148" spans="1:24">
      <c r="A148" s="115">
        <v>146</v>
      </c>
      <c r="B148" s="116">
        <v>5</v>
      </c>
      <c r="C148" s="81" t="s">
        <v>130</v>
      </c>
      <c r="D148" s="109" t="s">
        <v>238</v>
      </c>
      <c r="E148" s="81" t="s">
        <v>239</v>
      </c>
      <c r="F148" s="61">
        <v>8.89</v>
      </c>
      <c r="G148" s="52">
        <f t="shared" si="15"/>
        <v>9.8600000000000012</v>
      </c>
      <c r="H148" s="110"/>
      <c r="I148" s="81">
        <v>9.91</v>
      </c>
      <c r="J148" s="81">
        <f>VLOOKUP(C148,Recipes!$A$2:$N$4,12,FALSE())</f>
        <v>5.0137397426368718E-2</v>
      </c>
      <c r="K148" s="81">
        <f t="shared" si="16"/>
        <v>9.7595878077208944</v>
      </c>
      <c r="L148" s="81">
        <f t="shared" si="17"/>
        <v>10.060412192279106</v>
      </c>
      <c r="M148" s="81" t="str">
        <f t="shared" si="18"/>
        <v>OK</v>
      </c>
      <c r="N148" s="117">
        <f t="shared" si="19"/>
        <v>1</v>
      </c>
      <c r="O148" s="81">
        <f t="shared" si="20"/>
        <v>4.9999999999998934E-2</v>
      </c>
      <c r="P148" s="81">
        <f>IF(G148="","",ABS(O148-Components!$C$2)/Components!$D$2)</f>
        <v>409.04155195783812</v>
      </c>
      <c r="Q148" s="81">
        <f>IF(G148="","",ABS(O148-Components!$C$3)/Components!$D$3)</f>
        <v>288.91278083106391</v>
      </c>
      <c r="R148" s="81">
        <f>IF(G148="","",ABS(O148-Components!$C$4)/Components!$D$4)</f>
        <v>67.483926917132521</v>
      </c>
      <c r="S148" s="81">
        <f>IF(G148="","",ABS(O148-Components!$C$5)/Components!$D$5)</f>
        <v>179.21763938670577</v>
      </c>
      <c r="T148" s="81">
        <f>IF(G148="","",ABS(O148-Components!$C$6)/Components!$D$6)</f>
        <v>40.019080238244022</v>
      </c>
      <c r="U148" s="81">
        <f>IF(G148="","",ABS(O148-Components!$C$7)/Components!$D$7)</f>
        <v>52.666700856833515</v>
      </c>
      <c r="V148" s="81" t="str">
        <f>IF(G148="","",IF(M148="OK","NONE",INDEX({"S1","S2","W1","W2","N1","N2"},MATCH(MIN(P148:U148),P148:U148,0))))</f>
        <v>NONE</v>
      </c>
      <c r="W148" s="117">
        <f t="shared" si="21"/>
        <v>1</v>
      </c>
      <c r="X148" s="107"/>
    </row>
    <row r="149" spans="1:24">
      <c r="A149" s="115">
        <v>147</v>
      </c>
      <c r="B149" s="116">
        <v>5</v>
      </c>
      <c r="C149" s="81" t="s">
        <v>130</v>
      </c>
      <c r="D149" s="109" t="s">
        <v>238</v>
      </c>
      <c r="E149" s="81" t="s">
        <v>239</v>
      </c>
      <c r="F149" s="61">
        <v>8.8800000000000008</v>
      </c>
      <c r="G149" s="52">
        <f t="shared" si="15"/>
        <v>9.8500000000000014</v>
      </c>
      <c r="H149" s="110"/>
      <c r="I149" s="81">
        <v>9.91</v>
      </c>
      <c r="J149" s="81">
        <f>VLOOKUP(C149,Recipes!$A$2:$N$4,12,FALSE())</f>
        <v>5.0137397426368718E-2</v>
      </c>
      <c r="K149" s="81">
        <f t="shared" si="16"/>
        <v>9.7595878077208944</v>
      </c>
      <c r="L149" s="81">
        <f t="shared" si="17"/>
        <v>10.060412192279106</v>
      </c>
      <c r="M149" s="81" t="str">
        <f t="shared" si="18"/>
        <v>OK</v>
      </c>
      <c r="N149" s="117">
        <f t="shared" si="19"/>
        <v>1</v>
      </c>
      <c r="O149" s="81">
        <f t="shared" si="20"/>
        <v>5.9999999999998721E-2</v>
      </c>
      <c r="P149" s="81">
        <f>IF(G149="","",ABS(O149-Components!$C$2)/Components!$D$2)</f>
        <v>407.52845127242074</v>
      </c>
      <c r="Q149" s="81">
        <f>IF(G149="","",ABS(O149-Components!$C$3)/Components!$D$3)</f>
        <v>288.18796201312347</v>
      </c>
      <c r="R149" s="81">
        <f>IF(G149="","",ABS(O149-Components!$C$4)/Components!$D$4)</f>
        <v>66.768549599989782</v>
      </c>
      <c r="S149" s="81">
        <f>IF(G149="","",ABS(O149-Components!$C$5)/Components!$D$5)</f>
        <v>178.82049585135334</v>
      </c>
      <c r="T149" s="81">
        <f>IF(G149="","",ABS(O149-Components!$C$6)/Components!$D$6)</f>
        <v>39.657134984355785</v>
      </c>
      <c r="U149" s="81">
        <f>IF(G149="","",ABS(O149-Components!$C$7)/Components!$D$7)</f>
        <v>52.269016229170546</v>
      </c>
      <c r="V149" s="81" t="str">
        <f>IF(G149="","",IF(M149="OK","NONE",INDEX({"S1","S2","W1","W2","N1","N2"},MATCH(MIN(P149:U149),P149:U149,0))))</f>
        <v>NONE</v>
      </c>
      <c r="W149" s="117">
        <f t="shared" si="21"/>
        <v>1</v>
      </c>
      <c r="X149" s="107"/>
    </row>
    <row r="150" spans="1:24">
      <c r="A150" s="115">
        <v>148</v>
      </c>
      <c r="B150" s="116">
        <v>5</v>
      </c>
      <c r="C150" s="81" t="s">
        <v>130</v>
      </c>
      <c r="D150" s="109" t="s">
        <v>238</v>
      </c>
      <c r="E150" s="81" t="s">
        <v>239</v>
      </c>
      <c r="F150" s="61">
        <v>8.7100000000000009</v>
      </c>
      <c r="G150" s="52">
        <f t="shared" si="15"/>
        <v>9.6800000000000015</v>
      </c>
      <c r="H150" s="110"/>
      <c r="I150" s="81">
        <v>9.91</v>
      </c>
      <c r="J150" s="81">
        <f>VLOOKUP(C150,Recipes!$A$2:$N$4,12,FALSE())</f>
        <v>5.0137397426368718E-2</v>
      </c>
      <c r="K150" s="81">
        <f t="shared" si="16"/>
        <v>9.7595878077208944</v>
      </c>
      <c r="L150" s="81">
        <f t="shared" si="17"/>
        <v>10.060412192279106</v>
      </c>
      <c r="M150" s="81" t="str">
        <f t="shared" si="18"/>
        <v>NG</v>
      </c>
      <c r="N150" s="122">
        <f t="shared" si="19"/>
        <v>0</v>
      </c>
      <c r="O150" s="81">
        <f t="shared" si="20"/>
        <v>0.22999999999999865</v>
      </c>
      <c r="P150" s="81">
        <f>IF(G150="","",ABS(O150-Components!$C$2)/Components!$D$2)</f>
        <v>381.80573962032491</v>
      </c>
      <c r="Q150" s="81">
        <f>IF(G150="","",ABS(O150-Components!$C$3)/Components!$D$3)</f>
        <v>275.86604210813579</v>
      </c>
      <c r="R150" s="81">
        <f>IF(G150="","",ABS(O150-Components!$C$4)/Components!$D$4)</f>
        <v>54.607135208563093</v>
      </c>
      <c r="S150" s="81">
        <f>IF(G150="","",ABS(O150-Components!$C$5)/Components!$D$5)</f>
        <v>172.06905575036208</v>
      </c>
      <c r="T150" s="81">
        <f>IF(G150="","",ABS(O150-Components!$C$6)/Components!$D$6)</f>
        <v>33.504065668255585</v>
      </c>
      <c r="U150" s="81">
        <f>IF(G150="","",ABS(O150-Components!$C$7)/Components!$D$7)</f>
        <v>45.508377558899937</v>
      </c>
      <c r="V150" s="81" t="str">
        <f>IF(G150="","",IF(M150="OK","NONE",INDEX({"S1","S2","W1","W2","N1","N2"},MATCH(MIN(P150:U150),P150:U150,0))))</f>
        <v>N1</v>
      </c>
      <c r="W150" s="122">
        <f t="shared" si="21"/>
        <v>0</v>
      </c>
      <c r="X150" s="107"/>
    </row>
    <row r="151" spans="1:24">
      <c r="A151" s="115">
        <v>149</v>
      </c>
      <c r="B151" s="116">
        <v>5</v>
      </c>
      <c r="C151" s="81" t="s">
        <v>130</v>
      </c>
      <c r="D151" s="109" t="s">
        <v>238</v>
      </c>
      <c r="E151" s="81" t="s">
        <v>239</v>
      </c>
      <c r="F151" s="61">
        <v>8.94</v>
      </c>
      <c r="G151" s="52">
        <f t="shared" si="15"/>
        <v>9.91</v>
      </c>
      <c r="H151" s="110"/>
      <c r="I151" s="81">
        <v>9.91</v>
      </c>
      <c r="J151" s="81">
        <f>VLOOKUP(C151,Recipes!$A$2:$N$4,12,FALSE())</f>
        <v>5.0137397426368718E-2</v>
      </c>
      <c r="K151" s="81">
        <f t="shared" si="16"/>
        <v>9.7595878077208944</v>
      </c>
      <c r="L151" s="81">
        <f t="shared" si="17"/>
        <v>10.060412192279106</v>
      </c>
      <c r="M151" s="81" t="str">
        <f t="shared" si="18"/>
        <v>OK</v>
      </c>
      <c r="N151" s="117">
        <f t="shared" si="19"/>
        <v>1</v>
      </c>
      <c r="O151" s="81">
        <f t="shared" si="20"/>
        <v>0</v>
      </c>
      <c r="P151" s="81">
        <f>IF(G151="","",ABS(O151-Components!$C$2)/Components!$D$2)</f>
        <v>416.60705538492499</v>
      </c>
      <c r="Q151" s="81">
        <f>IF(G151="","",ABS(O151-Components!$C$3)/Components!$D$3)</f>
        <v>292.53687492076608</v>
      </c>
      <c r="R151" s="81">
        <f>IF(G151="","",ABS(O151-Components!$C$4)/Components!$D$4)</f>
        <v>71.060813502846173</v>
      </c>
      <c r="S151" s="81">
        <f>IF(G151="","",ABS(O151-Components!$C$5)/Components!$D$5)</f>
        <v>181.20335706346788</v>
      </c>
      <c r="T151" s="81">
        <f>IF(G151="","",ABS(O151-Components!$C$6)/Components!$D$6)</f>
        <v>41.828806507685222</v>
      </c>
      <c r="U151" s="81">
        <f>IF(G151="","",ABS(O151-Components!$C$7)/Components!$D$7)</f>
        <v>54.655123995148351</v>
      </c>
      <c r="V151" s="81" t="str">
        <f>IF(G151="","",IF(M151="OK","NONE",INDEX({"S1","S2","W1","W2","N1","N2"},MATCH(MIN(P151:U151),P151:U151,0))))</f>
        <v>NONE</v>
      </c>
      <c r="W151" s="117">
        <f t="shared" si="21"/>
        <v>1</v>
      </c>
      <c r="X151" s="107"/>
    </row>
    <row r="152" spans="1:24">
      <c r="A152" s="115">
        <v>150</v>
      </c>
      <c r="B152" s="116">
        <v>5</v>
      </c>
      <c r="C152" s="81" t="s">
        <v>130</v>
      </c>
      <c r="D152" s="109" t="s">
        <v>238</v>
      </c>
      <c r="E152" s="81" t="s">
        <v>239</v>
      </c>
      <c r="F152" s="61">
        <v>8.9700000000000006</v>
      </c>
      <c r="G152" s="52">
        <f t="shared" si="15"/>
        <v>9.9400000000000013</v>
      </c>
      <c r="H152" s="110"/>
      <c r="I152" s="81">
        <v>9.91</v>
      </c>
      <c r="J152" s="81">
        <f>VLOOKUP(C152,Recipes!$A$2:$N$4,12,FALSE())</f>
        <v>5.0137397426368718E-2</v>
      </c>
      <c r="K152" s="81">
        <f t="shared" si="16"/>
        <v>9.7595878077208944</v>
      </c>
      <c r="L152" s="81">
        <f t="shared" si="17"/>
        <v>10.060412192279106</v>
      </c>
      <c r="M152" s="81" t="str">
        <f t="shared" si="18"/>
        <v>OK</v>
      </c>
      <c r="N152" s="117">
        <f t="shared" si="19"/>
        <v>1</v>
      </c>
      <c r="O152" s="81">
        <f t="shared" si="20"/>
        <v>-3.0000000000001137E-2</v>
      </c>
      <c r="P152" s="81">
        <f>IF(G152="","",ABS(O152-Components!$C$2)/Components!$D$2)</f>
        <v>421.14635744117737</v>
      </c>
      <c r="Q152" s="81">
        <f>IF(G152="","",ABS(O152-Components!$C$3)/Components!$D$3)</f>
        <v>294.71133137458753</v>
      </c>
      <c r="R152" s="81">
        <f>IF(G152="","",ABS(O152-Components!$C$4)/Components!$D$4)</f>
        <v>73.206945454274504</v>
      </c>
      <c r="S152" s="81">
        <f>IF(G152="","",ABS(O152-Components!$C$5)/Components!$D$5)</f>
        <v>182.39478766952519</v>
      </c>
      <c r="T152" s="81">
        <f>IF(G152="","",ABS(O152-Components!$C$6)/Components!$D$6)</f>
        <v>42.914642269350004</v>
      </c>
      <c r="U152" s="81">
        <f>IF(G152="","",ABS(O152-Components!$C$7)/Components!$D$7)</f>
        <v>55.848177878137328</v>
      </c>
      <c r="V152" s="81" t="str">
        <f>IF(G152="","",IF(M152="OK","NONE",INDEX({"S1","S2","W1","W2","N1","N2"},MATCH(MIN(P152:U152),P152:U152,0))))</f>
        <v>NONE</v>
      </c>
      <c r="W152" s="117">
        <f t="shared" si="21"/>
        <v>1</v>
      </c>
      <c r="X152" s="107"/>
    </row>
    <row r="153" spans="1:24">
      <c r="A153" s="115">
        <v>151</v>
      </c>
      <c r="B153" s="116">
        <v>6</v>
      </c>
      <c r="C153" s="81" t="s">
        <v>130</v>
      </c>
      <c r="D153" s="111" t="s">
        <v>240</v>
      </c>
      <c r="E153" s="81" t="s">
        <v>99</v>
      </c>
      <c r="F153" s="52">
        <v>6.18</v>
      </c>
      <c r="G153" s="52">
        <f t="shared" si="15"/>
        <v>7.1499999999999995</v>
      </c>
      <c r="H153" s="110"/>
      <c r="I153" s="81">
        <v>9.91</v>
      </c>
      <c r="J153" s="81">
        <f>VLOOKUP(C153,Recipes!$A$2:$N$4,12,FALSE())</f>
        <v>5.0137397426368718E-2</v>
      </c>
      <c r="K153" s="81">
        <f t="shared" si="16"/>
        <v>9.7595878077208944</v>
      </c>
      <c r="L153" s="81">
        <f t="shared" si="17"/>
        <v>10.060412192279106</v>
      </c>
      <c r="M153" s="81" t="str">
        <f t="shared" si="18"/>
        <v>NG</v>
      </c>
      <c r="N153" s="117">
        <f t="shared" si="19"/>
        <v>1</v>
      </c>
      <c r="O153" s="81">
        <f t="shared" si="20"/>
        <v>2.7600000000000007</v>
      </c>
      <c r="P153" s="81">
        <f>IF(G153="","",ABS(O153-Components!$C$2)/Components!$D$2)</f>
        <v>1.0087337902788982</v>
      </c>
      <c r="Q153" s="81">
        <f>IF(G153="","",ABS(O153-Components!$C$3)/Components!$D$3)</f>
        <v>92.486881169201496</v>
      </c>
      <c r="R153" s="81">
        <f>IF(G153="","",ABS(O153-Components!$C$4)/Components!$D$4)</f>
        <v>126.38332602855205</v>
      </c>
      <c r="S153" s="81">
        <f>IF(G153="","",ABS(O153-Components!$C$5)/Components!$D$5)</f>
        <v>71.591741306197775</v>
      </c>
      <c r="T153" s="81">
        <f>IF(G153="","",ABS(O153-Components!$C$6)/Components!$D$6)</f>
        <v>58.068083565471035</v>
      </c>
      <c r="U153" s="81">
        <f>IF(G153="","",ABS(O153-Components!$C$7)/Components!$D$7)</f>
        <v>55.105833239833345</v>
      </c>
      <c r="V153" s="81" t="str">
        <f>IF(G153="","",IF(M153="OK","NONE",INDEX({"S1","S2","W1","W2","N1","N2"},MATCH(MIN(P153:U153),P153:U153,0))))</f>
        <v>S1</v>
      </c>
      <c r="W153" s="117">
        <f t="shared" si="21"/>
        <v>1</v>
      </c>
      <c r="X153" s="107"/>
    </row>
    <row r="154" spans="1:24">
      <c r="A154" s="115">
        <v>152</v>
      </c>
      <c r="B154" s="116">
        <v>6</v>
      </c>
      <c r="C154" s="81" t="s">
        <v>130</v>
      </c>
      <c r="D154" s="111" t="s">
        <v>240</v>
      </c>
      <c r="E154" s="81" t="s">
        <v>99</v>
      </c>
      <c r="F154" s="52">
        <v>6.18</v>
      </c>
      <c r="G154" s="52">
        <f t="shared" si="15"/>
        <v>7.1499999999999995</v>
      </c>
      <c r="H154" s="110"/>
      <c r="I154" s="81">
        <v>9.91</v>
      </c>
      <c r="J154" s="81">
        <f>VLOOKUP(C154,Recipes!$A$2:$N$4,12,FALSE())</f>
        <v>5.0137397426368718E-2</v>
      </c>
      <c r="K154" s="81">
        <f t="shared" si="16"/>
        <v>9.7595878077208944</v>
      </c>
      <c r="L154" s="81">
        <f t="shared" si="17"/>
        <v>10.060412192279106</v>
      </c>
      <c r="M154" s="81" t="str">
        <f t="shared" si="18"/>
        <v>NG</v>
      </c>
      <c r="N154" s="117">
        <f t="shared" si="19"/>
        <v>1</v>
      </c>
      <c r="O154" s="81">
        <f t="shared" si="20"/>
        <v>2.7600000000000007</v>
      </c>
      <c r="P154" s="81">
        <f>IF(G154="","",ABS(O154-Components!$C$2)/Components!$D$2)</f>
        <v>1.0087337902788982</v>
      </c>
      <c r="Q154" s="81">
        <f>IF(G154="","",ABS(O154-Components!$C$3)/Components!$D$3)</f>
        <v>92.486881169201496</v>
      </c>
      <c r="R154" s="81">
        <f>IF(G154="","",ABS(O154-Components!$C$4)/Components!$D$4)</f>
        <v>126.38332602855205</v>
      </c>
      <c r="S154" s="81">
        <f>IF(G154="","",ABS(O154-Components!$C$5)/Components!$D$5)</f>
        <v>71.591741306197775</v>
      </c>
      <c r="T154" s="81">
        <f>IF(G154="","",ABS(O154-Components!$C$6)/Components!$D$6)</f>
        <v>58.068083565471035</v>
      </c>
      <c r="U154" s="81">
        <f>IF(G154="","",ABS(O154-Components!$C$7)/Components!$D$7)</f>
        <v>55.105833239833345</v>
      </c>
      <c r="V154" s="81" t="str">
        <f>IF(G154="","",IF(M154="OK","NONE",INDEX({"S1","S2","W1","W2","N1","N2"},MATCH(MIN(P154:U154),P154:U154,0))))</f>
        <v>S1</v>
      </c>
      <c r="W154" s="117">
        <f t="shared" si="21"/>
        <v>1</v>
      </c>
      <c r="X154" s="107"/>
    </row>
    <row r="155" spans="1:24">
      <c r="A155" s="115">
        <v>153</v>
      </c>
      <c r="B155" s="116">
        <v>6</v>
      </c>
      <c r="C155" s="81" t="s">
        <v>130</v>
      </c>
      <c r="D155" s="111" t="s">
        <v>240</v>
      </c>
      <c r="E155" s="81" t="s">
        <v>99</v>
      </c>
      <c r="F155" s="52">
        <v>6.15</v>
      </c>
      <c r="G155" s="52">
        <f t="shared" si="15"/>
        <v>7.12</v>
      </c>
      <c r="H155" s="110"/>
      <c r="I155" s="81">
        <v>9.91</v>
      </c>
      <c r="J155" s="81">
        <f>VLOOKUP(C155,Recipes!$A$2:$N$4,12,FALSE())</f>
        <v>5.0137397426368718E-2</v>
      </c>
      <c r="K155" s="81">
        <f t="shared" si="16"/>
        <v>9.7595878077208944</v>
      </c>
      <c r="L155" s="81">
        <f t="shared" si="17"/>
        <v>10.060412192279106</v>
      </c>
      <c r="M155" s="81" t="str">
        <f t="shared" si="18"/>
        <v>NG</v>
      </c>
      <c r="N155" s="117">
        <f t="shared" si="19"/>
        <v>1</v>
      </c>
      <c r="O155" s="81">
        <f t="shared" si="20"/>
        <v>2.79</v>
      </c>
      <c r="P155" s="81">
        <f>IF(G155="","",ABS(O155-Components!$C$2)/Components!$D$2)</f>
        <v>5.5480358465310164</v>
      </c>
      <c r="Q155" s="81">
        <f>IF(G155="","",ABS(O155-Components!$C$3)/Components!$D$3)</f>
        <v>90.312424715380189</v>
      </c>
      <c r="R155" s="81">
        <f>IF(G155="","",ABS(O155-Components!$C$4)/Components!$D$4)</f>
        <v>128.52945797998024</v>
      </c>
      <c r="S155" s="81">
        <f>IF(G155="","",ABS(O155-Components!$C$5)/Components!$D$5)</f>
        <v>70.400310700140508</v>
      </c>
      <c r="T155" s="81">
        <f>IF(G155="","",ABS(O155-Components!$C$6)/Components!$D$6)</f>
        <v>59.153919327135753</v>
      </c>
      <c r="U155" s="81">
        <f>IF(G155="","",ABS(O155-Components!$C$7)/Components!$D$7)</f>
        <v>56.298887122822251</v>
      </c>
      <c r="V155" s="81" t="str">
        <f>IF(G155="","",IF(M155="OK","NONE",INDEX({"S1","S2","W1","W2","N1","N2"},MATCH(MIN(P155:U155),P155:U155,0))))</f>
        <v>S1</v>
      </c>
      <c r="W155" s="117">
        <f t="shared" si="21"/>
        <v>1</v>
      </c>
      <c r="X155" s="107"/>
    </row>
    <row r="156" spans="1:24">
      <c r="A156" s="115">
        <v>154</v>
      </c>
      <c r="B156" s="116">
        <v>6</v>
      </c>
      <c r="C156" s="81" t="s">
        <v>130</v>
      </c>
      <c r="D156" s="111" t="s">
        <v>240</v>
      </c>
      <c r="E156" s="81" t="s">
        <v>99</v>
      </c>
      <c r="F156" s="52">
        <v>6.12</v>
      </c>
      <c r="G156" s="52">
        <f t="shared" si="15"/>
        <v>7.09</v>
      </c>
      <c r="H156" s="110"/>
      <c r="I156" s="81">
        <v>9.91</v>
      </c>
      <c r="J156" s="81">
        <f>VLOOKUP(C156,Recipes!$A$2:$N$4,12,FALSE())</f>
        <v>5.0137397426368718E-2</v>
      </c>
      <c r="K156" s="81">
        <f t="shared" si="16"/>
        <v>9.7595878077208944</v>
      </c>
      <c r="L156" s="81">
        <f t="shared" si="17"/>
        <v>10.060412192279106</v>
      </c>
      <c r="M156" s="81" t="str">
        <f t="shared" si="18"/>
        <v>NG</v>
      </c>
      <c r="N156" s="117">
        <f t="shared" si="19"/>
        <v>1</v>
      </c>
      <c r="O156" s="81">
        <f t="shared" si="20"/>
        <v>2.8200000000000003</v>
      </c>
      <c r="P156" s="81">
        <f>IF(G156="","",ABS(O156-Components!$C$2)/Components!$D$2)</f>
        <v>10.08733790278327</v>
      </c>
      <c r="Q156" s="81">
        <f>IF(G156="","",ABS(O156-Components!$C$3)/Components!$D$3)</f>
        <v>88.137968261558811</v>
      </c>
      <c r="R156" s="81">
        <f>IF(G156="","",ABS(O156-Components!$C$4)/Components!$D$4)</f>
        <v>130.6755899314085</v>
      </c>
      <c r="S156" s="81">
        <f>IF(G156="","",ABS(O156-Components!$C$5)/Components!$D$5)</f>
        <v>69.208880094083213</v>
      </c>
      <c r="T156" s="81">
        <f>IF(G156="","",ABS(O156-Components!$C$6)/Components!$D$6)</f>
        <v>60.2397550888005</v>
      </c>
      <c r="U156" s="81">
        <f>IF(G156="","",ABS(O156-Components!$C$7)/Components!$D$7)</f>
        <v>57.491941005811192</v>
      </c>
      <c r="V156" s="81" t="str">
        <f>IF(G156="","",IF(M156="OK","NONE",INDEX({"S1","S2","W1","W2","N1","N2"},MATCH(MIN(P156:U156),P156:U156,0))))</f>
        <v>S1</v>
      </c>
      <c r="W156" s="117">
        <f t="shared" si="21"/>
        <v>1</v>
      </c>
      <c r="X156" s="107"/>
    </row>
    <row r="157" spans="1:24">
      <c r="A157" s="115">
        <v>155</v>
      </c>
      <c r="B157" s="116">
        <v>6</v>
      </c>
      <c r="C157" s="61" t="s">
        <v>130</v>
      </c>
      <c r="D157" s="61" t="s">
        <v>240</v>
      </c>
      <c r="E157" s="61" t="s">
        <v>99</v>
      </c>
      <c r="F157" s="61">
        <v>6.16</v>
      </c>
      <c r="G157" s="52">
        <f t="shared" si="15"/>
        <v>7.13</v>
      </c>
      <c r="H157" s="110"/>
      <c r="I157" s="81">
        <v>9.91</v>
      </c>
      <c r="J157" s="81">
        <f>VLOOKUP(C157,Recipes!$A$2:$N$4,12,FALSE())</f>
        <v>5.0137397426368718E-2</v>
      </c>
      <c r="K157" s="81">
        <f t="shared" si="16"/>
        <v>9.7595878077208944</v>
      </c>
      <c r="L157" s="81">
        <f t="shared" si="17"/>
        <v>10.060412192279106</v>
      </c>
      <c r="M157" s="81" t="str">
        <f t="shared" si="18"/>
        <v>NG</v>
      </c>
      <c r="N157" s="117">
        <f t="shared" si="19"/>
        <v>1</v>
      </c>
      <c r="O157" s="81">
        <f t="shared" si="20"/>
        <v>2.7800000000000002</v>
      </c>
      <c r="P157" s="81">
        <f>IF(G157="","",ABS(O157-Components!$C$2)/Components!$D$2)</f>
        <v>4.0349351611136441</v>
      </c>
      <c r="Q157" s="81">
        <f>IF(G157="","",ABS(O157-Components!$C$3)/Components!$D$3)</f>
        <v>91.03724353332062</v>
      </c>
      <c r="R157" s="81">
        <f>IF(G157="","",ABS(O157-Components!$C$4)/Components!$D$4)</f>
        <v>127.81408066283751</v>
      </c>
      <c r="S157" s="81">
        <f>IF(G157="","",ABS(O157-Components!$C$5)/Components!$D$5)</f>
        <v>70.797454235492935</v>
      </c>
      <c r="T157" s="81">
        <f>IF(G157="","",ABS(O157-Components!$C$6)/Components!$D$6)</f>
        <v>58.791974073247509</v>
      </c>
      <c r="U157" s="81">
        <f>IF(G157="","",ABS(O157-Components!$C$7)/Components!$D$7)</f>
        <v>55.901202495159282</v>
      </c>
      <c r="V157" s="81" t="str">
        <f>IF(G157="","",IF(M157="OK","NONE",INDEX({"S1","S2","W1","W2","N1","N2"},MATCH(MIN(P157:U157),P157:U157,0))))</f>
        <v>S1</v>
      </c>
      <c r="W157" s="117">
        <f t="shared" si="21"/>
        <v>1</v>
      </c>
      <c r="X157" s="107"/>
    </row>
    <row r="158" spans="1:24">
      <c r="A158" s="115">
        <v>156</v>
      </c>
      <c r="B158" s="116">
        <v>6</v>
      </c>
      <c r="C158" s="81" t="s">
        <v>130</v>
      </c>
      <c r="D158" s="111" t="s">
        <v>240</v>
      </c>
      <c r="E158" s="81" t="s">
        <v>99</v>
      </c>
      <c r="F158" s="61">
        <v>6.19</v>
      </c>
      <c r="G158" s="52">
        <f t="shared" si="15"/>
        <v>7.16</v>
      </c>
      <c r="H158" s="110"/>
      <c r="I158" s="81">
        <v>9.91</v>
      </c>
      <c r="J158" s="81">
        <f>VLOOKUP(C158,Recipes!$A$2:$N$4,12,FALSE())</f>
        <v>5.0137397426368718E-2</v>
      </c>
      <c r="K158" s="81">
        <f t="shared" si="16"/>
        <v>9.7595878077208944</v>
      </c>
      <c r="L158" s="81">
        <f t="shared" si="17"/>
        <v>10.060412192279106</v>
      </c>
      <c r="M158" s="81" t="str">
        <f t="shared" si="18"/>
        <v>NG</v>
      </c>
      <c r="N158" s="117">
        <f t="shared" si="19"/>
        <v>1</v>
      </c>
      <c r="O158" s="81">
        <f t="shared" si="20"/>
        <v>2.75</v>
      </c>
      <c r="P158" s="81">
        <f>IF(G158="","",ABS(O158-Components!$C$2)/Components!$D$2)</f>
        <v>0.50436689513860911</v>
      </c>
      <c r="Q158" s="81">
        <f>IF(G158="","",ABS(O158-Components!$C$3)/Components!$D$3)</f>
        <v>93.211699987141998</v>
      </c>
      <c r="R158" s="81">
        <f>IF(G158="","",ABS(O158-Components!$C$4)/Components!$D$4)</f>
        <v>125.66794871140925</v>
      </c>
      <c r="S158" s="81">
        <f>IF(G158="","",ABS(O158-Components!$C$5)/Components!$D$5)</f>
        <v>71.988884841550231</v>
      </c>
      <c r="T158" s="81">
        <f>IF(G158="","",ABS(O158-Components!$C$6)/Components!$D$6)</f>
        <v>57.706138311582762</v>
      </c>
      <c r="U158" s="81">
        <f>IF(G158="","",ABS(O158-Components!$C$7)/Components!$D$7)</f>
        <v>54.708148612170341</v>
      </c>
      <c r="V158" s="81" t="str">
        <f>IF(G158="","",IF(M158="OK","NONE",INDEX({"S1","S2","W1","W2","N1","N2"},MATCH(MIN(P158:U158),P158:U158,0))))</f>
        <v>S1</v>
      </c>
      <c r="W158" s="117">
        <f t="shared" si="21"/>
        <v>1</v>
      </c>
      <c r="X158" s="107"/>
    </row>
    <row r="159" spans="1:24">
      <c r="A159" s="115">
        <v>157</v>
      </c>
      <c r="B159" s="116">
        <v>6</v>
      </c>
      <c r="C159" s="81" t="s">
        <v>130</v>
      </c>
      <c r="D159" s="111" t="s">
        <v>240</v>
      </c>
      <c r="E159" s="81" t="s">
        <v>99</v>
      </c>
      <c r="F159" s="61">
        <v>6.18</v>
      </c>
      <c r="G159" s="52">
        <f t="shared" si="15"/>
        <v>7.1499999999999995</v>
      </c>
      <c r="H159" s="110"/>
      <c r="I159" s="81">
        <v>9.91</v>
      </c>
      <c r="J159" s="81">
        <f>VLOOKUP(C159,Recipes!$A$2:$N$4,12,FALSE())</f>
        <v>5.0137397426368718E-2</v>
      </c>
      <c r="K159" s="81">
        <f t="shared" si="16"/>
        <v>9.7595878077208944</v>
      </c>
      <c r="L159" s="81">
        <f t="shared" si="17"/>
        <v>10.060412192279106</v>
      </c>
      <c r="M159" s="81" t="str">
        <f t="shared" si="18"/>
        <v>NG</v>
      </c>
      <c r="N159" s="117">
        <f t="shared" si="19"/>
        <v>1</v>
      </c>
      <c r="O159" s="81">
        <f t="shared" si="20"/>
        <v>2.7600000000000007</v>
      </c>
      <c r="P159" s="81">
        <f>IF(G159="","",ABS(O159-Components!$C$2)/Components!$D$2)</f>
        <v>1.0087337902788982</v>
      </c>
      <c r="Q159" s="81">
        <f>IF(G159="","",ABS(O159-Components!$C$3)/Components!$D$3)</f>
        <v>92.486881169201496</v>
      </c>
      <c r="R159" s="81">
        <f>IF(G159="","",ABS(O159-Components!$C$4)/Components!$D$4)</f>
        <v>126.38332602855205</v>
      </c>
      <c r="S159" s="81">
        <f>IF(G159="","",ABS(O159-Components!$C$5)/Components!$D$5)</f>
        <v>71.591741306197775</v>
      </c>
      <c r="T159" s="81">
        <f>IF(G159="","",ABS(O159-Components!$C$6)/Components!$D$6)</f>
        <v>58.068083565471035</v>
      </c>
      <c r="U159" s="81">
        <f>IF(G159="","",ABS(O159-Components!$C$7)/Components!$D$7)</f>
        <v>55.105833239833345</v>
      </c>
      <c r="V159" s="81" t="str">
        <f>IF(G159="","",IF(M159="OK","NONE",INDEX({"S1","S2","W1","W2","N1","N2"},MATCH(MIN(P159:U159),P159:U159,0))))</f>
        <v>S1</v>
      </c>
      <c r="W159" s="117">
        <f t="shared" si="21"/>
        <v>1</v>
      </c>
      <c r="X159" s="107"/>
    </row>
    <row r="160" spans="1:24">
      <c r="A160" s="115">
        <v>158</v>
      </c>
      <c r="B160" s="116">
        <v>6</v>
      </c>
      <c r="C160" s="81" t="s">
        <v>130</v>
      </c>
      <c r="D160" s="111" t="s">
        <v>240</v>
      </c>
      <c r="E160" s="81" t="s">
        <v>99</v>
      </c>
      <c r="F160" s="61">
        <v>6.13</v>
      </c>
      <c r="G160" s="52">
        <f t="shared" si="15"/>
        <v>7.1</v>
      </c>
      <c r="H160" s="110"/>
      <c r="I160" s="81">
        <v>9.91</v>
      </c>
      <c r="J160" s="81">
        <f>VLOOKUP(C160,Recipes!$A$2:$N$4,12,FALSE())</f>
        <v>5.0137397426368718E-2</v>
      </c>
      <c r="K160" s="81">
        <f t="shared" si="16"/>
        <v>9.7595878077208944</v>
      </c>
      <c r="L160" s="81">
        <f t="shared" si="17"/>
        <v>10.060412192279106</v>
      </c>
      <c r="M160" s="81" t="str">
        <f t="shared" si="18"/>
        <v>NG</v>
      </c>
      <c r="N160" s="117">
        <f t="shared" si="19"/>
        <v>1</v>
      </c>
      <c r="O160" s="81">
        <f t="shared" si="20"/>
        <v>2.8100000000000005</v>
      </c>
      <c r="P160" s="81">
        <f>IF(G160="","",ABS(O160-Components!$C$2)/Components!$D$2)</f>
        <v>8.5742372173658961</v>
      </c>
      <c r="Q160" s="81">
        <f>IF(G160="","",ABS(O160-Components!$C$3)/Components!$D$3)</f>
        <v>88.862787079499256</v>
      </c>
      <c r="R160" s="81">
        <f>IF(G160="","",ABS(O160-Components!$C$4)/Components!$D$4)</f>
        <v>129.96021261426577</v>
      </c>
      <c r="S160" s="81">
        <f>IF(G160="","",ABS(O160-Components!$C$5)/Components!$D$5)</f>
        <v>69.60602362943564</v>
      </c>
      <c r="T160" s="81">
        <f>IF(G160="","",ABS(O160-Components!$C$6)/Components!$D$6)</f>
        <v>59.877809834912263</v>
      </c>
      <c r="U160" s="81">
        <f>IF(G160="","",ABS(O160-Components!$C$7)/Components!$D$7)</f>
        <v>57.094256378148224</v>
      </c>
      <c r="V160" s="81" t="str">
        <f>IF(G160="","",IF(M160="OK","NONE",INDEX({"S1","S2","W1","W2","N1","N2"},MATCH(MIN(P160:U160),P160:U160,0))))</f>
        <v>S1</v>
      </c>
      <c r="W160" s="117">
        <f t="shared" si="21"/>
        <v>1</v>
      </c>
      <c r="X160" s="107"/>
    </row>
    <row r="161" spans="1:24">
      <c r="A161" s="115">
        <v>159</v>
      </c>
      <c r="B161" s="116">
        <v>6</v>
      </c>
      <c r="C161" s="81" t="s">
        <v>130</v>
      </c>
      <c r="D161" s="111" t="s">
        <v>240</v>
      </c>
      <c r="E161" s="81" t="s">
        <v>99</v>
      </c>
      <c r="F161" s="61">
        <v>6.22</v>
      </c>
      <c r="G161" s="52">
        <f t="shared" si="15"/>
        <v>7.1899999999999995</v>
      </c>
      <c r="H161" s="110"/>
      <c r="I161" s="81">
        <v>9.91</v>
      </c>
      <c r="J161" s="81">
        <f>VLOOKUP(C161,Recipes!$A$2:$N$4,12,FALSE())</f>
        <v>5.0137397426368718E-2</v>
      </c>
      <c r="K161" s="81">
        <f t="shared" si="16"/>
        <v>9.7595878077208944</v>
      </c>
      <c r="L161" s="81">
        <f t="shared" si="17"/>
        <v>10.060412192279106</v>
      </c>
      <c r="M161" s="81" t="str">
        <f t="shared" si="18"/>
        <v>NG</v>
      </c>
      <c r="N161" s="117">
        <f t="shared" si="19"/>
        <v>1</v>
      </c>
      <c r="O161" s="81">
        <f t="shared" si="20"/>
        <v>2.7200000000000006</v>
      </c>
      <c r="P161" s="81">
        <f>IF(G161="","",ABS(O161-Components!$C$2)/Components!$D$2)</f>
        <v>5.0436689513907274</v>
      </c>
      <c r="Q161" s="81">
        <f>IF(G161="","",ABS(O161-Components!$C$3)/Components!$D$3)</f>
        <v>95.386156440963305</v>
      </c>
      <c r="R161" s="81">
        <f>IF(G161="","",ABS(O161-Components!$C$4)/Components!$D$4)</f>
        <v>123.52181675998106</v>
      </c>
      <c r="S161" s="81">
        <f>IF(G161="","",ABS(O161-Components!$C$5)/Components!$D$5)</f>
        <v>73.180315447607484</v>
      </c>
      <c r="T161" s="81">
        <f>IF(G161="","",ABS(O161-Components!$C$6)/Components!$D$6)</f>
        <v>56.620302549918044</v>
      </c>
      <c r="U161" s="81">
        <f>IF(G161="","",ABS(O161-Components!$C$7)/Components!$D$7)</f>
        <v>53.515094729181435</v>
      </c>
      <c r="V161" s="81" t="str">
        <f>IF(G161="","",IF(M161="OK","NONE",INDEX({"S1","S2","W1","W2","N1","N2"},MATCH(MIN(P161:U161),P161:U161,0))))</f>
        <v>S1</v>
      </c>
      <c r="W161" s="117">
        <f t="shared" si="21"/>
        <v>1</v>
      </c>
      <c r="X161" s="107"/>
    </row>
    <row r="162" spans="1:24">
      <c r="A162" s="115">
        <v>160</v>
      </c>
      <c r="B162" s="116">
        <v>6</v>
      </c>
      <c r="C162" s="61" t="s">
        <v>130</v>
      </c>
      <c r="D162" s="61" t="s">
        <v>240</v>
      </c>
      <c r="E162" s="61" t="s">
        <v>99</v>
      </c>
      <c r="F162" s="61">
        <v>6.17</v>
      </c>
      <c r="G162" s="52">
        <f t="shared" si="15"/>
        <v>7.14</v>
      </c>
      <c r="H162" s="110"/>
      <c r="I162" s="81">
        <v>9.91</v>
      </c>
      <c r="J162" s="81">
        <f>VLOOKUP(C162,Recipes!$A$2:$N$4,12,FALSE())</f>
        <v>5.0137397426368718E-2</v>
      </c>
      <c r="K162" s="81">
        <f t="shared" si="16"/>
        <v>9.7595878077208944</v>
      </c>
      <c r="L162" s="81">
        <f t="shared" si="17"/>
        <v>10.060412192279106</v>
      </c>
      <c r="M162" s="81" t="str">
        <f t="shared" si="18"/>
        <v>NG</v>
      </c>
      <c r="N162" s="117">
        <f t="shared" si="19"/>
        <v>1</v>
      </c>
      <c r="O162" s="81">
        <f t="shared" si="20"/>
        <v>2.7700000000000005</v>
      </c>
      <c r="P162" s="81">
        <f>IF(G162="","",ABS(O162-Components!$C$2)/Components!$D$2)</f>
        <v>2.5218344756962709</v>
      </c>
      <c r="Q162" s="81">
        <f>IF(G162="","",ABS(O162-Components!$C$3)/Components!$D$3)</f>
        <v>91.762062351261065</v>
      </c>
      <c r="R162" s="81">
        <f>IF(G162="","",ABS(O162-Components!$C$4)/Components!$D$4)</f>
        <v>127.09870334569479</v>
      </c>
      <c r="S162" s="81">
        <f>IF(G162="","",ABS(O162-Components!$C$5)/Components!$D$5)</f>
        <v>71.194597770845348</v>
      </c>
      <c r="T162" s="81">
        <f>IF(G162="","",ABS(O162-Components!$C$6)/Components!$D$6)</f>
        <v>58.430028819359272</v>
      </c>
      <c r="U162" s="81">
        <f>IF(G162="","",ABS(O162-Components!$C$7)/Components!$D$7)</f>
        <v>55.503517867496313</v>
      </c>
      <c r="V162" s="81" t="str">
        <f>IF(G162="","",IF(M162="OK","NONE",INDEX({"S1","S2","W1","W2","N1","N2"},MATCH(MIN(P162:U162),P162:U162,0))))</f>
        <v>S1</v>
      </c>
      <c r="W162" s="117">
        <f t="shared" si="21"/>
        <v>1</v>
      </c>
      <c r="X162" s="107"/>
    </row>
    <row r="163" spans="1:24">
      <c r="A163" s="115">
        <v>161</v>
      </c>
      <c r="B163" s="116">
        <v>6</v>
      </c>
      <c r="C163" s="81" t="s">
        <v>130</v>
      </c>
      <c r="D163" s="111" t="s">
        <v>240</v>
      </c>
      <c r="E163" s="81" t="s">
        <v>99</v>
      </c>
      <c r="F163" s="61">
        <v>6.16</v>
      </c>
      <c r="G163" s="52">
        <f t="shared" si="15"/>
        <v>7.13</v>
      </c>
      <c r="H163" s="110"/>
      <c r="I163" s="81">
        <v>9.91</v>
      </c>
      <c r="J163" s="81">
        <f>VLOOKUP(C163,Recipes!$A$2:$N$4,12,FALSE())</f>
        <v>5.0137397426368718E-2</v>
      </c>
      <c r="K163" s="81">
        <f t="shared" si="16"/>
        <v>9.7595878077208944</v>
      </c>
      <c r="L163" s="81">
        <f t="shared" si="17"/>
        <v>10.060412192279106</v>
      </c>
      <c r="M163" s="81" t="str">
        <f t="shared" si="18"/>
        <v>NG</v>
      </c>
      <c r="N163" s="117">
        <f t="shared" si="19"/>
        <v>1</v>
      </c>
      <c r="O163" s="81">
        <f t="shared" si="20"/>
        <v>2.7800000000000002</v>
      </c>
      <c r="P163" s="81">
        <f>IF(G163="","",ABS(O163-Components!$C$2)/Components!$D$2)</f>
        <v>4.0349351611136441</v>
      </c>
      <c r="Q163" s="81">
        <f>IF(G163="","",ABS(O163-Components!$C$3)/Components!$D$3)</f>
        <v>91.03724353332062</v>
      </c>
      <c r="R163" s="81">
        <f>IF(G163="","",ABS(O163-Components!$C$4)/Components!$D$4)</f>
        <v>127.81408066283751</v>
      </c>
      <c r="S163" s="81">
        <f>IF(G163="","",ABS(O163-Components!$C$5)/Components!$D$5)</f>
        <v>70.797454235492935</v>
      </c>
      <c r="T163" s="81">
        <f>IF(G163="","",ABS(O163-Components!$C$6)/Components!$D$6)</f>
        <v>58.791974073247509</v>
      </c>
      <c r="U163" s="81">
        <f>IF(G163="","",ABS(O163-Components!$C$7)/Components!$D$7)</f>
        <v>55.901202495159282</v>
      </c>
      <c r="V163" s="81" t="str">
        <f>IF(G163="","",IF(M163="OK","NONE",INDEX({"S1","S2","W1","W2","N1","N2"},MATCH(MIN(P163:U163),P163:U163,0))))</f>
        <v>S1</v>
      </c>
      <c r="W163" s="117">
        <f t="shared" si="21"/>
        <v>1</v>
      </c>
      <c r="X163" s="107"/>
    </row>
    <row r="164" spans="1:24">
      <c r="A164" s="115">
        <v>162</v>
      </c>
      <c r="B164" s="116">
        <v>6</v>
      </c>
      <c r="C164" s="81" t="s">
        <v>130</v>
      </c>
      <c r="D164" s="111" t="s">
        <v>240</v>
      </c>
      <c r="E164" s="81" t="s">
        <v>99</v>
      </c>
      <c r="F164" s="61">
        <v>6.17</v>
      </c>
      <c r="G164" s="52">
        <f t="shared" si="15"/>
        <v>7.14</v>
      </c>
      <c r="H164" s="110"/>
      <c r="I164" s="81">
        <v>9.91</v>
      </c>
      <c r="J164" s="81">
        <f>VLOOKUP(C164,Recipes!$A$2:$N$4,12,FALSE())</f>
        <v>5.0137397426368718E-2</v>
      </c>
      <c r="K164" s="81">
        <f t="shared" si="16"/>
        <v>9.7595878077208944</v>
      </c>
      <c r="L164" s="81">
        <f t="shared" si="17"/>
        <v>10.060412192279106</v>
      </c>
      <c r="M164" s="81" t="str">
        <f t="shared" si="18"/>
        <v>NG</v>
      </c>
      <c r="N164" s="117">
        <f t="shared" si="19"/>
        <v>1</v>
      </c>
      <c r="O164" s="81">
        <f t="shared" si="20"/>
        <v>2.7700000000000005</v>
      </c>
      <c r="P164" s="81">
        <f>IF(G164="","",ABS(O164-Components!$C$2)/Components!$D$2)</f>
        <v>2.5218344756962709</v>
      </c>
      <c r="Q164" s="81">
        <f>IF(G164="","",ABS(O164-Components!$C$3)/Components!$D$3)</f>
        <v>91.762062351261065</v>
      </c>
      <c r="R164" s="81">
        <f>IF(G164="","",ABS(O164-Components!$C$4)/Components!$D$4)</f>
        <v>127.09870334569479</v>
      </c>
      <c r="S164" s="81">
        <f>IF(G164="","",ABS(O164-Components!$C$5)/Components!$D$5)</f>
        <v>71.194597770845348</v>
      </c>
      <c r="T164" s="81">
        <f>IF(G164="","",ABS(O164-Components!$C$6)/Components!$D$6)</f>
        <v>58.430028819359272</v>
      </c>
      <c r="U164" s="81">
        <f>IF(G164="","",ABS(O164-Components!$C$7)/Components!$D$7)</f>
        <v>55.503517867496313</v>
      </c>
      <c r="V164" s="81" t="str">
        <f>IF(G164="","",IF(M164="OK","NONE",INDEX({"S1","S2","W1","W2","N1","N2"},MATCH(MIN(P164:U164),P164:U164,0))))</f>
        <v>S1</v>
      </c>
      <c r="W164" s="117">
        <f t="shared" si="21"/>
        <v>1</v>
      </c>
      <c r="X164" s="107"/>
    </row>
    <row r="165" spans="1:24">
      <c r="A165" s="115">
        <v>163</v>
      </c>
      <c r="B165" s="116">
        <v>6</v>
      </c>
      <c r="C165" s="81" t="s">
        <v>130</v>
      </c>
      <c r="D165" s="111" t="s">
        <v>240</v>
      </c>
      <c r="E165" s="81" t="s">
        <v>99</v>
      </c>
      <c r="F165" s="61">
        <v>6.14</v>
      </c>
      <c r="G165" s="52">
        <f t="shared" si="15"/>
        <v>7.1099999999999994</v>
      </c>
      <c r="H165" s="110"/>
      <c r="I165" s="81">
        <v>9.91</v>
      </c>
      <c r="J165" s="81">
        <f>VLOOKUP(C165,Recipes!$A$2:$N$4,12,FALSE())</f>
        <v>5.0137397426368718E-2</v>
      </c>
      <c r="K165" s="81">
        <f t="shared" si="16"/>
        <v>9.7595878077208944</v>
      </c>
      <c r="L165" s="81">
        <f t="shared" si="17"/>
        <v>10.060412192279106</v>
      </c>
      <c r="M165" s="81" t="str">
        <f t="shared" si="18"/>
        <v>NG</v>
      </c>
      <c r="N165" s="117">
        <f t="shared" si="19"/>
        <v>1</v>
      </c>
      <c r="O165" s="81">
        <f t="shared" si="20"/>
        <v>2.8000000000000007</v>
      </c>
      <c r="P165" s="81">
        <f>IF(G165="","",ABS(O165-Components!$C$2)/Components!$D$2)</f>
        <v>7.0611365319485238</v>
      </c>
      <c r="Q165" s="81">
        <f>IF(G165="","",ABS(O165-Components!$C$3)/Components!$D$3)</f>
        <v>89.587605897439687</v>
      </c>
      <c r="R165" s="81">
        <f>IF(G165="","",ABS(O165-Components!$C$4)/Components!$D$4)</f>
        <v>129.24483529712305</v>
      </c>
      <c r="S165" s="81">
        <f>IF(G165="","",ABS(O165-Components!$C$5)/Components!$D$5)</f>
        <v>70.003167164788053</v>
      </c>
      <c r="T165" s="81">
        <f>IF(G165="","",ABS(O165-Components!$C$6)/Components!$D$6)</f>
        <v>59.515864581024026</v>
      </c>
      <c r="U165" s="81">
        <f>IF(G165="","",ABS(O165-Components!$C$7)/Components!$D$7)</f>
        <v>56.696571750485255</v>
      </c>
      <c r="V165" s="81" t="str">
        <f>IF(G165="","",IF(M165="OK","NONE",INDEX({"S1","S2","W1","W2","N1","N2"},MATCH(MIN(P165:U165),P165:U165,0))))</f>
        <v>S1</v>
      </c>
      <c r="W165" s="117">
        <f t="shared" si="21"/>
        <v>1</v>
      </c>
      <c r="X165" s="107"/>
    </row>
    <row r="166" spans="1:24">
      <c r="A166" s="115">
        <v>164</v>
      </c>
      <c r="B166" s="116">
        <v>6</v>
      </c>
      <c r="C166" s="81" t="s">
        <v>130</v>
      </c>
      <c r="D166" s="111" t="s">
        <v>240</v>
      </c>
      <c r="E166" s="81" t="s">
        <v>99</v>
      </c>
      <c r="F166" s="61">
        <v>6.2</v>
      </c>
      <c r="G166" s="52">
        <f t="shared" si="15"/>
        <v>7.17</v>
      </c>
      <c r="H166" s="110"/>
      <c r="I166" s="81">
        <v>9.91</v>
      </c>
      <c r="J166" s="81">
        <f>VLOOKUP(C166,Recipes!$A$2:$N$4,12,FALSE())</f>
        <v>5.0137397426368718E-2</v>
      </c>
      <c r="K166" s="81">
        <f t="shared" si="16"/>
        <v>9.7595878077208944</v>
      </c>
      <c r="L166" s="81">
        <f t="shared" si="17"/>
        <v>10.060412192279106</v>
      </c>
      <c r="M166" s="81" t="str">
        <f t="shared" si="18"/>
        <v>NG</v>
      </c>
      <c r="N166" s="117">
        <f t="shared" si="19"/>
        <v>1</v>
      </c>
      <c r="O166" s="81">
        <f t="shared" si="20"/>
        <v>2.74</v>
      </c>
      <c r="P166" s="81">
        <f>IF(G166="","",ABS(O166-Components!$C$2)/Components!$D$2)</f>
        <v>2.0174675805559819</v>
      </c>
      <c r="Q166" s="81">
        <f>IF(G166="","",ABS(O166-Components!$C$3)/Components!$D$3)</f>
        <v>93.936518805082429</v>
      </c>
      <c r="R166" s="81">
        <f>IF(G166="","",ABS(O166-Components!$C$4)/Components!$D$4)</f>
        <v>124.95257139426653</v>
      </c>
      <c r="S166" s="81">
        <f>IF(G166="","",ABS(O166-Components!$C$5)/Components!$D$5)</f>
        <v>72.386028376902644</v>
      </c>
      <c r="T166" s="81">
        <f>IF(G166="","",ABS(O166-Components!$C$6)/Components!$D$6)</f>
        <v>57.344193057694518</v>
      </c>
      <c r="U166" s="81">
        <f>IF(G166="","",ABS(O166-Components!$C$7)/Components!$D$7)</f>
        <v>54.310463984507372</v>
      </c>
      <c r="V166" s="81" t="str">
        <f>IF(G166="","",IF(M166="OK","NONE",INDEX({"S1","S2","W1","W2","N1","N2"},MATCH(MIN(P166:U166),P166:U166,0))))</f>
        <v>S1</v>
      </c>
      <c r="W166" s="117">
        <f t="shared" si="21"/>
        <v>1</v>
      </c>
      <c r="X166" s="107"/>
    </row>
    <row r="167" spans="1:24">
      <c r="A167" s="115">
        <v>165</v>
      </c>
      <c r="B167" s="116">
        <v>6</v>
      </c>
      <c r="C167" s="61" t="s">
        <v>130</v>
      </c>
      <c r="D167" s="61" t="s">
        <v>240</v>
      </c>
      <c r="E167" s="61" t="s">
        <v>99</v>
      </c>
      <c r="F167" s="61">
        <v>6.19</v>
      </c>
      <c r="G167" s="52">
        <f t="shared" si="15"/>
        <v>7.16</v>
      </c>
      <c r="H167" s="110"/>
      <c r="I167" s="81">
        <v>9.91</v>
      </c>
      <c r="J167" s="81">
        <f>VLOOKUP(C167,Recipes!$A$2:$N$4,12,FALSE())</f>
        <v>5.0137397426368718E-2</v>
      </c>
      <c r="K167" s="81">
        <f t="shared" si="16"/>
        <v>9.7595878077208944</v>
      </c>
      <c r="L167" s="81">
        <f t="shared" si="17"/>
        <v>10.060412192279106</v>
      </c>
      <c r="M167" s="81" t="str">
        <f t="shared" si="18"/>
        <v>NG</v>
      </c>
      <c r="N167" s="117">
        <f t="shared" si="19"/>
        <v>1</v>
      </c>
      <c r="O167" s="81">
        <f t="shared" si="20"/>
        <v>2.75</v>
      </c>
      <c r="P167" s="81">
        <f>IF(G167="","",ABS(O167-Components!$C$2)/Components!$D$2)</f>
        <v>0.50436689513860911</v>
      </c>
      <c r="Q167" s="81">
        <f>IF(G167="","",ABS(O167-Components!$C$3)/Components!$D$3)</f>
        <v>93.211699987141998</v>
      </c>
      <c r="R167" s="81">
        <f>IF(G167="","",ABS(O167-Components!$C$4)/Components!$D$4)</f>
        <v>125.66794871140925</v>
      </c>
      <c r="S167" s="81">
        <f>IF(G167="","",ABS(O167-Components!$C$5)/Components!$D$5)</f>
        <v>71.988884841550231</v>
      </c>
      <c r="T167" s="81">
        <f>IF(G167="","",ABS(O167-Components!$C$6)/Components!$D$6)</f>
        <v>57.706138311582762</v>
      </c>
      <c r="U167" s="81">
        <f>IF(G167="","",ABS(O167-Components!$C$7)/Components!$D$7)</f>
        <v>54.708148612170341</v>
      </c>
      <c r="V167" s="81" t="str">
        <f>IF(G167="","",IF(M167="OK","NONE",INDEX({"S1","S2","W1","W2","N1","N2"},MATCH(MIN(P167:U167),P167:U167,0))))</f>
        <v>S1</v>
      </c>
      <c r="W167" s="117">
        <f t="shared" si="21"/>
        <v>1</v>
      </c>
      <c r="X167" s="107"/>
    </row>
    <row r="168" spans="1:24">
      <c r="A168" s="115">
        <v>166</v>
      </c>
      <c r="B168" s="116">
        <v>6</v>
      </c>
      <c r="C168" s="81" t="s">
        <v>130</v>
      </c>
      <c r="D168" s="111" t="s">
        <v>240</v>
      </c>
      <c r="E168" s="81" t="s">
        <v>99</v>
      </c>
      <c r="F168" s="61">
        <v>6.19</v>
      </c>
      <c r="G168" s="52">
        <f t="shared" si="15"/>
        <v>7.16</v>
      </c>
      <c r="H168" s="110"/>
      <c r="I168" s="81">
        <v>9.91</v>
      </c>
      <c r="J168" s="81">
        <f>VLOOKUP(C168,Recipes!$A$2:$N$4,12,FALSE())</f>
        <v>5.0137397426368718E-2</v>
      </c>
      <c r="K168" s="81">
        <f t="shared" si="16"/>
        <v>9.7595878077208944</v>
      </c>
      <c r="L168" s="81">
        <f t="shared" si="17"/>
        <v>10.060412192279106</v>
      </c>
      <c r="M168" s="81" t="str">
        <f t="shared" si="18"/>
        <v>NG</v>
      </c>
      <c r="N168" s="117">
        <f t="shared" si="19"/>
        <v>1</v>
      </c>
      <c r="O168" s="81">
        <f t="shared" si="20"/>
        <v>2.75</v>
      </c>
      <c r="P168" s="81">
        <f>IF(G168="","",ABS(O168-Components!$C$2)/Components!$D$2)</f>
        <v>0.50436689513860911</v>
      </c>
      <c r="Q168" s="81">
        <f>IF(G168="","",ABS(O168-Components!$C$3)/Components!$D$3)</f>
        <v>93.211699987141998</v>
      </c>
      <c r="R168" s="81">
        <f>IF(G168="","",ABS(O168-Components!$C$4)/Components!$D$4)</f>
        <v>125.66794871140925</v>
      </c>
      <c r="S168" s="81">
        <f>IF(G168="","",ABS(O168-Components!$C$5)/Components!$D$5)</f>
        <v>71.988884841550231</v>
      </c>
      <c r="T168" s="81">
        <f>IF(G168="","",ABS(O168-Components!$C$6)/Components!$D$6)</f>
        <v>57.706138311582762</v>
      </c>
      <c r="U168" s="81">
        <f>IF(G168="","",ABS(O168-Components!$C$7)/Components!$D$7)</f>
        <v>54.708148612170341</v>
      </c>
      <c r="V168" s="81" t="str">
        <f>IF(G168="","",IF(M168="OK","NONE",INDEX({"S1","S2","W1","W2","N1","N2"},MATCH(MIN(P168:U168),P168:U168,0))))</f>
        <v>S1</v>
      </c>
      <c r="W168" s="117">
        <f t="shared" si="21"/>
        <v>1</v>
      </c>
      <c r="X168" s="107"/>
    </row>
    <row r="169" spans="1:24">
      <c r="A169" s="115">
        <v>167</v>
      </c>
      <c r="B169" s="116">
        <v>6</v>
      </c>
      <c r="C169" s="81" t="s">
        <v>130</v>
      </c>
      <c r="D169" s="111" t="s">
        <v>240</v>
      </c>
      <c r="E169" s="81" t="s">
        <v>99</v>
      </c>
      <c r="F169" s="61">
        <v>6.13</v>
      </c>
      <c r="G169" s="52">
        <f t="shared" si="15"/>
        <v>7.1</v>
      </c>
      <c r="H169" s="110"/>
      <c r="I169" s="81">
        <v>9.91</v>
      </c>
      <c r="J169" s="81">
        <f>VLOOKUP(C169,Recipes!$A$2:$N$4,12,FALSE())</f>
        <v>5.0137397426368718E-2</v>
      </c>
      <c r="K169" s="81">
        <f t="shared" si="16"/>
        <v>9.7595878077208944</v>
      </c>
      <c r="L169" s="81">
        <f t="shared" si="17"/>
        <v>10.060412192279106</v>
      </c>
      <c r="M169" s="81" t="str">
        <f t="shared" si="18"/>
        <v>NG</v>
      </c>
      <c r="N169" s="117">
        <f t="shared" si="19"/>
        <v>1</v>
      </c>
      <c r="O169" s="81">
        <f t="shared" si="20"/>
        <v>2.8100000000000005</v>
      </c>
      <c r="P169" s="81">
        <f>IF(G169="","",ABS(O169-Components!$C$2)/Components!$D$2)</f>
        <v>8.5742372173658961</v>
      </c>
      <c r="Q169" s="81">
        <f>IF(G169="","",ABS(O169-Components!$C$3)/Components!$D$3)</f>
        <v>88.862787079499256</v>
      </c>
      <c r="R169" s="81">
        <f>IF(G169="","",ABS(O169-Components!$C$4)/Components!$D$4)</f>
        <v>129.96021261426577</v>
      </c>
      <c r="S169" s="81">
        <f>IF(G169="","",ABS(O169-Components!$C$5)/Components!$D$5)</f>
        <v>69.60602362943564</v>
      </c>
      <c r="T169" s="81">
        <f>IF(G169="","",ABS(O169-Components!$C$6)/Components!$D$6)</f>
        <v>59.877809834912263</v>
      </c>
      <c r="U169" s="81">
        <f>IF(G169="","",ABS(O169-Components!$C$7)/Components!$D$7)</f>
        <v>57.094256378148224</v>
      </c>
      <c r="V169" s="81" t="str">
        <f>IF(G169="","",IF(M169="OK","NONE",INDEX({"S1","S2","W1","W2","N1","N2"},MATCH(MIN(P169:U169),P169:U169,0))))</f>
        <v>S1</v>
      </c>
      <c r="W169" s="117">
        <f t="shared" si="21"/>
        <v>1</v>
      </c>
      <c r="X169" s="107"/>
    </row>
    <row r="170" spans="1:24">
      <c r="A170" s="115">
        <v>168</v>
      </c>
      <c r="B170" s="116">
        <v>6</v>
      </c>
      <c r="C170" s="81" t="s">
        <v>130</v>
      </c>
      <c r="D170" s="111" t="s">
        <v>240</v>
      </c>
      <c r="E170" s="81" t="s">
        <v>99</v>
      </c>
      <c r="F170" s="61">
        <v>6.17</v>
      </c>
      <c r="G170" s="52">
        <f t="shared" si="15"/>
        <v>7.14</v>
      </c>
      <c r="H170" s="110"/>
      <c r="I170" s="81">
        <v>9.91</v>
      </c>
      <c r="J170" s="81">
        <f>VLOOKUP(C170,Recipes!$A$2:$N$4,12,FALSE())</f>
        <v>5.0137397426368718E-2</v>
      </c>
      <c r="K170" s="81">
        <f t="shared" si="16"/>
        <v>9.7595878077208944</v>
      </c>
      <c r="L170" s="81">
        <f t="shared" si="17"/>
        <v>10.060412192279106</v>
      </c>
      <c r="M170" s="81" t="str">
        <f t="shared" si="18"/>
        <v>NG</v>
      </c>
      <c r="N170" s="117">
        <f t="shared" si="19"/>
        <v>1</v>
      </c>
      <c r="O170" s="81">
        <f t="shared" si="20"/>
        <v>2.7700000000000005</v>
      </c>
      <c r="P170" s="81">
        <f>IF(G170="","",ABS(O170-Components!$C$2)/Components!$D$2)</f>
        <v>2.5218344756962709</v>
      </c>
      <c r="Q170" s="81">
        <f>IF(G170="","",ABS(O170-Components!$C$3)/Components!$D$3)</f>
        <v>91.762062351261065</v>
      </c>
      <c r="R170" s="81">
        <f>IF(G170="","",ABS(O170-Components!$C$4)/Components!$D$4)</f>
        <v>127.09870334569479</v>
      </c>
      <c r="S170" s="81">
        <f>IF(G170="","",ABS(O170-Components!$C$5)/Components!$D$5)</f>
        <v>71.194597770845348</v>
      </c>
      <c r="T170" s="81">
        <f>IF(G170="","",ABS(O170-Components!$C$6)/Components!$D$6)</f>
        <v>58.430028819359272</v>
      </c>
      <c r="U170" s="81">
        <f>IF(G170="","",ABS(O170-Components!$C$7)/Components!$D$7)</f>
        <v>55.503517867496313</v>
      </c>
      <c r="V170" s="81" t="str">
        <f>IF(G170="","",IF(M170="OK","NONE",INDEX({"S1","S2","W1","W2","N1","N2"},MATCH(MIN(P170:U170),P170:U170,0))))</f>
        <v>S1</v>
      </c>
      <c r="W170" s="117">
        <f t="shared" si="21"/>
        <v>1</v>
      </c>
      <c r="X170" s="107"/>
    </row>
    <row r="171" spans="1:24">
      <c r="A171" s="115">
        <v>169</v>
      </c>
      <c r="B171" s="116">
        <v>6</v>
      </c>
      <c r="C171" s="81" t="s">
        <v>130</v>
      </c>
      <c r="D171" s="111" t="s">
        <v>240</v>
      </c>
      <c r="E171" s="81" t="s">
        <v>99</v>
      </c>
      <c r="F171" s="61">
        <v>6.19</v>
      </c>
      <c r="G171" s="52">
        <f t="shared" si="15"/>
        <v>7.16</v>
      </c>
      <c r="H171" s="110"/>
      <c r="I171" s="81">
        <v>9.91</v>
      </c>
      <c r="J171" s="81">
        <f>VLOOKUP(C171,Recipes!$A$2:$N$4,12,FALSE())</f>
        <v>5.0137397426368718E-2</v>
      </c>
      <c r="K171" s="81">
        <f t="shared" si="16"/>
        <v>9.7595878077208944</v>
      </c>
      <c r="L171" s="81">
        <f t="shared" si="17"/>
        <v>10.060412192279106</v>
      </c>
      <c r="M171" s="81" t="str">
        <f t="shared" si="18"/>
        <v>NG</v>
      </c>
      <c r="N171" s="117">
        <f t="shared" si="19"/>
        <v>1</v>
      </c>
      <c r="O171" s="81">
        <f t="shared" si="20"/>
        <v>2.75</v>
      </c>
      <c r="P171" s="81">
        <f>IF(G171="","",ABS(O171-Components!$C$2)/Components!$D$2)</f>
        <v>0.50436689513860911</v>
      </c>
      <c r="Q171" s="81">
        <f>IF(G171="","",ABS(O171-Components!$C$3)/Components!$D$3)</f>
        <v>93.211699987141998</v>
      </c>
      <c r="R171" s="81">
        <f>IF(G171="","",ABS(O171-Components!$C$4)/Components!$D$4)</f>
        <v>125.66794871140925</v>
      </c>
      <c r="S171" s="81">
        <f>IF(G171="","",ABS(O171-Components!$C$5)/Components!$D$5)</f>
        <v>71.988884841550231</v>
      </c>
      <c r="T171" s="81">
        <f>IF(G171="","",ABS(O171-Components!$C$6)/Components!$D$6)</f>
        <v>57.706138311582762</v>
      </c>
      <c r="U171" s="81">
        <f>IF(G171="","",ABS(O171-Components!$C$7)/Components!$D$7)</f>
        <v>54.708148612170341</v>
      </c>
      <c r="V171" s="81" t="str">
        <f>IF(G171="","",IF(M171="OK","NONE",INDEX({"S1","S2","W1","W2","N1","N2"},MATCH(MIN(P171:U171),P171:U171,0))))</f>
        <v>S1</v>
      </c>
      <c r="W171" s="117">
        <f t="shared" si="21"/>
        <v>1</v>
      </c>
      <c r="X171" s="107"/>
    </row>
    <row r="172" spans="1:24">
      <c r="A172" s="115">
        <v>170</v>
      </c>
      <c r="B172" s="116">
        <v>6</v>
      </c>
      <c r="C172" s="61" t="s">
        <v>130</v>
      </c>
      <c r="D172" s="61" t="s">
        <v>240</v>
      </c>
      <c r="E172" s="61" t="s">
        <v>99</v>
      </c>
      <c r="F172" s="61">
        <v>6.09</v>
      </c>
      <c r="G172" s="52">
        <f t="shared" si="15"/>
        <v>7.06</v>
      </c>
      <c r="H172" s="110"/>
      <c r="I172" s="81">
        <v>9.91</v>
      </c>
      <c r="J172" s="81">
        <f>VLOOKUP(C172,Recipes!$A$2:$N$4,12,FALSE())</f>
        <v>5.0137397426368718E-2</v>
      </c>
      <c r="K172" s="81">
        <f t="shared" si="16"/>
        <v>9.7595878077208944</v>
      </c>
      <c r="L172" s="81">
        <f t="shared" si="17"/>
        <v>10.060412192279106</v>
      </c>
      <c r="M172" s="81" t="str">
        <f t="shared" si="18"/>
        <v>NG</v>
      </c>
      <c r="N172" s="117">
        <f t="shared" si="19"/>
        <v>1</v>
      </c>
      <c r="O172" s="81">
        <f t="shared" si="20"/>
        <v>2.8500000000000005</v>
      </c>
      <c r="P172" s="81">
        <f>IF(G172="","",ABS(O172-Components!$C$2)/Components!$D$2)</f>
        <v>14.626639959035522</v>
      </c>
      <c r="Q172" s="81">
        <f>IF(G172="","",ABS(O172-Components!$C$3)/Components!$D$3)</f>
        <v>85.963511807737447</v>
      </c>
      <c r="R172" s="81">
        <f>IF(G172="","",ABS(O172-Components!$C$4)/Components!$D$4)</f>
        <v>132.82172188283675</v>
      </c>
      <c r="S172" s="81">
        <f>IF(G172="","",ABS(O172-Components!$C$5)/Components!$D$5)</f>
        <v>68.017449488025932</v>
      </c>
      <c r="T172" s="81">
        <f>IF(G172="","",ABS(O172-Components!$C$6)/Components!$D$6)</f>
        <v>61.325590850465254</v>
      </c>
      <c r="U172" s="81">
        <f>IF(G172="","",ABS(O172-Components!$C$7)/Components!$D$7)</f>
        <v>58.684994888800134</v>
      </c>
      <c r="V172" s="81" t="str">
        <f>IF(G172="","",IF(M172="OK","NONE",INDEX({"S1","S2","W1","W2","N1","N2"},MATCH(MIN(P172:U172),P172:U172,0))))</f>
        <v>S1</v>
      </c>
      <c r="W172" s="117">
        <f t="shared" si="21"/>
        <v>1</v>
      </c>
      <c r="X172" s="107"/>
    </row>
    <row r="173" spans="1:24">
      <c r="A173" s="115">
        <v>171</v>
      </c>
      <c r="B173" s="116">
        <v>6</v>
      </c>
      <c r="C173" s="81" t="s">
        <v>130</v>
      </c>
      <c r="D173" s="111" t="s">
        <v>240</v>
      </c>
      <c r="E173" s="81" t="s">
        <v>99</v>
      </c>
      <c r="F173" s="61">
        <v>6.19</v>
      </c>
      <c r="G173" s="52">
        <f t="shared" si="15"/>
        <v>7.16</v>
      </c>
      <c r="H173" s="110"/>
      <c r="I173" s="81">
        <v>9.91</v>
      </c>
      <c r="J173" s="81">
        <f>VLOOKUP(C173,Recipes!$A$2:$N$4,12,FALSE())</f>
        <v>5.0137397426368718E-2</v>
      </c>
      <c r="K173" s="81">
        <f t="shared" si="16"/>
        <v>9.7595878077208944</v>
      </c>
      <c r="L173" s="81">
        <f t="shared" si="17"/>
        <v>10.060412192279106</v>
      </c>
      <c r="M173" s="81" t="str">
        <f t="shared" si="18"/>
        <v>NG</v>
      </c>
      <c r="N173" s="117">
        <f t="shared" si="19"/>
        <v>1</v>
      </c>
      <c r="O173" s="81">
        <f t="shared" si="20"/>
        <v>2.75</v>
      </c>
      <c r="P173" s="81">
        <f>IF(G173="","",ABS(O173-Components!$C$2)/Components!$D$2)</f>
        <v>0.50436689513860911</v>
      </c>
      <c r="Q173" s="81">
        <f>IF(G173="","",ABS(O173-Components!$C$3)/Components!$D$3)</f>
        <v>93.211699987141998</v>
      </c>
      <c r="R173" s="81">
        <f>IF(G173="","",ABS(O173-Components!$C$4)/Components!$D$4)</f>
        <v>125.66794871140925</v>
      </c>
      <c r="S173" s="81">
        <f>IF(G173="","",ABS(O173-Components!$C$5)/Components!$D$5)</f>
        <v>71.988884841550231</v>
      </c>
      <c r="T173" s="81">
        <f>IF(G173="","",ABS(O173-Components!$C$6)/Components!$D$6)</f>
        <v>57.706138311582762</v>
      </c>
      <c r="U173" s="81">
        <f>IF(G173="","",ABS(O173-Components!$C$7)/Components!$D$7)</f>
        <v>54.708148612170341</v>
      </c>
      <c r="V173" s="81" t="str">
        <f>IF(G173="","",IF(M173="OK","NONE",INDEX({"S1","S2","W1","W2","N1","N2"},MATCH(MIN(P173:U173),P173:U173,0))))</f>
        <v>S1</v>
      </c>
      <c r="W173" s="117">
        <f t="shared" si="21"/>
        <v>1</v>
      </c>
      <c r="X173" s="107"/>
    </row>
    <row r="174" spans="1:24">
      <c r="A174" s="115">
        <v>172</v>
      </c>
      <c r="B174" s="116">
        <v>6</v>
      </c>
      <c r="C174" s="81" t="s">
        <v>130</v>
      </c>
      <c r="D174" s="111" t="s">
        <v>240</v>
      </c>
      <c r="E174" s="81" t="s">
        <v>99</v>
      </c>
      <c r="F174" s="61">
        <v>6.18</v>
      </c>
      <c r="G174" s="52">
        <f t="shared" si="15"/>
        <v>7.1499999999999995</v>
      </c>
      <c r="H174" s="110"/>
      <c r="I174" s="81">
        <v>9.91</v>
      </c>
      <c r="J174" s="81">
        <f>VLOOKUP(C174,Recipes!$A$2:$N$4,12,FALSE())</f>
        <v>5.0137397426368718E-2</v>
      </c>
      <c r="K174" s="81">
        <f t="shared" si="16"/>
        <v>9.7595878077208944</v>
      </c>
      <c r="L174" s="81">
        <f t="shared" si="17"/>
        <v>10.060412192279106</v>
      </c>
      <c r="M174" s="81" t="str">
        <f t="shared" si="18"/>
        <v>NG</v>
      </c>
      <c r="N174" s="117">
        <f t="shared" si="19"/>
        <v>1</v>
      </c>
      <c r="O174" s="81">
        <f t="shared" si="20"/>
        <v>2.7600000000000007</v>
      </c>
      <c r="P174" s="81">
        <f>IF(G174="","",ABS(O174-Components!$C$2)/Components!$D$2)</f>
        <v>1.0087337902788982</v>
      </c>
      <c r="Q174" s="81">
        <f>IF(G174="","",ABS(O174-Components!$C$3)/Components!$D$3)</f>
        <v>92.486881169201496</v>
      </c>
      <c r="R174" s="81">
        <f>IF(G174="","",ABS(O174-Components!$C$4)/Components!$D$4)</f>
        <v>126.38332602855205</v>
      </c>
      <c r="S174" s="81">
        <f>IF(G174="","",ABS(O174-Components!$C$5)/Components!$D$5)</f>
        <v>71.591741306197775</v>
      </c>
      <c r="T174" s="81">
        <f>IF(G174="","",ABS(O174-Components!$C$6)/Components!$D$6)</f>
        <v>58.068083565471035</v>
      </c>
      <c r="U174" s="81">
        <f>IF(G174="","",ABS(O174-Components!$C$7)/Components!$D$7)</f>
        <v>55.105833239833345</v>
      </c>
      <c r="V174" s="81" t="str">
        <f>IF(G174="","",IF(M174="OK","NONE",INDEX({"S1","S2","W1","W2","N1","N2"},MATCH(MIN(P174:U174),P174:U174,0))))</f>
        <v>S1</v>
      </c>
      <c r="W174" s="117">
        <f t="shared" si="21"/>
        <v>1</v>
      </c>
      <c r="X174" s="107"/>
    </row>
    <row r="175" spans="1:24">
      <c r="A175" s="115">
        <v>173</v>
      </c>
      <c r="B175" s="116">
        <v>6</v>
      </c>
      <c r="C175" s="81" t="s">
        <v>130</v>
      </c>
      <c r="D175" s="111" t="s">
        <v>240</v>
      </c>
      <c r="E175" s="81" t="s">
        <v>99</v>
      </c>
      <c r="F175" s="61">
        <v>6.19</v>
      </c>
      <c r="G175" s="52">
        <f t="shared" si="15"/>
        <v>7.16</v>
      </c>
      <c r="H175" s="110"/>
      <c r="I175" s="81">
        <v>9.91</v>
      </c>
      <c r="J175" s="81">
        <f>VLOOKUP(C175,Recipes!$A$2:$N$4,12,FALSE())</f>
        <v>5.0137397426368718E-2</v>
      </c>
      <c r="K175" s="81">
        <f t="shared" si="16"/>
        <v>9.7595878077208944</v>
      </c>
      <c r="L175" s="81">
        <f t="shared" si="17"/>
        <v>10.060412192279106</v>
      </c>
      <c r="M175" s="81" t="str">
        <f t="shared" si="18"/>
        <v>NG</v>
      </c>
      <c r="N175" s="117">
        <f t="shared" si="19"/>
        <v>1</v>
      </c>
      <c r="O175" s="81">
        <f t="shared" si="20"/>
        <v>2.75</v>
      </c>
      <c r="P175" s="81">
        <f>IF(G175="","",ABS(O175-Components!$C$2)/Components!$D$2)</f>
        <v>0.50436689513860911</v>
      </c>
      <c r="Q175" s="81">
        <f>IF(G175="","",ABS(O175-Components!$C$3)/Components!$D$3)</f>
        <v>93.211699987141998</v>
      </c>
      <c r="R175" s="81">
        <f>IF(G175="","",ABS(O175-Components!$C$4)/Components!$D$4)</f>
        <v>125.66794871140925</v>
      </c>
      <c r="S175" s="81">
        <f>IF(G175="","",ABS(O175-Components!$C$5)/Components!$D$5)</f>
        <v>71.988884841550231</v>
      </c>
      <c r="T175" s="81">
        <f>IF(G175="","",ABS(O175-Components!$C$6)/Components!$D$6)</f>
        <v>57.706138311582762</v>
      </c>
      <c r="U175" s="81">
        <f>IF(G175="","",ABS(O175-Components!$C$7)/Components!$D$7)</f>
        <v>54.708148612170341</v>
      </c>
      <c r="V175" s="81" t="str">
        <f>IF(G175="","",IF(M175="OK","NONE",INDEX({"S1","S2","W1","W2","N1","N2"},MATCH(MIN(P175:U175),P175:U175,0))))</f>
        <v>S1</v>
      </c>
      <c r="W175" s="117">
        <f t="shared" si="21"/>
        <v>1</v>
      </c>
      <c r="X175" s="107"/>
    </row>
    <row r="176" spans="1:24">
      <c r="A176" s="115">
        <v>174</v>
      </c>
      <c r="B176" s="116">
        <v>6</v>
      </c>
      <c r="C176" s="81" t="s">
        <v>130</v>
      </c>
      <c r="D176" s="111" t="s">
        <v>240</v>
      </c>
      <c r="E176" s="81" t="s">
        <v>99</v>
      </c>
      <c r="F176" s="61">
        <v>6.15</v>
      </c>
      <c r="G176" s="52">
        <f t="shared" si="15"/>
        <v>7.12</v>
      </c>
      <c r="H176" s="110"/>
      <c r="I176" s="81">
        <v>9.91</v>
      </c>
      <c r="J176" s="81">
        <f>VLOOKUP(C176,Recipes!$A$2:$N$4,12,FALSE())</f>
        <v>5.0137397426368718E-2</v>
      </c>
      <c r="K176" s="81">
        <f t="shared" si="16"/>
        <v>9.7595878077208944</v>
      </c>
      <c r="L176" s="81">
        <f t="shared" si="17"/>
        <v>10.060412192279106</v>
      </c>
      <c r="M176" s="81" t="str">
        <f t="shared" si="18"/>
        <v>NG</v>
      </c>
      <c r="N176" s="117">
        <f t="shared" si="19"/>
        <v>1</v>
      </c>
      <c r="O176" s="81">
        <f t="shared" si="20"/>
        <v>2.79</v>
      </c>
      <c r="P176" s="81">
        <f>IF(G176="","",ABS(O176-Components!$C$2)/Components!$D$2)</f>
        <v>5.5480358465310164</v>
      </c>
      <c r="Q176" s="81">
        <f>IF(G176="","",ABS(O176-Components!$C$3)/Components!$D$3)</f>
        <v>90.312424715380189</v>
      </c>
      <c r="R176" s="81">
        <f>IF(G176="","",ABS(O176-Components!$C$4)/Components!$D$4)</f>
        <v>128.52945797998024</v>
      </c>
      <c r="S176" s="81">
        <f>IF(G176="","",ABS(O176-Components!$C$5)/Components!$D$5)</f>
        <v>70.400310700140508</v>
      </c>
      <c r="T176" s="81">
        <f>IF(G176="","",ABS(O176-Components!$C$6)/Components!$D$6)</f>
        <v>59.153919327135753</v>
      </c>
      <c r="U176" s="81">
        <f>IF(G176="","",ABS(O176-Components!$C$7)/Components!$D$7)</f>
        <v>56.298887122822251</v>
      </c>
      <c r="V176" s="81" t="str">
        <f>IF(G176="","",IF(M176="OK","NONE",INDEX({"S1","S2","W1","W2","N1","N2"},MATCH(MIN(P176:U176),P176:U176,0))))</f>
        <v>S1</v>
      </c>
      <c r="W176" s="117">
        <f t="shared" si="21"/>
        <v>1</v>
      </c>
      <c r="X176" s="107"/>
    </row>
    <row r="177" spans="1:24">
      <c r="A177" s="115">
        <v>175</v>
      </c>
      <c r="B177" s="116">
        <v>6</v>
      </c>
      <c r="C177" s="61" t="s">
        <v>130</v>
      </c>
      <c r="D177" s="61" t="s">
        <v>240</v>
      </c>
      <c r="E177" s="61" t="s">
        <v>99</v>
      </c>
      <c r="F177" s="61">
        <v>6.16</v>
      </c>
      <c r="G177" s="52">
        <f t="shared" si="15"/>
        <v>7.13</v>
      </c>
      <c r="H177" s="110"/>
      <c r="I177" s="81">
        <v>9.91</v>
      </c>
      <c r="J177" s="81">
        <f>VLOOKUP(C177,Recipes!$A$2:$N$4,12,FALSE())</f>
        <v>5.0137397426368718E-2</v>
      </c>
      <c r="K177" s="81">
        <f t="shared" si="16"/>
        <v>9.7595878077208944</v>
      </c>
      <c r="L177" s="81">
        <f t="shared" si="17"/>
        <v>10.060412192279106</v>
      </c>
      <c r="M177" s="81" t="str">
        <f t="shared" si="18"/>
        <v>NG</v>
      </c>
      <c r="N177" s="117">
        <f t="shared" si="19"/>
        <v>1</v>
      </c>
      <c r="O177" s="81">
        <f t="shared" si="20"/>
        <v>2.7800000000000002</v>
      </c>
      <c r="P177" s="81">
        <f>IF(G177="","",ABS(O177-Components!$C$2)/Components!$D$2)</f>
        <v>4.0349351611136441</v>
      </c>
      <c r="Q177" s="81">
        <f>IF(G177="","",ABS(O177-Components!$C$3)/Components!$D$3)</f>
        <v>91.03724353332062</v>
      </c>
      <c r="R177" s="81">
        <f>IF(G177="","",ABS(O177-Components!$C$4)/Components!$D$4)</f>
        <v>127.81408066283751</v>
      </c>
      <c r="S177" s="81">
        <f>IF(G177="","",ABS(O177-Components!$C$5)/Components!$D$5)</f>
        <v>70.797454235492935</v>
      </c>
      <c r="T177" s="81">
        <f>IF(G177="","",ABS(O177-Components!$C$6)/Components!$D$6)</f>
        <v>58.791974073247509</v>
      </c>
      <c r="U177" s="81">
        <f>IF(G177="","",ABS(O177-Components!$C$7)/Components!$D$7)</f>
        <v>55.901202495159282</v>
      </c>
      <c r="V177" s="81" t="str">
        <f>IF(G177="","",IF(M177="OK","NONE",INDEX({"S1","S2","W1","W2","N1","N2"},MATCH(MIN(P177:U177),P177:U177,0))))</f>
        <v>S1</v>
      </c>
      <c r="W177" s="117">
        <f t="shared" si="21"/>
        <v>1</v>
      </c>
      <c r="X177" s="107"/>
    </row>
    <row r="178" spans="1:24">
      <c r="A178" s="115">
        <v>176</v>
      </c>
      <c r="B178" s="116">
        <v>6</v>
      </c>
      <c r="C178" s="81" t="s">
        <v>130</v>
      </c>
      <c r="D178" s="111" t="s">
        <v>240</v>
      </c>
      <c r="E178" s="81" t="s">
        <v>99</v>
      </c>
      <c r="F178" s="61">
        <v>6.16</v>
      </c>
      <c r="G178" s="52">
        <f t="shared" si="15"/>
        <v>7.13</v>
      </c>
      <c r="H178" s="110"/>
      <c r="I178" s="81">
        <v>9.91</v>
      </c>
      <c r="J178" s="81">
        <f>VLOOKUP(C178,Recipes!$A$2:$N$4,12,FALSE())</f>
        <v>5.0137397426368718E-2</v>
      </c>
      <c r="K178" s="81">
        <f t="shared" si="16"/>
        <v>9.7595878077208944</v>
      </c>
      <c r="L178" s="81">
        <f t="shared" si="17"/>
        <v>10.060412192279106</v>
      </c>
      <c r="M178" s="81" t="str">
        <f t="shared" si="18"/>
        <v>NG</v>
      </c>
      <c r="N178" s="117">
        <f t="shared" si="19"/>
        <v>1</v>
      </c>
      <c r="O178" s="81">
        <f t="shared" si="20"/>
        <v>2.7800000000000002</v>
      </c>
      <c r="P178" s="81">
        <f>IF(G178="","",ABS(O178-Components!$C$2)/Components!$D$2)</f>
        <v>4.0349351611136441</v>
      </c>
      <c r="Q178" s="81">
        <f>IF(G178="","",ABS(O178-Components!$C$3)/Components!$D$3)</f>
        <v>91.03724353332062</v>
      </c>
      <c r="R178" s="81">
        <f>IF(G178="","",ABS(O178-Components!$C$4)/Components!$D$4)</f>
        <v>127.81408066283751</v>
      </c>
      <c r="S178" s="81">
        <f>IF(G178="","",ABS(O178-Components!$C$5)/Components!$D$5)</f>
        <v>70.797454235492935</v>
      </c>
      <c r="T178" s="81">
        <f>IF(G178="","",ABS(O178-Components!$C$6)/Components!$D$6)</f>
        <v>58.791974073247509</v>
      </c>
      <c r="U178" s="81">
        <f>IF(G178="","",ABS(O178-Components!$C$7)/Components!$D$7)</f>
        <v>55.901202495159282</v>
      </c>
      <c r="V178" s="81" t="str">
        <f>IF(G178="","",IF(M178="OK","NONE",INDEX({"S1","S2","W1","W2","N1","N2"},MATCH(MIN(P178:U178),P178:U178,0))))</f>
        <v>S1</v>
      </c>
      <c r="W178" s="117">
        <f t="shared" si="21"/>
        <v>1</v>
      </c>
      <c r="X178" s="107"/>
    </row>
    <row r="179" spans="1:24">
      <c r="A179" s="115">
        <v>177</v>
      </c>
      <c r="B179" s="116">
        <v>6</v>
      </c>
      <c r="C179" s="81" t="s">
        <v>130</v>
      </c>
      <c r="D179" s="111" t="s">
        <v>240</v>
      </c>
      <c r="E179" s="81" t="s">
        <v>99</v>
      </c>
      <c r="F179" s="61">
        <v>6.15</v>
      </c>
      <c r="G179" s="52">
        <f t="shared" si="15"/>
        <v>7.12</v>
      </c>
      <c r="H179" s="110"/>
      <c r="I179" s="81">
        <v>9.91</v>
      </c>
      <c r="J179" s="81">
        <f>VLOOKUP(C179,Recipes!$A$2:$N$4,12,FALSE())</f>
        <v>5.0137397426368718E-2</v>
      </c>
      <c r="K179" s="81">
        <f t="shared" si="16"/>
        <v>9.7595878077208944</v>
      </c>
      <c r="L179" s="81">
        <f t="shared" si="17"/>
        <v>10.060412192279106</v>
      </c>
      <c r="M179" s="81" t="str">
        <f t="shared" si="18"/>
        <v>NG</v>
      </c>
      <c r="N179" s="117">
        <f t="shared" si="19"/>
        <v>1</v>
      </c>
      <c r="O179" s="81">
        <f t="shared" si="20"/>
        <v>2.79</v>
      </c>
      <c r="P179" s="81">
        <f>IF(G179="","",ABS(O179-Components!$C$2)/Components!$D$2)</f>
        <v>5.5480358465310164</v>
      </c>
      <c r="Q179" s="81">
        <f>IF(G179="","",ABS(O179-Components!$C$3)/Components!$D$3)</f>
        <v>90.312424715380189</v>
      </c>
      <c r="R179" s="81">
        <f>IF(G179="","",ABS(O179-Components!$C$4)/Components!$D$4)</f>
        <v>128.52945797998024</v>
      </c>
      <c r="S179" s="81">
        <f>IF(G179="","",ABS(O179-Components!$C$5)/Components!$D$5)</f>
        <v>70.400310700140508</v>
      </c>
      <c r="T179" s="81">
        <f>IF(G179="","",ABS(O179-Components!$C$6)/Components!$D$6)</f>
        <v>59.153919327135753</v>
      </c>
      <c r="U179" s="81">
        <f>IF(G179="","",ABS(O179-Components!$C$7)/Components!$D$7)</f>
        <v>56.298887122822251</v>
      </c>
      <c r="V179" s="81" t="str">
        <f>IF(G179="","",IF(M179="OK","NONE",INDEX({"S1","S2","W1","W2","N1","N2"},MATCH(MIN(P179:U179),P179:U179,0))))</f>
        <v>S1</v>
      </c>
      <c r="W179" s="117">
        <f t="shared" si="21"/>
        <v>1</v>
      </c>
      <c r="X179" s="107"/>
    </row>
    <row r="180" spans="1:24">
      <c r="A180" s="115">
        <v>178</v>
      </c>
      <c r="B180" s="116">
        <v>6</v>
      </c>
      <c r="C180" s="81" t="s">
        <v>130</v>
      </c>
      <c r="D180" s="111" t="s">
        <v>240</v>
      </c>
      <c r="E180" s="81" t="s">
        <v>99</v>
      </c>
      <c r="F180" s="61">
        <v>6.17</v>
      </c>
      <c r="G180" s="52">
        <f t="shared" si="15"/>
        <v>7.14</v>
      </c>
      <c r="H180" s="110"/>
      <c r="I180" s="81">
        <v>9.91</v>
      </c>
      <c r="J180" s="81">
        <f>VLOOKUP(C180,Recipes!$A$2:$N$4,12,FALSE())</f>
        <v>5.0137397426368718E-2</v>
      </c>
      <c r="K180" s="81">
        <f t="shared" si="16"/>
        <v>9.7595878077208944</v>
      </c>
      <c r="L180" s="81">
        <f t="shared" si="17"/>
        <v>10.060412192279106</v>
      </c>
      <c r="M180" s="81" t="str">
        <f t="shared" si="18"/>
        <v>NG</v>
      </c>
      <c r="N180" s="117">
        <f t="shared" si="19"/>
        <v>1</v>
      </c>
      <c r="O180" s="81">
        <f t="shared" si="20"/>
        <v>2.7700000000000005</v>
      </c>
      <c r="P180" s="81">
        <f>IF(G180="","",ABS(O180-Components!$C$2)/Components!$D$2)</f>
        <v>2.5218344756962709</v>
      </c>
      <c r="Q180" s="81">
        <f>IF(G180="","",ABS(O180-Components!$C$3)/Components!$D$3)</f>
        <v>91.762062351261065</v>
      </c>
      <c r="R180" s="81">
        <f>IF(G180="","",ABS(O180-Components!$C$4)/Components!$D$4)</f>
        <v>127.09870334569479</v>
      </c>
      <c r="S180" s="81">
        <f>IF(G180="","",ABS(O180-Components!$C$5)/Components!$D$5)</f>
        <v>71.194597770845348</v>
      </c>
      <c r="T180" s="81">
        <f>IF(G180="","",ABS(O180-Components!$C$6)/Components!$D$6)</f>
        <v>58.430028819359272</v>
      </c>
      <c r="U180" s="81">
        <f>IF(G180="","",ABS(O180-Components!$C$7)/Components!$D$7)</f>
        <v>55.503517867496313</v>
      </c>
      <c r="V180" s="81" t="str">
        <f>IF(G180="","",IF(M180="OK","NONE",INDEX({"S1","S2","W1","W2","N1","N2"},MATCH(MIN(P180:U180),P180:U180,0))))</f>
        <v>S1</v>
      </c>
      <c r="W180" s="117">
        <f t="shared" si="21"/>
        <v>1</v>
      </c>
      <c r="X180" s="107"/>
    </row>
    <row r="181" spans="1:24">
      <c r="A181" s="115">
        <v>179</v>
      </c>
      <c r="B181" s="116">
        <v>6</v>
      </c>
      <c r="C181" s="81" t="s">
        <v>130</v>
      </c>
      <c r="D181" s="111" t="s">
        <v>240</v>
      </c>
      <c r="E181" s="81" t="s">
        <v>99</v>
      </c>
      <c r="F181" s="61">
        <v>6.2</v>
      </c>
      <c r="G181" s="52">
        <f t="shared" si="15"/>
        <v>7.17</v>
      </c>
      <c r="H181" s="110"/>
      <c r="I181" s="81">
        <v>9.91</v>
      </c>
      <c r="J181" s="81">
        <f>VLOOKUP(C181,Recipes!$A$2:$N$4,12,FALSE())</f>
        <v>5.0137397426368718E-2</v>
      </c>
      <c r="K181" s="81">
        <f t="shared" si="16"/>
        <v>9.7595878077208944</v>
      </c>
      <c r="L181" s="81">
        <f t="shared" si="17"/>
        <v>10.060412192279106</v>
      </c>
      <c r="M181" s="81" t="str">
        <f t="shared" si="18"/>
        <v>NG</v>
      </c>
      <c r="N181" s="117">
        <f t="shared" si="19"/>
        <v>1</v>
      </c>
      <c r="O181" s="81">
        <f t="shared" si="20"/>
        <v>2.74</v>
      </c>
      <c r="P181" s="81">
        <f>IF(G181="","",ABS(O181-Components!$C$2)/Components!$D$2)</f>
        <v>2.0174675805559819</v>
      </c>
      <c r="Q181" s="81">
        <f>IF(G181="","",ABS(O181-Components!$C$3)/Components!$D$3)</f>
        <v>93.936518805082429</v>
      </c>
      <c r="R181" s="81">
        <f>IF(G181="","",ABS(O181-Components!$C$4)/Components!$D$4)</f>
        <v>124.95257139426653</v>
      </c>
      <c r="S181" s="81">
        <f>IF(G181="","",ABS(O181-Components!$C$5)/Components!$D$5)</f>
        <v>72.386028376902644</v>
      </c>
      <c r="T181" s="81">
        <f>IF(G181="","",ABS(O181-Components!$C$6)/Components!$D$6)</f>
        <v>57.344193057694518</v>
      </c>
      <c r="U181" s="81">
        <f>IF(G181="","",ABS(O181-Components!$C$7)/Components!$D$7)</f>
        <v>54.310463984507372</v>
      </c>
      <c r="V181" s="81" t="str">
        <f>IF(G181="","",IF(M181="OK","NONE",INDEX({"S1","S2","W1","W2","N1","N2"},MATCH(MIN(P181:U181),P181:U181,0))))</f>
        <v>S1</v>
      </c>
      <c r="W181" s="117">
        <f t="shared" si="21"/>
        <v>1</v>
      </c>
      <c r="X181" s="107"/>
    </row>
    <row r="182" spans="1:24">
      <c r="A182" s="115">
        <v>180</v>
      </c>
      <c r="B182" s="116">
        <v>6</v>
      </c>
      <c r="C182" s="61" t="s">
        <v>130</v>
      </c>
      <c r="D182" s="61" t="s">
        <v>240</v>
      </c>
      <c r="E182" s="61" t="s">
        <v>99</v>
      </c>
      <c r="F182" s="61">
        <v>6.14</v>
      </c>
      <c r="G182" s="52">
        <f t="shared" si="15"/>
        <v>7.1099999999999994</v>
      </c>
      <c r="H182" s="110"/>
      <c r="I182" s="81">
        <v>9.91</v>
      </c>
      <c r="J182" s="81">
        <f>VLOOKUP(C182,Recipes!$A$2:$N$4,12,FALSE())</f>
        <v>5.0137397426368718E-2</v>
      </c>
      <c r="K182" s="81">
        <f t="shared" si="16"/>
        <v>9.7595878077208944</v>
      </c>
      <c r="L182" s="81">
        <f t="shared" si="17"/>
        <v>10.060412192279106</v>
      </c>
      <c r="M182" s="81" t="str">
        <f t="shared" si="18"/>
        <v>NG</v>
      </c>
      <c r="N182" s="117">
        <f t="shared" si="19"/>
        <v>1</v>
      </c>
      <c r="O182" s="81">
        <f t="shared" si="20"/>
        <v>2.8000000000000007</v>
      </c>
      <c r="P182" s="81">
        <f>IF(G182="","",ABS(O182-Components!$C$2)/Components!$D$2)</f>
        <v>7.0611365319485238</v>
      </c>
      <c r="Q182" s="81">
        <f>IF(G182="","",ABS(O182-Components!$C$3)/Components!$D$3)</f>
        <v>89.587605897439687</v>
      </c>
      <c r="R182" s="81">
        <f>IF(G182="","",ABS(O182-Components!$C$4)/Components!$D$4)</f>
        <v>129.24483529712305</v>
      </c>
      <c r="S182" s="81">
        <f>IF(G182="","",ABS(O182-Components!$C$5)/Components!$D$5)</f>
        <v>70.003167164788053</v>
      </c>
      <c r="T182" s="81">
        <f>IF(G182="","",ABS(O182-Components!$C$6)/Components!$D$6)</f>
        <v>59.515864581024026</v>
      </c>
      <c r="U182" s="81">
        <f>IF(G182="","",ABS(O182-Components!$C$7)/Components!$D$7)</f>
        <v>56.696571750485255</v>
      </c>
      <c r="V182" s="81" t="str">
        <f>IF(G182="","",IF(M182="OK","NONE",INDEX({"S1","S2","W1","W2","N1","N2"},MATCH(MIN(P182:U182),P182:U182,0))))</f>
        <v>S1</v>
      </c>
      <c r="W182" s="117">
        <f t="shared" si="21"/>
        <v>1</v>
      </c>
      <c r="X182" s="107"/>
    </row>
    <row r="183" spans="1:24">
      <c r="A183" s="115">
        <v>181</v>
      </c>
      <c r="B183" s="116">
        <v>7</v>
      </c>
      <c r="C183" s="81" t="s">
        <v>130</v>
      </c>
      <c r="D183" s="111" t="s">
        <v>240</v>
      </c>
      <c r="E183" s="81" t="s">
        <v>104</v>
      </c>
      <c r="F183" s="52">
        <v>7.99</v>
      </c>
      <c r="G183" s="52">
        <f t="shared" si="15"/>
        <v>8.9600000000000009</v>
      </c>
      <c r="H183" s="110"/>
      <c r="I183" s="81">
        <v>9.91</v>
      </c>
      <c r="J183" s="81">
        <f>VLOOKUP(C183,Recipes!$A$2:$N$4,12,FALSE())</f>
        <v>5.0137397426368718E-2</v>
      </c>
      <c r="K183" s="81">
        <f t="shared" si="16"/>
        <v>9.7595878077208944</v>
      </c>
      <c r="L183" s="81">
        <f t="shared" si="17"/>
        <v>10.060412192279106</v>
      </c>
      <c r="M183" s="81" t="str">
        <f t="shared" si="18"/>
        <v>NG</v>
      </c>
      <c r="N183" s="117">
        <f t="shared" si="19"/>
        <v>1</v>
      </c>
      <c r="O183" s="81">
        <f t="shared" si="20"/>
        <v>0.94999999999999929</v>
      </c>
      <c r="P183" s="81">
        <f>IF(G183="","",ABS(O183-Components!$C$2)/Components!$D$2)</f>
        <v>272.86249027027162</v>
      </c>
      <c r="Q183" s="81">
        <f>IF(G183="","",ABS(O183-Components!$C$3)/Components!$D$3)</f>
        <v>223.67908721642326</v>
      </c>
      <c r="R183" s="81">
        <f>IF(G183="","",ABS(O183-Components!$C$4)/Components!$D$4)</f>
        <v>3.0999683742852611</v>
      </c>
      <c r="S183" s="81">
        <f>IF(G183="","",ABS(O183-Components!$C$5)/Components!$D$5)</f>
        <v>143.47472120498725</v>
      </c>
      <c r="T183" s="81">
        <f>IF(G183="","",ABS(O183-Components!$C$6)/Components!$D$6)</f>
        <v>7.4440073883017623</v>
      </c>
      <c r="U183" s="81">
        <f>IF(G183="","",ABS(O183-Components!$C$7)/Components!$D$7)</f>
        <v>16.875084367165559</v>
      </c>
      <c r="V183" s="81" t="str">
        <f>IF(G183="","",IF(M183="OK","NONE",INDEX({"S1","S2","W1","W2","N1","N2"},MATCH(MIN(P183:U183),P183:U183,0))))</f>
        <v>W1</v>
      </c>
      <c r="W183" s="117">
        <f t="shared" si="21"/>
        <v>1</v>
      </c>
      <c r="X183" s="107"/>
    </row>
    <row r="184" spans="1:24">
      <c r="A184" s="115">
        <v>182</v>
      </c>
      <c r="B184" s="116">
        <v>7</v>
      </c>
      <c r="C184" s="81" t="s">
        <v>130</v>
      </c>
      <c r="D184" s="111" t="s">
        <v>240</v>
      </c>
      <c r="E184" s="81" t="s">
        <v>104</v>
      </c>
      <c r="F184" s="52">
        <v>7.97</v>
      </c>
      <c r="G184" s="52">
        <f t="shared" si="15"/>
        <v>8.94</v>
      </c>
      <c r="H184" s="110"/>
      <c r="I184" s="81">
        <v>9.91</v>
      </c>
      <c r="J184" s="81">
        <f>VLOOKUP(C184,Recipes!$A$2:$N$4,12,FALSE())</f>
        <v>5.0137397426368718E-2</v>
      </c>
      <c r="K184" s="81">
        <f t="shared" si="16"/>
        <v>9.7595878077208944</v>
      </c>
      <c r="L184" s="81">
        <f t="shared" si="17"/>
        <v>10.060412192279106</v>
      </c>
      <c r="M184" s="81" t="str">
        <f t="shared" si="18"/>
        <v>NG</v>
      </c>
      <c r="N184" s="117">
        <f t="shared" si="19"/>
        <v>1</v>
      </c>
      <c r="O184" s="81">
        <f t="shared" si="20"/>
        <v>0.97000000000000064</v>
      </c>
      <c r="P184" s="81">
        <f>IF(G184="","",ABS(O184-Components!$C$2)/Components!$D$2)</f>
        <v>269.83628889943662</v>
      </c>
      <c r="Q184" s="81">
        <f>IF(G184="","",ABS(O184-Components!$C$3)/Components!$D$3)</f>
        <v>222.22944958054225</v>
      </c>
      <c r="R184" s="81">
        <f>IF(G184="","",ABS(O184-Components!$C$4)/Components!$D$4)</f>
        <v>1.6692137399996705</v>
      </c>
      <c r="S184" s="81">
        <f>IF(G184="","",ABS(O184-Components!$C$5)/Components!$D$5)</f>
        <v>142.68043413428234</v>
      </c>
      <c r="T184" s="81">
        <f>IF(G184="","",ABS(O184-Components!$C$6)/Components!$D$6)</f>
        <v>6.7201168805252189</v>
      </c>
      <c r="U184" s="81">
        <f>IF(G184="","",ABS(O184-Components!$C$7)/Components!$D$7)</f>
        <v>16.079715111839551</v>
      </c>
      <c r="V184" s="81" t="str">
        <f>IF(G184="","",IF(M184="OK","NONE",INDEX({"S1","S2","W1","W2","N1","N2"},MATCH(MIN(P184:U184),P184:U184,0))))</f>
        <v>W1</v>
      </c>
      <c r="W184" s="117">
        <f t="shared" si="21"/>
        <v>1</v>
      </c>
      <c r="X184" s="107"/>
    </row>
    <row r="185" spans="1:24">
      <c r="A185" s="115">
        <v>183</v>
      </c>
      <c r="B185" s="116">
        <v>7</v>
      </c>
      <c r="C185" s="81" t="s">
        <v>130</v>
      </c>
      <c r="D185" s="111" t="s">
        <v>240</v>
      </c>
      <c r="E185" s="81" t="s">
        <v>104</v>
      </c>
      <c r="F185" s="52">
        <v>7.97</v>
      </c>
      <c r="G185" s="52">
        <f t="shared" si="15"/>
        <v>8.94</v>
      </c>
      <c r="H185" s="110"/>
      <c r="I185" s="81">
        <v>9.91</v>
      </c>
      <c r="J185" s="81">
        <f>VLOOKUP(C185,Recipes!$A$2:$N$4,12,FALSE())</f>
        <v>5.0137397426368718E-2</v>
      </c>
      <c r="K185" s="81">
        <f t="shared" si="16"/>
        <v>9.7595878077208944</v>
      </c>
      <c r="L185" s="81">
        <f t="shared" si="17"/>
        <v>10.060412192279106</v>
      </c>
      <c r="M185" s="81" t="str">
        <f t="shared" si="18"/>
        <v>NG</v>
      </c>
      <c r="N185" s="117">
        <f t="shared" si="19"/>
        <v>1</v>
      </c>
      <c r="O185" s="81">
        <f t="shared" si="20"/>
        <v>0.97000000000000064</v>
      </c>
      <c r="P185" s="81">
        <f>IF(G185="","",ABS(O185-Components!$C$2)/Components!$D$2)</f>
        <v>269.83628889943662</v>
      </c>
      <c r="Q185" s="81">
        <f>IF(G185="","",ABS(O185-Components!$C$3)/Components!$D$3)</f>
        <v>222.22944958054225</v>
      </c>
      <c r="R185" s="81">
        <f>IF(G185="","",ABS(O185-Components!$C$4)/Components!$D$4)</f>
        <v>1.6692137399996705</v>
      </c>
      <c r="S185" s="81">
        <f>IF(G185="","",ABS(O185-Components!$C$5)/Components!$D$5)</f>
        <v>142.68043413428234</v>
      </c>
      <c r="T185" s="81">
        <f>IF(G185="","",ABS(O185-Components!$C$6)/Components!$D$6)</f>
        <v>6.7201168805252189</v>
      </c>
      <c r="U185" s="81">
        <f>IF(G185="","",ABS(O185-Components!$C$7)/Components!$D$7)</f>
        <v>16.079715111839551</v>
      </c>
      <c r="V185" s="81" t="str">
        <f>IF(G185="","",IF(M185="OK","NONE",INDEX({"S1","S2","W1","W2","N1","N2"},MATCH(MIN(P185:U185),P185:U185,0))))</f>
        <v>W1</v>
      </c>
      <c r="W185" s="117">
        <f t="shared" si="21"/>
        <v>1</v>
      </c>
      <c r="X185" s="107"/>
    </row>
    <row r="186" spans="1:24">
      <c r="A186" s="115">
        <v>184</v>
      </c>
      <c r="B186" s="116">
        <v>7</v>
      </c>
      <c r="C186" s="81" t="s">
        <v>130</v>
      </c>
      <c r="D186" s="111" t="s">
        <v>240</v>
      </c>
      <c r="E186" s="81" t="s">
        <v>104</v>
      </c>
      <c r="F186" s="52">
        <v>7.94</v>
      </c>
      <c r="G186" s="52">
        <f t="shared" si="15"/>
        <v>8.91</v>
      </c>
      <c r="H186" s="110"/>
      <c r="I186" s="81">
        <v>9.91</v>
      </c>
      <c r="J186" s="81">
        <f>VLOOKUP(C186,Recipes!$A$2:$N$4,12,FALSE())</f>
        <v>5.0137397426368718E-2</v>
      </c>
      <c r="K186" s="81">
        <f t="shared" si="16"/>
        <v>9.7595878077208944</v>
      </c>
      <c r="L186" s="81">
        <f t="shared" si="17"/>
        <v>10.060412192279106</v>
      </c>
      <c r="M186" s="81" t="str">
        <f t="shared" si="18"/>
        <v>NG</v>
      </c>
      <c r="N186" s="117">
        <f t="shared" si="19"/>
        <v>1</v>
      </c>
      <c r="O186" s="81">
        <f t="shared" si="20"/>
        <v>1</v>
      </c>
      <c r="P186" s="81">
        <f>IF(G186="","",ABS(O186-Components!$C$2)/Components!$D$2)</f>
        <v>265.29698684318447</v>
      </c>
      <c r="Q186" s="81">
        <f>IF(G186="","",ABS(O186-Components!$C$3)/Components!$D$3)</f>
        <v>220.05499312672094</v>
      </c>
      <c r="R186" s="81">
        <f>IF(G186="","",ABS(O186-Components!$C$4)/Components!$D$4)</f>
        <v>0.47691821142852492</v>
      </c>
      <c r="S186" s="81">
        <f>IF(G186="","",ABS(O186-Components!$C$5)/Components!$D$5)</f>
        <v>141.48900352822508</v>
      </c>
      <c r="T186" s="81">
        <f>IF(G186="","",ABS(O186-Components!$C$6)/Components!$D$6)</f>
        <v>5.6342811188605006</v>
      </c>
      <c r="U186" s="81">
        <f>IF(G186="","",ABS(O186-Components!$C$7)/Components!$D$7)</f>
        <v>14.886661228850645</v>
      </c>
      <c r="V186" s="81" t="str">
        <f>IF(G186="","",IF(M186="OK","NONE",INDEX({"S1","S2","W1","W2","N1","N2"},MATCH(MIN(P186:U186),P186:U186,0))))</f>
        <v>W1</v>
      </c>
      <c r="W186" s="117">
        <f t="shared" si="21"/>
        <v>1</v>
      </c>
      <c r="X186" s="107"/>
    </row>
    <row r="187" spans="1:24">
      <c r="A187" s="115">
        <v>185</v>
      </c>
      <c r="B187" s="116">
        <v>7</v>
      </c>
      <c r="C187" s="61" t="s">
        <v>130</v>
      </c>
      <c r="D187" s="61" t="s">
        <v>240</v>
      </c>
      <c r="E187" s="61" t="s">
        <v>104</v>
      </c>
      <c r="F187" s="61">
        <v>7.96</v>
      </c>
      <c r="G187" s="52">
        <f t="shared" si="15"/>
        <v>8.93</v>
      </c>
      <c r="H187" s="110"/>
      <c r="I187" s="81">
        <v>9.91</v>
      </c>
      <c r="J187" s="81">
        <f>VLOOKUP(C187,Recipes!$A$2:$N$4,12,FALSE())</f>
        <v>5.0137397426368718E-2</v>
      </c>
      <c r="K187" s="81">
        <f t="shared" si="16"/>
        <v>9.7595878077208944</v>
      </c>
      <c r="L187" s="81">
        <f t="shared" si="17"/>
        <v>10.060412192279106</v>
      </c>
      <c r="M187" s="81" t="str">
        <f t="shared" si="18"/>
        <v>NG</v>
      </c>
      <c r="N187" s="117">
        <f t="shared" si="19"/>
        <v>1</v>
      </c>
      <c r="O187" s="81">
        <f t="shared" si="20"/>
        <v>0.98000000000000043</v>
      </c>
      <c r="P187" s="81">
        <f>IF(G187="","",ABS(O187-Components!$C$2)/Components!$D$2)</f>
        <v>268.32318821401924</v>
      </c>
      <c r="Q187" s="81">
        <f>IF(G187="","",ABS(O187-Components!$C$3)/Components!$D$3)</f>
        <v>221.50463076260183</v>
      </c>
      <c r="R187" s="81">
        <f>IF(G187="","",ABS(O187-Components!$C$4)/Components!$D$4)</f>
        <v>0.9538364228569387</v>
      </c>
      <c r="S187" s="81">
        <f>IF(G187="","",ABS(O187-Components!$C$5)/Components!$D$5)</f>
        <v>142.28329059892994</v>
      </c>
      <c r="T187" s="81">
        <f>IF(G187="","",ABS(O187-Components!$C$6)/Components!$D$6)</f>
        <v>6.3581716266369792</v>
      </c>
      <c r="U187" s="81">
        <f>IF(G187="","",ABS(O187-Components!$C$7)/Components!$D$7)</f>
        <v>15.682030484176583</v>
      </c>
      <c r="V187" s="81" t="str">
        <f>IF(G187="","",IF(M187="OK","NONE",INDEX({"S1","S2","W1","W2","N1","N2"},MATCH(MIN(P187:U187),P187:U187,0))))</f>
        <v>W1</v>
      </c>
      <c r="W187" s="117">
        <f t="shared" si="21"/>
        <v>1</v>
      </c>
      <c r="X187" s="107"/>
    </row>
    <row r="188" spans="1:24">
      <c r="A188" s="115">
        <v>186</v>
      </c>
      <c r="B188" s="116">
        <v>7</v>
      </c>
      <c r="C188" s="81" t="s">
        <v>130</v>
      </c>
      <c r="D188" s="111" t="s">
        <v>240</v>
      </c>
      <c r="E188" s="81" t="s">
        <v>104</v>
      </c>
      <c r="F188" s="61">
        <v>8.02</v>
      </c>
      <c r="G188" s="52">
        <f t="shared" si="15"/>
        <v>8.99</v>
      </c>
      <c r="H188" s="110"/>
      <c r="I188" s="81">
        <v>9.91</v>
      </c>
      <c r="J188" s="81">
        <f>VLOOKUP(C188,Recipes!$A$2:$N$4,12,FALSE())</f>
        <v>5.0137397426368718E-2</v>
      </c>
      <c r="K188" s="81">
        <f t="shared" si="16"/>
        <v>9.7595878077208944</v>
      </c>
      <c r="L188" s="81">
        <f t="shared" si="17"/>
        <v>10.060412192279106</v>
      </c>
      <c r="M188" s="81" t="str">
        <f t="shared" si="18"/>
        <v>NG</v>
      </c>
      <c r="N188" s="117">
        <f t="shared" si="19"/>
        <v>1</v>
      </c>
      <c r="O188" s="81">
        <f t="shared" si="20"/>
        <v>0.91999999999999993</v>
      </c>
      <c r="P188" s="81">
        <f>IF(G188="","",ABS(O188-Components!$C$2)/Components!$D$2)</f>
        <v>277.40179232652372</v>
      </c>
      <c r="Q188" s="81">
        <f>IF(G188="","",ABS(O188-Components!$C$3)/Components!$D$3)</f>
        <v>225.85354367024456</v>
      </c>
      <c r="R188" s="81">
        <f>IF(G188="","",ABS(O188-Components!$C$4)/Components!$D$4)</f>
        <v>5.2461003257134564</v>
      </c>
      <c r="S188" s="81">
        <f>IF(G188="","",ABS(O188-Components!$C$5)/Components!$D$5)</f>
        <v>144.6661518110445</v>
      </c>
      <c r="T188" s="81">
        <f>IF(G188="","",ABS(O188-Components!$C$6)/Components!$D$6)</f>
        <v>8.5298431499664815</v>
      </c>
      <c r="U188" s="81">
        <f>IF(G188="","",ABS(O188-Components!$C$7)/Components!$D$7)</f>
        <v>18.068138250154465</v>
      </c>
      <c r="V188" s="81" t="str">
        <f>IF(G188="","",IF(M188="OK","NONE",INDEX({"S1","S2","W1","W2","N1","N2"},MATCH(MIN(P188:U188),P188:U188,0))))</f>
        <v>W1</v>
      </c>
      <c r="W188" s="117">
        <f t="shared" si="21"/>
        <v>1</v>
      </c>
      <c r="X188" s="107"/>
    </row>
    <row r="189" spans="1:24">
      <c r="A189" s="115">
        <v>187</v>
      </c>
      <c r="B189" s="116">
        <v>7</v>
      </c>
      <c r="C189" s="81" t="s">
        <v>130</v>
      </c>
      <c r="D189" s="111" t="s">
        <v>240</v>
      </c>
      <c r="E189" s="81" t="s">
        <v>104</v>
      </c>
      <c r="F189" s="61">
        <v>8.07</v>
      </c>
      <c r="G189" s="52">
        <f t="shared" si="15"/>
        <v>9.0400000000000009</v>
      </c>
      <c r="H189" s="110"/>
      <c r="I189" s="81">
        <v>9.91</v>
      </c>
      <c r="J189" s="81">
        <f>VLOOKUP(C189,Recipes!$A$2:$N$4,12,FALSE())</f>
        <v>5.0137397426368718E-2</v>
      </c>
      <c r="K189" s="81">
        <f t="shared" si="16"/>
        <v>9.7595878077208944</v>
      </c>
      <c r="L189" s="81">
        <f t="shared" si="17"/>
        <v>10.060412192279106</v>
      </c>
      <c r="M189" s="81" t="str">
        <f t="shared" si="18"/>
        <v>NG</v>
      </c>
      <c r="N189" s="117">
        <f t="shared" si="19"/>
        <v>1</v>
      </c>
      <c r="O189" s="81">
        <f t="shared" si="20"/>
        <v>0.86999999999999922</v>
      </c>
      <c r="P189" s="81">
        <f>IF(G189="","",ABS(O189-Components!$C$2)/Components!$D$2)</f>
        <v>284.96729575361087</v>
      </c>
      <c r="Q189" s="81">
        <f>IF(G189="","",ABS(O189-Components!$C$3)/Components!$D$3)</f>
        <v>229.47763775994687</v>
      </c>
      <c r="R189" s="81">
        <f>IF(G189="","",ABS(O189-Components!$C$4)/Components!$D$4)</f>
        <v>8.8229869114272432</v>
      </c>
      <c r="S189" s="81">
        <f>IF(G189="","",ABS(O189-Components!$C$5)/Components!$D$5)</f>
        <v>146.65186948780666</v>
      </c>
      <c r="T189" s="81">
        <f>IF(G189="","",ABS(O189-Components!$C$6)/Components!$D$6)</f>
        <v>10.339569419407743</v>
      </c>
      <c r="U189" s="81">
        <f>IF(G189="","",ABS(O189-Components!$C$7)/Components!$D$7)</f>
        <v>20.05656138846938</v>
      </c>
      <c r="V189" s="81" t="str">
        <f>IF(G189="","",IF(M189="OK","NONE",INDEX({"S1","S2","W1","W2","N1","N2"},MATCH(MIN(P189:U189),P189:U189,0))))</f>
        <v>W1</v>
      </c>
      <c r="W189" s="117">
        <f t="shared" si="21"/>
        <v>1</v>
      </c>
      <c r="X189" s="107"/>
    </row>
    <row r="190" spans="1:24">
      <c r="A190" s="115">
        <v>188</v>
      </c>
      <c r="B190" s="116">
        <v>7</v>
      </c>
      <c r="C190" s="81" t="s">
        <v>130</v>
      </c>
      <c r="D190" s="111" t="s">
        <v>240</v>
      </c>
      <c r="E190" s="81" t="s">
        <v>104</v>
      </c>
      <c r="F190" s="61">
        <v>7.89</v>
      </c>
      <c r="G190" s="52">
        <f t="shared" si="15"/>
        <v>8.86</v>
      </c>
      <c r="H190" s="110"/>
      <c r="I190" s="81">
        <v>9.91</v>
      </c>
      <c r="J190" s="81">
        <f>VLOOKUP(C190,Recipes!$A$2:$N$4,12,FALSE())</f>
        <v>5.0137397426368718E-2</v>
      </c>
      <c r="K190" s="81">
        <f t="shared" si="16"/>
        <v>9.7595878077208944</v>
      </c>
      <c r="L190" s="81">
        <f t="shared" si="17"/>
        <v>10.060412192279106</v>
      </c>
      <c r="M190" s="81" t="str">
        <f t="shared" si="18"/>
        <v>NG</v>
      </c>
      <c r="N190" s="117">
        <f t="shared" si="19"/>
        <v>1</v>
      </c>
      <c r="O190" s="81">
        <f t="shared" si="20"/>
        <v>1.0500000000000007</v>
      </c>
      <c r="P190" s="81">
        <f>IF(G190="","",ABS(O190-Components!$C$2)/Components!$D$2)</f>
        <v>257.73148341609738</v>
      </c>
      <c r="Q190" s="81">
        <f>IF(G190="","",ABS(O190-Components!$C$3)/Components!$D$3)</f>
        <v>216.43089903701863</v>
      </c>
      <c r="R190" s="81">
        <f>IF(G190="","",ABS(O190-Components!$C$4)/Components!$D$4)</f>
        <v>4.0538047971423108</v>
      </c>
      <c r="S190" s="81">
        <f>IF(G190="","",ABS(O190-Components!$C$5)/Components!$D$5)</f>
        <v>139.50328585146292</v>
      </c>
      <c r="T190" s="81">
        <f>IF(G190="","",ABS(O190-Components!$C$6)/Components!$D$6)</f>
        <v>3.8245548494192385</v>
      </c>
      <c r="U190" s="81">
        <f>IF(G190="","",ABS(O190-Components!$C$7)/Components!$D$7)</f>
        <v>12.898238090535733</v>
      </c>
      <c r="V190" s="81" t="str">
        <f>IF(G190="","",IF(M190="OK","NONE",INDEX({"S1","S2","W1","W2","N1","N2"},MATCH(MIN(P190:U190),P190:U190,0))))</f>
        <v>N1</v>
      </c>
      <c r="W190" s="122">
        <f t="shared" si="21"/>
        <v>0</v>
      </c>
      <c r="X190" s="107"/>
    </row>
    <row r="191" spans="1:24">
      <c r="A191" s="115">
        <v>189</v>
      </c>
      <c r="B191" s="116">
        <v>7</v>
      </c>
      <c r="C191" s="81" t="s">
        <v>130</v>
      </c>
      <c r="D191" s="111" t="s">
        <v>240</v>
      </c>
      <c r="E191" s="81" t="s">
        <v>104</v>
      </c>
      <c r="F191" s="61">
        <v>7.91</v>
      </c>
      <c r="G191" s="52">
        <f t="shared" si="15"/>
        <v>8.8800000000000008</v>
      </c>
      <c r="H191" s="110"/>
      <c r="I191" s="81">
        <v>9.91</v>
      </c>
      <c r="J191" s="81">
        <f>VLOOKUP(C191,Recipes!$A$2:$N$4,12,FALSE())</f>
        <v>5.0137397426368718E-2</v>
      </c>
      <c r="K191" s="81">
        <f t="shared" si="16"/>
        <v>9.7595878077208944</v>
      </c>
      <c r="L191" s="81">
        <f t="shared" si="17"/>
        <v>10.060412192279106</v>
      </c>
      <c r="M191" s="81" t="str">
        <f t="shared" si="18"/>
        <v>NG</v>
      </c>
      <c r="N191" s="117">
        <f t="shared" si="19"/>
        <v>1</v>
      </c>
      <c r="O191" s="81">
        <f t="shared" si="20"/>
        <v>1.0299999999999994</v>
      </c>
      <c r="P191" s="81">
        <f>IF(G191="","",ABS(O191-Components!$C$2)/Components!$D$2)</f>
        <v>260.75768478693237</v>
      </c>
      <c r="Q191" s="81">
        <f>IF(G191="","",ABS(O191-Components!$C$3)/Components!$D$3)</f>
        <v>217.88053667289964</v>
      </c>
      <c r="R191" s="81">
        <f>IF(G191="","",ABS(O191-Components!$C$4)/Components!$D$4)</f>
        <v>2.6230501628567202</v>
      </c>
      <c r="S191" s="81">
        <f>IF(G191="","",ABS(O191-Components!$C$5)/Components!$D$5)</f>
        <v>140.29757292216783</v>
      </c>
      <c r="T191" s="81">
        <f>IF(G191="","",ABS(O191-Components!$C$6)/Components!$D$6)</f>
        <v>4.5484453571957824</v>
      </c>
      <c r="U191" s="81">
        <f>IF(G191="","",ABS(O191-Components!$C$7)/Components!$D$7)</f>
        <v>13.693607345861739</v>
      </c>
      <c r="V191" s="81" t="str">
        <f>IF(G191="","",IF(M191="OK","NONE",INDEX({"S1","S2","W1","W2","N1","N2"},MATCH(MIN(P191:U191),P191:U191,0))))</f>
        <v>W1</v>
      </c>
      <c r="W191" s="117">
        <f t="shared" si="21"/>
        <v>1</v>
      </c>
      <c r="X191" s="107"/>
    </row>
    <row r="192" spans="1:24">
      <c r="A192" s="115">
        <v>190</v>
      </c>
      <c r="B192" s="116">
        <v>7</v>
      </c>
      <c r="C192" s="61" t="s">
        <v>130</v>
      </c>
      <c r="D192" s="61" t="s">
        <v>240</v>
      </c>
      <c r="E192" s="61" t="s">
        <v>104</v>
      </c>
      <c r="F192" s="61">
        <v>7.95</v>
      </c>
      <c r="G192" s="52">
        <f t="shared" si="15"/>
        <v>8.92</v>
      </c>
      <c r="H192" s="110"/>
      <c r="I192" s="81">
        <v>9.91</v>
      </c>
      <c r="J192" s="81">
        <f>VLOOKUP(C192,Recipes!$A$2:$N$4,12,FALSE())</f>
        <v>5.0137397426368718E-2</v>
      </c>
      <c r="K192" s="81">
        <f t="shared" si="16"/>
        <v>9.7595878077208944</v>
      </c>
      <c r="L192" s="81">
        <f t="shared" si="17"/>
        <v>10.060412192279106</v>
      </c>
      <c r="M192" s="81" t="str">
        <f t="shared" si="18"/>
        <v>NG</v>
      </c>
      <c r="N192" s="117">
        <f t="shared" si="19"/>
        <v>1</v>
      </c>
      <c r="O192" s="81">
        <f t="shared" si="20"/>
        <v>0.99000000000000021</v>
      </c>
      <c r="P192" s="81">
        <f>IF(G192="","",ABS(O192-Components!$C$2)/Components!$D$2)</f>
        <v>266.81008752860185</v>
      </c>
      <c r="Q192" s="81">
        <f>IF(G192="","",ABS(O192-Components!$C$3)/Components!$D$3)</f>
        <v>220.77981194466139</v>
      </c>
      <c r="R192" s="81">
        <f>IF(G192="","",ABS(O192-Components!$C$4)/Components!$D$4)</f>
        <v>0.23845910571420686</v>
      </c>
      <c r="S192" s="81">
        <f>IF(G192="","",ABS(O192-Components!$C$5)/Components!$D$5)</f>
        <v>141.88614706357751</v>
      </c>
      <c r="T192" s="81">
        <f>IF(G192="","",ABS(O192-Components!$C$6)/Components!$D$6)</f>
        <v>5.9962263727487395</v>
      </c>
      <c r="U192" s="81">
        <f>IF(G192="","",ABS(O192-Components!$C$7)/Components!$D$7)</f>
        <v>15.284345856513614</v>
      </c>
      <c r="V192" s="81" t="str">
        <f>IF(G192="","",IF(M192="OK","NONE",INDEX({"S1","S2","W1","W2","N1","N2"},MATCH(MIN(P192:U192),P192:U192,0))))</f>
        <v>W1</v>
      </c>
      <c r="W192" s="117">
        <f t="shared" si="21"/>
        <v>1</v>
      </c>
      <c r="X192" s="107"/>
    </row>
    <row r="193" spans="1:24">
      <c r="A193" s="115">
        <v>191</v>
      </c>
      <c r="B193" s="116">
        <v>7</v>
      </c>
      <c r="C193" s="81" t="s">
        <v>130</v>
      </c>
      <c r="D193" s="111" t="s">
        <v>240</v>
      </c>
      <c r="E193" s="81" t="s">
        <v>104</v>
      </c>
      <c r="F193" s="61">
        <v>7.95</v>
      </c>
      <c r="G193" s="52">
        <f t="shared" si="15"/>
        <v>8.92</v>
      </c>
      <c r="H193" s="110"/>
      <c r="I193" s="81">
        <v>9.91</v>
      </c>
      <c r="J193" s="81">
        <f>VLOOKUP(C193,Recipes!$A$2:$N$4,12,FALSE())</f>
        <v>5.0137397426368718E-2</v>
      </c>
      <c r="K193" s="81">
        <f t="shared" si="16"/>
        <v>9.7595878077208944</v>
      </c>
      <c r="L193" s="81">
        <f t="shared" si="17"/>
        <v>10.060412192279106</v>
      </c>
      <c r="M193" s="81" t="str">
        <f t="shared" si="18"/>
        <v>NG</v>
      </c>
      <c r="N193" s="117">
        <f t="shared" si="19"/>
        <v>1</v>
      </c>
      <c r="O193" s="81">
        <f t="shared" si="20"/>
        <v>0.99000000000000021</v>
      </c>
      <c r="P193" s="81">
        <f>IF(G193="","",ABS(O193-Components!$C$2)/Components!$D$2)</f>
        <v>266.81008752860185</v>
      </c>
      <c r="Q193" s="81">
        <f>IF(G193="","",ABS(O193-Components!$C$3)/Components!$D$3)</f>
        <v>220.77981194466139</v>
      </c>
      <c r="R193" s="81">
        <f>IF(G193="","",ABS(O193-Components!$C$4)/Components!$D$4)</f>
        <v>0.23845910571420686</v>
      </c>
      <c r="S193" s="81">
        <f>IF(G193="","",ABS(O193-Components!$C$5)/Components!$D$5)</f>
        <v>141.88614706357751</v>
      </c>
      <c r="T193" s="81">
        <f>IF(G193="","",ABS(O193-Components!$C$6)/Components!$D$6)</f>
        <v>5.9962263727487395</v>
      </c>
      <c r="U193" s="81">
        <f>IF(G193="","",ABS(O193-Components!$C$7)/Components!$D$7)</f>
        <v>15.284345856513614</v>
      </c>
      <c r="V193" s="81" t="str">
        <f>IF(G193="","",IF(M193="OK","NONE",INDEX({"S1","S2","W1","W2","N1","N2"},MATCH(MIN(P193:U193),P193:U193,0))))</f>
        <v>W1</v>
      </c>
      <c r="W193" s="117">
        <f t="shared" si="21"/>
        <v>1</v>
      </c>
      <c r="X193" s="107"/>
    </row>
    <row r="194" spans="1:24">
      <c r="A194" s="115">
        <v>192</v>
      </c>
      <c r="B194" s="116">
        <v>7</v>
      </c>
      <c r="C194" s="81" t="s">
        <v>130</v>
      </c>
      <c r="D194" s="111" t="s">
        <v>240</v>
      </c>
      <c r="E194" s="81" t="s">
        <v>104</v>
      </c>
      <c r="F194" s="61">
        <v>7.9</v>
      </c>
      <c r="G194" s="52">
        <f t="shared" si="15"/>
        <v>8.870000000000001</v>
      </c>
      <c r="H194" s="110"/>
      <c r="I194" s="81">
        <v>9.91</v>
      </c>
      <c r="J194" s="81">
        <f>VLOOKUP(C194,Recipes!$A$2:$N$4,12,FALSE())</f>
        <v>5.0137397426368718E-2</v>
      </c>
      <c r="K194" s="81">
        <f t="shared" si="16"/>
        <v>9.7595878077208944</v>
      </c>
      <c r="L194" s="81">
        <f t="shared" si="17"/>
        <v>10.060412192279106</v>
      </c>
      <c r="M194" s="81" t="str">
        <f t="shared" si="18"/>
        <v>NG</v>
      </c>
      <c r="N194" s="117">
        <f t="shared" si="19"/>
        <v>1</v>
      </c>
      <c r="O194" s="81">
        <f t="shared" si="20"/>
        <v>1.0399999999999991</v>
      </c>
      <c r="P194" s="81">
        <f>IF(G194="","",ABS(O194-Components!$C$2)/Components!$D$2)</f>
        <v>259.24458410151499</v>
      </c>
      <c r="Q194" s="81">
        <f>IF(G194="","",ABS(O194-Components!$C$3)/Components!$D$3)</f>
        <v>217.15571785495922</v>
      </c>
      <c r="R194" s="81">
        <f>IF(G194="","",ABS(O194-Components!$C$4)/Components!$D$4)</f>
        <v>3.338427479999452</v>
      </c>
      <c r="S194" s="81">
        <f>IF(G194="","",ABS(O194-Components!$C$5)/Components!$D$5)</f>
        <v>139.9004293868154</v>
      </c>
      <c r="T194" s="81">
        <f>IF(G194="","",ABS(O194-Components!$C$6)/Components!$D$6)</f>
        <v>4.1865001033075426</v>
      </c>
      <c r="U194" s="81">
        <f>IF(G194="","",ABS(O194-Components!$C$7)/Components!$D$7)</f>
        <v>13.295922718198771</v>
      </c>
      <c r="V194" s="81" t="str">
        <f>IF(G194="","",IF(M194="OK","NONE",INDEX({"S1","S2","W1","W2","N1","N2"},MATCH(MIN(P194:U194),P194:U194,0))))</f>
        <v>W1</v>
      </c>
      <c r="W194" s="117">
        <f t="shared" si="21"/>
        <v>1</v>
      </c>
      <c r="X194" s="107"/>
    </row>
    <row r="195" spans="1:24">
      <c r="A195" s="115">
        <v>193</v>
      </c>
      <c r="B195" s="116">
        <v>7</v>
      </c>
      <c r="C195" s="81" t="s">
        <v>130</v>
      </c>
      <c r="D195" s="111" t="s">
        <v>240</v>
      </c>
      <c r="E195" s="81" t="s">
        <v>104</v>
      </c>
      <c r="F195" s="61">
        <v>7.91</v>
      </c>
      <c r="G195" s="52">
        <f t="shared" ref="G195:G258" si="22">0.97+F195</f>
        <v>8.8800000000000008</v>
      </c>
      <c r="H195" s="110"/>
      <c r="I195" s="81">
        <v>9.91</v>
      </c>
      <c r="J195" s="81">
        <f>VLOOKUP(C195,Recipes!$A$2:$N$4,12,FALSE())</f>
        <v>5.0137397426368718E-2</v>
      </c>
      <c r="K195" s="81">
        <f t="shared" ref="K195:K258" si="23">I195-3*J195</f>
        <v>9.7595878077208944</v>
      </c>
      <c r="L195" s="81">
        <f t="shared" ref="L195:L258" si="24">I195+3*J195</f>
        <v>10.060412192279106</v>
      </c>
      <c r="M195" s="81" t="str">
        <f t="shared" si="18"/>
        <v>NG</v>
      </c>
      <c r="N195" s="117">
        <f t="shared" si="19"/>
        <v>1</v>
      </c>
      <c r="O195" s="81">
        <f t="shared" si="20"/>
        <v>1.0299999999999994</v>
      </c>
      <c r="P195" s="81">
        <f>IF(G195="","",ABS(O195-Components!$C$2)/Components!$D$2)</f>
        <v>260.75768478693237</v>
      </c>
      <c r="Q195" s="81">
        <f>IF(G195="","",ABS(O195-Components!$C$3)/Components!$D$3)</f>
        <v>217.88053667289964</v>
      </c>
      <c r="R195" s="81">
        <f>IF(G195="","",ABS(O195-Components!$C$4)/Components!$D$4)</f>
        <v>2.6230501628567202</v>
      </c>
      <c r="S195" s="81">
        <f>IF(G195="","",ABS(O195-Components!$C$5)/Components!$D$5)</f>
        <v>140.29757292216783</v>
      </c>
      <c r="T195" s="81">
        <f>IF(G195="","",ABS(O195-Components!$C$6)/Components!$D$6)</f>
        <v>4.5484453571957824</v>
      </c>
      <c r="U195" s="81">
        <f>IF(G195="","",ABS(O195-Components!$C$7)/Components!$D$7)</f>
        <v>13.693607345861739</v>
      </c>
      <c r="V195" s="81" t="str">
        <f>IF(G195="","",IF(M195="OK","NONE",INDEX({"S1","S2","W1","W2","N1","N2"},MATCH(MIN(P195:U195),P195:U195,0))))</f>
        <v>W1</v>
      </c>
      <c r="W195" s="117">
        <f t="shared" si="21"/>
        <v>1</v>
      </c>
      <c r="X195" s="107"/>
    </row>
    <row r="196" spans="1:24">
      <c r="A196" s="115">
        <v>194</v>
      </c>
      <c r="B196" s="116">
        <v>7</v>
      </c>
      <c r="C196" s="81" t="s">
        <v>130</v>
      </c>
      <c r="D196" s="111" t="s">
        <v>240</v>
      </c>
      <c r="E196" s="81" t="s">
        <v>104</v>
      </c>
      <c r="F196" s="61">
        <v>7.98</v>
      </c>
      <c r="G196" s="52">
        <f t="shared" si="22"/>
        <v>8.9500000000000011</v>
      </c>
      <c r="H196" s="110"/>
      <c r="I196" s="81">
        <v>9.91</v>
      </c>
      <c r="J196" s="81">
        <f>VLOOKUP(C196,Recipes!$A$2:$N$4,12,FALSE())</f>
        <v>5.0137397426368718E-2</v>
      </c>
      <c r="K196" s="81">
        <f t="shared" si="23"/>
        <v>9.7595878077208944</v>
      </c>
      <c r="L196" s="81">
        <f t="shared" si="24"/>
        <v>10.060412192279106</v>
      </c>
      <c r="M196" s="81" t="str">
        <f t="shared" ref="M196:M259" si="25">IF(G196="","",IF(AND(G196&gt;=K196,G196&lt;=L196),"OK","NG"))</f>
        <v>NG</v>
      </c>
      <c r="N196" s="117">
        <f t="shared" ref="N196:N259" si="26">IF(M196="","",IF(M196=D196,1,0))</f>
        <v>1</v>
      </c>
      <c r="O196" s="81">
        <f t="shared" ref="O196:O259" si="27">IF(G196="","",I196-G196)</f>
        <v>0.95999999999999908</v>
      </c>
      <c r="P196" s="81">
        <f>IF(G196="","",ABS(O196-Components!$C$2)/Components!$D$2)</f>
        <v>271.34938958485424</v>
      </c>
      <c r="Q196" s="81">
        <f>IF(G196="","",ABS(O196-Components!$C$3)/Components!$D$3)</f>
        <v>222.95426839848284</v>
      </c>
      <c r="R196" s="81">
        <f>IF(G196="","",ABS(O196-Components!$C$4)/Components!$D$4)</f>
        <v>2.3845910571425293</v>
      </c>
      <c r="S196" s="81">
        <f>IF(G196="","",ABS(O196-Components!$C$5)/Components!$D$5)</f>
        <v>143.07757766963482</v>
      </c>
      <c r="T196" s="81">
        <f>IF(G196="","",ABS(O196-Components!$C$6)/Components!$D$6)</f>
        <v>7.0820621344135226</v>
      </c>
      <c r="U196" s="81">
        <f>IF(G196="","",ABS(O196-Components!$C$7)/Components!$D$7)</f>
        <v>16.477399739502591</v>
      </c>
      <c r="V196" s="81" t="str">
        <f>IF(G196="","",IF(M196="OK","NONE",INDEX({"S1","S2","W1","W2","N1","N2"},MATCH(MIN(P196:U196),P196:U196,0))))</f>
        <v>W1</v>
      </c>
      <c r="W196" s="117">
        <f t="shared" ref="W196:W259" si="28">IF(G196="","",IF(V196=E196,1,0))</f>
        <v>1</v>
      </c>
      <c r="X196" s="107"/>
    </row>
    <row r="197" spans="1:24">
      <c r="A197" s="115">
        <v>195</v>
      </c>
      <c r="B197" s="116">
        <v>7</v>
      </c>
      <c r="C197" s="61" t="s">
        <v>130</v>
      </c>
      <c r="D197" s="61" t="s">
        <v>240</v>
      </c>
      <c r="E197" s="61" t="s">
        <v>104</v>
      </c>
      <c r="F197" s="61">
        <v>7.95</v>
      </c>
      <c r="G197" s="52">
        <f t="shared" si="22"/>
        <v>8.92</v>
      </c>
      <c r="H197" s="110"/>
      <c r="I197" s="81">
        <v>9.91</v>
      </c>
      <c r="J197" s="81">
        <f>VLOOKUP(C197,Recipes!$A$2:$N$4,12,FALSE())</f>
        <v>5.0137397426368718E-2</v>
      </c>
      <c r="K197" s="81">
        <f t="shared" si="23"/>
        <v>9.7595878077208944</v>
      </c>
      <c r="L197" s="81">
        <f t="shared" si="24"/>
        <v>10.060412192279106</v>
      </c>
      <c r="M197" s="81" t="str">
        <f t="shared" si="25"/>
        <v>NG</v>
      </c>
      <c r="N197" s="117">
        <f t="shared" si="26"/>
        <v>1</v>
      </c>
      <c r="O197" s="81">
        <f t="shared" si="27"/>
        <v>0.99000000000000021</v>
      </c>
      <c r="P197" s="81">
        <f>IF(G197="","",ABS(O197-Components!$C$2)/Components!$D$2)</f>
        <v>266.81008752860185</v>
      </c>
      <c r="Q197" s="81">
        <f>IF(G197="","",ABS(O197-Components!$C$3)/Components!$D$3)</f>
        <v>220.77981194466139</v>
      </c>
      <c r="R197" s="81">
        <f>IF(G197="","",ABS(O197-Components!$C$4)/Components!$D$4)</f>
        <v>0.23845910571420686</v>
      </c>
      <c r="S197" s="81">
        <f>IF(G197="","",ABS(O197-Components!$C$5)/Components!$D$5)</f>
        <v>141.88614706357751</v>
      </c>
      <c r="T197" s="81">
        <f>IF(G197="","",ABS(O197-Components!$C$6)/Components!$D$6)</f>
        <v>5.9962263727487395</v>
      </c>
      <c r="U197" s="81">
        <f>IF(G197="","",ABS(O197-Components!$C$7)/Components!$D$7)</f>
        <v>15.284345856513614</v>
      </c>
      <c r="V197" s="81" t="str">
        <f>IF(G197="","",IF(M197="OK","NONE",INDEX({"S1","S2","W1","W2","N1","N2"},MATCH(MIN(P197:U197),P197:U197,0))))</f>
        <v>W1</v>
      </c>
      <c r="W197" s="117">
        <f t="shared" si="28"/>
        <v>1</v>
      </c>
      <c r="X197" s="107"/>
    </row>
    <row r="198" spans="1:24">
      <c r="A198" s="115">
        <v>196</v>
      </c>
      <c r="B198" s="116">
        <v>7</v>
      </c>
      <c r="C198" s="81" t="s">
        <v>130</v>
      </c>
      <c r="D198" s="111" t="s">
        <v>240</v>
      </c>
      <c r="E198" s="81" t="s">
        <v>104</v>
      </c>
      <c r="F198" s="61">
        <v>7.9640000000000004</v>
      </c>
      <c r="G198" s="52">
        <f t="shared" si="22"/>
        <v>8.9340000000000011</v>
      </c>
      <c r="H198" s="110"/>
      <c r="I198" s="81">
        <v>9.91</v>
      </c>
      <c r="J198" s="81">
        <f>VLOOKUP(C198,Recipes!$A$2:$N$4,12,FALSE())</f>
        <v>5.0137397426368718E-2</v>
      </c>
      <c r="K198" s="81">
        <f t="shared" si="23"/>
        <v>9.7595878077208944</v>
      </c>
      <c r="L198" s="81">
        <f t="shared" si="24"/>
        <v>10.060412192279106</v>
      </c>
      <c r="M198" s="81" t="str">
        <f t="shared" si="25"/>
        <v>NG</v>
      </c>
      <c r="N198" s="117">
        <f t="shared" si="26"/>
        <v>1</v>
      </c>
      <c r="O198" s="81">
        <f t="shared" si="27"/>
        <v>0.97599999999999909</v>
      </c>
      <c r="P198" s="81">
        <f>IF(G198="","",ABS(O198-Components!$C$2)/Components!$D$2)</f>
        <v>268.9284284881864</v>
      </c>
      <c r="Q198" s="81">
        <f>IF(G198="","",ABS(O198-Components!$C$3)/Components!$D$3)</f>
        <v>221.79455828977811</v>
      </c>
      <c r="R198" s="81">
        <f>IF(G198="","",ABS(O198-Components!$C$4)/Components!$D$4)</f>
        <v>1.2399873497141329</v>
      </c>
      <c r="S198" s="81">
        <f>IF(G198="","",ABS(O198-Components!$C$5)/Components!$D$5)</f>
        <v>142.44214801307095</v>
      </c>
      <c r="T198" s="81">
        <f>IF(G198="","",ABS(O198-Components!$C$6)/Components!$D$6)</f>
        <v>6.502949728192327</v>
      </c>
      <c r="U198" s="81">
        <f>IF(G198="","",ABS(O198-Components!$C$7)/Components!$D$7)</f>
        <v>15.841104335241827</v>
      </c>
      <c r="V198" s="81" t="str">
        <f>IF(G198="","",IF(M198="OK","NONE",INDEX({"S1","S2","W1","W2","N1","N2"},MATCH(MIN(P198:U198),P198:U198,0))))</f>
        <v>W1</v>
      </c>
      <c r="W198" s="117">
        <f t="shared" si="28"/>
        <v>1</v>
      </c>
      <c r="X198" s="107"/>
    </row>
    <row r="199" spans="1:24">
      <c r="A199" s="115">
        <v>197</v>
      </c>
      <c r="B199" s="116">
        <v>7</v>
      </c>
      <c r="C199" s="81" t="s">
        <v>130</v>
      </c>
      <c r="D199" s="111" t="s">
        <v>240</v>
      </c>
      <c r="E199" s="81" t="s">
        <v>104</v>
      </c>
      <c r="F199" s="61">
        <v>7.97</v>
      </c>
      <c r="G199" s="52">
        <f t="shared" si="22"/>
        <v>8.94</v>
      </c>
      <c r="H199" s="110"/>
      <c r="I199" s="81">
        <v>9.91</v>
      </c>
      <c r="J199" s="81">
        <f>VLOOKUP(C199,Recipes!$A$2:$N$4,12,FALSE())</f>
        <v>5.0137397426368718E-2</v>
      </c>
      <c r="K199" s="81">
        <f t="shared" si="23"/>
        <v>9.7595878077208944</v>
      </c>
      <c r="L199" s="81">
        <f t="shared" si="24"/>
        <v>10.060412192279106</v>
      </c>
      <c r="M199" s="81" t="str">
        <f t="shared" si="25"/>
        <v>NG</v>
      </c>
      <c r="N199" s="117">
        <f t="shared" si="26"/>
        <v>1</v>
      </c>
      <c r="O199" s="81">
        <f t="shared" si="27"/>
        <v>0.97000000000000064</v>
      </c>
      <c r="P199" s="81">
        <f>IF(G199="","",ABS(O199-Components!$C$2)/Components!$D$2)</f>
        <v>269.83628889943662</v>
      </c>
      <c r="Q199" s="81">
        <f>IF(G199="","",ABS(O199-Components!$C$3)/Components!$D$3)</f>
        <v>222.22944958054225</v>
      </c>
      <c r="R199" s="81">
        <f>IF(G199="","",ABS(O199-Components!$C$4)/Components!$D$4)</f>
        <v>1.6692137399996705</v>
      </c>
      <c r="S199" s="81">
        <f>IF(G199="","",ABS(O199-Components!$C$5)/Components!$D$5)</f>
        <v>142.68043413428234</v>
      </c>
      <c r="T199" s="81">
        <f>IF(G199="","",ABS(O199-Components!$C$6)/Components!$D$6)</f>
        <v>6.7201168805252189</v>
      </c>
      <c r="U199" s="81">
        <f>IF(G199="","",ABS(O199-Components!$C$7)/Components!$D$7)</f>
        <v>16.079715111839551</v>
      </c>
      <c r="V199" s="81" t="str">
        <f>IF(G199="","",IF(M199="OK","NONE",INDEX({"S1","S2","W1","W2","N1","N2"},MATCH(MIN(P199:U199),P199:U199,0))))</f>
        <v>W1</v>
      </c>
      <c r="W199" s="117">
        <f t="shared" si="28"/>
        <v>1</v>
      </c>
      <c r="X199" s="107"/>
    </row>
    <row r="200" spans="1:24">
      <c r="A200" s="115">
        <v>198</v>
      </c>
      <c r="B200" s="116">
        <v>7</v>
      </c>
      <c r="C200" s="81" t="s">
        <v>130</v>
      </c>
      <c r="D200" s="111" t="s">
        <v>240</v>
      </c>
      <c r="E200" s="81" t="s">
        <v>104</v>
      </c>
      <c r="F200" s="61">
        <v>7.91</v>
      </c>
      <c r="G200" s="52">
        <f t="shared" si="22"/>
        <v>8.8800000000000008</v>
      </c>
      <c r="H200" s="110"/>
      <c r="I200" s="81">
        <v>9.91</v>
      </c>
      <c r="J200" s="81">
        <f>VLOOKUP(C200,Recipes!$A$2:$N$4,12,FALSE())</f>
        <v>5.0137397426368718E-2</v>
      </c>
      <c r="K200" s="81">
        <f t="shared" si="23"/>
        <v>9.7595878077208944</v>
      </c>
      <c r="L200" s="81">
        <f t="shared" si="24"/>
        <v>10.060412192279106</v>
      </c>
      <c r="M200" s="81" t="str">
        <f t="shared" si="25"/>
        <v>NG</v>
      </c>
      <c r="N200" s="117">
        <f t="shared" si="26"/>
        <v>1</v>
      </c>
      <c r="O200" s="81">
        <f t="shared" si="27"/>
        <v>1.0299999999999994</v>
      </c>
      <c r="P200" s="81">
        <f>IF(G200="","",ABS(O200-Components!$C$2)/Components!$D$2)</f>
        <v>260.75768478693237</v>
      </c>
      <c r="Q200" s="81">
        <f>IF(G200="","",ABS(O200-Components!$C$3)/Components!$D$3)</f>
        <v>217.88053667289964</v>
      </c>
      <c r="R200" s="81">
        <f>IF(G200="","",ABS(O200-Components!$C$4)/Components!$D$4)</f>
        <v>2.6230501628567202</v>
      </c>
      <c r="S200" s="81">
        <f>IF(G200="","",ABS(O200-Components!$C$5)/Components!$D$5)</f>
        <v>140.29757292216783</v>
      </c>
      <c r="T200" s="81">
        <f>IF(G200="","",ABS(O200-Components!$C$6)/Components!$D$6)</f>
        <v>4.5484453571957824</v>
      </c>
      <c r="U200" s="81">
        <f>IF(G200="","",ABS(O200-Components!$C$7)/Components!$D$7)</f>
        <v>13.693607345861739</v>
      </c>
      <c r="V200" s="81" t="str">
        <f>IF(G200="","",IF(M200="OK","NONE",INDEX({"S1","S2","W1","W2","N1","N2"},MATCH(MIN(P200:U200),P200:U200,0))))</f>
        <v>W1</v>
      </c>
      <c r="W200" s="117">
        <f t="shared" si="28"/>
        <v>1</v>
      </c>
      <c r="X200" s="107"/>
    </row>
    <row r="201" spans="1:24">
      <c r="A201" s="115">
        <v>199</v>
      </c>
      <c r="B201" s="116">
        <v>7</v>
      </c>
      <c r="C201" s="81" t="s">
        <v>130</v>
      </c>
      <c r="D201" s="111" t="s">
        <v>240</v>
      </c>
      <c r="E201" s="81" t="s">
        <v>104</v>
      </c>
      <c r="F201" s="61">
        <v>7.93</v>
      </c>
      <c r="G201" s="52">
        <f t="shared" si="22"/>
        <v>8.9</v>
      </c>
      <c r="H201" s="110"/>
      <c r="I201" s="81">
        <v>9.91</v>
      </c>
      <c r="J201" s="81">
        <f>VLOOKUP(C201,Recipes!$A$2:$N$4,12,FALSE())</f>
        <v>5.0137397426368718E-2</v>
      </c>
      <c r="K201" s="81">
        <f t="shared" si="23"/>
        <v>9.7595878077208944</v>
      </c>
      <c r="L201" s="81">
        <f t="shared" si="24"/>
        <v>10.060412192279106</v>
      </c>
      <c r="M201" s="81" t="str">
        <f t="shared" si="25"/>
        <v>NG</v>
      </c>
      <c r="N201" s="117">
        <f t="shared" si="26"/>
        <v>1</v>
      </c>
      <c r="O201" s="81">
        <f t="shared" si="27"/>
        <v>1.0099999999999998</v>
      </c>
      <c r="P201" s="81">
        <f>IF(G201="","",ABS(O201-Components!$C$2)/Components!$D$2)</f>
        <v>263.78388615776714</v>
      </c>
      <c r="Q201" s="81">
        <f>IF(G201="","",ABS(O201-Components!$C$3)/Components!$D$3)</f>
        <v>219.33017430878053</v>
      </c>
      <c r="R201" s="81">
        <f>IF(G201="","",ABS(O201-Components!$C$4)/Components!$D$4)</f>
        <v>1.1922955285712566</v>
      </c>
      <c r="S201" s="81">
        <f>IF(G201="","",ABS(O201-Components!$C$5)/Components!$D$5)</f>
        <v>141.09185999287266</v>
      </c>
      <c r="T201" s="81">
        <f>IF(G201="","",ABS(O201-Components!$C$6)/Components!$D$6)</f>
        <v>5.2723358649722609</v>
      </c>
      <c r="U201" s="81">
        <f>IF(G201="","",ABS(O201-Components!$C$7)/Components!$D$7)</f>
        <v>14.488976601187677</v>
      </c>
      <c r="V201" s="81" t="str">
        <f>IF(G201="","",IF(M201="OK","NONE",INDEX({"S1","S2","W1","W2","N1","N2"},MATCH(MIN(P201:U201),P201:U201,0))))</f>
        <v>W1</v>
      </c>
      <c r="W201" s="117">
        <f t="shared" si="28"/>
        <v>1</v>
      </c>
      <c r="X201" s="107"/>
    </row>
    <row r="202" spans="1:24">
      <c r="A202" s="115">
        <v>200</v>
      </c>
      <c r="B202" s="116">
        <v>7</v>
      </c>
      <c r="C202" s="61" t="s">
        <v>130</v>
      </c>
      <c r="D202" s="61" t="s">
        <v>240</v>
      </c>
      <c r="E202" s="61" t="s">
        <v>104</v>
      </c>
      <c r="F202" s="61">
        <v>7.94</v>
      </c>
      <c r="G202" s="52">
        <f t="shared" si="22"/>
        <v>8.91</v>
      </c>
      <c r="H202" s="110"/>
      <c r="I202" s="81">
        <v>9.91</v>
      </c>
      <c r="J202" s="81">
        <f>VLOOKUP(C202,Recipes!$A$2:$N$4,12,FALSE())</f>
        <v>5.0137397426368718E-2</v>
      </c>
      <c r="K202" s="81">
        <f t="shared" si="23"/>
        <v>9.7595878077208944</v>
      </c>
      <c r="L202" s="81">
        <f t="shared" si="24"/>
        <v>10.060412192279106</v>
      </c>
      <c r="M202" s="81" t="str">
        <f t="shared" si="25"/>
        <v>NG</v>
      </c>
      <c r="N202" s="117">
        <f t="shared" si="26"/>
        <v>1</v>
      </c>
      <c r="O202" s="81">
        <f t="shared" si="27"/>
        <v>1</v>
      </c>
      <c r="P202" s="81">
        <f>IF(G202="","",ABS(O202-Components!$C$2)/Components!$D$2)</f>
        <v>265.29698684318447</v>
      </c>
      <c r="Q202" s="81">
        <f>IF(G202="","",ABS(O202-Components!$C$3)/Components!$D$3)</f>
        <v>220.05499312672094</v>
      </c>
      <c r="R202" s="81">
        <f>IF(G202="","",ABS(O202-Components!$C$4)/Components!$D$4)</f>
        <v>0.47691821142852492</v>
      </c>
      <c r="S202" s="81">
        <f>IF(G202="","",ABS(O202-Components!$C$5)/Components!$D$5)</f>
        <v>141.48900352822508</v>
      </c>
      <c r="T202" s="81">
        <f>IF(G202="","",ABS(O202-Components!$C$6)/Components!$D$6)</f>
        <v>5.6342811188605006</v>
      </c>
      <c r="U202" s="81">
        <f>IF(G202="","",ABS(O202-Components!$C$7)/Components!$D$7)</f>
        <v>14.886661228850645</v>
      </c>
      <c r="V202" s="81" t="str">
        <f>IF(G202="","",IF(M202="OK","NONE",INDEX({"S1","S2","W1","W2","N1","N2"},MATCH(MIN(P202:U202),P202:U202,0))))</f>
        <v>W1</v>
      </c>
      <c r="W202" s="117">
        <f t="shared" si="28"/>
        <v>1</v>
      </c>
      <c r="X202" s="107"/>
    </row>
    <row r="203" spans="1:24">
      <c r="A203" s="115">
        <v>201</v>
      </c>
      <c r="B203" s="116">
        <v>7</v>
      </c>
      <c r="C203" s="81" t="s">
        <v>130</v>
      </c>
      <c r="D203" s="111" t="s">
        <v>240</v>
      </c>
      <c r="E203" s="81" t="s">
        <v>104</v>
      </c>
      <c r="F203" s="61">
        <v>7.89</v>
      </c>
      <c r="G203" s="52">
        <f t="shared" si="22"/>
        <v>8.86</v>
      </c>
      <c r="H203" s="110"/>
      <c r="I203" s="81">
        <v>9.91</v>
      </c>
      <c r="J203" s="81">
        <f>VLOOKUP(C203,Recipes!$A$2:$N$4,12,FALSE())</f>
        <v>5.0137397426368718E-2</v>
      </c>
      <c r="K203" s="81">
        <f t="shared" si="23"/>
        <v>9.7595878077208944</v>
      </c>
      <c r="L203" s="81">
        <f t="shared" si="24"/>
        <v>10.060412192279106</v>
      </c>
      <c r="M203" s="81" t="str">
        <f t="shared" si="25"/>
        <v>NG</v>
      </c>
      <c r="N203" s="117">
        <f t="shared" si="26"/>
        <v>1</v>
      </c>
      <c r="O203" s="81">
        <f t="shared" si="27"/>
        <v>1.0500000000000007</v>
      </c>
      <c r="P203" s="81">
        <f>IF(G203="","",ABS(O203-Components!$C$2)/Components!$D$2)</f>
        <v>257.73148341609738</v>
      </c>
      <c r="Q203" s="81">
        <f>IF(G203="","",ABS(O203-Components!$C$3)/Components!$D$3)</f>
        <v>216.43089903701863</v>
      </c>
      <c r="R203" s="81">
        <f>IF(G203="","",ABS(O203-Components!$C$4)/Components!$D$4)</f>
        <v>4.0538047971423108</v>
      </c>
      <c r="S203" s="81">
        <f>IF(G203="","",ABS(O203-Components!$C$5)/Components!$D$5)</f>
        <v>139.50328585146292</v>
      </c>
      <c r="T203" s="81">
        <f>IF(G203="","",ABS(O203-Components!$C$6)/Components!$D$6)</f>
        <v>3.8245548494192385</v>
      </c>
      <c r="U203" s="81">
        <f>IF(G203="","",ABS(O203-Components!$C$7)/Components!$D$7)</f>
        <v>12.898238090535733</v>
      </c>
      <c r="V203" s="81" t="str">
        <f>IF(G203="","",IF(M203="OK","NONE",INDEX({"S1","S2","W1","W2","N1","N2"},MATCH(MIN(P203:U203),P203:U203,0))))</f>
        <v>N1</v>
      </c>
      <c r="W203" s="122">
        <f t="shared" si="28"/>
        <v>0</v>
      </c>
      <c r="X203" s="107"/>
    </row>
    <row r="204" spans="1:24">
      <c r="A204" s="115">
        <v>202</v>
      </c>
      <c r="B204" s="116">
        <v>7</v>
      </c>
      <c r="C204" s="81" t="s">
        <v>130</v>
      </c>
      <c r="D204" s="111" t="s">
        <v>240</v>
      </c>
      <c r="E204" s="81" t="s">
        <v>104</v>
      </c>
      <c r="F204" s="61">
        <v>7.95</v>
      </c>
      <c r="G204" s="52">
        <f t="shared" si="22"/>
        <v>8.92</v>
      </c>
      <c r="H204" s="110"/>
      <c r="I204" s="81">
        <v>9.91</v>
      </c>
      <c r="J204" s="81">
        <f>VLOOKUP(C204,Recipes!$A$2:$N$4,12,FALSE())</f>
        <v>5.0137397426368718E-2</v>
      </c>
      <c r="K204" s="81">
        <f t="shared" si="23"/>
        <v>9.7595878077208944</v>
      </c>
      <c r="L204" s="81">
        <f t="shared" si="24"/>
        <v>10.060412192279106</v>
      </c>
      <c r="M204" s="81" t="str">
        <f t="shared" si="25"/>
        <v>NG</v>
      </c>
      <c r="N204" s="117">
        <f t="shared" si="26"/>
        <v>1</v>
      </c>
      <c r="O204" s="81">
        <f t="shared" si="27"/>
        <v>0.99000000000000021</v>
      </c>
      <c r="P204" s="81">
        <f>IF(G204="","",ABS(O204-Components!$C$2)/Components!$D$2)</f>
        <v>266.81008752860185</v>
      </c>
      <c r="Q204" s="81">
        <f>IF(G204="","",ABS(O204-Components!$C$3)/Components!$D$3)</f>
        <v>220.77981194466139</v>
      </c>
      <c r="R204" s="81">
        <f>IF(G204="","",ABS(O204-Components!$C$4)/Components!$D$4)</f>
        <v>0.23845910571420686</v>
      </c>
      <c r="S204" s="81">
        <f>IF(G204="","",ABS(O204-Components!$C$5)/Components!$D$5)</f>
        <v>141.88614706357751</v>
      </c>
      <c r="T204" s="81">
        <f>IF(G204="","",ABS(O204-Components!$C$6)/Components!$D$6)</f>
        <v>5.9962263727487395</v>
      </c>
      <c r="U204" s="81">
        <f>IF(G204="","",ABS(O204-Components!$C$7)/Components!$D$7)</f>
        <v>15.284345856513614</v>
      </c>
      <c r="V204" s="81" t="str">
        <f>IF(G204="","",IF(M204="OK","NONE",INDEX({"S1","S2","W1","W2","N1","N2"},MATCH(MIN(P204:U204),P204:U204,0))))</f>
        <v>W1</v>
      </c>
      <c r="W204" s="117">
        <f t="shared" si="28"/>
        <v>1</v>
      </c>
      <c r="X204" s="107"/>
    </row>
    <row r="205" spans="1:24">
      <c r="A205" s="115">
        <v>203</v>
      </c>
      <c r="B205" s="116">
        <v>7</v>
      </c>
      <c r="C205" s="81" t="s">
        <v>130</v>
      </c>
      <c r="D205" s="111" t="s">
        <v>240</v>
      </c>
      <c r="E205" s="81" t="s">
        <v>104</v>
      </c>
      <c r="F205" s="61">
        <v>7.9</v>
      </c>
      <c r="G205" s="52">
        <f t="shared" si="22"/>
        <v>8.870000000000001</v>
      </c>
      <c r="H205" s="110"/>
      <c r="I205" s="81">
        <v>9.91</v>
      </c>
      <c r="J205" s="81">
        <f>VLOOKUP(C205,Recipes!$A$2:$N$4,12,FALSE())</f>
        <v>5.0137397426368718E-2</v>
      </c>
      <c r="K205" s="81">
        <f t="shared" si="23"/>
        <v>9.7595878077208944</v>
      </c>
      <c r="L205" s="81">
        <f t="shared" si="24"/>
        <v>10.060412192279106</v>
      </c>
      <c r="M205" s="81" t="str">
        <f t="shared" si="25"/>
        <v>NG</v>
      </c>
      <c r="N205" s="117">
        <f t="shared" si="26"/>
        <v>1</v>
      </c>
      <c r="O205" s="81">
        <f t="shared" si="27"/>
        <v>1.0399999999999991</v>
      </c>
      <c r="P205" s="81">
        <f>IF(G205="","",ABS(O205-Components!$C$2)/Components!$D$2)</f>
        <v>259.24458410151499</v>
      </c>
      <c r="Q205" s="81">
        <f>IF(G205="","",ABS(O205-Components!$C$3)/Components!$D$3)</f>
        <v>217.15571785495922</v>
      </c>
      <c r="R205" s="81">
        <f>IF(G205="","",ABS(O205-Components!$C$4)/Components!$D$4)</f>
        <v>3.338427479999452</v>
      </c>
      <c r="S205" s="81">
        <f>IF(G205="","",ABS(O205-Components!$C$5)/Components!$D$5)</f>
        <v>139.9004293868154</v>
      </c>
      <c r="T205" s="81">
        <f>IF(G205="","",ABS(O205-Components!$C$6)/Components!$D$6)</f>
        <v>4.1865001033075426</v>
      </c>
      <c r="U205" s="81">
        <f>IF(G205="","",ABS(O205-Components!$C$7)/Components!$D$7)</f>
        <v>13.295922718198771</v>
      </c>
      <c r="V205" s="81" t="str">
        <f>IF(G205="","",IF(M205="OK","NONE",INDEX({"S1","S2","W1","W2","N1","N2"},MATCH(MIN(P205:U205),P205:U205,0))))</f>
        <v>W1</v>
      </c>
      <c r="W205" s="117">
        <f t="shared" si="28"/>
        <v>1</v>
      </c>
      <c r="X205" s="107"/>
    </row>
    <row r="206" spans="1:24">
      <c r="A206" s="115">
        <v>204</v>
      </c>
      <c r="B206" s="116">
        <v>7</v>
      </c>
      <c r="C206" s="81" t="s">
        <v>130</v>
      </c>
      <c r="D206" s="111" t="s">
        <v>240</v>
      </c>
      <c r="E206" s="81" t="s">
        <v>104</v>
      </c>
      <c r="F206" s="61">
        <v>7.99</v>
      </c>
      <c r="G206" s="52">
        <f t="shared" si="22"/>
        <v>8.9600000000000009</v>
      </c>
      <c r="H206" s="110"/>
      <c r="I206" s="81">
        <v>9.91</v>
      </c>
      <c r="J206" s="81">
        <f>VLOOKUP(C206,Recipes!$A$2:$N$4,12,FALSE())</f>
        <v>5.0137397426368718E-2</v>
      </c>
      <c r="K206" s="81">
        <f t="shared" si="23"/>
        <v>9.7595878077208944</v>
      </c>
      <c r="L206" s="81">
        <f t="shared" si="24"/>
        <v>10.060412192279106</v>
      </c>
      <c r="M206" s="81" t="str">
        <f t="shared" si="25"/>
        <v>NG</v>
      </c>
      <c r="N206" s="117">
        <f t="shared" si="26"/>
        <v>1</v>
      </c>
      <c r="O206" s="81">
        <f t="shared" si="27"/>
        <v>0.94999999999999929</v>
      </c>
      <c r="P206" s="81">
        <f>IF(G206="","",ABS(O206-Components!$C$2)/Components!$D$2)</f>
        <v>272.86249027027162</v>
      </c>
      <c r="Q206" s="81">
        <f>IF(G206="","",ABS(O206-Components!$C$3)/Components!$D$3)</f>
        <v>223.67908721642326</v>
      </c>
      <c r="R206" s="81">
        <f>IF(G206="","",ABS(O206-Components!$C$4)/Components!$D$4)</f>
        <v>3.0999683742852611</v>
      </c>
      <c r="S206" s="81">
        <f>IF(G206="","",ABS(O206-Components!$C$5)/Components!$D$5)</f>
        <v>143.47472120498725</v>
      </c>
      <c r="T206" s="81">
        <f>IF(G206="","",ABS(O206-Components!$C$6)/Components!$D$6)</f>
        <v>7.4440073883017623</v>
      </c>
      <c r="U206" s="81">
        <f>IF(G206="","",ABS(O206-Components!$C$7)/Components!$D$7)</f>
        <v>16.875084367165559</v>
      </c>
      <c r="V206" s="81" t="str">
        <f>IF(G206="","",IF(M206="OK","NONE",INDEX({"S1","S2","W1","W2","N1","N2"},MATCH(MIN(P206:U206),P206:U206,0))))</f>
        <v>W1</v>
      </c>
      <c r="W206" s="117">
        <f t="shared" si="28"/>
        <v>1</v>
      </c>
      <c r="X206" s="107"/>
    </row>
    <row r="207" spans="1:24">
      <c r="A207" s="115">
        <v>205</v>
      </c>
      <c r="B207" s="116">
        <v>7</v>
      </c>
      <c r="C207" s="61" t="s">
        <v>130</v>
      </c>
      <c r="D207" s="61" t="s">
        <v>240</v>
      </c>
      <c r="E207" s="61" t="s">
        <v>104</v>
      </c>
      <c r="F207" s="61">
        <v>7.97</v>
      </c>
      <c r="G207" s="52">
        <f t="shared" si="22"/>
        <v>8.94</v>
      </c>
      <c r="H207" s="110"/>
      <c r="I207" s="81">
        <v>9.91</v>
      </c>
      <c r="J207" s="81">
        <f>VLOOKUP(C207,Recipes!$A$2:$N$4,12,FALSE())</f>
        <v>5.0137397426368718E-2</v>
      </c>
      <c r="K207" s="81">
        <f t="shared" si="23"/>
        <v>9.7595878077208944</v>
      </c>
      <c r="L207" s="81">
        <f t="shared" si="24"/>
        <v>10.060412192279106</v>
      </c>
      <c r="M207" s="81" t="str">
        <f t="shared" si="25"/>
        <v>NG</v>
      </c>
      <c r="N207" s="117">
        <f t="shared" si="26"/>
        <v>1</v>
      </c>
      <c r="O207" s="81">
        <f t="shared" si="27"/>
        <v>0.97000000000000064</v>
      </c>
      <c r="P207" s="81">
        <f>IF(G207="","",ABS(O207-Components!$C$2)/Components!$D$2)</f>
        <v>269.83628889943662</v>
      </c>
      <c r="Q207" s="81">
        <f>IF(G207="","",ABS(O207-Components!$C$3)/Components!$D$3)</f>
        <v>222.22944958054225</v>
      </c>
      <c r="R207" s="81">
        <f>IF(G207="","",ABS(O207-Components!$C$4)/Components!$D$4)</f>
        <v>1.6692137399996705</v>
      </c>
      <c r="S207" s="81">
        <f>IF(G207="","",ABS(O207-Components!$C$5)/Components!$D$5)</f>
        <v>142.68043413428234</v>
      </c>
      <c r="T207" s="81">
        <f>IF(G207="","",ABS(O207-Components!$C$6)/Components!$D$6)</f>
        <v>6.7201168805252189</v>
      </c>
      <c r="U207" s="81">
        <f>IF(G207="","",ABS(O207-Components!$C$7)/Components!$D$7)</f>
        <v>16.079715111839551</v>
      </c>
      <c r="V207" s="81" t="str">
        <f>IF(G207="","",IF(M207="OK","NONE",INDEX({"S1","S2","W1","W2","N1","N2"},MATCH(MIN(P207:U207),P207:U207,0))))</f>
        <v>W1</v>
      </c>
      <c r="W207" s="117">
        <f t="shared" si="28"/>
        <v>1</v>
      </c>
      <c r="X207" s="107"/>
    </row>
    <row r="208" spans="1:24">
      <c r="A208" s="115">
        <v>206</v>
      </c>
      <c r="B208" s="116">
        <v>7</v>
      </c>
      <c r="C208" s="81" t="s">
        <v>130</v>
      </c>
      <c r="D208" s="111" t="s">
        <v>240</v>
      </c>
      <c r="E208" s="81" t="s">
        <v>104</v>
      </c>
      <c r="F208" s="61">
        <v>7.96</v>
      </c>
      <c r="G208" s="52">
        <f t="shared" si="22"/>
        <v>8.93</v>
      </c>
      <c r="H208" s="110"/>
      <c r="I208" s="81">
        <v>9.91</v>
      </c>
      <c r="J208" s="81">
        <f>VLOOKUP(C208,Recipes!$A$2:$N$4,12,FALSE())</f>
        <v>5.0137397426368718E-2</v>
      </c>
      <c r="K208" s="81">
        <f t="shared" si="23"/>
        <v>9.7595878077208944</v>
      </c>
      <c r="L208" s="81">
        <f t="shared" si="24"/>
        <v>10.060412192279106</v>
      </c>
      <c r="M208" s="81" t="str">
        <f t="shared" si="25"/>
        <v>NG</v>
      </c>
      <c r="N208" s="117">
        <f t="shared" si="26"/>
        <v>1</v>
      </c>
      <c r="O208" s="81">
        <f t="shared" si="27"/>
        <v>0.98000000000000043</v>
      </c>
      <c r="P208" s="81">
        <f>IF(G208="","",ABS(O208-Components!$C$2)/Components!$D$2)</f>
        <v>268.32318821401924</v>
      </c>
      <c r="Q208" s="81">
        <f>IF(G208="","",ABS(O208-Components!$C$3)/Components!$D$3)</f>
        <v>221.50463076260183</v>
      </c>
      <c r="R208" s="81">
        <f>IF(G208="","",ABS(O208-Components!$C$4)/Components!$D$4)</f>
        <v>0.9538364228569387</v>
      </c>
      <c r="S208" s="81">
        <f>IF(G208="","",ABS(O208-Components!$C$5)/Components!$D$5)</f>
        <v>142.28329059892994</v>
      </c>
      <c r="T208" s="81">
        <f>IF(G208="","",ABS(O208-Components!$C$6)/Components!$D$6)</f>
        <v>6.3581716266369792</v>
      </c>
      <c r="U208" s="81">
        <f>IF(G208="","",ABS(O208-Components!$C$7)/Components!$D$7)</f>
        <v>15.682030484176583</v>
      </c>
      <c r="V208" s="81" t="str">
        <f>IF(G208="","",IF(M208="OK","NONE",INDEX({"S1","S2","W1","W2","N1","N2"},MATCH(MIN(P208:U208),P208:U208,0))))</f>
        <v>W1</v>
      </c>
      <c r="W208" s="117">
        <f t="shared" si="28"/>
        <v>1</v>
      </c>
      <c r="X208" s="107"/>
    </row>
    <row r="209" spans="1:24">
      <c r="A209" s="115">
        <v>207</v>
      </c>
      <c r="B209" s="116">
        <v>7</v>
      </c>
      <c r="C209" s="81" t="s">
        <v>130</v>
      </c>
      <c r="D209" s="111" t="s">
        <v>240</v>
      </c>
      <c r="E209" s="81" t="s">
        <v>104</v>
      </c>
      <c r="F209" s="61">
        <v>7.99</v>
      </c>
      <c r="G209" s="52">
        <f t="shared" si="22"/>
        <v>8.9600000000000009</v>
      </c>
      <c r="H209" s="110"/>
      <c r="I209" s="81">
        <v>9.91</v>
      </c>
      <c r="J209" s="81">
        <f>VLOOKUP(C209,Recipes!$A$2:$N$4,12,FALSE())</f>
        <v>5.0137397426368718E-2</v>
      </c>
      <c r="K209" s="81">
        <f t="shared" si="23"/>
        <v>9.7595878077208944</v>
      </c>
      <c r="L209" s="81">
        <f t="shared" si="24"/>
        <v>10.060412192279106</v>
      </c>
      <c r="M209" s="81" t="str">
        <f t="shared" si="25"/>
        <v>NG</v>
      </c>
      <c r="N209" s="117">
        <f t="shared" si="26"/>
        <v>1</v>
      </c>
      <c r="O209" s="81">
        <f t="shared" si="27"/>
        <v>0.94999999999999929</v>
      </c>
      <c r="P209" s="81">
        <f>IF(G209="","",ABS(O209-Components!$C$2)/Components!$D$2)</f>
        <v>272.86249027027162</v>
      </c>
      <c r="Q209" s="81">
        <f>IF(G209="","",ABS(O209-Components!$C$3)/Components!$D$3)</f>
        <v>223.67908721642326</v>
      </c>
      <c r="R209" s="81">
        <f>IF(G209="","",ABS(O209-Components!$C$4)/Components!$D$4)</f>
        <v>3.0999683742852611</v>
      </c>
      <c r="S209" s="81">
        <f>IF(G209="","",ABS(O209-Components!$C$5)/Components!$D$5)</f>
        <v>143.47472120498725</v>
      </c>
      <c r="T209" s="81">
        <f>IF(G209="","",ABS(O209-Components!$C$6)/Components!$D$6)</f>
        <v>7.4440073883017623</v>
      </c>
      <c r="U209" s="81">
        <f>IF(G209="","",ABS(O209-Components!$C$7)/Components!$D$7)</f>
        <v>16.875084367165559</v>
      </c>
      <c r="V209" s="81" t="str">
        <f>IF(G209="","",IF(M209="OK","NONE",INDEX({"S1","S2","W1","W2","N1","N2"},MATCH(MIN(P209:U209),P209:U209,0))))</f>
        <v>W1</v>
      </c>
      <c r="W209" s="117">
        <f t="shared" si="28"/>
        <v>1</v>
      </c>
      <c r="X209" s="107"/>
    </row>
    <row r="210" spans="1:24">
      <c r="A210" s="115">
        <v>208</v>
      </c>
      <c r="B210" s="116">
        <v>7</v>
      </c>
      <c r="C210" s="81" t="s">
        <v>130</v>
      </c>
      <c r="D210" s="111" t="s">
        <v>240</v>
      </c>
      <c r="E210" s="81" t="s">
        <v>104</v>
      </c>
      <c r="F210" s="61">
        <v>7.87</v>
      </c>
      <c r="G210" s="52">
        <f t="shared" si="22"/>
        <v>8.84</v>
      </c>
      <c r="H210" s="110"/>
      <c r="I210" s="81">
        <v>9.91</v>
      </c>
      <c r="J210" s="81">
        <f>VLOOKUP(C210,Recipes!$A$2:$N$4,12,FALSE())</f>
        <v>5.0137397426368718E-2</v>
      </c>
      <c r="K210" s="81">
        <f t="shared" si="23"/>
        <v>9.7595878077208944</v>
      </c>
      <c r="L210" s="81">
        <f t="shared" si="24"/>
        <v>10.060412192279106</v>
      </c>
      <c r="M210" s="81" t="str">
        <f t="shared" si="25"/>
        <v>NG</v>
      </c>
      <c r="N210" s="117">
        <f t="shared" si="26"/>
        <v>1</v>
      </c>
      <c r="O210" s="81">
        <f t="shared" si="27"/>
        <v>1.0700000000000003</v>
      </c>
      <c r="P210" s="81">
        <f>IF(G210="","",ABS(O210-Components!$C$2)/Components!$D$2)</f>
        <v>254.70528204526261</v>
      </c>
      <c r="Q210" s="81">
        <f>IF(G210="","",ABS(O210-Components!$C$3)/Components!$D$3)</f>
        <v>214.98126140113777</v>
      </c>
      <c r="R210" s="81">
        <f>IF(G210="","",ABS(O210-Components!$C$4)/Components!$D$4)</f>
        <v>5.4845594314277744</v>
      </c>
      <c r="S210" s="81">
        <f>IF(G210="","",ABS(O210-Components!$C$5)/Components!$D$5)</f>
        <v>138.70899878075809</v>
      </c>
      <c r="T210" s="81">
        <f>IF(G210="","",ABS(O210-Components!$C$6)/Components!$D$6)</f>
        <v>3.1006643416427595</v>
      </c>
      <c r="U210" s="81">
        <f>IF(G210="","",ABS(O210-Components!$C$7)/Components!$D$7)</f>
        <v>12.102868835209796</v>
      </c>
      <c r="V210" s="81" t="str">
        <f>IF(G210="","",IF(M210="OK","NONE",INDEX({"S1","S2","W1","W2","N1","N2"},MATCH(MIN(P210:U210),P210:U210,0))))</f>
        <v>N1</v>
      </c>
      <c r="W210" s="122">
        <f t="shared" si="28"/>
        <v>0</v>
      </c>
      <c r="X210" s="107"/>
    </row>
    <row r="211" spans="1:24">
      <c r="A211" s="115">
        <v>209</v>
      </c>
      <c r="B211" s="116">
        <v>7</v>
      </c>
      <c r="C211" s="81" t="s">
        <v>130</v>
      </c>
      <c r="D211" s="111" t="s">
        <v>240</v>
      </c>
      <c r="E211" s="81" t="s">
        <v>104</v>
      </c>
      <c r="F211" s="61">
        <v>7.72</v>
      </c>
      <c r="G211" s="52">
        <f t="shared" si="22"/>
        <v>8.69</v>
      </c>
      <c r="H211" s="110"/>
      <c r="I211" s="81">
        <v>9.91</v>
      </c>
      <c r="J211" s="81">
        <f>VLOOKUP(C211,Recipes!$A$2:$N$4,12,FALSE())</f>
        <v>5.0137397426368718E-2</v>
      </c>
      <c r="K211" s="81">
        <f t="shared" si="23"/>
        <v>9.7595878077208944</v>
      </c>
      <c r="L211" s="81">
        <f t="shared" si="24"/>
        <v>10.060412192279106</v>
      </c>
      <c r="M211" s="81" t="str">
        <f t="shared" si="25"/>
        <v>NG</v>
      </c>
      <c r="N211" s="117">
        <f t="shared" si="26"/>
        <v>1</v>
      </c>
      <c r="O211" s="81">
        <f t="shared" si="27"/>
        <v>1.2200000000000006</v>
      </c>
      <c r="P211" s="81">
        <f>IF(G211="","",ABS(O211-Components!$C$2)/Components!$D$2)</f>
        <v>232.00877176400149</v>
      </c>
      <c r="Q211" s="81">
        <f>IF(G211="","",ABS(O211-Components!$C$3)/Components!$D$3)</f>
        <v>204.10897913203098</v>
      </c>
      <c r="R211" s="81">
        <f>IF(G211="","",ABS(O211-Components!$C$4)/Components!$D$4)</f>
        <v>16.215219188569005</v>
      </c>
      <c r="S211" s="81">
        <f>IF(G211="","",ABS(O211-Components!$C$5)/Components!$D$5)</f>
        <v>132.75184575047166</v>
      </c>
      <c r="T211" s="81">
        <f>IF(G211="","",ABS(O211-Components!$C$6)/Components!$D$6)</f>
        <v>2.3285144666809612</v>
      </c>
      <c r="U211" s="81">
        <f>IF(G211="","",ABS(O211-Components!$C$7)/Components!$D$7)</f>
        <v>6.1375994202651247</v>
      </c>
      <c r="V211" s="81" t="str">
        <f>IF(G211="","",IF(M211="OK","NONE",INDEX({"S1","S2","W1","W2","N1","N2"},MATCH(MIN(P211:U211),P211:U211,0))))</f>
        <v>N1</v>
      </c>
      <c r="W211" s="122">
        <f t="shared" si="28"/>
        <v>0</v>
      </c>
      <c r="X211" s="107"/>
    </row>
    <row r="212" spans="1:24">
      <c r="A212" s="115">
        <v>210</v>
      </c>
      <c r="B212" s="116">
        <v>7</v>
      </c>
      <c r="C212" s="61" t="s">
        <v>130</v>
      </c>
      <c r="D212" s="61" t="s">
        <v>240</v>
      </c>
      <c r="E212" s="61" t="s">
        <v>104</v>
      </c>
      <c r="F212" s="61">
        <v>7.95</v>
      </c>
      <c r="G212" s="52">
        <f t="shared" si="22"/>
        <v>8.92</v>
      </c>
      <c r="H212" s="110"/>
      <c r="I212" s="81">
        <v>9.91</v>
      </c>
      <c r="J212" s="81">
        <f>VLOOKUP(C212,Recipes!$A$2:$N$4,12,FALSE())</f>
        <v>5.0137397426368718E-2</v>
      </c>
      <c r="K212" s="81">
        <f t="shared" si="23"/>
        <v>9.7595878077208944</v>
      </c>
      <c r="L212" s="81">
        <f t="shared" si="24"/>
        <v>10.060412192279106</v>
      </c>
      <c r="M212" s="81" t="str">
        <f t="shared" si="25"/>
        <v>NG</v>
      </c>
      <c r="N212" s="117">
        <f t="shared" si="26"/>
        <v>1</v>
      </c>
      <c r="O212" s="81">
        <f t="shared" si="27"/>
        <v>0.99000000000000021</v>
      </c>
      <c r="P212" s="81">
        <f>IF(G212="","",ABS(O212-Components!$C$2)/Components!$D$2)</f>
        <v>266.81008752860185</v>
      </c>
      <c r="Q212" s="81">
        <f>IF(G212="","",ABS(O212-Components!$C$3)/Components!$D$3)</f>
        <v>220.77981194466139</v>
      </c>
      <c r="R212" s="81">
        <f>IF(G212="","",ABS(O212-Components!$C$4)/Components!$D$4)</f>
        <v>0.23845910571420686</v>
      </c>
      <c r="S212" s="81">
        <f>IF(G212="","",ABS(O212-Components!$C$5)/Components!$D$5)</f>
        <v>141.88614706357751</v>
      </c>
      <c r="T212" s="81">
        <f>IF(G212="","",ABS(O212-Components!$C$6)/Components!$D$6)</f>
        <v>5.9962263727487395</v>
      </c>
      <c r="U212" s="81">
        <f>IF(G212="","",ABS(O212-Components!$C$7)/Components!$D$7)</f>
        <v>15.284345856513614</v>
      </c>
      <c r="V212" s="81" t="str">
        <f>IF(G212="","",IF(M212="OK","NONE",INDEX({"S1","S2","W1","W2","N1","N2"},MATCH(MIN(P212:U212),P212:U212,0))))</f>
        <v>W1</v>
      </c>
      <c r="W212" s="117">
        <f t="shared" si="28"/>
        <v>1</v>
      </c>
      <c r="X212" s="107"/>
    </row>
    <row r="213" spans="1:24">
      <c r="A213" s="115">
        <v>211</v>
      </c>
      <c r="B213" s="116">
        <v>8</v>
      </c>
      <c r="C213" s="81" t="s">
        <v>130</v>
      </c>
      <c r="D213" s="111" t="s">
        <v>240</v>
      </c>
      <c r="E213" s="81" t="s">
        <v>108</v>
      </c>
      <c r="F213" s="61">
        <v>7.72</v>
      </c>
      <c r="G213" s="52">
        <f t="shared" si="22"/>
        <v>8.69</v>
      </c>
      <c r="H213" s="110"/>
      <c r="I213" s="81">
        <v>9.91</v>
      </c>
      <c r="J213" s="81">
        <f>VLOOKUP(C213,Recipes!$A$2:$N$4,12,FALSE())</f>
        <v>5.0137397426368718E-2</v>
      </c>
      <c r="K213" s="81">
        <f t="shared" si="23"/>
        <v>9.7595878077208944</v>
      </c>
      <c r="L213" s="81">
        <f t="shared" si="24"/>
        <v>10.060412192279106</v>
      </c>
      <c r="M213" s="81" t="str">
        <f t="shared" si="25"/>
        <v>NG</v>
      </c>
      <c r="N213" s="117">
        <f t="shared" si="26"/>
        <v>1</v>
      </c>
      <c r="O213" s="81">
        <f t="shared" si="27"/>
        <v>1.2200000000000006</v>
      </c>
      <c r="P213" s="81">
        <f>IF(G213="","",ABS(O213-Components!$C$2)/Components!$D$2)</f>
        <v>232.00877176400149</v>
      </c>
      <c r="Q213" s="81">
        <f>IF(G213="","",ABS(O213-Components!$C$3)/Components!$D$3)</f>
        <v>204.10897913203098</v>
      </c>
      <c r="R213" s="81">
        <f>IF(G213="","",ABS(O213-Components!$C$4)/Components!$D$4)</f>
        <v>16.215219188569005</v>
      </c>
      <c r="S213" s="81">
        <f>IF(G213="","",ABS(O213-Components!$C$5)/Components!$D$5)</f>
        <v>132.75184575047166</v>
      </c>
      <c r="T213" s="81">
        <f>IF(G213="","",ABS(O213-Components!$C$6)/Components!$D$6)</f>
        <v>2.3285144666809612</v>
      </c>
      <c r="U213" s="81">
        <f>IF(G213="","",ABS(O213-Components!$C$7)/Components!$D$7)</f>
        <v>6.1375994202651247</v>
      </c>
      <c r="V213" s="81" t="str">
        <f>IF(G213="","",IF(M213="OK","NONE",INDEX({"S1","S2","W1","W2","N1","N2"},MATCH(MIN(P213:U213),P213:U213,0))))</f>
        <v>N1</v>
      </c>
      <c r="W213" s="117">
        <f t="shared" si="28"/>
        <v>1</v>
      </c>
      <c r="X213" s="107"/>
    </row>
    <row r="214" spans="1:24">
      <c r="A214" s="115">
        <v>212</v>
      </c>
      <c r="B214" s="116">
        <v>8</v>
      </c>
      <c r="C214" s="81" t="s">
        <v>130</v>
      </c>
      <c r="D214" s="111" t="s">
        <v>240</v>
      </c>
      <c r="E214" s="81" t="s">
        <v>108</v>
      </c>
      <c r="F214" s="61">
        <v>7.75</v>
      </c>
      <c r="G214" s="52">
        <f t="shared" si="22"/>
        <v>8.7200000000000006</v>
      </c>
      <c r="H214" s="110"/>
      <c r="I214" s="81">
        <v>9.91</v>
      </c>
      <c r="J214" s="81">
        <f>VLOOKUP(C214,Recipes!$A$2:$N$4,12,FALSE())</f>
        <v>5.0137397426368718E-2</v>
      </c>
      <c r="K214" s="81">
        <f t="shared" si="23"/>
        <v>9.7595878077208944</v>
      </c>
      <c r="L214" s="81">
        <f t="shared" si="24"/>
        <v>10.060412192279106</v>
      </c>
      <c r="M214" s="81" t="str">
        <f t="shared" si="25"/>
        <v>NG</v>
      </c>
      <c r="N214" s="117">
        <f t="shared" si="26"/>
        <v>1</v>
      </c>
      <c r="O214" s="81">
        <f t="shared" si="27"/>
        <v>1.1899999999999995</v>
      </c>
      <c r="P214" s="81">
        <f>IF(G214="","",ABS(O214-Components!$C$2)/Components!$D$2)</f>
        <v>236.54807382025388</v>
      </c>
      <c r="Q214" s="81">
        <f>IF(G214="","",ABS(O214-Components!$C$3)/Components!$D$3)</f>
        <v>206.28343558585243</v>
      </c>
      <c r="R214" s="81">
        <f>IF(G214="","",ABS(O214-Components!$C$4)/Components!$D$4)</f>
        <v>14.069087237140684</v>
      </c>
      <c r="S214" s="81">
        <f>IF(G214="","",ABS(O214-Components!$C$5)/Components!$D$5)</f>
        <v>133.94327635652897</v>
      </c>
      <c r="T214" s="81">
        <f>IF(G214="","",ABS(O214-Components!$C$6)/Components!$D$6)</f>
        <v>1.2426787050161785</v>
      </c>
      <c r="U214" s="81">
        <f>IF(G214="","",ABS(O214-Components!$C$7)/Components!$D$7)</f>
        <v>7.3306533032541008</v>
      </c>
      <c r="V214" s="81" t="str">
        <f>IF(G214="","",IF(M214="OK","NONE",INDEX({"S1","S2","W1","W2","N1","N2"},MATCH(MIN(P214:U214),P214:U214,0))))</f>
        <v>N1</v>
      </c>
      <c r="W214" s="117">
        <f t="shared" si="28"/>
        <v>1</v>
      </c>
      <c r="X214" s="107"/>
    </row>
    <row r="215" spans="1:24">
      <c r="A215" s="115">
        <v>213</v>
      </c>
      <c r="B215" s="116">
        <v>8</v>
      </c>
      <c r="C215" s="81" t="s">
        <v>130</v>
      </c>
      <c r="D215" s="111" t="s">
        <v>240</v>
      </c>
      <c r="E215" s="81" t="s">
        <v>108</v>
      </c>
      <c r="F215" s="61">
        <v>7.8</v>
      </c>
      <c r="G215" s="52">
        <f t="shared" si="22"/>
        <v>8.77</v>
      </c>
      <c r="H215" s="110"/>
      <c r="I215" s="81">
        <v>9.91</v>
      </c>
      <c r="J215" s="81">
        <f>VLOOKUP(C215,Recipes!$A$2:$N$4,12,FALSE())</f>
        <v>5.0137397426368718E-2</v>
      </c>
      <c r="K215" s="81">
        <f t="shared" si="23"/>
        <v>9.7595878077208944</v>
      </c>
      <c r="L215" s="81">
        <f t="shared" si="24"/>
        <v>10.060412192279106</v>
      </c>
      <c r="M215" s="81" t="str">
        <f t="shared" si="25"/>
        <v>NG</v>
      </c>
      <c r="N215" s="117">
        <f t="shared" si="26"/>
        <v>1</v>
      </c>
      <c r="O215" s="81">
        <f t="shared" si="27"/>
        <v>1.1400000000000006</v>
      </c>
      <c r="P215" s="81">
        <f>IF(G215="","",ABS(O215-Components!$C$2)/Components!$D$2)</f>
        <v>244.11357724734074</v>
      </c>
      <c r="Q215" s="81">
        <f>IF(G215="","",ABS(O215-Components!$C$3)/Components!$D$3)</f>
        <v>209.9075296755546</v>
      </c>
      <c r="R215" s="81">
        <f>IF(G215="","",ABS(O215-Components!$C$4)/Components!$D$4)</f>
        <v>10.492200651427025</v>
      </c>
      <c r="S215" s="81">
        <f>IF(G215="","",ABS(O215-Components!$C$5)/Components!$D$5)</f>
        <v>135.92899403329108</v>
      </c>
      <c r="T215" s="81">
        <f>IF(G215="","",ABS(O215-Components!$C$6)/Components!$D$6)</f>
        <v>0.56704756442501891</v>
      </c>
      <c r="U215" s="81">
        <f>IF(G215="","",ABS(O215-Components!$C$7)/Components!$D$7)</f>
        <v>9.319076441568944</v>
      </c>
      <c r="V215" s="81" t="str">
        <f>IF(G215="","",IF(M215="OK","NONE",INDEX({"S1","S2","W1","W2","N1","N2"},MATCH(MIN(P215:U215),P215:U215,0))))</f>
        <v>N1</v>
      </c>
      <c r="W215" s="117">
        <f t="shared" si="28"/>
        <v>1</v>
      </c>
      <c r="X215" s="107"/>
    </row>
    <row r="216" spans="1:24">
      <c r="A216" s="115">
        <v>214</v>
      </c>
      <c r="B216" s="116">
        <v>8</v>
      </c>
      <c r="C216" s="81" t="s">
        <v>130</v>
      </c>
      <c r="D216" s="111" t="s">
        <v>240</v>
      </c>
      <c r="E216" s="81" t="s">
        <v>108</v>
      </c>
      <c r="F216" s="61">
        <v>7.77</v>
      </c>
      <c r="G216" s="52">
        <f t="shared" si="22"/>
        <v>8.74</v>
      </c>
      <c r="H216" s="110"/>
      <c r="I216" s="81">
        <v>9.91</v>
      </c>
      <c r="J216" s="81">
        <f>VLOOKUP(C216,Recipes!$A$2:$N$4,12,FALSE())</f>
        <v>5.0137397426368718E-2</v>
      </c>
      <c r="K216" s="81">
        <f t="shared" si="23"/>
        <v>9.7595878077208944</v>
      </c>
      <c r="L216" s="81">
        <f t="shared" si="24"/>
        <v>10.060412192279106</v>
      </c>
      <c r="M216" s="81" t="str">
        <f t="shared" si="25"/>
        <v>NG</v>
      </c>
      <c r="N216" s="117">
        <f t="shared" si="26"/>
        <v>1</v>
      </c>
      <c r="O216" s="81">
        <f t="shared" si="27"/>
        <v>1.17</v>
      </c>
      <c r="P216" s="81">
        <f>IF(G216="","",ABS(O216-Components!$C$2)/Components!$D$2)</f>
        <v>239.57427519108862</v>
      </c>
      <c r="Q216" s="81">
        <f>IF(G216="","",ABS(O216-Components!$C$3)/Components!$D$3)</f>
        <v>207.73307322173329</v>
      </c>
      <c r="R216" s="81">
        <f>IF(G216="","",ABS(O216-Components!$C$4)/Components!$D$4)</f>
        <v>12.63833260285522</v>
      </c>
      <c r="S216" s="81">
        <f>IF(G216="","",ABS(O216-Components!$C$5)/Components!$D$5)</f>
        <v>134.73756342723382</v>
      </c>
      <c r="T216" s="81">
        <f>IF(G216="","",ABS(O216-Components!$C$6)/Components!$D$6)</f>
        <v>0.5187881972396996</v>
      </c>
      <c r="U216" s="81">
        <f>IF(G216="","",ABS(O216-Components!$C$7)/Components!$D$7)</f>
        <v>8.1260225585800381</v>
      </c>
      <c r="V216" s="81" t="str">
        <f>IF(G216="","",IF(M216="OK","NONE",INDEX({"S1","S2","W1","W2","N1","N2"},MATCH(MIN(P216:U216),P216:U216,0))))</f>
        <v>N1</v>
      </c>
      <c r="W216" s="117">
        <f t="shared" si="28"/>
        <v>1</v>
      </c>
      <c r="X216" s="107"/>
    </row>
    <row r="217" spans="1:24">
      <c r="A217" s="115">
        <v>215</v>
      </c>
      <c r="B217" s="116">
        <v>8</v>
      </c>
      <c r="C217" s="61" t="s">
        <v>130</v>
      </c>
      <c r="D217" s="61" t="s">
        <v>240</v>
      </c>
      <c r="E217" s="61" t="s">
        <v>108</v>
      </c>
      <c r="F217" s="61">
        <v>7.78</v>
      </c>
      <c r="G217" s="52">
        <f t="shared" si="22"/>
        <v>8.75</v>
      </c>
      <c r="H217" s="110"/>
      <c r="I217" s="81">
        <v>9.91</v>
      </c>
      <c r="J217" s="81">
        <f>VLOOKUP(C217,Recipes!$A$2:$N$4,12,FALSE())</f>
        <v>5.0137397426368718E-2</v>
      </c>
      <c r="K217" s="81">
        <f t="shared" si="23"/>
        <v>9.7595878077208944</v>
      </c>
      <c r="L217" s="81">
        <f t="shared" si="24"/>
        <v>10.060412192279106</v>
      </c>
      <c r="M217" s="81" t="str">
        <f t="shared" si="25"/>
        <v>NG</v>
      </c>
      <c r="N217" s="117">
        <f t="shared" si="26"/>
        <v>1</v>
      </c>
      <c r="O217" s="81">
        <f t="shared" si="27"/>
        <v>1.1600000000000001</v>
      </c>
      <c r="P217" s="81">
        <f>IF(G217="","",ABS(O217-Components!$C$2)/Components!$D$2)</f>
        <v>241.087375876506</v>
      </c>
      <c r="Q217" s="81">
        <f>IF(G217="","",ABS(O217-Components!$C$3)/Components!$D$3)</f>
        <v>208.45789203967374</v>
      </c>
      <c r="R217" s="81">
        <f>IF(G217="","",ABS(O217-Components!$C$4)/Components!$D$4)</f>
        <v>11.922955285712488</v>
      </c>
      <c r="S217" s="81">
        <f>IF(G217="","",ABS(O217-Components!$C$5)/Components!$D$5)</f>
        <v>135.13470696258622</v>
      </c>
      <c r="T217" s="81">
        <f>IF(G217="","",ABS(O217-Components!$C$6)/Components!$D$6)</f>
        <v>0.15684294335146007</v>
      </c>
      <c r="U217" s="81">
        <f>IF(G217="","",ABS(O217-Components!$C$7)/Components!$D$7)</f>
        <v>8.5237071862430067</v>
      </c>
      <c r="V217" s="81" t="str">
        <f>IF(G217="","",IF(M217="OK","NONE",INDEX({"S1","S2","W1","W2","N1","N2"},MATCH(MIN(P217:U217),P217:U217,0))))</f>
        <v>N1</v>
      </c>
      <c r="W217" s="117">
        <f t="shared" si="28"/>
        <v>1</v>
      </c>
      <c r="X217" s="107"/>
    </row>
    <row r="218" spans="1:24">
      <c r="A218" s="115">
        <v>216</v>
      </c>
      <c r="B218" s="116">
        <v>8</v>
      </c>
      <c r="C218" s="81" t="s">
        <v>130</v>
      </c>
      <c r="D218" s="111" t="s">
        <v>240</v>
      </c>
      <c r="E218" s="81" t="s">
        <v>108</v>
      </c>
      <c r="F218" s="61">
        <v>7.82</v>
      </c>
      <c r="G218" s="52">
        <f t="shared" si="22"/>
        <v>8.7900000000000009</v>
      </c>
      <c r="H218" s="110"/>
      <c r="I218" s="81">
        <v>9.91</v>
      </c>
      <c r="J218" s="81">
        <f>VLOOKUP(C218,Recipes!$A$2:$N$4,12,FALSE())</f>
        <v>5.0137397426368718E-2</v>
      </c>
      <c r="K218" s="81">
        <f t="shared" si="23"/>
        <v>9.7595878077208944</v>
      </c>
      <c r="L218" s="81">
        <f t="shared" si="24"/>
        <v>10.060412192279106</v>
      </c>
      <c r="M218" s="81" t="str">
        <f t="shared" si="25"/>
        <v>NG</v>
      </c>
      <c r="N218" s="117">
        <f t="shared" si="26"/>
        <v>1</v>
      </c>
      <c r="O218" s="81">
        <f t="shared" si="27"/>
        <v>1.1199999999999992</v>
      </c>
      <c r="P218" s="81">
        <f>IF(G218="","",ABS(O218-Components!$C$2)/Components!$D$2)</f>
        <v>247.13977861817574</v>
      </c>
      <c r="Q218" s="81">
        <f>IF(G218="","",ABS(O218-Components!$C$3)/Components!$D$3)</f>
        <v>211.3571673114356</v>
      </c>
      <c r="R218" s="81">
        <f>IF(G218="","",ABS(O218-Components!$C$4)/Components!$D$4)</f>
        <v>9.0614460171414333</v>
      </c>
      <c r="S218" s="81">
        <f>IF(G218="","",ABS(O218-Components!$C$5)/Components!$D$5)</f>
        <v>136.72328110399599</v>
      </c>
      <c r="T218" s="81">
        <f>IF(G218="","",ABS(O218-Components!$C$6)/Components!$D$6)</f>
        <v>1.2909380722015622</v>
      </c>
      <c r="U218" s="81">
        <f>IF(G218="","",ABS(O218-Components!$C$7)/Components!$D$7)</f>
        <v>10.114445696894952</v>
      </c>
      <c r="V218" s="81" t="str">
        <f>IF(G218="","",IF(M218="OK","NONE",INDEX({"S1","S2","W1","W2","N1","N2"},MATCH(MIN(P218:U218),P218:U218,0))))</f>
        <v>N1</v>
      </c>
      <c r="W218" s="117">
        <f t="shared" si="28"/>
        <v>1</v>
      </c>
      <c r="X218" s="107"/>
    </row>
    <row r="219" spans="1:24">
      <c r="A219" s="115">
        <v>217</v>
      </c>
      <c r="B219" s="116">
        <v>8</v>
      </c>
      <c r="C219" s="81" t="s">
        <v>130</v>
      </c>
      <c r="D219" s="111" t="s">
        <v>240</v>
      </c>
      <c r="E219" s="81" t="s">
        <v>108</v>
      </c>
      <c r="F219" s="61">
        <v>7.78</v>
      </c>
      <c r="G219" s="52">
        <f t="shared" si="22"/>
        <v>8.75</v>
      </c>
      <c r="H219" s="110"/>
      <c r="I219" s="81">
        <v>9.91</v>
      </c>
      <c r="J219" s="81">
        <f>VLOOKUP(C219,Recipes!$A$2:$N$4,12,FALSE())</f>
        <v>5.0137397426368718E-2</v>
      </c>
      <c r="K219" s="81">
        <f t="shared" si="23"/>
        <v>9.7595878077208944</v>
      </c>
      <c r="L219" s="81">
        <f t="shared" si="24"/>
        <v>10.060412192279106</v>
      </c>
      <c r="M219" s="81" t="str">
        <f t="shared" si="25"/>
        <v>NG</v>
      </c>
      <c r="N219" s="117">
        <f t="shared" si="26"/>
        <v>1</v>
      </c>
      <c r="O219" s="81">
        <f t="shared" si="27"/>
        <v>1.1600000000000001</v>
      </c>
      <c r="P219" s="81">
        <f>IF(G219="","",ABS(O219-Components!$C$2)/Components!$D$2)</f>
        <v>241.087375876506</v>
      </c>
      <c r="Q219" s="81">
        <f>IF(G219="","",ABS(O219-Components!$C$3)/Components!$D$3)</f>
        <v>208.45789203967374</v>
      </c>
      <c r="R219" s="81">
        <f>IF(G219="","",ABS(O219-Components!$C$4)/Components!$D$4)</f>
        <v>11.922955285712488</v>
      </c>
      <c r="S219" s="81">
        <f>IF(G219="","",ABS(O219-Components!$C$5)/Components!$D$5)</f>
        <v>135.13470696258622</v>
      </c>
      <c r="T219" s="81">
        <f>IF(G219="","",ABS(O219-Components!$C$6)/Components!$D$6)</f>
        <v>0.15684294335146007</v>
      </c>
      <c r="U219" s="81">
        <f>IF(G219="","",ABS(O219-Components!$C$7)/Components!$D$7)</f>
        <v>8.5237071862430067</v>
      </c>
      <c r="V219" s="81" t="str">
        <f>IF(G219="","",IF(M219="OK","NONE",INDEX({"S1","S2","W1","W2","N1","N2"},MATCH(MIN(P219:U219),P219:U219,0))))</f>
        <v>N1</v>
      </c>
      <c r="W219" s="117">
        <f t="shared" si="28"/>
        <v>1</v>
      </c>
      <c r="X219" s="107"/>
    </row>
    <row r="220" spans="1:24">
      <c r="A220" s="115">
        <v>218</v>
      </c>
      <c r="B220" s="116">
        <v>8</v>
      </c>
      <c r="C220" s="81" t="s">
        <v>130</v>
      </c>
      <c r="D220" s="111" t="s">
        <v>240</v>
      </c>
      <c r="E220" s="81" t="s">
        <v>108</v>
      </c>
      <c r="F220" s="61">
        <v>7.52</v>
      </c>
      <c r="G220" s="52">
        <f t="shared" si="22"/>
        <v>8.49</v>
      </c>
      <c r="H220" s="110"/>
      <c r="I220" s="81">
        <v>9.91</v>
      </c>
      <c r="J220" s="81">
        <f>VLOOKUP(C220,Recipes!$A$2:$N$4,12,FALSE())</f>
        <v>5.0137397426368718E-2</v>
      </c>
      <c r="K220" s="81">
        <f t="shared" si="23"/>
        <v>9.7595878077208944</v>
      </c>
      <c r="L220" s="81">
        <f t="shared" si="24"/>
        <v>10.060412192279106</v>
      </c>
      <c r="M220" s="81" t="str">
        <f t="shared" si="25"/>
        <v>NG</v>
      </c>
      <c r="N220" s="117">
        <f t="shared" si="26"/>
        <v>1</v>
      </c>
      <c r="O220" s="81">
        <f t="shared" si="27"/>
        <v>1.42</v>
      </c>
      <c r="P220" s="81">
        <f>IF(G220="","",ABS(O220-Components!$C$2)/Components!$D$2)</f>
        <v>201.74675805565349</v>
      </c>
      <c r="Q220" s="81">
        <f>IF(G220="","",ABS(O220-Components!$C$3)/Components!$D$3)</f>
        <v>189.61260277322202</v>
      </c>
      <c r="R220" s="81">
        <f>IF(G220="","",ABS(O220-Components!$C$4)/Components!$D$4)</f>
        <v>30.522765531423897</v>
      </c>
      <c r="S220" s="81">
        <f>IF(G220="","",ABS(O220-Components!$C$5)/Components!$D$5)</f>
        <v>124.80897504342312</v>
      </c>
      <c r="T220" s="81">
        <f>IF(G220="","",ABS(O220-Components!$C$6)/Components!$D$6)</f>
        <v>9.5674195444458796</v>
      </c>
      <c r="U220" s="81">
        <f>IF(G220="","",ABS(O220-Components!$C$7)/Components!$D$7)</f>
        <v>1.8160931329943888</v>
      </c>
      <c r="V220" s="81" t="str">
        <f>IF(G220="","",IF(M220="OK","NONE",INDEX({"S1","S2","W1","W2","N1","N2"},MATCH(MIN(P220:U220),P220:U220,0))))</f>
        <v>N2</v>
      </c>
      <c r="W220" s="122">
        <f t="shared" si="28"/>
        <v>0</v>
      </c>
      <c r="X220" s="107"/>
    </row>
    <row r="221" spans="1:24">
      <c r="A221" s="115">
        <v>219</v>
      </c>
      <c r="B221" s="116">
        <v>8</v>
      </c>
      <c r="C221" s="81" t="s">
        <v>130</v>
      </c>
      <c r="D221" s="111" t="s">
        <v>240</v>
      </c>
      <c r="E221" s="81" t="s">
        <v>108</v>
      </c>
      <c r="F221" s="61">
        <v>7.75</v>
      </c>
      <c r="G221" s="52">
        <f t="shared" si="22"/>
        <v>8.7200000000000006</v>
      </c>
      <c r="H221" s="110"/>
      <c r="I221" s="81">
        <v>9.91</v>
      </c>
      <c r="J221" s="81">
        <f>VLOOKUP(C221,Recipes!$A$2:$N$4,12,FALSE())</f>
        <v>5.0137397426368718E-2</v>
      </c>
      <c r="K221" s="81">
        <f t="shared" si="23"/>
        <v>9.7595878077208944</v>
      </c>
      <c r="L221" s="81">
        <f t="shared" si="24"/>
        <v>10.060412192279106</v>
      </c>
      <c r="M221" s="81" t="str">
        <f t="shared" si="25"/>
        <v>NG</v>
      </c>
      <c r="N221" s="117">
        <f t="shared" si="26"/>
        <v>1</v>
      </c>
      <c r="O221" s="81">
        <f t="shared" si="27"/>
        <v>1.1899999999999995</v>
      </c>
      <c r="P221" s="81">
        <f>IF(G221="","",ABS(O221-Components!$C$2)/Components!$D$2)</f>
        <v>236.54807382025388</v>
      </c>
      <c r="Q221" s="81">
        <f>IF(G221="","",ABS(O221-Components!$C$3)/Components!$D$3)</f>
        <v>206.28343558585243</v>
      </c>
      <c r="R221" s="81">
        <f>IF(G221="","",ABS(O221-Components!$C$4)/Components!$D$4)</f>
        <v>14.069087237140684</v>
      </c>
      <c r="S221" s="81">
        <f>IF(G221="","",ABS(O221-Components!$C$5)/Components!$D$5)</f>
        <v>133.94327635652897</v>
      </c>
      <c r="T221" s="81">
        <f>IF(G221="","",ABS(O221-Components!$C$6)/Components!$D$6)</f>
        <v>1.2426787050161785</v>
      </c>
      <c r="U221" s="81">
        <f>IF(G221="","",ABS(O221-Components!$C$7)/Components!$D$7)</f>
        <v>7.3306533032541008</v>
      </c>
      <c r="V221" s="81" t="str">
        <f>IF(G221="","",IF(M221="OK","NONE",INDEX({"S1","S2","W1","W2","N1","N2"},MATCH(MIN(P221:U221),P221:U221,0))))</f>
        <v>N1</v>
      </c>
      <c r="W221" s="117">
        <f t="shared" si="28"/>
        <v>1</v>
      </c>
      <c r="X221" s="107"/>
    </row>
    <row r="222" spans="1:24">
      <c r="A222" s="115">
        <v>220</v>
      </c>
      <c r="B222" s="116">
        <v>8</v>
      </c>
      <c r="C222" s="61" t="s">
        <v>130</v>
      </c>
      <c r="D222" s="61" t="s">
        <v>240</v>
      </c>
      <c r="E222" s="61" t="s">
        <v>108</v>
      </c>
      <c r="F222" s="61">
        <v>7.76</v>
      </c>
      <c r="G222" s="52">
        <f t="shared" si="22"/>
        <v>8.73</v>
      </c>
      <c r="H222" s="110"/>
      <c r="I222" s="81">
        <v>9.91</v>
      </c>
      <c r="J222" s="81">
        <f>VLOOKUP(C222,Recipes!$A$2:$N$4,12,FALSE())</f>
        <v>5.0137397426368718E-2</v>
      </c>
      <c r="K222" s="81">
        <f t="shared" si="23"/>
        <v>9.7595878077208944</v>
      </c>
      <c r="L222" s="81">
        <f t="shared" si="24"/>
        <v>10.060412192279106</v>
      </c>
      <c r="M222" s="81" t="str">
        <f t="shared" si="25"/>
        <v>NG</v>
      </c>
      <c r="N222" s="117">
        <f t="shared" si="26"/>
        <v>1</v>
      </c>
      <c r="O222" s="81">
        <f t="shared" si="27"/>
        <v>1.1799999999999997</v>
      </c>
      <c r="P222" s="81">
        <f>IF(G222="","",ABS(O222-Components!$C$2)/Components!$D$2)</f>
        <v>238.06117450567126</v>
      </c>
      <c r="Q222" s="81">
        <f>IF(G222="","",ABS(O222-Components!$C$3)/Components!$D$3)</f>
        <v>207.00825440379285</v>
      </c>
      <c r="R222" s="81">
        <f>IF(G222="","",ABS(O222-Components!$C$4)/Components!$D$4)</f>
        <v>13.353709919997952</v>
      </c>
      <c r="S222" s="81">
        <f>IF(G222="","",ABS(O222-Components!$C$5)/Components!$D$5)</f>
        <v>134.3404198918814</v>
      </c>
      <c r="T222" s="81">
        <f>IF(G222="","",ABS(O222-Components!$C$6)/Components!$D$6)</f>
        <v>0.8807334511279391</v>
      </c>
      <c r="U222" s="81">
        <f>IF(G222="","",ABS(O222-Components!$C$7)/Components!$D$7)</f>
        <v>7.7283379309170694</v>
      </c>
      <c r="V222" s="81" t="str">
        <f>IF(G222="","",IF(M222="OK","NONE",INDEX({"S1","S2","W1","W2","N1","N2"},MATCH(MIN(P222:U222),P222:U222,0))))</f>
        <v>N1</v>
      </c>
      <c r="W222" s="117">
        <f t="shared" si="28"/>
        <v>1</v>
      </c>
      <c r="X222" s="107"/>
    </row>
    <row r="223" spans="1:24">
      <c r="A223" s="115">
        <v>221</v>
      </c>
      <c r="B223" s="116">
        <v>8</v>
      </c>
      <c r="C223" s="81" t="s">
        <v>130</v>
      </c>
      <c r="D223" s="111" t="s">
        <v>240</v>
      </c>
      <c r="E223" s="81" t="s">
        <v>108</v>
      </c>
      <c r="F223" s="61">
        <v>7.78</v>
      </c>
      <c r="G223" s="52">
        <f t="shared" si="22"/>
        <v>8.75</v>
      </c>
      <c r="H223" s="110"/>
      <c r="I223" s="81">
        <v>9.91</v>
      </c>
      <c r="J223" s="81">
        <f>VLOOKUP(C223,Recipes!$A$2:$N$4,12,FALSE())</f>
        <v>5.0137397426368718E-2</v>
      </c>
      <c r="K223" s="81">
        <f t="shared" si="23"/>
        <v>9.7595878077208944</v>
      </c>
      <c r="L223" s="81">
        <f t="shared" si="24"/>
        <v>10.060412192279106</v>
      </c>
      <c r="M223" s="81" t="str">
        <f t="shared" si="25"/>
        <v>NG</v>
      </c>
      <c r="N223" s="117">
        <f t="shared" si="26"/>
        <v>1</v>
      </c>
      <c r="O223" s="81">
        <f t="shared" si="27"/>
        <v>1.1600000000000001</v>
      </c>
      <c r="P223" s="81">
        <f>IF(G223="","",ABS(O223-Components!$C$2)/Components!$D$2)</f>
        <v>241.087375876506</v>
      </c>
      <c r="Q223" s="81">
        <f>IF(G223="","",ABS(O223-Components!$C$3)/Components!$D$3)</f>
        <v>208.45789203967374</v>
      </c>
      <c r="R223" s="81">
        <f>IF(G223="","",ABS(O223-Components!$C$4)/Components!$D$4)</f>
        <v>11.922955285712488</v>
      </c>
      <c r="S223" s="81">
        <f>IF(G223="","",ABS(O223-Components!$C$5)/Components!$D$5)</f>
        <v>135.13470696258622</v>
      </c>
      <c r="T223" s="81">
        <f>IF(G223="","",ABS(O223-Components!$C$6)/Components!$D$6)</f>
        <v>0.15684294335146007</v>
      </c>
      <c r="U223" s="81">
        <f>IF(G223="","",ABS(O223-Components!$C$7)/Components!$D$7)</f>
        <v>8.5237071862430067</v>
      </c>
      <c r="V223" s="81" t="str">
        <f>IF(G223="","",IF(M223="OK","NONE",INDEX({"S1","S2","W1","W2","N1","N2"},MATCH(MIN(P223:U223),P223:U223,0))))</f>
        <v>N1</v>
      </c>
      <c r="W223" s="117">
        <f t="shared" si="28"/>
        <v>1</v>
      </c>
      <c r="X223" s="107"/>
    </row>
    <row r="224" spans="1:24">
      <c r="A224" s="115">
        <v>222</v>
      </c>
      <c r="B224" s="116">
        <v>8</v>
      </c>
      <c r="C224" s="81" t="s">
        <v>130</v>
      </c>
      <c r="D224" s="111" t="s">
        <v>240</v>
      </c>
      <c r="E224" s="81" t="s">
        <v>108</v>
      </c>
      <c r="F224" s="61">
        <v>7.82</v>
      </c>
      <c r="G224" s="52">
        <f t="shared" si="22"/>
        <v>8.7900000000000009</v>
      </c>
      <c r="H224" s="110"/>
      <c r="I224" s="81">
        <v>9.91</v>
      </c>
      <c r="J224" s="81">
        <f>VLOOKUP(C224,Recipes!$A$2:$N$4,12,FALSE())</f>
        <v>5.0137397426368718E-2</v>
      </c>
      <c r="K224" s="81">
        <f t="shared" si="23"/>
        <v>9.7595878077208944</v>
      </c>
      <c r="L224" s="81">
        <f t="shared" si="24"/>
        <v>10.060412192279106</v>
      </c>
      <c r="M224" s="81" t="str">
        <f t="shared" si="25"/>
        <v>NG</v>
      </c>
      <c r="N224" s="117">
        <f t="shared" si="26"/>
        <v>1</v>
      </c>
      <c r="O224" s="81">
        <f t="shared" si="27"/>
        <v>1.1199999999999992</v>
      </c>
      <c r="P224" s="81">
        <f>IF(G224="","",ABS(O224-Components!$C$2)/Components!$D$2)</f>
        <v>247.13977861817574</v>
      </c>
      <c r="Q224" s="81">
        <f>IF(G224="","",ABS(O224-Components!$C$3)/Components!$D$3)</f>
        <v>211.3571673114356</v>
      </c>
      <c r="R224" s="81">
        <f>IF(G224="","",ABS(O224-Components!$C$4)/Components!$D$4)</f>
        <v>9.0614460171414333</v>
      </c>
      <c r="S224" s="81">
        <f>IF(G224="","",ABS(O224-Components!$C$5)/Components!$D$5)</f>
        <v>136.72328110399599</v>
      </c>
      <c r="T224" s="81">
        <f>IF(G224="","",ABS(O224-Components!$C$6)/Components!$D$6)</f>
        <v>1.2909380722015622</v>
      </c>
      <c r="U224" s="81">
        <f>IF(G224="","",ABS(O224-Components!$C$7)/Components!$D$7)</f>
        <v>10.114445696894952</v>
      </c>
      <c r="V224" s="81" t="str">
        <f>IF(G224="","",IF(M224="OK","NONE",INDEX({"S1","S2","W1","W2","N1","N2"},MATCH(MIN(P224:U224),P224:U224,0))))</f>
        <v>N1</v>
      </c>
      <c r="W224" s="117">
        <f t="shared" si="28"/>
        <v>1</v>
      </c>
      <c r="X224" s="107"/>
    </row>
    <row r="225" spans="1:24">
      <c r="A225" s="115">
        <v>223</v>
      </c>
      <c r="B225" s="116">
        <v>8</v>
      </c>
      <c r="C225" s="81" t="s">
        <v>130</v>
      </c>
      <c r="D225" s="111" t="s">
        <v>240</v>
      </c>
      <c r="E225" s="81" t="s">
        <v>108</v>
      </c>
      <c r="F225" s="61">
        <v>7.8</v>
      </c>
      <c r="G225" s="52">
        <f t="shared" si="22"/>
        <v>8.77</v>
      </c>
      <c r="H225" s="110"/>
      <c r="I225" s="81">
        <v>9.91</v>
      </c>
      <c r="J225" s="81">
        <f>VLOOKUP(C225,Recipes!$A$2:$N$4,12,FALSE())</f>
        <v>5.0137397426368718E-2</v>
      </c>
      <c r="K225" s="81">
        <f t="shared" si="23"/>
        <v>9.7595878077208944</v>
      </c>
      <c r="L225" s="81">
        <f t="shared" si="24"/>
        <v>10.060412192279106</v>
      </c>
      <c r="M225" s="81" t="str">
        <f t="shared" si="25"/>
        <v>NG</v>
      </c>
      <c r="N225" s="117">
        <f t="shared" si="26"/>
        <v>1</v>
      </c>
      <c r="O225" s="81">
        <f t="shared" si="27"/>
        <v>1.1400000000000006</v>
      </c>
      <c r="P225" s="81">
        <f>IF(G225="","",ABS(O225-Components!$C$2)/Components!$D$2)</f>
        <v>244.11357724734074</v>
      </c>
      <c r="Q225" s="81">
        <f>IF(G225="","",ABS(O225-Components!$C$3)/Components!$D$3)</f>
        <v>209.9075296755546</v>
      </c>
      <c r="R225" s="81">
        <f>IF(G225="","",ABS(O225-Components!$C$4)/Components!$D$4)</f>
        <v>10.492200651427025</v>
      </c>
      <c r="S225" s="81">
        <f>IF(G225="","",ABS(O225-Components!$C$5)/Components!$D$5)</f>
        <v>135.92899403329108</v>
      </c>
      <c r="T225" s="81">
        <f>IF(G225="","",ABS(O225-Components!$C$6)/Components!$D$6)</f>
        <v>0.56704756442501891</v>
      </c>
      <c r="U225" s="81">
        <f>IF(G225="","",ABS(O225-Components!$C$7)/Components!$D$7)</f>
        <v>9.319076441568944</v>
      </c>
      <c r="V225" s="81" t="str">
        <f>IF(G225="","",IF(M225="OK","NONE",INDEX({"S1","S2","W1","W2","N1","N2"},MATCH(MIN(P225:U225),P225:U225,0))))</f>
        <v>N1</v>
      </c>
      <c r="W225" s="117">
        <f t="shared" si="28"/>
        <v>1</v>
      </c>
      <c r="X225" s="107"/>
    </row>
    <row r="226" spans="1:24">
      <c r="A226" s="115">
        <v>224</v>
      </c>
      <c r="B226" s="116">
        <v>8</v>
      </c>
      <c r="C226" s="81" t="s">
        <v>130</v>
      </c>
      <c r="D226" s="111" t="s">
        <v>240</v>
      </c>
      <c r="E226" s="81" t="s">
        <v>108</v>
      </c>
      <c r="F226" s="61">
        <v>7.75</v>
      </c>
      <c r="G226" s="52">
        <f t="shared" si="22"/>
        <v>8.7200000000000006</v>
      </c>
      <c r="H226" s="110"/>
      <c r="I226" s="81">
        <v>9.91</v>
      </c>
      <c r="J226" s="81">
        <f>VLOOKUP(C226,Recipes!$A$2:$N$4,12,FALSE())</f>
        <v>5.0137397426368718E-2</v>
      </c>
      <c r="K226" s="81">
        <f t="shared" si="23"/>
        <v>9.7595878077208944</v>
      </c>
      <c r="L226" s="81">
        <f t="shared" si="24"/>
        <v>10.060412192279106</v>
      </c>
      <c r="M226" s="81" t="str">
        <f t="shared" si="25"/>
        <v>NG</v>
      </c>
      <c r="N226" s="117">
        <f t="shared" si="26"/>
        <v>1</v>
      </c>
      <c r="O226" s="81">
        <f t="shared" si="27"/>
        <v>1.1899999999999995</v>
      </c>
      <c r="P226" s="81">
        <f>IF(G226="","",ABS(O226-Components!$C$2)/Components!$D$2)</f>
        <v>236.54807382025388</v>
      </c>
      <c r="Q226" s="81">
        <f>IF(G226="","",ABS(O226-Components!$C$3)/Components!$D$3)</f>
        <v>206.28343558585243</v>
      </c>
      <c r="R226" s="81">
        <f>IF(G226="","",ABS(O226-Components!$C$4)/Components!$D$4)</f>
        <v>14.069087237140684</v>
      </c>
      <c r="S226" s="81">
        <f>IF(G226="","",ABS(O226-Components!$C$5)/Components!$D$5)</f>
        <v>133.94327635652897</v>
      </c>
      <c r="T226" s="81">
        <f>IF(G226="","",ABS(O226-Components!$C$6)/Components!$D$6)</f>
        <v>1.2426787050161785</v>
      </c>
      <c r="U226" s="81">
        <f>IF(G226="","",ABS(O226-Components!$C$7)/Components!$D$7)</f>
        <v>7.3306533032541008</v>
      </c>
      <c r="V226" s="81" t="str">
        <f>IF(G226="","",IF(M226="OK","NONE",INDEX({"S1","S2","W1","W2","N1","N2"},MATCH(MIN(P226:U226),P226:U226,0))))</f>
        <v>N1</v>
      </c>
      <c r="W226" s="117">
        <f t="shared" si="28"/>
        <v>1</v>
      </c>
      <c r="X226" s="107"/>
    </row>
    <row r="227" spans="1:24">
      <c r="A227" s="115">
        <v>225</v>
      </c>
      <c r="B227" s="116">
        <v>8</v>
      </c>
      <c r="C227" s="61" t="s">
        <v>130</v>
      </c>
      <c r="D227" s="61" t="s">
        <v>240</v>
      </c>
      <c r="E227" s="61" t="s">
        <v>108</v>
      </c>
      <c r="F227" s="61">
        <v>7.72</v>
      </c>
      <c r="G227" s="52">
        <f t="shared" si="22"/>
        <v>8.69</v>
      </c>
      <c r="H227" s="110"/>
      <c r="I227" s="81">
        <v>9.91</v>
      </c>
      <c r="J227" s="81">
        <f>VLOOKUP(C227,Recipes!$A$2:$N$4,12,FALSE())</f>
        <v>5.0137397426368718E-2</v>
      </c>
      <c r="K227" s="81">
        <f t="shared" si="23"/>
        <v>9.7595878077208944</v>
      </c>
      <c r="L227" s="81">
        <f t="shared" si="24"/>
        <v>10.060412192279106</v>
      </c>
      <c r="M227" s="81" t="str">
        <f t="shared" si="25"/>
        <v>NG</v>
      </c>
      <c r="N227" s="117">
        <f t="shared" si="26"/>
        <v>1</v>
      </c>
      <c r="O227" s="81">
        <f t="shared" si="27"/>
        <v>1.2200000000000006</v>
      </c>
      <c r="P227" s="81">
        <f>IF(G227="","",ABS(O227-Components!$C$2)/Components!$D$2)</f>
        <v>232.00877176400149</v>
      </c>
      <c r="Q227" s="81">
        <f>IF(G227="","",ABS(O227-Components!$C$3)/Components!$D$3)</f>
        <v>204.10897913203098</v>
      </c>
      <c r="R227" s="81">
        <f>IF(G227="","",ABS(O227-Components!$C$4)/Components!$D$4)</f>
        <v>16.215219188569005</v>
      </c>
      <c r="S227" s="81">
        <f>IF(G227="","",ABS(O227-Components!$C$5)/Components!$D$5)</f>
        <v>132.75184575047166</v>
      </c>
      <c r="T227" s="81">
        <f>IF(G227="","",ABS(O227-Components!$C$6)/Components!$D$6)</f>
        <v>2.3285144666809612</v>
      </c>
      <c r="U227" s="81">
        <f>IF(G227="","",ABS(O227-Components!$C$7)/Components!$D$7)</f>
        <v>6.1375994202651247</v>
      </c>
      <c r="V227" s="81" t="str">
        <f>IF(G227="","",IF(M227="OK","NONE",INDEX({"S1","S2","W1","W2","N1","N2"},MATCH(MIN(P227:U227),P227:U227,0))))</f>
        <v>N1</v>
      </c>
      <c r="W227" s="117">
        <f t="shared" si="28"/>
        <v>1</v>
      </c>
      <c r="X227" s="107"/>
    </row>
    <row r="228" spans="1:24">
      <c r="A228" s="115">
        <v>226</v>
      </c>
      <c r="B228" s="116">
        <v>8</v>
      </c>
      <c r="C228" s="81" t="s">
        <v>130</v>
      </c>
      <c r="D228" s="111" t="s">
        <v>240</v>
      </c>
      <c r="E228" s="81" t="s">
        <v>108</v>
      </c>
      <c r="F228" s="61">
        <v>7.78</v>
      </c>
      <c r="G228" s="52">
        <f t="shared" si="22"/>
        <v>8.75</v>
      </c>
      <c r="H228" s="110"/>
      <c r="I228" s="81">
        <v>9.91</v>
      </c>
      <c r="J228" s="81">
        <f>VLOOKUP(C228,Recipes!$A$2:$N$4,12,FALSE())</f>
        <v>5.0137397426368718E-2</v>
      </c>
      <c r="K228" s="81">
        <f t="shared" si="23"/>
        <v>9.7595878077208944</v>
      </c>
      <c r="L228" s="81">
        <f t="shared" si="24"/>
        <v>10.060412192279106</v>
      </c>
      <c r="M228" s="81" t="str">
        <f t="shared" si="25"/>
        <v>NG</v>
      </c>
      <c r="N228" s="117">
        <f t="shared" si="26"/>
        <v>1</v>
      </c>
      <c r="O228" s="81">
        <f t="shared" si="27"/>
        <v>1.1600000000000001</v>
      </c>
      <c r="P228" s="81">
        <f>IF(G228="","",ABS(O228-Components!$C$2)/Components!$D$2)</f>
        <v>241.087375876506</v>
      </c>
      <c r="Q228" s="81">
        <f>IF(G228="","",ABS(O228-Components!$C$3)/Components!$D$3)</f>
        <v>208.45789203967374</v>
      </c>
      <c r="R228" s="81">
        <f>IF(G228="","",ABS(O228-Components!$C$4)/Components!$D$4)</f>
        <v>11.922955285712488</v>
      </c>
      <c r="S228" s="81">
        <f>IF(G228="","",ABS(O228-Components!$C$5)/Components!$D$5)</f>
        <v>135.13470696258622</v>
      </c>
      <c r="T228" s="81">
        <f>IF(G228="","",ABS(O228-Components!$C$6)/Components!$D$6)</f>
        <v>0.15684294335146007</v>
      </c>
      <c r="U228" s="81">
        <f>IF(G228="","",ABS(O228-Components!$C$7)/Components!$D$7)</f>
        <v>8.5237071862430067</v>
      </c>
      <c r="V228" s="81" t="str">
        <f>IF(G228="","",IF(M228="OK","NONE",INDEX({"S1","S2","W1","W2","N1","N2"},MATCH(MIN(P228:U228),P228:U228,0))))</f>
        <v>N1</v>
      </c>
      <c r="W228" s="117">
        <f t="shared" si="28"/>
        <v>1</v>
      </c>
      <c r="X228" s="107"/>
    </row>
    <row r="229" spans="1:24">
      <c r="A229" s="115">
        <v>227</v>
      </c>
      <c r="B229" s="116">
        <v>8</v>
      </c>
      <c r="C229" s="81" t="s">
        <v>130</v>
      </c>
      <c r="D229" s="111" t="s">
        <v>240</v>
      </c>
      <c r="E229" s="81" t="s">
        <v>108</v>
      </c>
      <c r="F229" s="61">
        <v>7.75</v>
      </c>
      <c r="G229" s="52">
        <f t="shared" si="22"/>
        <v>8.7200000000000006</v>
      </c>
      <c r="H229" s="110"/>
      <c r="I229" s="81">
        <v>9.91</v>
      </c>
      <c r="J229" s="81">
        <f>VLOOKUP(C229,Recipes!$A$2:$N$4,12,FALSE())</f>
        <v>5.0137397426368718E-2</v>
      </c>
      <c r="K229" s="81">
        <f t="shared" si="23"/>
        <v>9.7595878077208944</v>
      </c>
      <c r="L229" s="81">
        <f t="shared" si="24"/>
        <v>10.060412192279106</v>
      </c>
      <c r="M229" s="81" t="str">
        <f t="shared" si="25"/>
        <v>NG</v>
      </c>
      <c r="N229" s="117">
        <f t="shared" si="26"/>
        <v>1</v>
      </c>
      <c r="O229" s="81">
        <f t="shared" si="27"/>
        <v>1.1899999999999995</v>
      </c>
      <c r="P229" s="81">
        <f>IF(G229="","",ABS(O229-Components!$C$2)/Components!$D$2)</f>
        <v>236.54807382025388</v>
      </c>
      <c r="Q229" s="81">
        <f>IF(G229="","",ABS(O229-Components!$C$3)/Components!$D$3)</f>
        <v>206.28343558585243</v>
      </c>
      <c r="R229" s="81">
        <f>IF(G229="","",ABS(O229-Components!$C$4)/Components!$D$4)</f>
        <v>14.069087237140684</v>
      </c>
      <c r="S229" s="81">
        <f>IF(G229="","",ABS(O229-Components!$C$5)/Components!$D$5)</f>
        <v>133.94327635652897</v>
      </c>
      <c r="T229" s="81">
        <f>IF(G229="","",ABS(O229-Components!$C$6)/Components!$D$6)</f>
        <v>1.2426787050161785</v>
      </c>
      <c r="U229" s="81">
        <f>IF(G229="","",ABS(O229-Components!$C$7)/Components!$D$7)</f>
        <v>7.3306533032541008</v>
      </c>
      <c r="V229" s="81" t="str">
        <f>IF(G229="","",IF(M229="OK","NONE",INDEX({"S1","S2","W1","W2","N1","N2"},MATCH(MIN(P229:U229),P229:U229,0))))</f>
        <v>N1</v>
      </c>
      <c r="W229" s="117">
        <f t="shared" si="28"/>
        <v>1</v>
      </c>
      <c r="X229" s="107"/>
    </row>
    <row r="230" spans="1:24">
      <c r="A230" s="115">
        <v>228</v>
      </c>
      <c r="B230" s="116">
        <v>8</v>
      </c>
      <c r="C230" s="81" t="s">
        <v>130</v>
      </c>
      <c r="D230" s="111" t="s">
        <v>240</v>
      </c>
      <c r="E230" s="81" t="s">
        <v>108</v>
      </c>
      <c r="F230" s="61">
        <v>7.77</v>
      </c>
      <c r="G230" s="52">
        <f t="shared" si="22"/>
        <v>8.74</v>
      </c>
      <c r="H230" s="110"/>
      <c r="I230" s="81">
        <v>9.91</v>
      </c>
      <c r="J230" s="81">
        <f>VLOOKUP(C230,Recipes!$A$2:$N$4,12,FALSE())</f>
        <v>5.0137397426368718E-2</v>
      </c>
      <c r="K230" s="81">
        <f t="shared" si="23"/>
        <v>9.7595878077208944</v>
      </c>
      <c r="L230" s="81">
        <f t="shared" si="24"/>
        <v>10.060412192279106</v>
      </c>
      <c r="M230" s="81" t="str">
        <f t="shared" si="25"/>
        <v>NG</v>
      </c>
      <c r="N230" s="117">
        <f t="shared" si="26"/>
        <v>1</v>
      </c>
      <c r="O230" s="81">
        <f t="shared" si="27"/>
        <v>1.17</v>
      </c>
      <c r="P230" s="81">
        <f>IF(G230="","",ABS(O230-Components!$C$2)/Components!$D$2)</f>
        <v>239.57427519108862</v>
      </c>
      <c r="Q230" s="81">
        <f>IF(G230="","",ABS(O230-Components!$C$3)/Components!$D$3)</f>
        <v>207.73307322173329</v>
      </c>
      <c r="R230" s="81">
        <f>IF(G230="","",ABS(O230-Components!$C$4)/Components!$D$4)</f>
        <v>12.63833260285522</v>
      </c>
      <c r="S230" s="81">
        <f>IF(G230="","",ABS(O230-Components!$C$5)/Components!$D$5)</f>
        <v>134.73756342723382</v>
      </c>
      <c r="T230" s="81">
        <f>IF(G230="","",ABS(O230-Components!$C$6)/Components!$D$6)</f>
        <v>0.5187881972396996</v>
      </c>
      <c r="U230" s="81">
        <f>IF(G230="","",ABS(O230-Components!$C$7)/Components!$D$7)</f>
        <v>8.1260225585800381</v>
      </c>
      <c r="V230" s="81" t="str">
        <f>IF(G230="","",IF(M230="OK","NONE",INDEX({"S1","S2","W1","W2","N1","N2"},MATCH(MIN(P230:U230),P230:U230,0))))</f>
        <v>N1</v>
      </c>
      <c r="W230" s="117">
        <f t="shared" si="28"/>
        <v>1</v>
      </c>
      <c r="X230" s="107"/>
    </row>
    <row r="231" spans="1:24">
      <c r="A231" s="115">
        <v>229</v>
      </c>
      <c r="B231" s="116">
        <v>8</v>
      </c>
      <c r="C231" s="81" t="s">
        <v>130</v>
      </c>
      <c r="D231" s="111" t="s">
        <v>240</v>
      </c>
      <c r="E231" s="81" t="s">
        <v>108</v>
      </c>
      <c r="F231" s="61">
        <v>7.69</v>
      </c>
      <c r="G231" s="52">
        <f t="shared" si="22"/>
        <v>8.66</v>
      </c>
      <c r="H231" s="110"/>
      <c r="I231" s="81">
        <v>9.91</v>
      </c>
      <c r="J231" s="81">
        <f>VLOOKUP(C231,Recipes!$A$2:$N$4,12,FALSE())</f>
        <v>5.0137397426368718E-2</v>
      </c>
      <c r="K231" s="81">
        <f t="shared" si="23"/>
        <v>9.7595878077208944</v>
      </c>
      <c r="L231" s="81">
        <f t="shared" si="24"/>
        <v>10.060412192279106</v>
      </c>
      <c r="M231" s="81" t="str">
        <f t="shared" si="25"/>
        <v>NG</v>
      </c>
      <c r="N231" s="117">
        <f t="shared" si="26"/>
        <v>1</v>
      </c>
      <c r="O231" s="81">
        <f t="shared" si="27"/>
        <v>1.25</v>
      </c>
      <c r="P231" s="81">
        <f>IF(G231="","",ABS(O231-Components!$C$2)/Components!$D$2)</f>
        <v>227.46946970774937</v>
      </c>
      <c r="Q231" s="81">
        <f>IF(G231="","",ABS(O231-Components!$C$3)/Components!$D$3)</f>
        <v>201.93452267820967</v>
      </c>
      <c r="R231" s="81">
        <f>IF(G231="","",ABS(O231-Components!$C$4)/Components!$D$4)</f>
        <v>18.3613511399972</v>
      </c>
      <c r="S231" s="81">
        <f>IF(G231="","",ABS(O231-Components!$C$5)/Components!$D$5)</f>
        <v>131.56041514441438</v>
      </c>
      <c r="T231" s="81">
        <f>IF(G231="","",ABS(O231-Components!$C$6)/Components!$D$6)</f>
        <v>3.4143502283456799</v>
      </c>
      <c r="U231" s="81">
        <f>IF(G231="","",ABS(O231-Components!$C$7)/Components!$D$7)</f>
        <v>4.9445455372762188</v>
      </c>
      <c r="V231" s="81" t="str">
        <f>IF(G231="","",IF(M231="OK","NONE",INDEX({"S1","S2","W1","W2","N1","N2"},MATCH(MIN(P231:U231),P231:U231,0))))</f>
        <v>N1</v>
      </c>
      <c r="W231" s="117">
        <f t="shared" si="28"/>
        <v>1</v>
      </c>
      <c r="X231" s="107"/>
    </row>
    <row r="232" spans="1:24">
      <c r="A232" s="115">
        <v>230</v>
      </c>
      <c r="B232" s="116">
        <v>8</v>
      </c>
      <c r="C232" s="61" t="s">
        <v>130</v>
      </c>
      <c r="D232" s="61" t="s">
        <v>240</v>
      </c>
      <c r="E232" s="61" t="s">
        <v>108</v>
      </c>
      <c r="F232" s="61">
        <v>7.77</v>
      </c>
      <c r="G232" s="52">
        <f t="shared" si="22"/>
        <v>8.74</v>
      </c>
      <c r="H232" s="110"/>
      <c r="I232" s="81">
        <v>9.91</v>
      </c>
      <c r="J232" s="81">
        <f>VLOOKUP(C232,Recipes!$A$2:$N$4,12,FALSE())</f>
        <v>5.0137397426368718E-2</v>
      </c>
      <c r="K232" s="81">
        <f t="shared" si="23"/>
        <v>9.7595878077208944</v>
      </c>
      <c r="L232" s="81">
        <f t="shared" si="24"/>
        <v>10.060412192279106</v>
      </c>
      <c r="M232" s="81" t="str">
        <f t="shared" si="25"/>
        <v>NG</v>
      </c>
      <c r="N232" s="117">
        <f t="shared" si="26"/>
        <v>1</v>
      </c>
      <c r="O232" s="81">
        <f t="shared" si="27"/>
        <v>1.17</v>
      </c>
      <c r="P232" s="81">
        <f>IF(G232="","",ABS(O232-Components!$C$2)/Components!$D$2)</f>
        <v>239.57427519108862</v>
      </c>
      <c r="Q232" s="81">
        <f>IF(G232="","",ABS(O232-Components!$C$3)/Components!$D$3)</f>
        <v>207.73307322173329</v>
      </c>
      <c r="R232" s="81">
        <f>IF(G232="","",ABS(O232-Components!$C$4)/Components!$D$4)</f>
        <v>12.63833260285522</v>
      </c>
      <c r="S232" s="81">
        <f>IF(G232="","",ABS(O232-Components!$C$5)/Components!$D$5)</f>
        <v>134.73756342723382</v>
      </c>
      <c r="T232" s="81">
        <f>IF(G232="","",ABS(O232-Components!$C$6)/Components!$D$6)</f>
        <v>0.5187881972396996</v>
      </c>
      <c r="U232" s="81">
        <f>IF(G232="","",ABS(O232-Components!$C$7)/Components!$D$7)</f>
        <v>8.1260225585800381</v>
      </c>
      <c r="V232" s="81" t="str">
        <f>IF(G232="","",IF(M232="OK","NONE",INDEX({"S1","S2","W1","W2","N1","N2"},MATCH(MIN(P232:U232),P232:U232,0))))</f>
        <v>N1</v>
      </c>
      <c r="W232" s="117">
        <f t="shared" si="28"/>
        <v>1</v>
      </c>
      <c r="X232" s="107"/>
    </row>
    <row r="233" spans="1:24">
      <c r="A233" s="115">
        <v>231</v>
      </c>
      <c r="B233" s="116">
        <v>8</v>
      </c>
      <c r="C233" s="81" t="s">
        <v>130</v>
      </c>
      <c r="D233" s="111" t="s">
        <v>240</v>
      </c>
      <c r="E233" s="81" t="s">
        <v>108</v>
      </c>
      <c r="F233" s="61">
        <v>7.77</v>
      </c>
      <c r="G233" s="52">
        <f t="shared" si="22"/>
        <v>8.74</v>
      </c>
      <c r="H233" s="110"/>
      <c r="I233" s="81">
        <v>9.91</v>
      </c>
      <c r="J233" s="81">
        <f>VLOOKUP(C233,Recipes!$A$2:$N$4,12,FALSE())</f>
        <v>5.0137397426368718E-2</v>
      </c>
      <c r="K233" s="81">
        <f t="shared" si="23"/>
        <v>9.7595878077208944</v>
      </c>
      <c r="L233" s="81">
        <f t="shared" si="24"/>
        <v>10.060412192279106</v>
      </c>
      <c r="M233" s="81" t="str">
        <f t="shared" si="25"/>
        <v>NG</v>
      </c>
      <c r="N233" s="117">
        <f t="shared" si="26"/>
        <v>1</v>
      </c>
      <c r="O233" s="81">
        <f t="shared" si="27"/>
        <v>1.17</v>
      </c>
      <c r="P233" s="81">
        <f>IF(G233="","",ABS(O233-Components!$C$2)/Components!$D$2)</f>
        <v>239.57427519108862</v>
      </c>
      <c r="Q233" s="81">
        <f>IF(G233="","",ABS(O233-Components!$C$3)/Components!$D$3)</f>
        <v>207.73307322173329</v>
      </c>
      <c r="R233" s="81">
        <f>IF(G233="","",ABS(O233-Components!$C$4)/Components!$D$4)</f>
        <v>12.63833260285522</v>
      </c>
      <c r="S233" s="81">
        <f>IF(G233="","",ABS(O233-Components!$C$5)/Components!$D$5)</f>
        <v>134.73756342723382</v>
      </c>
      <c r="T233" s="81">
        <f>IF(G233="","",ABS(O233-Components!$C$6)/Components!$D$6)</f>
        <v>0.5187881972396996</v>
      </c>
      <c r="U233" s="81">
        <f>IF(G233="","",ABS(O233-Components!$C$7)/Components!$D$7)</f>
        <v>8.1260225585800381</v>
      </c>
      <c r="V233" s="81" t="str">
        <f>IF(G233="","",IF(M233="OK","NONE",INDEX({"S1","S2","W1","W2","N1","N2"},MATCH(MIN(P233:U233),P233:U233,0))))</f>
        <v>N1</v>
      </c>
      <c r="W233" s="117">
        <f t="shared" si="28"/>
        <v>1</v>
      </c>
      <c r="X233" s="107"/>
    </row>
    <row r="234" spans="1:24">
      <c r="A234" s="115">
        <v>232</v>
      </c>
      <c r="B234" s="116">
        <v>8</v>
      </c>
      <c r="C234" s="81" t="s">
        <v>130</v>
      </c>
      <c r="D234" s="111" t="s">
        <v>240</v>
      </c>
      <c r="E234" s="81" t="s">
        <v>108</v>
      </c>
      <c r="F234" s="61">
        <v>7.78</v>
      </c>
      <c r="G234" s="52">
        <f t="shared" si="22"/>
        <v>8.75</v>
      </c>
      <c r="H234" s="110"/>
      <c r="I234" s="81">
        <v>9.91</v>
      </c>
      <c r="J234" s="81">
        <f>VLOOKUP(C234,Recipes!$A$2:$N$4,12,FALSE())</f>
        <v>5.0137397426368718E-2</v>
      </c>
      <c r="K234" s="81">
        <f t="shared" si="23"/>
        <v>9.7595878077208944</v>
      </c>
      <c r="L234" s="81">
        <f t="shared" si="24"/>
        <v>10.060412192279106</v>
      </c>
      <c r="M234" s="81" t="str">
        <f t="shared" si="25"/>
        <v>NG</v>
      </c>
      <c r="N234" s="117">
        <f t="shared" si="26"/>
        <v>1</v>
      </c>
      <c r="O234" s="81">
        <f t="shared" si="27"/>
        <v>1.1600000000000001</v>
      </c>
      <c r="P234" s="81">
        <f>IF(G234="","",ABS(O234-Components!$C$2)/Components!$D$2)</f>
        <v>241.087375876506</v>
      </c>
      <c r="Q234" s="81">
        <f>IF(G234="","",ABS(O234-Components!$C$3)/Components!$D$3)</f>
        <v>208.45789203967374</v>
      </c>
      <c r="R234" s="81">
        <f>IF(G234="","",ABS(O234-Components!$C$4)/Components!$D$4)</f>
        <v>11.922955285712488</v>
      </c>
      <c r="S234" s="81">
        <f>IF(G234="","",ABS(O234-Components!$C$5)/Components!$D$5)</f>
        <v>135.13470696258622</v>
      </c>
      <c r="T234" s="81">
        <f>IF(G234="","",ABS(O234-Components!$C$6)/Components!$D$6)</f>
        <v>0.15684294335146007</v>
      </c>
      <c r="U234" s="81">
        <f>IF(G234="","",ABS(O234-Components!$C$7)/Components!$D$7)</f>
        <v>8.5237071862430067</v>
      </c>
      <c r="V234" s="81" t="str">
        <f>IF(G234="","",IF(M234="OK","NONE",INDEX({"S1","S2","W1","W2","N1","N2"},MATCH(MIN(P234:U234),P234:U234,0))))</f>
        <v>N1</v>
      </c>
      <c r="W234" s="117">
        <f t="shared" si="28"/>
        <v>1</v>
      </c>
      <c r="X234" s="107"/>
    </row>
    <row r="235" spans="1:24">
      <c r="A235" s="115">
        <v>233</v>
      </c>
      <c r="B235" s="116">
        <v>8</v>
      </c>
      <c r="C235" s="81" t="s">
        <v>130</v>
      </c>
      <c r="D235" s="111" t="s">
        <v>240</v>
      </c>
      <c r="E235" s="81" t="s">
        <v>108</v>
      </c>
      <c r="F235" s="61">
        <v>7.76</v>
      </c>
      <c r="G235" s="52">
        <f t="shared" si="22"/>
        <v>8.73</v>
      </c>
      <c r="H235" s="110"/>
      <c r="I235" s="81">
        <v>9.91</v>
      </c>
      <c r="J235" s="81">
        <f>VLOOKUP(C235,Recipes!$A$2:$N$4,12,FALSE())</f>
        <v>5.0137397426368718E-2</v>
      </c>
      <c r="K235" s="81">
        <f t="shared" si="23"/>
        <v>9.7595878077208944</v>
      </c>
      <c r="L235" s="81">
        <f t="shared" si="24"/>
        <v>10.060412192279106</v>
      </c>
      <c r="M235" s="81" t="str">
        <f t="shared" si="25"/>
        <v>NG</v>
      </c>
      <c r="N235" s="117">
        <f t="shared" si="26"/>
        <v>1</v>
      </c>
      <c r="O235" s="81">
        <f t="shared" si="27"/>
        <v>1.1799999999999997</v>
      </c>
      <c r="P235" s="81">
        <f>IF(G235="","",ABS(O235-Components!$C$2)/Components!$D$2)</f>
        <v>238.06117450567126</v>
      </c>
      <c r="Q235" s="81">
        <f>IF(G235="","",ABS(O235-Components!$C$3)/Components!$D$3)</f>
        <v>207.00825440379285</v>
      </c>
      <c r="R235" s="81">
        <f>IF(G235="","",ABS(O235-Components!$C$4)/Components!$D$4)</f>
        <v>13.353709919997952</v>
      </c>
      <c r="S235" s="81">
        <f>IF(G235="","",ABS(O235-Components!$C$5)/Components!$D$5)</f>
        <v>134.3404198918814</v>
      </c>
      <c r="T235" s="81">
        <f>IF(G235="","",ABS(O235-Components!$C$6)/Components!$D$6)</f>
        <v>0.8807334511279391</v>
      </c>
      <c r="U235" s="81">
        <f>IF(G235="","",ABS(O235-Components!$C$7)/Components!$D$7)</f>
        <v>7.7283379309170694</v>
      </c>
      <c r="V235" s="81" t="str">
        <f>IF(G235="","",IF(M235="OK","NONE",INDEX({"S1","S2","W1","W2","N1","N2"},MATCH(MIN(P235:U235),P235:U235,0))))</f>
        <v>N1</v>
      </c>
      <c r="W235" s="117">
        <f t="shared" si="28"/>
        <v>1</v>
      </c>
      <c r="X235" s="107"/>
    </row>
    <row r="236" spans="1:24">
      <c r="A236" s="115">
        <v>234</v>
      </c>
      <c r="B236" s="116">
        <v>8</v>
      </c>
      <c r="C236" s="81" t="s">
        <v>130</v>
      </c>
      <c r="D236" s="111" t="s">
        <v>240</v>
      </c>
      <c r="E236" s="81" t="s">
        <v>108</v>
      </c>
      <c r="F236" s="61">
        <v>7.77</v>
      </c>
      <c r="G236" s="52">
        <f t="shared" si="22"/>
        <v>8.74</v>
      </c>
      <c r="H236" s="110"/>
      <c r="I236" s="81">
        <v>9.91</v>
      </c>
      <c r="J236" s="81">
        <f>VLOOKUP(C236,Recipes!$A$2:$N$4,12,FALSE())</f>
        <v>5.0137397426368718E-2</v>
      </c>
      <c r="K236" s="81">
        <f t="shared" si="23"/>
        <v>9.7595878077208944</v>
      </c>
      <c r="L236" s="81">
        <f t="shared" si="24"/>
        <v>10.060412192279106</v>
      </c>
      <c r="M236" s="81" t="str">
        <f t="shared" si="25"/>
        <v>NG</v>
      </c>
      <c r="N236" s="117">
        <f t="shared" si="26"/>
        <v>1</v>
      </c>
      <c r="O236" s="81">
        <f t="shared" si="27"/>
        <v>1.17</v>
      </c>
      <c r="P236" s="81">
        <f>IF(G236="","",ABS(O236-Components!$C$2)/Components!$D$2)</f>
        <v>239.57427519108862</v>
      </c>
      <c r="Q236" s="81">
        <f>IF(G236="","",ABS(O236-Components!$C$3)/Components!$D$3)</f>
        <v>207.73307322173329</v>
      </c>
      <c r="R236" s="81">
        <f>IF(G236="","",ABS(O236-Components!$C$4)/Components!$D$4)</f>
        <v>12.63833260285522</v>
      </c>
      <c r="S236" s="81">
        <f>IF(G236="","",ABS(O236-Components!$C$5)/Components!$D$5)</f>
        <v>134.73756342723382</v>
      </c>
      <c r="T236" s="81">
        <f>IF(G236="","",ABS(O236-Components!$C$6)/Components!$D$6)</f>
        <v>0.5187881972396996</v>
      </c>
      <c r="U236" s="81">
        <f>IF(G236="","",ABS(O236-Components!$C$7)/Components!$D$7)</f>
        <v>8.1260225585800381</v>
      </c>
      <c r="V236" s="81" t="str">
        <f>IF(G236="","",IF(M236="OK","NONE",INDEX({"S1","S2","W1","W2","N1","N2"},MATCH(MIN(P236:U236),P236:U236,0))))</f>
        <v>N1</v>
      </c>
      <c r="W236" s="117">
        <f t="shared" si="28"/>
        <v>1</v>
      </c>
      <c r="X236" s="107"/>
    </row>
    <row r="237" spans="1:24">
      <c r="A237" s="115">
        <v>235</v>
      </c>
      <c r="B237" s="116">
        <v>8</v>
      </c>
      <c r="C237" s="61" t="s">
        <v>130</v>
      </c>
      <c r="D237" s="61" t="s">
        <v>240</v>
      </c>
      <c r="E237" s="61" t="s">
        <v>108</v>
      </c>
      <c r="F237" s="61">
        <v>7.71</v>
      </c>
      <c r="G237" s="52">
        <f t="shared" si="22"/>
        <v>8.68</v>
      </c>
      <c r="H237" s="110"/>
      <c r="I237" s="81">
        <v>9.91</v>
      </c>
      <c r="J237" s="81">
        <f>VLOOKUP(C237,Recipes!$A$2:$N$4,12,FALSE())</f>
        <v>5.0137397426368718E-2</v>
      </c>
      <c r="K237" s="81">
        <f t="shared" si="23"/>
        <v>9.7595878077208944</v>
      </c>
      <c r="L237" s="81">
        <f t="shared" si="24"/>
        <v>10.060412192279106</v>
      </c>
      <c r="M237" s="81" t="str">
        <f t="shared" si="25"/>
        <v>NG</v>
      </c>
      <c r="N237" s="117">
        <f t="shared" si="26"/>
        <v>1</v>
      </c>
      <c r="O237" s="81">
        <f t="shared" si="27"/>
        <v>1.2300000000000004</v>
      </c>
      <c r="P237" s="81">
        <f>IF(G237="","",ABS(O237-Components!$C$2)/Components!$D$2)</f>
        <v>230.49567107858411</v>
      </c>
      <c r="Q237" s="81">
        <f>IF(G237="","",ABS(O237-Components!$C$3)/Components!$D$3)</f>
        <v>203.38416031409054</v>
      </c>
      <c r="R237" s="81">
        <f>IF(G237="","",ABS(O237-Components!$C$4)/Components!$D$4)</f>
        <v>16.930596505711737</v>
      </c>
      <c r="S237" s="81">
        <f>IF(G237="","",ABS(O237-Components!$C$5)/Components!$D$5)</f>
        <v>132.35470221511923</v>
      </c>
      <c r="T237" s="81">
        <f>IF(G237="","",ABS(O237-Components!$C$6)/Components!$D$6)</f>
        <v>2.6904597205692009</v>
      </c>
      <c r="U237" s="81">
        <f>IF(G237="","",ABS(O237-Components!$C$7)/Components!$D$7)</f>
        <v>5.7399147926021561</v>
      </c>
      <c r="V237" s="81" t="str">
        <f>IF(G237="","",IF(M237="OK","NONE",INDEX({"S1","S2","W1","W2","N1","N2"},MATCH(MIN(P237:U237),P237:U237,0))))</f>
        <v>N1</v>
      </c>
      <c r="W237" s="117">
        <f t="shared" si="28"/>
        <v>1</v>
      </c>
      <c r="X237" s="107"/>
    </row>
    <row r="238" spans="1:24">
      <c r="A238" s="115">
        <v>236</v>
      </c>
      <c r="B238" s="116">
        <v>8</v>
      </c>
      <c r="C238" s="81" t="s">
        <v>130</v>
      </c>
      <c r="D238" s="111" t="s">
        <v>240</v>
      </c>
      <c r="E238" s="81" t="s">
        <v>108</v>
      </c>
      <c r="F238" s="52">
        <v>7.78</v>
      </c>
      <c r="G238" s="52">
        <f t="shared" si="22"/>
        <v>8.75</v>
      </c>
      <c r="H238" s="110"/>
      <c r="I238" s="81">
        <v>9.91</v>
      </c>
      <c r="J238" s="81">
        <f>VLOOKUP(C238,Recipes!$A$2:$N$4,12,FALSE())</f>
        <v>5.0137397426368718E-2</v>
      </c>
      <c r="K238" s="81">
        <f t="shared" si="23"/>
        <v>9.7595878077208944</v>
      </c>
      <c r="L238" s="81">
        <f t="shared" si="24"/>
        <v>10.060412192279106</v>
      </c>
      <c r="M238" s="81" t="str">
        <f t="shared" si="25"/>
        <v>NG</v>
      </c>
      <c r="N238" s="117">
        <f t="shared" si="26"/>
        <v>1</v>
      </c>
      <c r="O238" s="81">
        <f t="shared" si="27"/>
        <v>1.1600000000000001</v>
      </c>
      <c r="P238" s="81">
        <f>IF(G238="","",ABS(O238-Components!$C$2)/Components!$D$2)</f>
        <v>241.087375876506</v>
      </c>
      <c r="Q238" s="81">
        <f>IF(G238="","",ABS(O238-Components!$C$3)/Components!$D$3)</f>
        <v>208.45789203967374</v>
      </c>
      <c r="R238" s="81">
        <f>IF(G238="","",ABS(O238-Components!$C$4)/Components!$D$4)</f>
        <v>11.922955285712488</v>
      </c>
      <c r="S238" s="81">
        <f>IF(G238="","",ABS(O238-Components!$C$5)/Components!$D$5)</f>
        <v>135.13470696258622</v>
      </c>
      <c r="T238" s="81">
        <f>IF(G238="","",ABS(O238-Components!$C$6)/Components!$D$6)</f>
        <v>0.15684294335146007</v>
      </c>
      <c r="U238" s="81">
        <f>IF(G238="","",ABS(O238-Components!$C$7)/Components!$D$7)</f>
        <v>8.5237071862430067</v>
      </c>
      <c r="V238" s="81" t="str">
        <f>IF(G238="","",IF(M238="OK","NONE",INDEX({"S1","S2","W1","W2","N1","N2"},MATCH(MIN(P238:U238),P238:U238,0))))</f>
        <v>N1</v>
      </c>
      <c r="W238" s="117">
        <f t="shared" si="28"/>
        <v>1</v>
      </c>
      <c r="X238" s="107"/>
    </row>
    <row r="239" spans="1:24">
      <c r="A239" s="115">
        <v>237</v>
      </c>
      <c r="B239" s="116">
        <v>8</v>
      </c>
      <c r="C239" s="81" t="s">
        <v>130</v>
      </c>
      <c r="D239" s="111" t="s">
        <v>240</v>
      </c>
      <c r="E239" s="81" t="s">
        <v>108</v>
      </c>
      <c r="F239" s="52">
        <v>7.79</v>
      </c>
      <c r="G239" s="52">
        <f t="shared" si="22"/>
        <v>8.76</v>
      </c>
      <c r="H239" s="110"/>
      <c r="I239" s="81">
        <v>9.91</v>
      </c>
      <c r="J239" s="81">
        <f>VLOOKUP(C239,Recipes!$A$2:$N$4,12,FALSE())</f>
        <v>5.0137397426368718E-2</v>
      </c>
      <c r="K239" s="81">
        <f t="shared" si="23"/>
        <v>9.7595878077208944</v>
      </c>
      <c r="L239" s="81">
        <f t="shared" si="24"/>
        <v>10.060412192279106</v>
      </c>
      <c r="M239" s="81" t="str">
        <f t="shared" si="25"/>
        <v>NG</v>
      </c>
      <c r="N239" s="117">
        <f t="shared" si="26"/>
        <v>1</v>
      </c>
      <c r="O239" s="81">
        <f t="shared" si="27"/>
        <v>1.1500000000000004</v>
      </c>
      <c r="P239" s="81">
        <f>IF(G239="","",ABS(O239-Components!$C$2)/Components!$D$2)</f>
        <v>242.60047656192336</v>
      </c>
      <c r="Q239" s="81">
        <f>IF(G239="","",ABS(O239-Components!$C$3)/Components!$D$3)</f>
        <v>209.18271085761415</v>
      </c>
      <c r="R239" s="81">
        <f>IF(G239="","",ABS(O239-Components!$C$4)/Components!$D$4)</f>
        <v>11.207577968569757</v>
      </c>
      <c r="S239" s="81">
        <f>IF(G239="","",ABS(O239-Components!$C$5)/Components!$D$5)</f>
        <v>135.53185049793865</v>
      </c>
      <c r="T239" s="81">
        <f>IF(G239="","",ABS(O239-Components!$C$6)/Components!$D$6)</f>
        <v>0.20510231053677941</v>
      </c>
      <c r="U239" s="81">
        <f>IF(G239="","",ABS(O239-Components!$C$7)/Components!$D$7)</f>
        <v>8.9213918139059754</v>
      </c>
      <c r="V239" s="81" t="str">
        <f>IF(G239="","",IF(M239="OK","NONE",INDEX({"S1","S2","W1","W2","N1","N2"},MATCH(MIN(P239:U239),P239:U239,0))))</f>
        <v>N1</v>
      </c>
      <c r="W239" s="117">
        <f t="shared" si="28"/>
        <v>1</v>
      </c>
      <c r="X239" s="107"/>
    </row>
    <row r="240" spans="1:24">
      <c r="A240" s="115">
        <v>238</v>
      </c>
      <c r="B240" s="116">
        <v>8</v>
      </c>
      <c r="C240" s="81" t="s">
        <v>130</v>
      </c>
      <c r="D240" s="111" t="s">
        <v>240</v>
      </c>
      <c r="E240" s="81" t="s">
        <v>108</v>
      </c>
      <c r="F240" s="52">
        <v>7.78</v>
      </c>
      <c r="G240" s="52">
        <f t="shared" si="22"/>
        <v>8.75</v>
      </c>
      <c r="H240" s="110"/>
      <c r="I240" s="81">
        <v>9.91</v>
      </c>
      <c r="J240" s="81">
        <f>VLOOKUP(C240,Recipes!$A$2:$N$4,12,FALSE())</f>
        <v>5.0137397426368718E-2</v>
      </c>
      <c r="K240" s="81">
        <f t="shared" si="23"/>
        <v>9.7595878077208944</v>
      </c>
      <c r="L240" s="81">
        <f t="shared" si="24"/>
        <v>10.060412192279106</v>
      </c>
      <c r="M240" s="81" t="str">
        <f t="shared" si="25"/>
        <v>NG</v>
      </c>
      <c r="N240" s="117">
        <f t="shared" si="26"/>
        <v>1</v>
      </c>
      <c r="O240" s="81">
        <f t="shared" si="27"/>
        <v>1.1600000000000001</v>
      </c>
      <c r="P240" s="81">
        <f>IF(G240="","",ABS(O240-Components!$C$2)/Components!$D$2)</f>
        <v>241.087375876506</v>
      </c>
      <c r="Q240" s="81">
        <f>IF(G240="","",ABS(O240-Components!$C$3)/Components!$D$3)</f>
        <v>208.45789203967374</v>
      </c>
      <c r="R240" s="81">
        <f>IF(G240="","",ABS(O240-Components!$C$4)/Components!$D$4)</f>
        <v>11.922955285712488</v>
      </c>
      <c r="S240" s="81">
        <f>IF(G240="","",ABS(O240-Components!$C$5)/Components!$D$5)</f>
        <v>135.13470696258622</v>
      </c>
      <c r="T240" s="81">
        <f>IF(G240="","",ABS(O240-Components!$C$6)/Components!$D$6)</f>
        <v>0.15684294335146007</v>
      </c>
      <c r="U240" s="81">
        <f>IF(G240="","",ABS(O240-Components!$C$7)/Components!$D$7)</f>
        <v>8.5237071862430067</v>
      </c>
      <c r="V240" s="81" t="str">
        <f>IF(G240="","",IF(M240="OK","NONE",INDEX({"S1","S2","W1","W2","N1","N2"},MATCH(MIN(P240:U240),P240:U240,0))))</f>
        <v>N1</v>
      </c>
      <c r="W240" s="117">
        <f t="shared" si="28"/>
        <v>1</v>
      </c>
      <c r="X240" s="107"/>
    </row>
    <row r="241" spans="1:24">
      <c r="A241" s="115">
        <v>239</v>
      </c>
      <c r="B241" s="116">
        <v>8</v>
      </c>
      <c r="C241" s="81" t="s">
        <v>130</v>
      </c>
      <c r="D241" s="111" t="s">
        <v>240</v>
      </c>
      <c r="E241" s="81" t="s">
        <v>108</v>
      </c>
      <c r="F241" s="52">
        <v>7.78</v>
      </c>
      <c r="G241" s="52">
        <f t="shared" si="22"/>
        <v>8.75</v>
      </c>
      <c r="H241" s="110"/>
      <c r="I241" s="81">
        <v>9.91</v>
      </c>
      <c r="J241" s="81">
        <f>VLOOKUP(C241,Recipes!$A$2:$N$4,12,FALSE())</f>
        <v>5.0137397426368718E-2</v>
      </c>
      <c r="K241" s="81">
        <f t="shared" si="23"/>
        <v>9.7595878077208944</v>
      </c>
      <c r="L241" s="81">
        <f t="shared" si="24"/>
        <v>10.060412192279106</v>
      </c>
      <c r="M241" s="81" t="str">
        <f t="shared" si="25"/>
        <v>NG</v>
      </c>
      <c r="N241" s="117">
        <f t="shared" si="26"/>
        <v>1</v>
      </c>
      <c r="O241" s="81">
        <f t="shared" si="27"/>
        <v>1.1600000000000001</v>
      </c>
      <c r="P241" s="81">
        <f>IF(G241="","",ABS(O241-Components!$C$2)/Components!$D$2)</f>
        <v>241.087375876506</v>
      </c>
      <c r="Q241" s="81">
        <f>IF(G241="","",ABS(O241-Components!$C$3)/Components!$D$3)</f>
        <v>208.45789203967374</v>
      </c>
      <c r="R241" s="81">
        <f>IF(G241="","",ABS(O241-Components!$C$4)/Components!$D$4)</f>
        <v>11.922955285712488</v>
      </c>
      <c r="S241" s="81">
        <f>IF(G241="","",ABS(O241-Components!$C$5)/Components!$D$5)</f>
        <v>135.13470696258622</v>
      </c>
      <c r="T241" s="81">
        <f>IF(G241="","",ABS(O241-Components!$C$6)/Components!$D$6)</f>
        <v>0.15684294335146007</v>
      </c>
      <c r="U241" s="81">
        <f>IF(G241="","",ABS(O241-Components!$C$7)/Components!$D$7)</f>
        <v>8.5237071862430067</v>
      </c>
      <c r="V241" s="81" t="str">
        <f>IF(G241="","",IF(M241="OK","NONE",INDEX({"S1","S2","W1","W2","N1","N2"},MATCH(MIN(P241:U241),P241:U241,0))))</f>
        <v>N1</v>
      </c>
      <c r="W241" s="117">
        <f t="shared" si="28"/>
        <v>1</v>
      </c>
      <c r="X241" s="107"/>
    </row>
    <row r="242" spans="1:24">
      <c r="A242" s="115">
        <v>240</v>
      </c>
      <c r="B242" s="116">
        <v>8</v>
      </c>
      <c r="C242" s="61" t="s">
        <v>130</v>
      </c>
      <c r="D242" s="61" t="s">
        <v>240</v>
      </c>
      <c r="E242" s="61" t="s">
        <v>108</v>
      </c>
      <c r="F242" s="52">
        <v>7.79</v>
      </c>
      <c r="G242" s="52">
        <f t="shared" si="22"/>
        <v>8.76</v>
      </c>
      <c r="H242" s="110"/>
      <c r="I242" s="81">
        <v>9.91</v>
      </c>
      <c r="J242" s="81">
        <f>VLOOKUP(C242,Recipes!$A$2:$N$4,12,FALSE())</f>
        <v>5.0137397426368718E-2</v>
      </c>
      <c r="K242" s="81">
        <f t="shared" si="23"/>
        <v>9.7595878077208944</v>
      </c>
      <c r="L242" s="81">
        <f t="shared" si="24"/>
        <v>10.060412192279106</v>
      </c>
      <c r="M242" s="81" t="str">
        <f t="shared" si="25"/>
        <v>NG</v>
      </c>
      <c r="N242" s="117">
        <f t="shared" si="26"/>
        <v>1</v>
      </c>
      <c r="O242" s="81">
        <f t="shared" si="27"/>
        <v>1.1500000000000004</v>
      </c>
      <c r="P242" s="81">
        <f>IF(G242="","",ABS(O242-Components!$C$2)/Components!$D$2)</f>
        <v>242.60047656192336</v>
      </c>
      <c r="Q242" s="81">
        <f>IF(G242="","",ABS(O242-Components!$C$3)/Components!$D$3)</f>
        <v>209.18271085761415</v>
      </c>
      <c r="R242" s="81">
        <f>IF(G242="","",ABS(O242-Components!$C$4)/Components!$D$4)</f>
        <v>11.207577968569757</v>
      </c>
      <c r="S242" s="81">
        <f>IF(G242="","",ABS(O242-Components!$C$5)/Components!$D$5)</f>
        <v>135.53185049793865</v>
      </c>
      <c r="T242" s="81">
        <f>IF(G242="","",ABS(O242-Components!$C$6)/Components!$D$6)</f>
        <v>0.20510231053677941</v>
      </c>
      <c r="U242" s="81">
        <f>IF(G242="","",ABS(O242-Components!$C$7)/Components!$D$7)</f>
        <v>8.9213918139059754</v>
      </c>
      <c r="V242" s="81" t="str">
        <f>IF(G242="","",IF(M242="OK","NONE",INDEX({"S1","S2","W1","W2","N1","N2"},MATCH(MIN(P242:U242),P242:U242,0))))</f>
        <v>N1</v>
      </c>
      <c r="W242" s="117">
        <f t="shared" si="28"/>
        <v>1</v>
      </c>
      <c r="X242" s="107"/>
    </row>
    <row r="243" spans="1:24">
      <c r="A243" s="115">
        <v>241</v>
      </c>
      <c r="B243" s="116">
        <v>9</v>
      </c>
      <c r="C243" s="81" t="s">
        <v>130</v>
      </c>
      <c r="D243" s="111" t="s">
        <v>240</v>
      </c>
      <c r="E243" s="81" t="s">
        <v>102</v>
      </c>
      <c r="F243" s="61">
        <v>4.9400000000000004</v>
      </c>
      <c r="G243" s="52">
        <f t="shared" si="22"/>
        <v>5.91</v>
      </c>
      <c r="H243" s="110"/>
      <c r="I243" s="81">
        <v>9.91</v>
      </c>
      <c r="J243" s="81">
        <f>VLOOKUP(C243,Recipes!$A$2:$N$4,12,FALSE())</f>
        <v>5.0137397426368718E-2</v>
      </c>
      <c r="K243" s="81">
        <f t="shared" si="23"/>
        <v>9.7595878077208944</v>
      </c>
      <c r="L243" s="81">
        <f t="shared" si="24"/>
        <v>10.060412192279106</v>
      </c>
      <c r="M243" s="81" t="str">
        <f t="shared" si="25"/>
        <v>NG</v>
      </c>
      <c r="N243" s="117">
        <f t="shared" si="26"/>
        <v>1</v>
      </c>
      <c r="O243" s="81">
        <f t="shared" si="27"/>
        <v>4</v>
      </c>
      <c r="P243" s="81">
        <f>IF(G243="","",ABS(O243-Components!$C$2)/Components!$D$2)</f>
        <v>188.63321878203703</v>
      </c>
      <c r="Q243" s="81">
        <f>IF(G243="","",ABS(O243-Components!$C$3)/Components!$D$3)</f>
        <v>2.6093477445855946</v>
      </c>
      <c r="R243" s="81">
        <f>IF(G243="","",ABS(O243-Components!$C$4)/Components!$D$4)</f>
        <v>215.09011335425262</v>
      </c>
      <c r="S243" s="81">
        <f>IF(G243="","",ABS(O243-Components!$C$5)/Components!$D$5)</f>
        <v>22.345942922496754</v>
      </c>
      <c r="T243" s="81">
        <f>IF(G243="","",ABS(O243-Components!$C$6)/Components!$D$6)</f>
        <v>102.94929504761366</v>
      </c>
      <c r="U243" s="81">
        <f>IF(G243="","",ABS(O243-Components!$C$7)/Components!$D$7)</f>
        <v>104.41872707004249</v>
      </c>
      <c r="V243" s="81" t="str">
        <f>IF(G243="","",IF(M243="OK","NONE",INDEX({"S1","S2","W1","W2","N1","N2"},MATCH(MIN(P243:U243),P243:U243,0))))</f>
        <v>S2</v>
      </c>
      <c r="W243" s="117">
        <f t="shared" si="28"/>
        <v>1</v>
      </c>
      <c r="X243" s="107"/>
    </row>
    <row r="244" spans="1:24">
      <c r="A244" s="115">
        <v>242</v>
      </c>
      <c r="B244" s="116">
        <v>9</v>
      </c>
      <c r="C244" s="81" t="s">
        <v>130</v>
      </c>
      <c r="D244" s="111" t="s">
        <v>240</v>
      </c>
      <c r="E244" s="81" t="s">
        <v>102</v>
      </c>
      <c r="F244" s="61">
        <v>4.91</v>
      </c>
      <c r="G244" s="52">
        <f t="shared" si="22"/>
        <v>5.88</v>
      </c>
      <c r="H244" s="110"/>
      <c r="I244" s="81">
        <v>9.91</v>
      </c>
      <c r="J244" s="81">
        <f>VLOOKUP(C244,Recipes!$A$2:$N$4,12,FALSE())</f>
        <v>5.0137397426368718E-2</v>
      </c>
      <c r="K244" s="81">
        <f t="shared" si="23"/>
        <v>9.7595878077208944</v>
      </c>
      <c r="L244" s="81">
        <f t="shared" si="24"/>
        <v>10.060412192279106</v>
      </c>
      <c r="M244" s="81" t="str">
        <f t="shared" si="25"/>
        <v>NG</v>
      </c>
      <c r="N244" s="117">
        <f t="shared" si="26"/>
        <v>1</v>
      </c>
      <c r="O244" s="81">
        <f t="shared" si="27"/>
        <v>4.03</v>
      </c>
      <c r="P244" s="81">
        <f>IF(G244="","",ABS(O244-Components!$C$2)/Components!$D$2)</f>
        <v>193.17252083828927</v>
      </c>
      <c r="Q244" s="81">
        <f>IF(G244="","",ABS(O244-Components!$C$3)/Components!$D$3)</f>
        <v>0.43489129076422284</v>
      </c>
      <c r="R244" s="81">
        <f>IF(G244="","",ABS(O244-Components!$C$4)/Components!$D$4)</f>
        <v>217.23624530568088</v>
      </c>
      <c r="S244" s="81">
        <f>IF(G244="","",ABS(O244-Components!$C$5)/Components!$D$5)</f>
        <v>21.154512316439458</v>
      </c>
      <c r="T244" s="81">
        <f>IF(G244="","",ABS(O244-Components!$C$6)/Components!$D$6)</f>
        <v>104.03513080927841</v>
      </c>
      <c r="U244" s="81">
        <f>IF(G244="","",ABS(O244-Components!$C$7)/Components!$D$7)</f>
        <v>105.61178095303143</v>
      </c>
      <c r="V244" s="81" t="str">
        <f>IF(G244="","",IF(M244="OK","NONE",INDEX({"S1","S2","W1","W2","N1","N2"},MATCH(MIN(P244:U244),P244:U244,0))))</f>
        <v>S2</v>
      </c>
      <c r="W244" s="117">
        <f t="shared" si="28"/>
        <v>1</v>
      </c>
      <c r="X244" s="107"/>
    </row>
    <row r="245" spans="1:24">
      <c r="A245" s="115">
        <v>243</v>
      </c>
      <c r="B245" s="116">
        <v>9</v>
      </c>
      <c r="C245" s="81" t="s">
        <v>130</v>
      </c>
      <c r="D245" s="111" t="s">
        <v>240</v>
      </c>
      <c r="E245" s="81" t="s">
        <v>102</v>
      </c>
      <c r="F245" s="61">
        <v>4.8099999999999996</v>
      </c>
      <c r="G245" s="52">
        <f t="shared" si="22"/>
        <v>5.7799999999999994</v>
      </c>
      <c r="H245" s="110"/>
      <c r="I245" s="81">
        <v>9.91</v>
      </c>
      <c r="J245" s="81">
        <f>VLOOKUP(C245,Recipes!$A$2:$N$4,12,FALSE())</f>
        <v>5.0137397426368718E-2</v>
      </c>
      <c r="K245" s="81">
        <f t="shared" si="23"/>
        <v>9.7595878077208944</v>
      </c>
      <c r="L245" s="81">
        <f t="shared" si="24"/>
        <v>10.060412192279106</v>
      </c>
      <c r="M245" s="81" t="str">
        <f t="shared" si="25"/>
        <v>NG</v>
      </c>
      <c r="N245" s="117">
        <f t="shared" si="26"/>
        <v>1</v>
      </c>
      <c r="O245" s="81">
        <f t="shared" si="27"/>
        <v>4.1300000000000008</v>
      </c>
      <c r="P245" s="81">
        <f>IF(G245="","",ABS(O245-Components!$C$2)/Components!$D$2)</f>
        <v>208.3035276924634</v>
      </c>
      <c r="Q245" s="81">
        <f>IF(G245="","",ABS(O245-Components!$C$3)/Components!$D$3)</f>
        <v>6.8132968886403278</v>
      </c>
      <c r="R245" s="81">
        <f>IF(G245="","",ABS(O245-Components!$C$4)/Components!$D$4)</f>
        <v>224.39001847710838</v>
      </c>
      <c r="S245" s="81">
        <f>IF(G245="","",ABS(O245-Components!$C$5)/Components!$D$5)</f>
        <v>17.183076962915159</v>
      </c>
      <c r="T245" s="81">
        <f>IF(G245="","",ABS(O245-Components!$C$6)/Components!$D$6)</f>
        <v>107.6545833481609</v>
      </c>
      <c r="U245" s="81">
        <f>IF(G245="","",ABS(O245-Components!$C$7)/Components!$D$7)</f>
        <v>109.58862722966123</v>
      </c>
      <c r="V245" s="81" t="str">
        <f>IF(G245="","",IF(M245="OK","NONE",INDEX({"S1","S2","W1","W2","N1","N2"},MATCH(MIN(P245:U245),P245:U245,0))))</f>
        <v>S2</v>
      </c>
      <c r="W245" s="117">
        <f t="shared" si="28"/>
        <v>1</v>
      </c>
      <c r="X245" s="107"/>
    </row>
    <row r="246" spans="1:24">
      <c r="A246" s="115">
        <v>244</v>
      </c>
      <c r="B246" s="116">
        <v>9</v>
      </c>
      <c r="C246" s="61" t="s">
        <v>130</v>
      </c>
      <c r="D246" s="61" t="s">
        <v>240</v>
      </c>
      <c r="E246" s="61" t="s">
        <v>102</v>
      </c>
      <c r="F246" s="61">
        <v>4.92</v>
      </c>
      <c r="G246" s="52">
        <f t="shared" si="22"/>
        <v>5.89</v>
      </c>
      <c r="H246" s="110"/>
      <c r="I246" s="81">
        <v>9.91</v>
      </c>
      <c r="J246" s="81">
        <f>VLOOKUP(C246,Recipes!$A$2:$N$4,12,FALSE())</f>
        <v>5.0137397426368718E-2</v>
      </c>
      <c r="K246" s="81">
        <f t="shared" si="23"/>
        <v>9.7595878077208944</v>
      </c>
      <c r="L246" s="81">
        <f t="shared" si="24"/>
        <v>10.060412192279106</v>
      </c>
      <c r="M246" s="81" t="str">
        <f t="shared" si="25"/>
        <v>NG</v>
      </c>
      <c r="N246" s="117">
        <f t="shared" si="26"/>
        <v>1</v>
      </c>
      <c r="O246" s="81">
        <f t="shared" si="27"/>
        <v>4.0200000000000005</v>
      </c>
      <c r="P246" s="81">
        <f>IF(G246="","",ABS(O246-Components!$C$2)/Components!$D$2)</f>
        <v>191.65942015287192</v>
      </c>
      <c r="Q246" s="81">
        <f>IF(G246="","",ABS(O246-Components!$C$3)/Components!$D$3)</f>
        <v>1.1597101087046586</v>
      </c>
      <c r="R246" s="81">
        <f>IF(G246="","",ABS(O246-Components!$C$4)/Components!$D$4)</f>
        <v>216.52086798853816</v>
      </c>
      <c r="S246" s="81">
        <f>IF(G246="","",ABS(O246-Components!$C$5)/Components!$D$5)</f>
        <v>21.551655851791878</v>
      </c>
      <c r="T246" s="81">
        <f>IF(G246="","",ABS(O246-Components!$C$6)/Components!$D$6)</f>
        <v>103.67318555539018</v>
      </c>
      <c r="U246" s="81">
        <f>IF(G246="","",ABS(O246-Components!$C$7)/Components!$D$7)</f>
        <v>105.21409632536846</v>
      </c>
      <c r="V246" s="81" t="str">
        <f>IF(G246="","",IF(M246="OK","NONE",INDEX({"S1","S2","W1","W2","N1","N2"},MATCH(MIN(P246:U246),P246:U246,0))))</f>
        <v>S2</v>
      </c>
      <c r="W246" s="117">
        <f t="shared" si="28"/>
        <v>1</v>
      </c>
      <c r="X246" s="107"/>
    </row>
    <row r="247" spans="1:24">
      <c r="A247" s="115">
        <v>245</v>
      </c>
      <c r="B247" s="116">
        <v>9</v>
      </c>
      <c r="C247" s="61" t="s">
        <v>130</v>
      </c>
      <c r="D247" s="61" t="s">
        <v>240</v>
      </c>
      <c r="E247" s="61" t="s">
        <v>102</v>
      </c>
      <c r="F247" s="61">
        <v>4.87</v>
      </c>
      <c r="G247" s="52">
        <f t="shared" si="22"/>
        <v>5.84</v>
      </c>
      <c r="H247" s="110"/>
      <c r="I247" s="81">
        <v>9.91</v>
      </c>
      <c r="J247" s="81">
        <f>VLOOKUP(C247,Recipes!$A$2:$N$4,12,FALSE())</f>
        <v>5.0137397426368718E-2</v>
      </c>
      <c r="K247" s="81">
        <f t="shared" si="23"/>
        <v>9.7595878077208944</v>
      </c>
      <c r="L247" s="81">
        <f t="shared" si="24"/>
        <v>10.060412192279106</v>
      </c>
      <c r="M247" s="81" t="str">
        <f t="shared" si="25"/>
        <v>NG</v>
      </c>
      <c r="N247" s="117">
        <f t="shared" si="26"/>
        <v>1</v>
      </c>
      <c r="O247" s="81">
        <f t="shared" si="27"/>
        <v>4.07</v>
      </c>
      <c r="P247" s="81">
        <f>IF(G247="","",ABS(O247-Components!$C$2)/Components!$D$2)</f>
        <v>199.2249235799589</v>
      </c>
      <c r="Q247" s="81">
        <f>IF(G247="","",ABS(O247-Components!$C$3)/Components!$D$3)</f>
        <v>2.4643839809975847</v>
      </c>
      <c r="R247" s="81">
        <f>IF(G247="","",ABS(O247-Components!$C$4)/Components!$D$4)</f>
        <v>220.09775457425187</v>
      </c>
      <c r="S247" s="81">
        <f>IF(G247="","",ABS(O247-Components!$C$5)/Components!$D$5)</f>
        <v>19.565938175029746</v>
      </c>
      <c r="T247" s="81">
        <f>IF(G247="","",ABS(O247-Components!$C$6)/Components!$D$6)</f>
        <v>105.4829118248314</v>
      </c>
      <c r="U247" s="81">
        <f>IF(G247="","",ABS(O247-Components!$C$7)/Components!$D$7)</f>
        <v>107.20251946368334</v>
      </c>
      <c r="V247" s="81" t="str">
        <f>IF(G247="","",IF(M247="OK","NONE",INDEX({"S1","S2","W1","W2","N1","N2"},MATCH(MIN(P247:U247),P247:U247,0))))</f>
        <v>S2</v>
      </c>
      <c r="W247" s="117">
        <f t="shared" si="28"/>
        <v>1</v>
      </c>
      <c r="X247" s="107"/>
    </row>
    <row r="248" spans="1:24">
      <c r="A248" s="115">
        <v>246</v>
      </c>
      <c r="B248" s="116">
        <v>9</v>
      </c>
      <c r="C248" s="81" t="s">
        <v>130</v>
      </c>
      <c r="D248" s="111" t="s">
        <v>240</v>
      </c>
      <c r="E248" s="81" t="s">
        <v>102</v>
      </c>
      <c r="F248" s="61">
        <v>4.9400000000000004</v>
      </c>
      <c r="G248" s="52">
        <f t="shared" si="22"/>
        <v>5.91</v>
      </c>
      <c r="H248" s="110"/>
      <c r="I248" s="81">
        <v>9.91</v>
      </c>
      <c r="J248" s="81">
        <f>VLOOKUP(C248,Recipes!$A$2:$N$4,12,FALSE())</f>
        <v>5.0137397426368718E-2</v>
      </c>
      <c r="K248" s="81">
        <f t="shared" si="23"/>
        <v>9.7595878077208944</v>
      </c>
      <c r="L248" s="81">
        <f t="shared" si="24"/>
        <v>10.060412192279106</v>
      </c>
      <c r="M248" s="81" t="str">
        <f t="shared" si="25"/>
        <v>NG</v>
      </c>
      <c r="N248" s="117">
        <f t="shared" si="26"/>
        <v>1</v>
      </c>
      <c r="O248" s="81">
        <f t="shared" si="27"/>
        <v>4</v>
      </c>
      <c r="P248" s="81">
        <f>IF(G248="","",ABS(O248-Components!$C$2)/Components!$D$2)</f>
        <v>188.63321878203703</v>
      </c>
      <c r="Q248" s="81">
        <f>IF(G248="","",ABS(O248-Components!$C$3)/Components!$D$3)</f>
        <v>2.6093477445855946</v>
      </c>
      <c r="R248" s="81">
        <f>IF(G248="","",ABS(O248-Components!$C$4)/Components!$D$4)</f>
        <v>215.09011335425262</v>
      </c>
      <c r="S248" s="81">
        <f>IF(G248="","",ABS(O248-Components!$C$5)/Components!$D$5)</f>
        <v>22.345942922496754</v>
      </c>
      <c r="T248" s="81">
        <f>IF(G248="","",ABS(O248-Components!$C$6)/Components!$D$6)</f>
        <v>102.94929504761366</v>
      </c>
      <c r="U248" s="81">
        <f>IF(G248="","",ABS(O248-Components!$C$7)/Components!$D$7)</f>
        <v>104.41872707004249</v>
      </c>
      <c r="V248" s="81" t="str">
        <f>IF(G248="","",IF(M248="OK","NONE",INDEX({"S1","S2","W1","W2","N1","N2"},MATCH(MIN(P248:U248),P248:U248,0))))</f>
        <v>S2</v>
      </c>
      <c r="W248" s="117">
        <f t="shared" si="28"/>
        <v>1</v>
      </c>
      <c r="X248" s="107"/>
    </row>
    <row r="249" spans="1:24">
      <c r="A249" s="115">
        <v>247</v>
      </c>
      <c r="B249" s="116">
        <v>9</v>
      </c>
      <c r="C249" s="81" t="s">
        <v>130</v>
      </c>
      <c r="D249" s="111" t="s">
        <v>240</v>
      </c>
      <c r="E249" s="81" t="s">
        <v>102</v>
      </c>
      <c r="F249" s="61">
        <v>4.8899999999999997</v>
      </c>
      <c r="G249" s="52">
        <f t="shared" si="22"/>
        <v>5.8599999999999994</v>
      </c>
      <c r="H249" s="110"/>
      <c r="I249" s="81">
        <v>9.91</v>
      </c>
      <c r="J249" s="81">
        <f>VLOOKUP(C249,Recipes!$A$2:$N$4,12,FALSE())</f>
        <v>5.0137397426368718E-2</v>
      </c>
      <c r="K249" s="81">
        <f t="shared" si="23"/>
        <v>9.7595878077208944</v>
      </c>
      <c r="L249" s="81">
        <f t="shared" si="24"/>
        <v>10.060412192279106</v>
      </c>
      <c r="M249" s="81" t="str">
        <f t="shared" si="25"/>
        <v>NG</v>
      </c>
      <c r="N249" s="117">
        <f t="shared" si="26"/>
        <v>1</v>
      </c>
      <c r="O249" s="81">
        <f t="shared" si="27"/>
        <v>4.0500000000000007</v>
      </c>
      <c r="P249" s="81">
        <f>IF(G249="","",ABS(O249-Components!$C$2)/Components!$D$2)</f>
        <v>196.19872220912416</v>
      </c>
      <c r="Q249" s="81">
        <f>IF(G249="","",ABS(O249-Components!$C$3)/Components!$D$3)</f>
        <v>1.0147463451167131</v>
      </c>
      <c r="R249" s="81">
        <f>IF(G249="","",ABS(O249-Components!$C$4)/Components!$D$4)</f>
        <v>218.66699993996642</v>
      </c>
      <c r="S249" s="81">
        <f>IF(G249="","",ABS(O249-Components!$C$5)/Components!$D$5)</f>
        <v>20.360225245734586</v>
      </c>
      <c r="T249" s="81">
        <f>IF(G249="","",ABS(O249-Components!$C$6)/Components!$D$6)</f>
        <v>104.75902131705493</v>
      </c>
      <c r="U249" s="81">
        <f>IF(G249="","",ABS(O249-Components!$C$7)/Components!$D$7)</f>
        <v>106.40715020835741</v>
      </c>
      <c r="V249" s="81" t="str">
        <f>IF(G249="","",IF(M249="OK","NONE",INDEX({"S1","S2","W1","W2","N1","N2"},MATCH(MIN(P249:U249),P249:U249,0))))</f>
        <v>S2</v>
      </c>
      <c r="W249" s="117">
        <f t="shared" si="28"/>
        <v>1</v>
      </c>
      <c r="X249" s="107"/>
    </row>
    <row r="250" spans="1:24">
      <c r="A250" s="115">
        <v>248</v>
      </c>
      <c r="B250" s="116">
        <v>9</v>
      </c>
      <c r="C250" s="81" t="s">
        <v>130</v>
      </c>
      <c r="D250" s="111" t="s">
        <v>240</v>
      </c>
      <c r="E250" s="81" t="s">
        <v>102</v>
      </c>
      <c r="F250" s="61">
        <v>4.8600000000000003</v>
      </c>
      <c r="G250" s="52">
        <f t="shared" si="22"/>
        <v>5.83</v>
      </c>
      <c r="H250" s="110"/>
      <c r="I250" s="81">
        <v>9.91</v>
      </c>
      <c r="J250" s="81">
        <f>VLOOKUP(C250,Recipes!$A$2:$N$4,12,FALSE())</f>
        <v>5.0137397426368718E-2</v>
      </c>
      <c r="K250" s="81">
        <f t="shared" si="23"/>
        <v>9.7595878077208944</v>
      </c>
      <c r="L250" s="81">
        <f t="shared" si="24"/>
        <v>10.060412192279106</v>
      </c>
      <c r="M250" s="81" t="str">
        <f t="shared" si="25"/>
        <v>NG</v>
      </c>
      <c r="N250" s="117">
        <f t="shared" si="26"/>
        <v>1</v>
      </c>
      <c r="O250" s="81">
        <f t="shared" si="27"/>
        <v>4.08</v>
      </c>
      <c r="P250" s="81">
        <f>IF(G250="","",ABS(O250-Components!$C$2)/Components!$D$2)</f>
        <v>200.73802426537628</v>
      </c>
      <c r="Q250" s="81">
        <f>IF(G250="","",ABS(O250-Components!$C$3)/Components!$D$3)</f>
        <v>3.1892027989380205</v>
      </c>
      <c r="R250" s="81">
        <f>IF(G250="","",ABS(O250-Components!$C$4)/Components!$D$4)</f>
        <v>220.81313189139459</v>
      </c>
      <c r="S250" s="81">
        <f>IF(G250="","",ABS(O250-Components!$C$5)/Components!$D$5)</f>
        <v>19.168794639677326</v>
      </c>
      <c r="T250" s="81">
        <f>IF(G250="","",ABS(O250-Components!$C$6)/Components!$D$6)</f>
        <v>105.84485707871964</v>
      </c>
      <c r="U250" s="81">
        <f>IF(G250="","",ABS(O250-Components!$C$7)/Components!$D$7)</f>
        <v>107.60020409134631</v>
      </c>
      <c r="V250" s="81" t="str">
        <f>IF(G250="","",IF(M250="OK","NONE",INDEX({"S1","S2","W1","W2","N1","N2"},MATCH(MIN(P250:U250),P250:U250,0))))</f>
        <v>S2</v>
      </c>
      <c r="W250" s="117">
        <f t="shared" si="28"/>
        <v>1</v>
      </c>
      <c r="X250" s="107"/>
    </row>
    <row r="251" spans="1:24">
      <c r="A251" s="115">
        <v>249</v>
      </c>
      <c r="B251" s="116">
        <v>9</v>
      </c>
      <c r="C251" s="61" t="s">
        <v>130</v>
      </c>
      <c r="D251" s="61" t="s">
        <v>240</v>
      </c>
      <c r="E251" s="61" t="s">
        <v>102</v>
      </c>
      <c r="F251" s="61">
        <v>4.97</v>
      </c>
      <c r="G251" s="52">
        <f t="shared" si="22"/>
        <v>5.9399999999999995</v>
      </c>
      <c r="H251" s="110"/>
      <c r="I251" s="81">
        <v>9.91</v>
      </c>
      <c r="J251" s="81">
        <f>VLOOKUP(C251,Recipes!$A$2:$N$4,12,FALSE())</f>
        <v>5.0137397426368718E-2</v>
      </c>
      <c r="K251" s="81">
        <f t="shared" si="23"/>
        <v>9.7595878077208944</v>
      </c>
      <c r="L251" s="81">
        <f t="shared" si="24"/>
        <v>10.060412192279106</v>
      </c>
      <c r="M251" s="81" t="str">
        <f t="shared" si="25"/>
        <v>NG</v>
      </c>
      <c r="N251" s="117">
        <f t="shared" si="26"/>
        <v>1</v>
      </c>
      <c r="O251" s="81">
        <f t="shared" si="27"/>
        <v>3.9700000000000006</v>
      </c>
      <c r="P251" s="81">
        <f>IF(G251="","",ABS(O251-Components!$C$2)/Components!$D$2)</f>
        <v>184.09391672578491</v>
      </c>
      <c r="Q251" s="81">
        <f>IF(G251="","",ABS(O251-Components!$C$3)/Components!$D$3)</f>
        <v>4.7838041984069015</v>
      </c>
      <c r="R251" s="81">
        <f>IF(G251="","",ABS(O251-Components!$C$4)/Components!$D$4)</f>
        <v>212.94398140282442</v>
      </c>
      <c r="S251" s="81">
        <f>IF(G251="","",ABS(O251-Components!$C$5)/Components!$D$5)</f>
        <v>23.53737352855401</v>
      </c>
      <c r="T251" s="81">
        <f>IF(G251="","",ABS(O251-Components!$C$6)/Components!$D$6)</f>
        <v>101.86345928594895</v>
      </c>
      <c r="U251" s="81">
        <f>IF(G251="","",ABS(O251-Components!$C$7)/Components!$D$7)</f>
        <v>103.22567318705359</v>
      </c>
      <c r="V251" s="81" t="str">
        <f>IF(G251="","",IF(M251="OK","NONE",INDEX({"S1","S2","W1","W2","N1","N2"},MATCH(MIN(P251:U251),P251:U251,0))))</f>
        <v>S2</v>
      </c>
      <c r="W251" s="117">
        <f t="shared" si="28"/>
        <v>1</v>
      </c>
      <c r="X251" s="107"/>
    </row>
    <row r="252" spans="1:24">
      <c r="A252" s="115">
        <v>250</v>
      </c>
      <c r="B252" s="116">
        <v>9</v>
      </c>
      <c r="C252" s="61" t="s">
        <v>130</v>
      </c>
      <c r="D252" s="61" t="s">
        <v>240</v>
      </c>
      <c r="E252" s="61" t="s">
        <v>102</v>
      </c>
      <c r="F252" s="61">
        <v>4.88</v>
      </c>
      <c r="G252" s="52">
        <f t="shared" si="22"/>
        <v>5.85</v>
      </c>
      <c r="H252" s="110"/>
      <c r="I252" s="81">
        <v>9.91</v>
      </c>
      <c r="J252" s="81">
        <f>VLOOKUP(C252,Recipes!$A$2:$N$4,12,FALSE())</f>
        <v>5.0137397426368718E-2</v>
      </c>
      <c r="K252" s="81">
        <f t="shared" si="23"/>
        <v>9.7595878077208944</v>
      </c>
      <c r="L252" s="81">
        <f t="shared" si="24"/>
        <v>10.060412192279106</v>
      </c>
      <c r="M252" s="81" t="str">
        <f t="shared" si="25"/>
        <v>NG</v>
      </c>
      <c r="N252" s="117">
        <f t="shared" si="26"/>
        <v>1</v>
      </c>
      <c r="O252" s="81">
        <f t="shared" si="27"/>
        <v>4.0600000000000005</v>
      </c>
      <c r="P252" s="81">
        <f>IF(G252="","",ABS(O252-Components!$C$2)/Components!$D$2)</f>
        <v>197.71182289454154</v>
      </c>
      <c r="Q252" s="81">
        <f>IF(G252="","",ABS(O252-Components!$C$3)/Components!$D$3)</f>
        <v>1.7395651630571487</v>
      </c>
      <c r="R252" s="81">
        <f>IF(G252="","",ABS(O252-Components!$C$4)/Components!$D$4)</f>
        <v>219.38237725710914</v>
      </c>
      <c r="S252" s="81">
        <f>IF(G252="","",ABS(O252-Components!$C$5)/Components!$D$5)</f>
        <v>19.963081710382166</v>
      </c>
      <c r="T252" s="81">
        <f>IF(G252="","",ABS(O252-Components!$C$6)/Components!$D$6)</f>
        <v>105.12096657094317</v>
      </c>
      <c r="U252" s="81">
        <f>IF(G252="","",ABS(O252-Components!$C$7)/Components!$D$7)</f>
        <v>106.80483483602038</v>
      </c>
      <c r="V252" s="81" t="str">
        <f>IF(G252="","",IF(M252="OK","NONE",INDEX({"S1","S2","W1","W2","N1","N2"},MATCH(MIN(P252:U252),P252:U252,0))))</f>
        <v>S2</v>
      </c>
      <c r="W252" s="117">
        <f t="shared" si="28"/>
        <v>1</v>
      </c>
      <c r="X252" s="107"/>
    </row>
    <row r="253" spans="1:24">
      <c r="A253" s="115">
        <v>251</v>
      </c>
      <c r="B253" s="116">
        <v>9</v>
      </c>
      <c r="C253" s="81" t="s">
        <v>130</v>
      </c>
      <c r="D253" s="111" t="s">
        <v>240</v>
      </c>
      <c r="E253" s="81" t="s">
        <v>102</v>
      </c>
      <c r="F253" s="61">
        <v>4.83</v>
      </c>
      <c r="G253" s="52">
        <f t="shared" si="22"/>
        <v>5.8</v>
      </c>
      <c r="H253" s="110"/>
      <c r="I253" s="81">
        <v>9.91</v>
      </c>
      <c r="J253" s="81">
        <f>VLOOKUP(C253,Recipes!$A$2:$N$4,12,FALSE())</f>
        <v>5.0137397426368718E-2</v>
      </c>
      <c r="K253" s="81">
        <f t="shared" si="23"/>
        <v>9.7595878077208944</v>
      </c>
      <c r="L253" s="81">
        <f t="shared" si="24"/>
        <v>10.060412192279106</v>
      </c>
      <c r="M253" s="81" t="str">
        <f t="shared" si="25"/>
        <v>NG</v>
      </c>
      <c r="N253" s="117">
        <f t="shared" si="26"/>
        <v>1</v>
      </c>
      <c r="O253" s="81">
        <f t="shared" si="27"/>
        <v>4.1100000000000003</v>
      </c>
      <c r="P253" s="81">
        <f>IF(G253="","",ABS(O253-Components!$C$2)/Components!$D$2)</f>
        <v>205.27732632162852</v>
      </c>
      <c r="Q253" s="81">
        <f>IF(G253="","",ABS(O253-Components!$C$3)/Components!$D$3)</f>
        <v>5.3636592527593923</v>
      </c>
      <c r="R253" s="81">
        <f>IF(G253="","",ABS(O253-Components!$C$4)/Components!$D$4)</f>
        <v>222.95926384282285</v>
      </c>
      <c r="S253" s="81">
        <f>IF(G253="","",ABS(O253-Components!$C$5)/Components!$D$5)</f>
        <v>17.977364033620034</v>
      </c>
      <c r="T253" s="81">
        <f>IF(G253="","",ABS(O253-Components!$C$6)/Components!$D$6)</f>
        <v>106.9306928403844</v>
      </c>
      <c r="U253" s="81">
        <f>IF(G253="","",ABS(O253-Components!$C$7)/Components!$D$7)</f>
        <v>108.79325797433525</v>
      </c>
      <c r="V253" s="81" t="str">
        <f>IF(G253="","",IF(M253="OK","NONE",INDEX({"S1","S2","W1","W2","N1","N2"},MATCH(MIN(P253:U253),P253:U253,0))))</f>
        <v>S2</v>
      </c>
      <c r="W253" s="117">
        <f t="shared" si="28"/>
        <v>1</v>
      </c>
      <c r="X253" s="107"/>
    </row>
    <row r="254" spans="1:24">
      <c r="A254" s="115">
        <v>252</v>
      </c>
      <c r="B254" s="116">
        <v>9</v>
      </c>
      <c r="C254" s="81" t="s">
        <v>130</v>
      </c>
      <c r="D254" s="111" t="s">
        <v>240</v>
      </c>
      <c r="E254" s="81" t="s">
        <v>102</v>
      </c>
      <c r="F254" s="61">
        <v>4.87</v>
      </c>
      <c r="G254" s="52">
        <f t="shared" si="22"/>
        <v>5.84</v>
      </c>
      <c r="H254" s="110"/>
      <c r="I254" s="81">
        <v>9.91</v>
      </c>
      <c r="J254" s="81">
        <f>VLOOKUP(C254,Recipes!$A$2:$N$4,12,FALSE())</f>
        <v>5.0137397426368718E-2</v>
      </c>
      <c r="K254" s="81">
        <f t="shared" si="23"/>
        <v>9.7595878077208944</v>
      </c>
      <c r="L254" s="81">
        <f t="shared" si="24"/>
        <v>10.060412192279106</v>
      </c>
      <c r="M254" s="81" t="str">
        <f t="shared" si="25"/>
        <v>NG</v>
      </c>
      <c r="N254" s="117">
        <f t="shared" si="26"/>
        <v>1</v>
      </c>
      <c r="O254" s="81">
        <f t="shared" si="27"/>
        <v>4.07</v>
      </c>
      <c r="P254" s="81">
        <f>IF(G254="","",ABS(O254-Components!$C$2)/Components!$D$2)</f>
        <v>199.2249235799589</v>
      </c>
      <c r="Q254" s="81">
        <f>IF(G254="","",ABS(O254-Components!$C$3)/Components!$D$3)</f>
        <v>2.4643839809975847</v>
      </c>
      <c r="R254" s="81">
        <f>IF(G254="","",ABS(O254-Components!$C$4)/Components!$D$4)</f>
        <v>220.09775457425187</v>
      </c>
      <c r="S254" s="81">
        <f>IF(G254="","",ABS(O254-Components!$C$5)/Components!$D$5)</f>
        <v>19.565938175029746</v>
      </c>
      <c r="T254" s="81">
        <f>IF(G254="","",ABS(O254-Components!$C$6)/Components!$D$6)</f>
        <v>105.4829118248314</v>
      </c>
      <c r="U254" s="81">
        <f>IF(G254="","",ABS(O254-Components!$C$7)/Components!$D$7)</f>
        <v>107.20251946368334</v>
      </c>
      <c r="V254" s="81" t="str">
        <f>IF(G254="","",IF(M254="OK","NONE",INDEX({"S1","S2","W1","W2","N1","N2"},MATCH(MIN(P254:U254),P254:U254,0))))</f>
        <v>S2</v>
      </c>
      <c r="W254" s="117">
        <f t="shared" si="28"/>
        <v>1</v>
      </c>
      <c r="X254" s="107"/>
    </row>
    <row r="255" spans="1:24">
      <c r="A255" s="115">
        <v>253</v>
      </c>
      <c r="B255" s="116">
        <v>9</v>
      </c>
      <c r="C255" s="81" t="s">
        <v>130</v>
      </c>
      <c r="D255" s="111" t="s">
        <v>240</v>
      </c>
      <c r="E255" s="81" t="s">
        <v>102</v>
      </c>
      <c r="F255" s="61">
        <v>4.93</v>
      </c>
      <c r="G255" s="52">
        <f t="shared" si="22"/>
        <v>5.8999999999999995</v>
      </c>
      <c r="H255" s="110"/>
      <c r="I255" s="81">
        <v>9.91</v>
      </c>
      <c r="J255" s="81">
        <f>VLOOKUP(C255,Recipes!$A$2:$N$4,12,FALSE())</f>
        <v>5.0137397426368718E-2</v>
      </c>
      <c r="K255" s="81">
        <f t="shared" si="23"/>
        <v>9.7595878077208944</v>
      </c>
      <c r="L255" s="81">
        <f t="shared" si="24"/>
        <v>10.060412192279106</v>
      </c>
      <c r="M255" s="81" t="str">
        <f t="shared" si="25"/>
        <v>NG</v>
      </c>
      <c r="N255" s="117">
        <f t="shared" si="26"/>
        <v>1</v>
      </c>
      <c r="O255" s="81">
        <f t="shared" si="27"/>
        <v>4.0100000000000007</v>
      </c>
      <c r="P255" s="81">
        <f>IF(G255="","",ABS(O255-Components!$C$2)/Components!$D$2)</f>
        <v>190.14631946745453</v>
      </c>
      <c r="Q255" s="81">
        <f>IF(G255="","",ABS(O255-Components!$C$3)/Components!$D$3)</f>
        <v>1.8845289266450944</v>
      </c>
      <c r="R255" s="81">
        <f>IF(G255="","",ABS(O255-Components!$C$4)/Components!$D$4)</f>
        <v>215.8054906713954</v>
      </c>
      <c r="S255" s="81">
        <f>IF(G255="","",ABS(O255-Components!$C$5)/Components!$D$5)</f>
        <v>21.948799387144298</v>
      </c>
      <c r="T255" s="81">
        <f>IF(G255="","",ABS(O255-Components!$C$6)/Components!$D$6)</f>
        <v>103.31124030150194</v>
      </c>
      <c r="U255" s="81">
        <f>IF(G255="","",ABS(O255-Components!$C$7)/Components!$D$7)</f>
        <v>104.81641169770549</v>
      </c>
      <c r="V255" s="81" t="str">
        <f>IF(G255="","",IF(M255="OK","NONE",INDEX({"S1","S2","W1","W2","N1","N2"},MATCH(MIN(P255:U255),P255:U255,0))))</f>
        <v>S2</v>
      </c>
      <c r="W255" s="117">
        <f t="shared" si="28"/>
        <v>1</v>
      </c>
      <c r="X255" s="107"/>
    </row>
    <row r="256" spans="1:24">
      <c r="A256" s="115">
        <v>254</v>
      </c>
      <c r="B256" s="116">
        <v>9</v>
      </c>
      <c r="C256" s="61" t="s">
        <v>130</v>
      </c>
      <c r="D256" s="61" t="s">
        <v>240</v>
      </c>
      <c r="E256" s="61" t="s">
        <v>102</v>
      </c>
      <c r="F256" s="61">
        <v>4.91</v>
      </c>
      <c r="G256" s="52">
        <f t="shared" si="22"/>
        <v>5.88</v>
      </c>
      <c r="H256" s="110"/>
      <c r="I256" s="81">
        <v>9.91</v>
      </c>
      <c r="J256" s="81">
        <f>VLOOKUP(C256,Recipes!$A$2:$N$4,12,FALSE())</f>
        <v>5.0137397426368718E-2</v>
      </c>
      <c r="K256" s="81">
        <f t="shared" si="23"/>
        <v>9.7595878077208944</v>
      </c>
      <c r="L256" s="81">
        <f t="shared" si="24"/>
        <v>10.060412192279106</v>
      </c>
      <c r="M256" s="81" t="str">
        <f t="shared" si="25"/>
        <v>NG</v>
      </c>
      <c r="N256" s="117">
        <f t="shared" si="26"/>
        <v>1</v>
      </c>
      <c r="O256" s="81">
        <f t="shared" si="27"/>
        <v>4.03</v>
      </c>
      <c r="P256" s="81">
        <f>IF(G256="","",ABS(O256-Components!$C$2)/Components!$D$2)</f>
        <v>193.17252083828927</v>
      </c>
      <c r="Q256" s="81">
        <f>IF(G256="","",ABS(O256-Components!$C$3)/Components!$D$3)</f>
        <v>0.43489129076422284</v>
      </c>
      <c r="R256" s="81">
        <f>IF(G256="","",ABS(O256-Components!$C$4)/Components!$D$4)</f>
        <v>217.23624530568088</v>
      </c>
      <c r="S256" s="81">
        <f>IF(G256="","",ABS(O256-Components!$C$5)/Components!$D$5)</f>
        <v>21.154512316439458</v>
      </c>
      <c r="T256" s="81">
        <f>IF(G256="","",ABS(O256-Components!$C$6)/Components!$D$6)</f>
        <v>104.03513080927841</v>
      </c>
      <c r="U256" s="81">
        <f>IF(G256="","",ABS(O256-Components!$C$7)/Components!$D$7)</f>
        <v>105.61178095303143</v>
      </c>
      <c r="V256" s="81" t="str">
        <f>IF(G256="","",IF(M256="OK","NONE",INDEX({"S1","S2","W1","W2","N1","N2"},MATCH(MIN(P256:U256),P256:U256,0))))</f>
        <v>S2</v>
      </c>
      <c r="W256" s="117">
        <f t="shared" si="28"/>
        <v>1</v>
      </c>
      <c r="X256" s="107"/>
    </row>
    <row r="257" spans="1:24">
      <c r="A257" s="115">
        <v>255</v>
      </c>
      <c r="B257" s="116">
        <v>9</v>
      </c>
      <c r="C257" s="61" t="s">
        <v>130</v>
      </c>
      <c r="D257" s="61" t="s">
        <v>240</v>
      </c>
      <c r="E257" s="61" t="s">
        <v>102</v>
      </c>
      <c r="F257" s="61">
        <v>4.88</v>
      </c>
      <c r="G257" s="52">
        <f t="shared" si="22"/>
        <v>5.85</v>
      </c>
      <c r="H257" s="110"/>
      <c r="I257" s="81">
        <v>9.91</v>
      </c>
      <c r="J257" s="81">
        <f>VLOOKUP(C257,Recipes!$A$2:$N$4,12,FALSE())</f>
        <v>5.0137397426368718E-2</v>
      </c>
      <c r="K257" s="81">
        <f t="shared" si="23"/>
        <v>9.7595878077208944</v>
      </c>
      <c r="L257" s="81">
        <f t="shared" si="24"/>
        <v>10.060412192279106</v>
      </c>
      <c r="M257" s="81" t="str">
        <f t="shared" si="25"/>
        <v>NG</v>
      </c>
      <c r="N257" s="117">
        <f t="shared" si="26"/>
        <v>1</v>
      </c>
      <c r="O257" s="81">
        <f t="shared" si="27"/>
        <v>4.0600000000000005</v>
      </c>
      <c r="P257" s="81">
        <f>IF(G257="","",ABS(O257-Components!$C$2)/Components!$D$2)</f>
        <v>197.71182289454154</v>
      </c>
      <c r="Q257" s="81">
        <f>IF(G257="","",ABS(O257-Components!$C$3)/Components!$D$3)</f>
        <v>1.7395651630571487</v>
      </c>
      <c r="R257" s="81">
        <f>IF(G257="","",ABS(O257-Components!$C$4)/Components!$D$4)</f>
        <v>219.38237725710914</v>
      </c>
      <c r="S257" s="81">
        <f>IF(G257="","",ABS(O257-Components!$C$5)/Components!$D$5)</f>
        <v>19.963081710382166</v>
      </c>
      <c r="T257" s="81">
        <f>IF(G257="","",ABS(O257-Components!$C$6)/Components!$D$6)</f>
        <v>105.12096657094317</v>
      </c>
      <c r="U257" s="81">
        <f>IF(G257="","",ABS(O257-Components!$C$7)/Components!$D$7)</f>
        <v>106.80483483602038</v>
      </c>
      <c r="V257" s="81" t="str">
        <f>IF(G257="","",IF(M257="OK","NONE",INDEX({"S1","S2","W1","W2","N1","N2"},MATCH(MIN(P257:U257),P257:U257,0))))</f>
        <v>S2</v>
      </c>
      <c r="W257" s="117">
        <f t="shared" si="28"/>
        <v>1</v>
      </c>
      <c r="X257" s="107"/>
    </row>
    <row r="258" spans="1:24">
      <c r="A258" s="115">
        <v>256</v>
      </c>
      <c r="B258" s="116">
        <v>9</v>
      </c>
      <c r="C258" s="81" t="s">
        <v>130</v>
      </c>
      <c r="D258" s="111" t="s">
        <v>240</v>
      </c>
      <c r="E258" s="81" t="s">
        <v>102</v>
      </c>
      <c r="F258" s="61">
        <v>4.87</v>
      </c>
      <c r="G258" s="52">
        <f t="shared" si="22"/>
        <v>5.84</v>
      </c>
      <c r="H258" s="110"/>
      <c r="I258" s="81">
        <v>9.91</v>
      </c>
      <c r="J258" s="81">
        <f>VLOOKUP(C258,Recipes!$A$2:$N$4,12,FALSE())</f>
        <v>5.0137397426368718E-2</v>
      </c>
      <c r="K258" s="81">
        <f t="shared" si="23"/>
        <v>9.7595878077208944</v>
      </c>
      <c r="L258" s="81">
        <f t="shared" si="24"/>
        <v>10.060412192279106</v>
      </c>
      <c r="M258" s="81" t="str">
        <f t="shared" si="25"/>
        <v>NG</v>
      </c>
      <c r="N258" s="117">
        <f t="shared" si="26"/>
        <v>1</v>
      </c>
      <c r="O258" s="81">
        <f t="shared" si="27"/>
        <v>4.07</v>
      </c>
      <c r="P258" s="81">
        <f>IF(G258="","",ABS(O258-Components!$C$2)/Components!$D$2)</f>
        <v>199.2249235799589</v>
      </c>
      <c r="Q258" s="81">
        <f>IF(G258="","",ABS(O258-Components!$C$3)/Components!$D$3)</f>
        <v>2.4643839809975847</v>
      </c>
      <c r="R258" s="81">
        <f>IF(G258="","",ABS(O258-Components!$C$4)/Components!$D$4)</f>
        <v>220.09775457425187</v>
      </c>
      <c r="S258" s="81">
        <f>IF(G258="","",ABS(O258-Components!$C$5)/Components!$D$5)</f>
        <v>19.565938175029746</v>
      </c>
      <c r="T258" s="81">
        <f>IF(G258="","",ABS(O258-Components!$C$6)/Components!$D$6)</f>
        <v>105.4829118248314</v>
      </c>
      <c r="U258" s="81">
        <f>IF(G258="","",ABS(O258-Components!$C$7)/Components!$D$7)</f>
        <v>107.20251946368334</v>
      </c>
      <c r="V258" s="81" t="str">
        <f>IF(G258="","",IF(M258="OK","NONE",INDEX({"S1","S2","W1","W2","N1","N2"},MATCH(MIN(P258:U258),P258:U258,0))))</f>
        <v>S2</v>
      </c>
      <c r="W258" s="117">
        <f t="shared" si="28"/>
        <v>1</v>
      </c>
      <c r="X258" s="107"/>
    </row>
    <row r="259" spans="1:24">
      <c r="A259" s="115">
        <v>257</v>
      </c>
      <c r="B259" s="116">
        <v>9</v>
      </c>
      <c r="C259" s="81" t="s">
        <v>130</v>
      </c>
      <c r="D259" s="111" t="s">
        <v>240</v>
      </c>
      <c r="E259" s="81" t="s">
        <v>102</v>
      </c>
      <c r="F259" s="61">
        <v>4.91</v>
      </c>
      <c r="G259" s="52">
        <f t="shared" ref="G259:G322" si="29">0.97+F259</f>
        <v>5.88</v>
      </c>
      <c r="H259" s="110"/>
      <c r="I259" s="81">
        <v>9.91</v>
      </c>
      <c r="J259" s="81">
        <f>VLOOKUP(C259,Recipes!$A$2:$N$4,12,FALSE())</f>
        <v>5.0137397426368718E-2</v>
      </c>
      <c r="K259" s="81">
        <f t="shared" ref="K259:K322" si="30">I259-3*J259</f>
        <v>9.7595878077208944</v>
      </c>
      <c r="L259" s="81">
        <f t="shared" ref="L259:L322" si="31">I259+3*J259</f>
        <v>10.060412192279106</v>
      </c>
      <c r="M259" s="81" t="str">
        <f t="shared" si="25"/>
        <v>NG</v>
      </c>
      <c r="N259" s="117">
        <f t="shared" si="26"/>
        <v>1</v>
      </c>
      <c r="O259" s="81">
        <f t="shared" si="27"/>
        <v>4.03</v>
      </c>
      <c r="P259" s="81">
        <f>IF(G259="","",ABS(O259-Components!$C$2)/Components!$D$2)</f>
        <v>193.17252083828927</v>
      </c>
      <c r="Q259" s="81">
        <f>IF(G259="","",ABS(O259-Components!$C$3)/Components!$D$3)</f>
        <v>0.43489129076422284</v>
      </c>
      <c r="R259" s="81">
        <f>IF(G259="","",ABS(O259-Components!$C$4)/Components!$D$4)</f>
        <v>217.23624530568088</v>
      </c>
      <c r="S259" s="81">
        <f>IF(G259="","",ABS(O259-Components!$C$5)/Components!$D$5)</f>
        <v>21.154512316439458</v>
      </c>
      <c r="T259" s="81">
        <f>IF(G259="","",ABS(O259-Components!$C$6)/Components!$D$6)</f>
        <v>104.03513080927841</v>
      </c>
      <c r="U259" s="81">
        <f>IF(G259="","",ABS(O259-Components!$C$7)/Components!$D$7)</f>
        <v>105.61178095303143</v>
      </c>
      <c r="V259" s="81" t="str">
        <f>IF(G259="","",IF(M259="OK","NONE",INDEX({"S1","S2","W1","W2","N1","N2"},MATCH(MIN(P259:U259),P259:U259,0))))</f>
        <v>S2</v>
      </c>
      <c r="W259" s="117">
        <f t="shared" si="28"/>
        <v>1</v>
      </c>
      <c r="X259" s="107"/>
    </row>
    <row r="260" spans="1:24">
      <c r="A260" s="115">
        <v>258</v>
      </c>
      <c r="B260" s="116">
        <v>9</v>
      </c>
      <c r="C260" s="81" t="s">
        <v>130</v>
      </c>
      <c r="D260" s="111" t="s">
        <v>240</v>
      </c>
      <c r="E260" s="81" t="s">
        <v>102</v>
      </c>
      <c r="F260" s="61">
        <v>4.67</v>
      </c>
      <c r="G260" s="52">
        <f t="shared" si="29"/>
        <v>5.64</v>
      </c>
      <c r="H260" s="110"/>
      <c r="I260" s="81">
        <v>9.91</v>
      </c>
      <c r="J260" s="81">
        <f>VLOOKUP(C260,Recipes!$A$2:$N$4,12,FALSE())</f>
        <v>5.0137397426368718E-2</v>
      </c>
      <c r="K260" s="81">
        <f t="shared" si="30"/>
        <v>9.7595878077208944</v>
      </c>
      <c r="L260" s="81">
        <f t="shared" si="31"/>
        <v>10.060412192279106</v>
      </c>
      <c r="M260" s="81" t="str">
        <f t="shared" ref="M260:M323" si="32">IF(G260="","",IF(AND(G260&gt;=K260,G260&lt;=L260),"OK","NG"))</f>
        <v>NG</v>
      </c>
      <c r="N260" s="117">
        <f t="shared" ref="N260:N323" si="33">IF(M260="","",IF(M260=D260,1,0))</f>
        <v>1</v>
      </c>
      <c r="O260" s="81">
        <f t="shared" ref="O260:O323" si="34">IF(G260="","",I260-G260)</f>
        <v>4.2700000000000005</v>
      </c>
      <c r="P260" s="81">
        <f>IF(G260="","",ABS(O260-Components!$C$2)/Components!$D$2)</f>
        <v>229.48693728830702</v>
      </c>
      <c r="Q260" s="81">
        <f>IF(G260="","",ABS(O260-Components!$C$3)/Components!$D$3)</f>
        <v>16.960760339806622</v>
      </c>
      <c r="R260" s="81">
        <f>IF(G260="","",ABS(O260-Components!$C$4)/Components!$D$4)</f>
        <v>234.40530091710681</v>
      </c>
      <c r="S260" s="81">
        <f>IF(G260="","",ABS(O260-Components!$C$5)/Components!$D$5)</f>
        <v>11.623067467981183</v>
      </c>
      <c r="T260" s="81">
        <f>IF(G260="","",ABS(O260-Components!$C$6)/Components!$D$6)</f>
        <v>112.72181690259636</v>
      </c>
      <c r="U260" s="81">
        <f>IF(G260="","",ABS(O260-Components!$C$7)/Components!$D$7)</f>
        <v>115.15621201694289</v>
      </c>
      <c r="V260" s="81" t="str">
        <f>IF(G260="","",IF(M260="OK","NONE",INDEX({"S1","S2","W1","W2","N1","N2"},MATCH(MIN(P260:U260),P260:U260,0))))</f>
        <v>W2</v>
      </c>
      <c r="W260" s="122">
        <f t="shared" ref="W260:W323" si="35">IF(G260="","",IF(V260=E260,1,0))</f>
        <v>0</v>
      </c>
      <c r="X260" s="107"/>
    </row>
    <row r="261" spans="1:24">
      <c r="A261" s="115">
        <v>259</v>
      </c>
      <c r="B261" s="116">
        <v>9</v>
      </c>
      <c r="C261" s="61" t="s">
        <v>130</v>
      </c>
      <c r="D261" s="61" t="s">
        <v>240</v>
      </c>
      <c r="E261" s="61" t="s">
        <v>102</v>
      </c>
      <c r="F261" s="61">
        <v>4.8600000000000003</v>
      </c>
      <c r="G261" s="52">
        <f t="shared" si="29"/>
        <v>5.83</v>
      </c>
      <c r="H261" s="110"/>
      <c r="I261" s="81">
        <v>9.91</v>
      </c>
      <c r="J261" s="81">
        <f>VLOOKUP(C261,Recipes!$A$2:$N$4,12,FALSE())</f>
        <v>5.0137397426368718E-2</v>
      </c>
      <c r="K261" s="81">
        <f t="shared" si="30"/>
        <v>9.7595878077208944</v>
      </c>
      <c r="L261" s="81">
        <f t="shared" si="31"/>
        <v>10.060412192279106</v>
      </c>
      <c r="M261" s="81" t="str">
        <f t="shared" si="32"/>
        <v>NG</v>
      </c>
      <c r="N261" s="117">
        <f t="shared" si="33"/>
        <v>1</v>
      </c>
      <c r="O261" s="81">
        <f t="shared" si="34"/>
        <v>4.08</v>
      </c>
      <c r="P261" s="81">
        <f>IF(G261="","",ABS(O261-Components!$C$2)/Components!$D$2)</f>
        <v>200.73802426537628</v>
      </c>
      <c r="Q261" s="81">
        <f>IF(G261="","",ABS(O261-Components!$C$3)/Components!$D$3)</f>
        <v>3.1892027989380205</v>
      </c>
      <c r="R261" s="81">
        <f>IF(G261="","",ABS(O261-Components!$C$4)/Components!$D$4)</f>
        <v>220.81313189139459</v>
      </c>
      <c r="S261" s="81">
        <f>IF(G261="","",ABS(O261-Components!$C$5)/Components!$D$5)</f>
        <v>19.168794639677326</v>
      </c>
      <c r="T261" s="81">
        <f>IF(G261="","",ABS(O261-Components!$C$6)/Components!$D$6)</f>
        <v>105.84485707871964</v>
      </c>
      <c r="U261" s="81">
        <f>IF(G261="","",ABS(O261-Components!$C$7)/Components!$D$7)</f>
        <v>107.60020409134631</v>
      </c>
      <c r="V261" s="81" t="str">
        <f>IF(G261="","",IF(M261="OK","NONE",INDEX({"S1","S2","W1","W2","N1","N2"},MATCH(MIN(P261:U261),P261:U261,0))))</f>
        <v>S2</v>
      </c>
      <c r="W261" s="117">
        <f t="shared" si="35"/>
        <v>1</v>
      </c>
      <c r="X261" s="107"/>
    </row>
    <row r="262" spans="1:24">
      <c r="A262" s="115">
        <v>260</v>
      </c>
      <c r="B262" s="116">
        <v>9</v>
      </c>
      <c r="C262" s="61" t="s">
        <v>130</v>
      </c>
      <c r="D262" s="61" t="s">
        <v>240</v>
      </c>
      <c r="E262" s="61" t="s">
        <v>102</v>
      </c>
      <c r="F262" s="61">
        <v>4.75</v>
      </c>
      <c r="G262" s="52">
        <f t="shared" si="29"/>
        <v>5.72</v>
      </c>
      <c r="H262" s="110"/>
      <c r="I262" s="81">
        <v>9.91</v>
      </c>
      <c r="J262" s="81">
        <f>VLOOKUP(C262,Recipes!$A$2:$N$4,12,FALSE())</f>
        <v>5.0137397426368718E-2</v>
      </c>
      <c r="K262" s="81">
        <f t="shared" si="30"/>
        <v>9.7595878077208944</v>
      </c>
      <c r="L262" s="81">
        <f t="shared" si="31"/>
        <v>10.060412192279106</v>
      </c>
      <c r="M262" s="81" t="str">
        <f t="shared" si="32"/>
        <v>NG</v>
      </c>
      <c r="N262" s="117">
        <f t="shared" si="33"/>
        <v>1</v>
      </c>
      <c r="O262" s="81">
        <f t="shared" si="34"/>
        <v>4.1900000000000004</v>
      </c>
      <c r="P262" s="81">
        <f>IF(G262="","",ABS(O262-Components!$C$2)/Components!$D$2)</f>
        <v>217.38213180496777</v>
      </c>
      <c r="Q262" s="81">
        <f>IF(G262="","",ABS(O262-Components!$C$3)/Components!$D$3)</f>
        <v>11.162209796283006</v>
      </c>
      <c r="R262" s="81">
        <f>IF(G262="","",ABS(O262-Components!$C$4)/Components!$D$4)</f>
        <v>228.68228237996485</v>
      </c>
      <c r="S262" s="81">
        <f>IF(G262="","",ABS(O262-Components!$C$5)/Components!$D$5)</f>
        <v>14.800215750800609</v>
      </c>
      <c r="T262" s="81">
        <f>IF(G262="","",ABS(O262-Components!$C$6)/Components!$D$6)</f>
        <v>109.82625487149038</v>
      </c>
      <c r="U262" s="81">
        <f>IF(G262="","",ABS(O262-Components!$C$7)/Components!$D$7)</f>
        <v>111.97473499563907</v>
      </c>
      <c r="V262" s="81" t="str">
        <f>IF(G262="","",IF(M262="OK","NONE",INDEX({"S1","S2","W1","W2","N1","N2"},MATCH(MIN(P262:U262),P262:U262,0))))</f>
        <v>S2</v>
      </c>
      <c r="W262" s="117">
        <f t="shared" si="35"/>
        <v>1</v>
      </c>
      <c r="X262" s="107"/>
    </row>
    <row r="263" spans="1:24">
      <c r="A263" s="115">
        <v>261</v>
      </c>
      <c r="B263" s="116">
        <v>9</v>
      </c>
      <c r="C263" s="81" t="s">
        <v>130</v>
      </c>
      <c r="D263" s="111" t="s">
        <v>240</v>
      </c>
      <c r="E263" s="81" t="s">
        <v>102</v>
      </c>
      <c r="F263" s="61">
        <v>4.91</v>
      </c>
      <c r="G263" s="52">
        <f t="shared" si="29"/>
        <v>5.88</v>
      </c>
      <c r="H263" s="110"/>
      <c r="I263" s="81">
        <v>9.91</v>
      </c>
      <c r="J263" s="81">
        <f>VLOOKUP(C263,Recipes!$A$2:$N$4,12,FALSE())</f>
        <v>5.0137397426368718E-2</v>
      </c>
      <c r="K263" s="81">
        <f t="shared" si="30"/>
        <v>9.7595878077208944</v>
      </c>
      <c r="L263" s="81">
        <f t="shared" si="31"/>
        <v>10.060412192279106</v>
      </c>
      <c r="M263" s="81" t="str">
        <f t="shared" si="32"/>
        <v>NG</v>
      </c>
      <c r="N263" s="117">
        <f t="shared" si="33"/>
        <v>1</v>
      </c>
      <c r="O263" s="81">
        <f t="shared" si="34"/>
        <v>4.03</v>
      </c>
      <c r="P263" s="81">
        <f>IF(G263="","",ABS(O263-Components!$C$2)/Components!$D$2)</f>
        <v>193.17252083828927</v>
      </c>
      <c r="Q263" s="81">
        <f>IF(G263="","",ABS(O263-Components!$C$3)/Components!$D$3)</f>
        <v>0.43489129076422284</v>
      </c>
      <c r="R263" s="81">
        <f>IF(G263="","",ABS(O263-Components!$C$4)/Components!$D$4)</f>
        <v>217.23624530568088</v>
      </c>
      <c r="S263" s="81">
        <f>IF(G263="","",ABS(O263-Components!$C$5)/Components!$D$5)</f>
        <v>21.154512316439458</v>
      </c>
      <c r="T263" s="81">
        <f>IF(G263="","",ABS(O263-Components!$C$6)/Components!$D$6)</f>
        <v>104.03513080927841</v>
      </c>
      <c r="U263" s="81">
        <f>IF(G263="","",ABS(O263-Components!$C$7)/Components!$D$7)</f>
        <v>105.61178095303143</v>
      </c>
      <c r="V263" s="81" t="str">
        <f>IF(G263="","",IF(M263="OK","NONE",INDEX({"S1","S2","W1","W2","N1","N2"},MATCH(MIN(P263:U263),P263:U263,0))))</f>
        <v>S2</v>
      </c>
      <c r="W263" s="117">
        <f t="shared" si="35"/>
        <v>1</v>
      </c>
      <c r="X263" s="107"/>
    </row>
    <row r="264" spans="1:24">
      <c r="A264" s="115">
        <v>262</v>
      </c>
      <c r="B264" s="116">
        <v>9</v>
      </c>
      <c r="C264" s="81" t="s">
        <v>130</v>
      </c>
      <c r="D264" s="111" t="s">
        <v>240</v>
      </c>
      <c r="E264" s="81" t="s">
        <v>102</v>
      </c>
      <c r="F264" s="61">
        <v>4.82</v>
      </c>
      <c r="G264" s="52">
        <f t="shared" si="29"/>
        <v>5.79</v>
      </c>
      <c r="H264" s="110"/>
      <c r="I264" s="81">
        <v>9.91</v>
      </c>
      <c r="J264" s="81">
        <f>VLOOKUP(C264,Recipes!$A$2:$N$4,12,FALSE())</f>
        <v>5.0137397426368718E-2</v>
      </c>
      <c r="K264" s="81">
        <f t="shared" si="30"/>
        <v>9.7595878077208944</v>
      </c>
      <c r="L264" s="81">
        <f t="shared" si="31"/>
        <v>10.060412192279106</v>
      </c>
      <c r="M264" s="81" t="str">
        <f t="shared" si="32"/>
        <v>NG</v>
      </c>
      <c r="N264" s="117">
        <f t="shared" si="33"/>
        <v>1</v>
      </c>
      <c r="O264" s="81">
        <f t="shared" si="34"/>
        <v>4.12</v>
      </c>
      <c r="P264" s="81">
        <f>IF(G264="","",ABS(O264-Components!$C$2)/Components!$D$2)</f>
        <v>206.79042700704591</v>
      </c>
      <c r="Q264" s="81">
        <f>IF(G264="","",ABS(O264-Components!$C$3)/Components!$D$3)</f>
        <v>6.0884780706998276</v>
      </c>
      <c r="R264" s="81">
        <f>IF(G264="","",ABS(O264-Components!$C$4)/Components!$D$4)</f>
        <v>223.6746411599656</v>
      </c>
      <c r="S264" s="81">
        <f>IF(G264="","",ABS(O264-Components!$C$5)/Components!$D$5)</f>
        <v>17.580220498267614</v>
      </c>
      <c r="T264" s="81">
        <f>IF(G264="","",ABS(O264-Components!$C$6)/Components!$D$6)</f>
        <v>107.29263809427263</v>
      </c>
      <c r="U264" s="81">
        <f>IF(G264="","",ABS(O264-Components!$C$7)/Components!$D$7)</f>
        <v>109.19094260199822</v>
      </c>
      <c r="V264" s="81" t="str">
        <f>IF(G264="","",IF(M264="OK","NONE",INDEX({"S1","S2","W1","W2","N1","N2"},MATCH(MIN(P264:U264),P264:U264,0))))</f>
        <v>S2</v>
      </c>
      <c r="W264" s="117">
        <f t="shared" si="35"/>
        <v>1</v>
      </c>
      <c r="X264" s="107"/>
    </row>
    <row r="265" spans="1:24">
      <c r="A265" s="115">
        <v>263</v>
      </c>
      <c r="B265" s="116">
        <v>9</v>
      </c>
      <c r="C265" s="81" t="s">
        <v>130</v>
      </c>
      <c r="D265" s="111" t="s">
        <v>240</v>
      </c>
      <c r="E265" s="81" t="s">
        <v>102</v>
      </c>
      <c r="F265" s="61">
        <v>4.83</v>
      </c>
      <c r="G265" s="52">
        <f t="shared" si="29"/>
        <v>5.8</v>
      </c>
      <c r="H265" s="110"/>
      <c r="I265" s="81">
        <v>9.91</v>
      </c>
      <c r="J265" s="81">
        <f>VLOOKUP(C265,Recipes!$A$2:$N$4,12,FALSE())</f>
        <v>5.0137397426368718E-2</v>
      </c>
      <c r="K265" s="81">
        <f t="shared" si="30"/>
        <v>9.7595878077208944</v>
      </c>
      <c r="L265" s="81">
        <f t="shared" si="31"/>
        <v>10.060412192279106</v>
      </c>
      <c r="M265" s="81" t="str">
        <f t="shared" si="32"/>
        <v>NG</v>
      </c>
      <c r="N265" s="117">
        <f t="shared" si="33"/>
        <v>1</v>
      </c>
      <c r="O265" s="81">
        <f t="shared" si="34"/>
        <v>4.1100000000000003</v>
      </c>
      <c r="P265" s="81">
        <f>IF(G265="","",ABS(O265-Components!$C$2)/Components!$D$2)</f>
        <v>205.27732632162852</v>
      </c>
      <c r="Q265" s="81">
        <f>IF(G265="","",ABS(O265-Components!$C$3)/Components!$D$3)</f>
        <v>5.3636592527593923</v>
      </c>
      <c r="R265" s="81">
        <f>IF(G265="","",ABS(O265-Components!$C$4)/Components!$D$4)</f>
        <v>222.95926384282285</v>
      </c>
      <c r="S265" s="81">
        <f>IF(G265="","",ABS(O265-Components!$C$5)/Components!$D$5)</f>
        <v>17.977364033620034</v>
      </c>
      <c r="T265" s="81">
        <f>IF(G265="","",ABS(O265-Components!$C$6)/Components!$D$6)</f>
        <v>106.9306928403844</v>
      </c>
      <c r="U265" s="81">
        <f>IF(G265="","",ABS(O265-Components!$C$7)/Components!$D$7)</f>
        <v>108.79325797433525</v>
      </c>
      <c r="V265" s="81" t="str">
        <f>IF(G265="","",IF(M265="OK","NONE",INDEX({"S1","S2","W1","W2","N1","N2"},MATCH(MIN(P265:U265),P265:U265,0))))</f>
        <v>S2</v>
      </c>
      <c r="W265" s="117">
        <f t="shared" si="35"/>
        <v>1</v>
      </c>
      <c r="X265" s="107"/>
    </row>
    <row r="266" spans="1:24">
      <c r="A266" s="115">
        <v>264</v>
      </c>
      <c r="B266" s="116">
        <v>9</v>
      </c>
      <c r="C266" s="61" t="s">
        <v>130</v>
      </c>
      <c r="D266" s="61" t="s">
        <v>240</v>
      </c>
      <c r="E266" s="61" t="s">
        <v>102</v>
      </c>
      <c r="F266" s="61">
        <v>4.78</v>
      </c>
      <c r="G266" s="52">
        <f t="shared" si="29"/>
        <v>5.75</v>
      </c>
      <c r="H266" s="110"/>
      <c r="I266" s="81">
        <v>9.91</v>
      </c>
      <c r="J266" s="81">
        <f>VLOOKUP(C266,Recipes!$A$2:$N$4,12,FALSE())</f>
        <v>5.0137397426368718E-2</v>
      </c>
      <c r="K266" s="81">
        <f t="shared" si="30"/>
        <v>9.7595878077208944</v>
      </c>
      <c r="L266" s="81">
        <f t="shared" si="31"/>
        <v>10.060412192279106</v>
      </c>
      <c r="M266" s="81" t="str">
        <f t="shared" si="32"/>
        <v>NG</v>
      </c>
      <c r="N266" s="117">
        <f t="shared" si="33"/>
        <v>1</v>
      </c>
      <c r="O266" s="81">
        <f t="shared" si="34"/>
        <v>4.16</v>
      </c>
      <c r="P266" s="81">
        <f>IF(G266="","",ABS(O266-Components!$C$2)/Components!$D$2)</f>
        <v>212.84282974871553</v>
      </c>
      <c r="Q266" s="81">
        <f>IF(G266="","",ABS(O266-Components!$C$3)/Components!$D$3)</f>
        <v>8.9877533424616356</v>
      </c>
      <c r="R266" s="81">
        <f>IF(G266="","",ABS(O266-Components!$C$4)/Components!$D$4)</f>
        <v>226.53615042853659</v>
      </c>
      <c r="S266" s="81">
        <f>IF(G266="","",ABS(O266-Components!$C$5)/Components!$D$5)</f>
        <v>15.991646356857903</v>
      </c>
      <c r="T266" s="81">
        <f>IF(G266="","",ABS(O266-Components!$C$6)/Components!$D$6)</f>
        <v>108.74041910982562</v>
      </c>
      <c r="U266" s="81">
        <f>IF(G266="","",ABS(O266-Components!$C$7)/Components!$D$7)</f>
        <v>110.78168111265013</v>
      </c>
      <c r="V266" s="81" t="str">
        <f>IF(G266="","",IF(M266="OK","NONE",INDEX({"S1","S2","W1","W2","N1","N2"},MATCH(MIN(P266:U266),P266:U266,0))))</f>
        <v>S2</v>
      </c>
      <c r="W266" s="117">
        <f t="shared" si="35"/>
        <v>1</v>
      </c>
      <c r="X266" s="107"/>
    </row>
    <row r="267" spans="1:24">
      <c r="A267" s="115">
        <v>265</v>
      </c>
      <c r="B267" s="116">
        <v>9</v>
      </c>
      <c r="C267" s="61" t="s">
        <v>130</v>
      </c>
      <c r="D267" s="61" t="s">
        <v>240</v>
      </c>
      <c r="E267" s="61" t="s">
        <v>102</v>
      </c>
      <c r="F267" s="61">
        <v>4.88</v>
      </c>
      <c r="G267" s="52">
        <f t="shared" si="29"/>
        <v>5.85</v>
      </c>
      <c r="H267" s="110"/>
      <c r="I267" s="81">
        <v>9.91</v>
      </c>
      <c r="J267" s="81">
        <f>VLOOKUP(C267,Recipes!$A$2:$N$4,12,FALSE())</f>
        <v>5.0137397426368718E-2</v>
      </c>
      <c r="K267" s="81">
        <f t="shared" si="30"/>
        <v>9.7595878077208944</v>
      </c>
      <c r="L267" s="81">
        <f t="shared" si="31"/>
        <v>10.060412192279106</v>
      </c>
      <c r="M267" s="81" t="str">
        <f t="shared" si="32"/>
        <v>NG</v>
      </c>
      <c r="N267" s="117">
        <f t="shared" si="33"/>
        <v>1</v>
      </c>
      <c r="O267" s="81">
        <f t="shared" si="34"/>
        <v>4.0600000000000005</v>
      </c>
      <c r="P267" s="81">
        <f>IF(G267="","",ABS(O267-Components!$C$2)/Components!$D$2)</f>
        <v>197.71182289454154</v>
      </c>
      <c r="Q267" s="81">
        <f>IF(G267="","",ABS(O267-Components!$C$3)/Components!$D$3)</f>
        <v>1.7395651630571487</v>
      </c>
      <c r="R267" s="81">
        <f>IF(G267="","",ABS(O267-Components!$C$4)/Components!$D$4)</f>
        <v>219.38237725710914</v>
      </c>
      <c r="S267" s="81">
        <f>IF(G267="","",ABS(O267-Components!$C$5)/Components!$D$5)</f>
        <v>19.963081710382166</v>
      </c>
      <c r="T267" s="81">
        <f>IF(G267="","",ABS(O267-Components!$C$6)/Components!$D$6)</f>
        <v>105.12096657094317</v>
      </c>
      <c r="U267" s="81">
        <f>IF(G267="","",ABS(O267-Components!$C$7)/Components!$D$7)</f>
        <v>106.80483483602038</v>
      </c>
      <c r="V267" s="81" t="str">
        <f>IF(G267="","",IF(M267="OK","NONE",INDEX({"S1","S2","W1","W2","N1","N2"},MATCH(MIN(P267:U267),P267:U267,0))))</f>
        <v>S2</v>
      </c>
      <c r="W267" s="117">
        <f t="shared" si="35"/>
        <v>1</v>
      </c>
      <c r="X267" s="107"/>
    </row>
    <row r="268" spans="1:24">
      <c r="A268" s="115">
        <v>266</v>
      </c>
      <c r="B268" s="116">
        <v>9</v>
      </c>
      <c r="C268" s="81" t="s">
        <v>130</v>
      </c>
      <c r="D268" s="111" t="s">
        <v>240</v>
      </c>
      <c r="E268" s="81" t="s">
        <v>102</v>
      </c>
      <c r="F268" s="52">
        <v>4.91</v>
      </c>
      <c r="G268" s="52">
        <f t="shared" si="29"/>
        <v>5.88</v>
      </c>
      <c r="H268" s="110"/>
      <c r="I268" s="81">
        <v>9.91</v>
      </c>
      <c r="J268" s="81">
        <f>VLOOKUP(C268,Recipes!$A$2:$N$4,12,FALSE())</f>
        <v>5.0137397426368718E-2</v>
      </c>
      <c r="K268" s="81">
        <f t="shared" si="30"/>
        <v>9.7595878077208944</v>
      </c>
      <c r="L268" s="81">
        <f t="shared" si="31"/>
        <v>10.060412192279106</v>
      </c>
      <c r="M268" s="81" t="str">
        <f t="shared" si="32"/>
        <v>NG</v>
      </c>
      <c r="N268" s="117">
        <f t="shared" si="33"/>
        <v>1</v>
      </c>
      <c r="O268" s="81">
        <f t="shared" si="34"/>
        <v>4.03</v>
      </c>
      <c r="P268" s="81">
        <f>IF(G268="","",ABS(O268-Components!$C$2)/Components!$D$2)</f>
        <v>193.17252083828927</v>
      </c>
      <c r="Q268" s="81">
        <f>IF(G268="","",ABS(O268-Components!$C$3)/Components!$D$3)</f>
        <v>0.43489129076422284</v>
      </c>
      <c r="R268" s="81">
        <f>IF(G268="","",ABS(O268-Components!$C$4)/Components!$D$4)</f>
        <v>217.23624530568088</v>
      </c>
      <c r="S268" s="81">
        <f>IF(G268="","",ABS(O268-Components!$C$5)/Components!$D$5)</f>
        <v>21.154512316439458</v>
      </c>
      <c r="T268" s="81">
        <f>IF(G268="","",ABS(O268-Components!$C$6)/Components!$D$6)</f>
        <v>104.03513080927841</v>
      </c>
      <c r="U268" s="81">
        <f>IF(G268="","",ABS(O268-Components!$C$7)/Components!$D$7)</f>
        <v>105.61178095303143</v>
      </c>
      <c r="V268" s="81" t="str">
        <f>IF(G268="","",IF(M268="OK","NONE",INDEX({"S1","S2","W1","W2","N1","N2"},MATCH(MIN(P268:U268),P268:U268,0))))</f>
        <v>S2</v>
      </c>
      <c r="W268" s="117">
        <f t="shared" si="35"/>
        <v>1</v>
      </c>
      <c r="X268" s="107"/>
    </row>
    <row r="269" spans="1:24">
      <c r="A269" s="115">
        <v>267</v>
      </c>
      <c r="B269" s="116">
        <v>9</v>
      </c>
      <c r="C269" s="81" t="s">
        <v>130</v>
      </c>
      <c r="D269" s="111" t="s">
        <v>240</v>
      </c>
      <c r="E269" s="81" t="s">
        <v>102</v>
      </c>
      <c r="F269" s="52">
        <v>4.8899999999999997</v>
      </c>
      <c r="G269" s="52">
        <f t="shared" si="29"/>
        <v>5.8599999999999994</v>
      </c>
      <c r="H269" s="110"/>
      <c r="I269" s="81">
        <v>9.91</v>
      </c>
      <c r="J269" s="81">
        <f>VLOOKUP(C269,Recipes!$A$2:$N$4,12,FALSE())</f>
        <v>5.0137397426368718E-2</v>
      </c>
      <c r="K269" s="81">
        <f t="shared" si="30"/>
        <v>9.7595878077208944</v>
      </c>
      <c r="L269" s="81">
        <f t="shared" si="31"/>
        <v>10.060412192279106</v>
      </c>
      <c r="M269" s="81" t="str">
        <f t="shared" si="32"/>
        <v>NG</v>
      </c>
      <c r="N269" s="117">
        <f t="shared" si="33"/>
        <v>1</v>
      </c>
      <c r="O269" s="81">
        <f t="shared" si="34"/>
        <v>4.0500000000000007</v>
      </c>
      <c r="P269" s="81">
        <f>IF(G269="","",ABS(O269-Components!$C$2)/Components!$D$2)</f>
        <v>196.19872220912416</v>
      </c>
      <c r="Q269" s="81">
        <f>IF(G269="","",ABS(O269-Components!$C$3)/Components!$D$3)</f>
        <v>1.0147463451167131</v>
      </c>
      <c r="R269" s="81">
        <f>IF(G269="","",ABS(O269-Components!$C$4)/Components!$D$4)</f>
        <v>218.66699993996642</v>
      </c>
      <c r="S269" s="81">
        <f>IF(G269="","",ABS(O269-Components!$C$5)/Components!$D$5)</f>
        <v>20.360225245734586</v>
      </c>
      <c r="T269" s="81">
        <f>IF(G269="","",ABS(O269-Components!$C$6)/Components!$D$6)</f>
        <v>104.75902131705493</v>
      </c>
      <c r="U269" s="81">
        <f>IF(G269="","",ABS(O269-Components!$C$7)/Components!$D$7)</f>
        <v>106.40715020835741</v>
      </c>
      <c r="V269" s="81" t="str">
        <f>IF(G269="","",IF(M269="OK","NONE",INDEX({"S1","S2","W1","W2","N1","N2"},MATCH(MIN(P269:U269),P269:U269,0))))</f>
        <v>S2</v>
      </c>
      <c r="W269" s="117">
        <f t="shared" si="35"/>
        <v>1</v>
      </c>
      <c r="X269" s="107"/>
    </row>
    <row r="270" spans="1:24">
      <c r="A270" s="115">
        <v>268</v>
      </c>
      <c r="B270" s="116">
        <v>9</v>
      </c>
      <c r="C270" s="81" t="s">
        <v>130</v>
      </c>
      <c r="D270" s="111" t="s">
        <v>240</v>
      </c>
      <c r="E270" s="81" t="s">
        <v>102</v>
      </c>
      <c r="F270" s="52">
        <v>4.8899999999999997</v>
      </c>
      <c r="G270" s="52">
        <f t="shared" si="29"/>
        <v>5.8599999999999994</v>
      </c>
      <c r="H270" s="110"/>
      <c r="I270" s="81">
        <v>9.91</v>
      </c>
      <c r="J270" s="81">
        <f>VLOOKUP(C270,Recipes!$A$2:$N$4,12,FALSE())</f>
        <v>5.0137397426368718E-2</v>
      </c>
      <c r="K270" s="81">
        <f t="shared" si="30"/>
        <v>9.7595878077208944</v>
      </c>
      <c r="L270" s="81">
        <f t="shared" si="31"/>
        <v>10.060412192279106</v>
      </c>
      <c r="M270" s="81" t="str">
        <f t="shared" si="32"/>
        <v>NG</v>
      </c>
      <c r="N270" s="117">
        <f t="shared" si="33"/>
        <v>1</v>
      </c>
      <c r="O270" s="81">
        <f t="shared" si="34"/>
        <v>4.0500000000000007</v>
      </c>
      <c r="P270" s="81">
        <f>IF(G270="","",ABS(O270-Components!$C$2)/Components!$D$2)</f>
        <v>196.19872220912416</v>
      </c>
      <c r="Q270" s="81">
        <f>IF(G270="","",ABS(O270-Components!$C$3)/Components!$D$3)</f>
        <v>1.0147463451167131</v>
      </c>
      <c r="R270" s="81">
        <f>IF(G270="","",ABS(O270-Components!$C$4)/Components!$D$4)</f>
        <v>218.66699993996642</v>
      </c>
      <c r="S270" s="81">
        <f>IF(G270="","",ABS(O270-Components!$C$5)/Components!$D$5)</f>
        <v>20.360225245734586</v>
      </c>
      <c r="T270" s="81">
        <f>IF(G270="","",ABS(O270-Components!$C$6)/Components!$D$6)</f>
        <v>104.75902131705493</v>
      </c>
      <c r="U270" s="81">
        <f>IF(G270="","",ABS(O270-Components!$C$7)/Components!$D$7)</f>
        <v>106.40715020835741</v>
      </c>
      <c r="V270" s="81" t="str">
        <f>IF(G270="","",IF(M270="OK","NONE",INDEX({"S1","S2","W1","W2","N1","N2"},MATCH(MIN(P270:U270),P270:U270,0))))</f>
        <v>S2</v>
      </c>
      <c r="W270" s="117">
        <f t="shared" si="35"/>
        <v>1</v>
      </c>
      <c r="X270" s="107"/>
    </row>
    <row r="271" spans="1:24">
      <c r="A271" s="115">
        <v>269</v>
      </c>
      <c r="B271" s="116">
        <v>9</v>
      </c>
      <c r="C271" s="61" t="s">
        <v>130</v>
      </c>
      <c r="D271" s="61" t="s">
        <v>240</v>
      </c>
      <c r="E271" s="61" t="s">
        <v>102</v>
      </c>
      <c r="F271" s="61">
        <v>4.9000000000000004</v>
      </c>
      <c r="G271" s="52">
        <f t="shared" si="29"/>
        <v>5.87</v>
      </c>
      <c r="H271" s="110"/>
      <c r="I271" s="81">
        <v>9.91</v>
      </c>
      <c r="J271" s="81">
        <f>VLOOKUP(C271,Recipes!$A$2:$N$4,12,FALSE())</f>
        <v>5.0137397426368718E-2</v>
      </c>
      <c r="K271" s="81">
        <f t="shared" si="30"/>
        <v>9.7595878077208944</v>
      </c>
      <c r="L271" s="81">
        <f t="shared" si="31"/>
        <v>10.060412192279106</v>
      </c>
      <c r="M271" s="81" t="str">
        <f t="shared" si="32"/>
        <v>NG</v>
      </c>
      <c r="N271" s="117">
        <f t="shared" si="33"/>
        <v>1</v>
      </c>
      <c r="O271" s="81">
        <f t="shared" si="34"/>
        <v>4.04</v>
      </c>
      <c r="P271" s="81">
        <f>IF(G271="","",ABS(O271-Components!$C$2)/Components!$D$2)</f>
        <v>194.68562152370666</v>
      </c>
      <c r="Q271" s="81">
        <f>IF(G271="","",ABS(O271-Components!$C$3)/Components!$D$3)</f>
        <v>0.28992752717621295</v>
      </c>
      <c r="R271" s="81">
        <f>IF(G271="","",ABS(O271-Components!$C$4)/Components!$D$4)</f>
        <v>217.95162262282361</v>
      </c>
      <c r="S271" s="81">
        <f>IF(G271="","",ABS(O271-Components!$C$5)/Components!$D$5)</f>
        <v>20.757368781087038</v>
      </c>
      <c r="T271" s="81">
        <f>IF(G271="","",ABS(O271-Components!$C$6)/Components!$D$6)</f>
        <v>104.39707606316665</v>
      </c>
      <c r="U271" s="81">
        <f>IF(G271="","",ABS(O271-Components!$C$7)/Components!$D$7)</f>
        <v>106.0094655806944</v>
      </c>
      <c r="V271" s="81" t="str">
        <f>IF(G271="","",IF(M271="OK","NONE",INDEX({"S1","S2","W1","W2","N1","N2"},MATCH(MIN(P271:U271),P271:U271,0))))</f>
        <v>S2</v>
      </c>
      <c r="W271" s="117">
        <f t="shared" si="35"/>
        <v>1</v>
      </c>
      <c r="X271" s="107"/>
    </row>
    <row r="272" spans="1:24">
      <c r="A272" s="115">
        <v>270</v>
      </c>
      <c r="B272" s="116">
        <v>9</v>
      </c>
      <c r="C272" s="61" t="s">
        <v>130</v>
      </c>
      <c r="D272" s="61" t="s">
        <v>240</v>
      </c>
      <c r="E272" s="61" t="s">
        <v>102</v>
      </c>
      <c r="F272" s="61">
        <v>4.91</v>
      </c>
      <c r="G272" s="52">
        <f t="shared" si="29"/>
        <v>5.88</v>
      </c>
      <c r="H272" s="110"/>
      <c r="I272" s="81">
        <v>9.91</v>
      </c>
      <c r="J272" s="81">
        <f>VLOOKUP(C272,Recipes!$A$2:$N$4,12,FALSE())</f>
        <v>5.0137397426368718E-2</v>
      </c>
      <c r="K272" s="81">
        <f t="shared" si="30"/>
        <v>9.7595878077208944</v>
      </c>
      <c r="L272" s="81">
        <f t="shared" si="31"/>
        <v>10.060412192279106</v>
      </c>
      <c r="M272" s="81" t="str">
        <f t="shared" si="32"/>
        <v>NG</v>
      </c>
      <c r="N272" s="117">
        <f t="shared" si="33"/>
        <v>1</v>
      </c>
      <c r="O272" s="81">
        <f t="shared" si="34"/>
        <v>4.03</v>
      </c>
      <c r="P272" s="81">
        <f>IF(G272="","",ABS(O272-Components!$C$2)/Components!$D$2)</f>
        <v>193.17252083828927</v>
      </c>
      <c r="Q272" s="81">
        <f>IF(G272="","",ABS(O272-Components!$C$3)/Components!$D$3)</f>
        <v>0.43489129076422284</v>
      </c>
      <c r="R272" s="81">
        <f>IF(G272="","",ABS(O272-Components!$C$4)/Components!$D$4)</f>
        <v>217.23624530568088</v>
      </c>
      <c r="S272" s="81">
        <f>IF(G272="","",ABS(O272-Components!$C$5)/Components!$D$5)</f>
        <v>21.154512316439458</v>
      </c>
      <c r="T272" s="81">
        <f>IF(G272="","",ABS(O272-Components!$C$6)/Components!$D$6)</f>
        <v>104.03513080927841</v>
      </c>
      <c r="U272" s="81">
        <f>IF(G272="","",ABS(O272-Components!$C$7)/Components!$D$7)</f>
        <v>105.61178095303143</v>
      </c>
      <c r="V272" s="81" t="str">
        <f>IF(G272="","",IF(M272="OK","NONE",INDEX({"S1","S2","W1","W2","N1","N2"},MATCH(MIN(P272:U272),P272:U272,0))))</f>
        <v>S2</v>
      </c>
      <c r="W272" s="117">
        <f t="shared" si="35"/>
        <v>1</v>
      </c>
      <c r="X272" s="107"/>
    </row>
    <row r="273" spans="1:24">
      <c r="A273" s="115">
        <v>271</v>
      </c>
      <c r="B273" s="116">
        <v>10</v>
      </c>
      <c r="C273" s="81" t="s">
        <v>132</v>
      </c>
      <c r="D273" s="109" t="s">
        <v>238</v>
      </c>
      <c r="E273" s="81" t="s">
        <v>239</v>
      </c>
      <c r="F273" s="52">
        <v>8.65</v>
      </c>
      <c r="G273" s="52">
        <f t="shared" si="29"/>
        <v>9.620000000000001</v>
      </c>
      <c r="H273" s="110"/>
      <c r="I273" s="81">
        <v>9.61</v>
      </c>
      <c r="J273" s="81">
        <f>VLOOKUP(C273,Recipes!$A$2:$N$4,12,FALSE())</f>
        <v>6.1509461004819709E-2</v>
      </c>
      <c r="K273" s="81">
        <f t="shared" si="30"/>
        <v>9.4254716169855399</v>
      </c>
      <c r="L273" s="81">
        <f t="shared" si="31"/>
        <v>9.7945283830144589</v>
      </c>
      <c r="M273" s="81" t="str">
        <f t="shared" si="32"/>
        <v>OK</v>
      </c>
      <c r="N273" s="117">
        <f t="shared" si="33"/>
        <v>1</v>
      </c>
      <c r="O273" s="81">
        <f t="shared" si="34"/>
        <v>-1.0000000000001563E-2</v>
      </c>
      <c r="P273" s="81">
        <f>IF(G273="","",ABS(O273-Components!$C$2)/Components!$D$2)</f>
        <v>418.12015607034266</v>
      </c>
      <c r="Q273" s="81">
        <f>IF(G273="","",ABS(O273-Components!$C$3)/Components!$D$3)</f>
        <v>293.26169373870664</v>
      </c>
      <c r="R273" s="81">
        <f>IF(G273="","",ABS(O273-Components!$C$4)/Components!$D$4)</f>
        <v>71.77619081998904</v>
      </c>
      <c r="S273" s="81">
        <f>IF(G273="","",ABS(O273-Components!$C$5)/Components!$D$5)</f>
        <v>181.60050059882036</v>
      </c>
      <c r="T273" s="81">
        <f>IF(G273="","",ABS(O273-Components!$C$6)/Components!$D$6)</f>
        <v>42.190751761573523</v>
      </c>
      <c r="U273" s="81">
        <f>IF(G273="","",ABS(O273-Components!$C$7)/Components!$D$7)</f>
        <v>55.052808622811391</v>
      </c>
      <c r="V273" s="81" t="str">
        <f>IF(G273="","",IF(M273="OK","NONE",INDEX({"S1","S2","W1","W2","N1","N2"},MATCH(MIN(P273:U273),P273:U273,0))))</f>
        <v>NONE</v>
      </c>
      <c r="W273" s="117">
        <f t="shared" si="35"/>
        <v>1</v>
      </c>
      <c r="X273" s="107"/>
    </row>
    <row r="274" spans="1:24">
      <c r="A274" s="115">
        <v>272</v>
      </c>
      <c r="B274" s="116">
        <v>10</v>
      </c>
      <c r="C274" s="81" t="s">
        <v>132</v>
      </c>
      <c r="D274" s="109" t="s">
        <v>238</v>
      </c>
      <c r="E274" s="81" t="s">
        <v>239</v>
      </c>
      <c r="F274" s="52">
        <v>8.5299999999999994</v>
      </c>
      <c r="G274" s="52">
        <f t="shared" si="29"/>
        <v>9.5</v>
      </c>
      <c r="H274" s="110"/>
      <c r="I274" s="81">
        <v>9.61</v>
      </c>
      <c r="J274" s="81">
        <f>VLOOKUP(C274,Recipes!$A$2:$N$4,12,FALSE())</f>
        <v>6.1509461004819709E-2</v>
      </c>
      <c r="K274" s="81">
        <f t="shared" si="30"/>
        <v>9.4254716169855399</v>
      </c>
      <c r="L274" s="81">
        <f t="shared" si="31"/>
        <v>9.7945283830144589</v>
      </c>
      <c r="M274" s="81" t="str">
        <f t="shared" si="32"/>
        <v>OK</v>
      </c>
      <c r="N274" s="117">
        <f t="shared" si="33"/>
        <v>1</v>
      </c>
      <c r="O274" s="81">
        <f t="shared" si="34"/>
        <v>0.10999999999999943</v>
      </c>
      <c r="P274" s="81">
        <f>IF(G274="","",ABS(O274-Components!$C$2)/Components!$D$2)</f>
        <v>399.96294784533364</v>
      </c>
      <c r="Q274" s="81">
        <f>IF(G274="","",ABS(O274-Components!$C$3)/Components!$D$3)</f>
        <v>284.56386792342113</v>
      </c>
      <c r="R274" s="81">
        <f>IF(G274="","",ABS(O274-Components!$C$4)/Components!$D$4)</f>
        <v>63.191663014276003</v>
      </c>
      <c r="S274" s="81">
        <f>IF(G274="","",ABS(O274-Components!$C$5)/Components!$D$5)</f>
        <v>176.83477817459118</v>
      </c>
      <c r="T274" s="81">
        <f>IF(G274="","",ABS(O274-Components!$C$6)/Components!$D$6)</f>
        <v>37.847408714914522</v>
      </c>
      <c r="U274" s="81">
        <f>IF(G274="","",ABS(O274-Components!$C$7)/Components!$D$7)</f>
        <v>50.280593090855632</v>
      </c>
      <c r="V274" s="81" t="str">
        <f>IF(G274="","",IF(M274="OK","NONE",INDEX({"S1","S2","W1","W2","N1","N2"},MATCH(MIN(P274:U274),P274:U274,0))))</f>
        <v>NONE</v>
      </c>
      <c r="W274" s="117">
        <f t="shared" si="35"/>
        <v>1</v>
      </c>
      <c r="X274" s="107"/>
    </row>
    <row r="275" spans="1:24">
      <c r="A275" s="115">
        <v>273</v>
      </c>
      <c r="B275" s="116">
        <v>10</v>
      </c>
      <c r="C275" s="81" t="s">
        <v>132</v>
      </c>
      <c r="D275" s="109" t="s">
        <v>238</v>
      </c>
      <c r="E275" s="81" t="s">
        <v>239</v>
      </c>
      <c r="F275" s="61">
        <v>8.58</v>
      </c>
      <c r="G275" s="52">
        <f t="shared" si="29"/>
        <v>9.5500000000000007</v>
      </c>
      <c r="H275" s="110"/>
      <c r="I275" s="81">
        <v>9.61</v>
      </c>
      <c r="J275" s="81">
        <f>VLOOKUP(C275,Recipes!$A$2:$N$4,12,FALSE())</f>
        <v>6.1509461004819709E-2</v>
      </c>
      <c r="K275" s="81">
        <f t="shared" si="30"/>
        <v>9.4254716169855399</v>
      </c>
      <c r="L275" s="81">
        <f t="shared" si="31"/>
        <v>9.7945283830144589</v>
      </c>
      <c r="M275" s="81" t="str">
        <f t="shared" si="32"/>
        <v>OK</v>
      </c>
      <c r="N275" s="117">
        <f t="shared" si="33"/>
        <v>1</v>
      </c>
      <c r="O275" s="81">
        <f t="shared" si="34"/>
        <v>5.9999999999998721E-2</v>
      </c>
      <c r="P275" s="81">
        <f>IF(G275="","",ABS(O275-Components!$C$2)/Components!$D$2)</f>
        <v>407.52845127242074</v>
      </c>
      <c r="Q275" s="81">
        <f>IF(G275="","",ABS(O275-Components!$C$3)/Components!$D$3)</f>
        <v>288.18796201312347</v>
      </c>
      <c r="R275" s="81">
        <f>IF(G275="","",ABS(O275-Components!$C$4)/Components!$D$4)</f>
        <v>66.768549599989782</v>
      </c>
      <c r="S275" s="81">
        <f>IF(G275="","",ABS(O275-Components!$C$5)/Components!$D$5)</f>
        <v>178.82049585135334</v>
      </c>
      <c r="T275" s="81">
        <f>IF(G275="","",ABS(O275-Components!$C$6)/Components!$D$6)</f>
        <v>39.657134984355785</v>
      </c>
      <c r="U275" s="81">
        <f>IF(G275="","",ABS(O275-Components!$C$7)/Components!$D$7)</f>
        <v>52.269016229170546</v>
      </c>
      <c r="V275" s="81" t="str">
        <f>IF(G275="","",IF(M275="OK","NONE",INDEX({"S1","S2","W1","W2","N1","N2"},MATCH(MIN(P275:U275),P275:U275,0))))</f>
        <v>NONE</v>
      </c>
      <c r="W275" s="117">
        <f t="shared" si="35"/>
        <v>1</v>
      </c>
      <c r="X275" s="107"/>
    </row>
    <row r="276" spans="1:24">
      <c r="A276" s="115">
        <v>274</v>
      </c>
      <c r="B276" s="116">
        <v>10</v>
      </c>
      <c r="C276" s="81" t="s">
        <v>132</v>
      </c>
      <c r="D276" s="109" t="s">
        <v>238</v>
      </c>
      <c r="E276" s="81" t="s">
        <v>239</v>
      </c>
      <c r="F276" s="61">
        <v>8.66</v>
      </c>
      <c r="G276" s="52">
        <f t="shared" si="29"/>
        <v>9.6300000000000008</v>
      </c>
      <c r="H276" s="110"/>
      <c r="I276" s="81">
        <v>9.61</v>
      </c>
      <c r="J276" s="81">
        <f>VLOOKUP(C276,Recipes!$A$2:$N$4,12,FALSE())</f>
        <v>6.1509461004819709E-2</v>
      </c>
      <c r="K276" s="81">
        <f t="shared" si="30"/>
        <v>9.4254716169855399</v>
      </c>
      <c r="L276" s="81">
        <f t="shared" si="31"/>
        <v>9.7945283830144589</v>
      </c>
      <c r="M276" s="81" t="str">
        <f t="shared" si="32"/>
        <v>OK</v>
      </c>
      <c r="N276" s="117">
        <f t="shared" si="33"/>
        <v>1</v>
      </c>
      <c r="O276" s="81">
        <f t="shared" si="34"/>
        <v>-2.000000000000135E-2</v>
      </c>
      <c r="P276" s="81">
        <f>IF(G276="","",ABS(O276-Components!$C$2)/Components!$D$2)</f>
        <v>419.63325675576004</v>
      </c>
      <c r="Q276" s="81">
        <f>IF(G276="","",ABS(O276-Components!$C$3)/Components!$D$3)</f>
        <v>293.98651255664709</v>
      </c>
      <c r="R276" s="81">
        <f>IF(G276="","",ABS(O276-Components!$C$4)/Components!$D$4)</f>
        <v>72.491568137131765</v>
      </c>
      <c r="S276" s="81">
        <f>IF(G276="","",ABS(O276-Components!$C$5)/Components!$D$5)</f>
        <v>181.99764413417276</v>
      </c>
      <c r="T276" s="81">
        <f>IF(G276="","",ABS(O276-Components!$C$6)/Components!$D$6)</f>
        <v>42.552697015461767</v>
      </c>
      <c r="U276" s="81">
        <f>IF(G276="","",ABS(O276-Components!$C$7)/Components!$D$7)</f>
        <v>55.450493250474359</v>
      </c>
      <c r="V276" s="81" t="str">
        <f>IF(G276="","",IF(M276="OK","NONE",INDEX({"S1","S2","W1","W2","N1","N2"},MATCH(MIN(P276:U276),P276:U276,0))))</f>
        <v>NONE</v>
      </c>
      <c r="W276" s="117">
        <f t="shared" si="35"/>
        <v>1</v>
      </c>
      <c r="X276" s="107"/>
    </row>
    <row r="277" spans="1:24">
      <c r="A277" s="115">
        <v>275</v>
      </c>
      <c r="B277" s="116">
        <v>10</v>
      </c>
      <c r="C277" s="81" t="s">
        <v>132</v>
      </c>
      <c r="D277" s="109" t="s">
        <v>238</v>
      </c>
      <c r="E277" s="81" t="s">
        <v>239</v>
      </c>
      <c r="F277" s="61">
        <v>8.57</v>
      </c>
      <c r="G277" s="52">
        <f t="shared" si="29"/>
        <v>9.5400000000000009</v>
      </c>
      <c r="H277" s="110"/>
      <c r="I277" s="81">
        <v>9.61</v>
      </c>
      <c r="J277" s="81">
        <f>VLOOKUP(C277,Recipes!$A$2:$N$4,12,FALSE())</f>
        <v>6.1509461004819709E-2</v>
      </c>
      <c r="K277" s="81">
        <f t="shared" si="30"/>
        <v>9.4254716169855399</v>
      </c>
      <c r="L277" s="81">
        <f t="shared" si="31"/>
        <v>9.7945283830144589</v>
      </c>
      <c r="M277" s="81" t="str">
        <f t="shared" si="32"/>
        <v>OK</v>
      </c>
      <c r="N277" s="117">
        <f t="shared" si="33"/>
        <v>1</v>
      </c>
      <c r="O277" s="81">
        <f t="shared" si="34"/>
        <v>6.9999999999998508E-2</v>
      </c>
      <c r="P277" s="81">
        <f>IF(G277="","",ABS(O277-Components!$C$2)/Components!$D$2)</f>
        <v>406.01535058700341</v>
      </c>
      <c r="Q277" s="81">
        <f>IF(G277="","",ABS(O277-Components!$C$3)/Components!$D$3)</f>
        <v>287.46314319518302</v>
      </c>
      <c r="R277" s="81">
        <f>IF(G277="","",ABS(O277-Components!$C$4)/Components!$D$4)</f>
        <v>66.053172282847058</v>
      </c>
      <c r="S277" s="81">
        <f>IF(G277="","",ABS(O277-Components!$C$5)/Components!$D$5)</f>
        <v>178.42335231600092</v>
      </c>
      <c r="T277" s="81">
        <f>IF(G277="","",ABS(O277-Components!$C$6)/Components!$D$6)</f>
        <v>39.295189730467548</v>
      </c>
      <c r="U277" s="81">
        <f>IF(G277="","",ABS(O277-Components!$C$7)/Components!$D$7)</f>
        <v>51.871331601507578</v>
      </c>
      <c r="V277" s="81" t="str">
        <f>IF(G277="","",IF(M277="OK","NONE",INDEX({"S1","S2","W1","W2","N1","N2"},MATCH(MIN(P277:U277),P277:U277,0))))</f>
        <v>NONE</v>
      </c>
      <c r="W277" s="117">
        <f t="shared" si="35"/>
        <v>1</v>
      </c>
      <c r="X277" s="107"/>
    </row>
    <row r="278" spans="1:24">
      <c r="A278" s="115">
        <v>276</v>
      </c>
      <c r="B278" s="116">
        <v>10</v>
      </c>
      <c r="C278" s="81" t="s">
        <v>132</v>
      </c>
      <c r="D278" s="109" t="s">
        <v>238</v>
      </c>
      <c r="E278" s="81" t="s">
        <v>239</v>
      </c>
      <c r="F278" s="61">
        <v>8.6</v>
      </c>
      <c r="G278" s="52">
        <f t="shared" si="29"/>
        <v>9.57</v>
      </c>
      <c r="H278" s="110"/>
      <c r="I278" s="81">
        <v>9.61</v>
      </c>
      <c r="J278" s="81">
        <f>VLOOKUP(C278,Recipes!$A$2:$N$4,12,FALSE())</f>
        <v>6.1509461004819709E-2</v>
      </c>
      <c r="K278" s="81">
        <f t="shared" si="30"/>
        <v>9.4254716169855399</v>
      </c>
      <c r="L278" s="81">
        <f t="shared" si="31"/>
        <v>9.7945283830144589</v>
      </c>
      <c r="M278" s="81" t="str">
        <f t="shared" si="32"/>
        <v>OK</v>
      </c>
      <c r="N278" s="117">
        <f t="shared" si="33"/>
        <v>1</v>
      </c>
      <c r="O278" s="81">
        <f t="shared" si="34"/>
        <v>3.9999999999999147E-2</v>
      </c>
      <c r="P278" s="81">
        <f>IF(G278="","",ABS(O278-Components!$C$2)/Components!$D$2)</f>
        <v>410.55465264325551</v>
      </c>
      <c r="Q278" s="81">
        <f>IF(G278="","",ABS(O278-Components!$C$3)/Components!$D$3)</f>
        <v>289.63759964900436</v>
      </c>
      <c r="R278" s="81">
        <f>IF(G278="","",ABS(O278-Components!$C$4)/Components!$D$4)</f>
        <v>68.199304234275246</v>
      </c>
      <c r="S278" s="81">
        <f>IF(G278="","",ABS(O278-Components!$C$5)/Components!$D$5)</f>
        <v>179.6147829220582</v>
      </c>
      <c r="T278" s="81">
        <f>IF(G278="","",ABS(O278-Components!$C$6)/Components!$D$6)</f>
        <v>40.381025492132267</v>
      </c>
      <c r="U278" s="81">
        <f>IF(G278="","",ABS(O278-Components!$C$7)/Components!$D$7)</f>
        <v>53.064385484496484</v>
      </c>
      <c r="V278" s="81" t="str">
        <f>IF(G278="","",IF(M278="OK","NONE",INDEX({"S1","S2","W1","W2","N1","N2"},MATCH(MIN(P278:U278),P278:U278,0))))</f>
        <v>NONE</v>
      </c>
      <c r="W278" s="117">
        <f t="shared" si="35"/>
        <v>1</v>
      </c>
      <c r="X278" s="107"/>
    </row>
    <row r="279" spans="1:24">
      <c r="A279" s="115">
        <v>277</v>
      </c>
      <c r="B279" s="116">
        <v>10</v>
      </c>
      <c r="C279" s="81" t="s">
        <v>132</v>
      </c>
      <c r="D279" s="109" t="s">
        <v>238</v>
      </c>
      <c r="E279" s="81" t="s">
        <v>239</v>
      </c>
      <c r="F279" s="61">
        <v>8.65</v>
      </c>
      <c r="G279" s="52">
        <f t="shared" si="29"/>
        <v>9.620000000000001</v>
      </c>
      <c r="H279" s="110"/>
      <c r="I279" s="81">
        <v>9.61</v>
      </c>
      <c r="J279" s="81">
        <f>VLOOKUP(C279,Recipes!$A$2:$N$4,12,FALSE())</f>
        <v>6.1509461004819709E-2</v>
      </c>
      <c r="K279" s="81">
        <f t="shared" si="30"/>
        <v>9.4254716169855399</v>
      </c>
      <c r="L279" s="81">
        <f t="shared" si="31"/>
        <v>9.7945283830144589</v>
      </c>
      <c r="M279" s="81" t="str">
        <f t="shared" si="32"/>
        <v>OK</v>
      </c>
      <c r="N279" s="117">
        <f t="shared" si="33"/>
        <v>1</v>
      </c>
      <c r="O279" s="81">
        <f t="shared" si="34"/>
        <v>-1.0000000000001563E-2</v>
      </c>
      <c r="P279" s="81">
        <f>IF(G279="","",ABS(O279-Components!$C$2)/Components!$D$2)</f>
        <v>418.12015607034266</v>
      </c>
      <c r="Q279" s="81">
        <f>IF(G279="","",ABS(O279-Components!$C$3)/Components!$D$3)</f>
        <v>293.26169373870664</v>
      </c>
      <c r="R279" s="81">
        <f>IF(G279="","",ABS(O279-Components!$C$4)/Components!$D$4)</f>
        <v>71.77619081998904</v>
      </c>
      <c r="S279" s="81">
        <f>IF(G279="","",ABS(O279-Components!$C$5)/Components!$D$5)</f>
        <v>181.60050059882036</v>
      </c>
      <c r="T279" s="81">
        <f>IF(G279="","",ABS(O279-Components!$C$6)/Components!$D$6)</f>
        <v>42.190751761573523</v>
      </c>
      <c r="U279" s="81">
        <f>IF(G279="","",ABS(O279-Components!$C$7)/Components!$D$7)</f>
        <v>55.052808622811391</v>
      </c>
      <c r="V279" s="81" t="str">
        <f>IF(G279="","",IF(M279="OK","NONE",INDEX({"S1","S2","W1","W2","N1","N2"},MATCH(MIN(P279:U279),P279:U279,0))))</f>
        <v>NONE</v>
      </c>
      <c r="W279" s="117">
        <f t="shared" si="35"/>
        <v>1</v>
      </c>
      <c r="X279" s="107"/>
    </row>
    <row r="280" spans="1:24">
      <c r="A280" s="115">
        <v>278</v>
      </c>
      <c r="B280" s="116">
        <v>10</v>
      </c>
      <c r="C280" s="81" t="s">
        <v>132</v>
      </c>
      <c r="D280" s="109" t="s">
        <v>238</v>
      </c>
      <c r="E280" s="81" t="s">
        <v>239</v>
      </c>
      <c r="F280" s="61">
        <v>8.58</v>
      </c>
      <c r="G280" s="52">
        <f t="shared" si="29"/>
        <v>9.5500000000000007</v>
      </c>
      <c r="H280" s="110"/>
      <c r="I280" s="81">
        <v>9.61</v>
      </c>
      <c r="J280" s="81">
        <f>VLOOKUP(C280,Recipes!$A$2:$N$4,12,FALSE())</f>
        <v>6.1509461004819709E-2</v>
      </c>
      <c r="K280" s="81">
        <f t="shared" si="30"/>
        <v>9.4254716169855399</v>
      </c>
      <c r="L280" s="81">
        <f t="shared" si="31"/>
        <v>9.7945283830144589</v>
      </c>
      <c r="M280" s="81" t="str">
        <f t="shared" si="32"/>
        <v>OK</v>
      </c>
      <c r="N280" s="117">
        <f t="shared" si="33"/>
        <v>1</v>
      </c>
      <c r="O280" s="81">
        <f t="shared" si="34"/>
        <v>5.9999999999998721E-2</v>
      </c>
      <c r="P280" s="81">
        <f>IF(G280="","",ABS(O280-Components!$C$2)/Components!$D$2)</f>
        <v>407.52845127242074</v>
      </c>
      <c r="Q280" s="81">
        <f>IF(G280="","",ABS(O280-Components!$C$3)/Components!$D$3)</f>
        <v>288.18796201312347</v>
      </c>
      <c r="R280" s="81">
        <f>IF(G280="","",ABS(O280-Components!$C$4)/Components!$D$4)</f>
        <v>66.768549599989782</v>
      </c>
      <c r="S280" s="81">
        <f>IF(G280="","",ABS(O280-Components!$C$5)/Components!$D$5)</f>
        <v>178.82049585135334</v>
      </c>
      <c r="T280" s="81">
        <f>IF(G280="","",ABS(O280-Components!$C$6)/Components!$D$6)</f>
        <v>39.657134984355785</v>
      </c>
      <c r="U280" s="81">
        <f>IF(G280="","",ABS(O280-Components!$C$7)/Components!$D$7)</f>
        <v>52.269016229170546</v>
      </c>
      <c r="V280" s="81" t="str">
        <f>IF(G280="","",IF(M280="OK","NONE",INDEX({"S1","S2","W1","W2","N1","N2"},MATCH(MIN(P280:U280),P280:U280,0))))</f>
        <v>NONE</v>
      </c>
      <c r="W280" s="117">
        <f t="shared" si="35"/>
        <v>1</v>
      </c>
      <c r="X280" s="107"/>
    </row>
    <row r="281" spans="1:24">
      <c r="A281" s="115">
        <v>279</v>
      </c>
      <c r="B281" s="116">
        <v>10</v>
      </c>
      <c r="C281" s="81" t="s">
        <v>132</v>
      </c>
      <c r="D281" s="109" t="s">
        <v>238</v>
      </c>
      <c r="E281" s="81" t="s">
        <v>239</v>
      </c>
      <c r="F281" s="61">
        <v>8.58</v>
      </c>
      <c r="G281" s="52">
        <f t="shared" si="29"/>
        <v>9.5500000000000007</v>
      </c>
      <c r="H281" s="110"/>
      <c r="I281" s="81">
        <v>9.61</v>
      </c>
      <c r="J281" s="81">
        <f>VLOOKUP(C281,Recipes!$A$2:$N$4,12,FALSE())</f>
        <v>6.1509461004819709E-2</v>
      </c>
      <c r="K281" s="81">
        <f t="shared" si="30"/>
        <v>9.4254716169855399</v>
      </c>
      <c r="L281" s="81">
        <f t="shared" si="31"/>
        <v>9.7945283830144589</v>
      </c>
      <c r="M281" s="81" t="str">
        <f t="shared" si="32"/>
        <v>OK</v>
      </c>
      <c r="N281" s="117">
        <f t="shared" si="33"/>
        <v>1</v>
      </c>
      <c r="O281" s="81">
        <f t="shared" si="34"/>
        <v>5.9999999999998721E-2</v>
      </c>
      <c r="P281" s="81">
        <f>IF(G281="","",ABS(O281-Components!$C$2)/Components!$D$2)</f>
        <v>407.52845127242074</v>
      </c>
      <c r="Q281" s="81">
        <f>IF(G281="","",ABS(O281-Components!$C$3)/Components!$D$3)</f>
        <v>288.18796201312347</v>
      </c>
      <c r="R281" s="81">
        <f>IF(G281="","",ABS(O281-Components!$C$4)/Components!$D$4)</f>
        <v>66.768549599989782</v>
      </c>
      <c r="S281" s="81">
        <f>IF(G281="","",ABS(O281-Components!$C$5)/Components!$D$5)</f>
        <v>178.82049585135334</v>
      </c>
      <c r="T281" s="81">
        <f>IF(G281="","",ABS(O281-Components!$C$6)/Components!$D$6)</f>
        <v>39.657134984355785</v>
      </c>
      <c r="U281" s="81">
        <f>IF(G281="","",ABS(O281-Components!$C$7)/Components!$D$7)</f>
        <v>52.269016229170546</v>
      </c>
      <c r="V281" s="81" t="str">
        <f>IF(G281="","",IF(M281="OK","NONE",INDEX({"S1","S2","W1","W2","N1","N2"},MATCH(MIN(P281:U281),P281:U281,0))))</f>
        <v>NONE</v>
      </c>
      <c r="W281" s="117">
        <f t="shared" si="35"/>
        <v>1</v>
      </c>
      <c r="X281" s="107"/>
    </row>
    <row r="282" spans="1:24">
      <c r="A282" s="115">
        <v>280</v>
      </c>
      <c r="B282" s="116">
        <v>10</v>
      </c>
      <c r="C282" s="81" t="s">
        <v>132</v>
      </c>
      <c r="D282" s="109" t="s">
        <v>238</v>
      </c>
      <c r="E282" s="81" t="s">
        <v>239</v>
      </c>
      <c r="F282" s="61">
        <v>8.57</v>
      </c>
      <c r="G282" s="52">
        <f t="shared" si="29"/>
        <v>9.5400000000000009</v>
      </c>
      <c r="H282" s="110"/>
      <c r="I282" s="81">
        <v>9.61</v>
      </c>
      <c r="J282" s="81">
        <f>VLOOKUP(C282,Recipes!$A$2:$N$4,12,FALSE())</f>
        <v>6.1509461004819709E-2</v>
      </c>
      <c r="K282" s="81">
        <f t="shared" si="30"/>
        <v>9.4254716169855399</v>
      </c>
      <c r="L282" s="81">
        <f t="shared" si="31"/>
        <v>9.7945283830144589</v>
      </c>
      <c r="M282" s="81" t="str">
        <f t="shared" si="32"/>
        <v>OK</v>
      </c>
      <c r="N282" s="117">
        <f t="shared" si="33"/>
        <v>1</v>
      </c>
      <c r="O282" s="81">
        <f t="shared" si="34"/>
        <v>6.9999999999998508E-2</v>
      </c>
      <c r="P282" s="81">
        <f>IF(G282="","",ABS(O282-Components!$C$2)/Components!$D$2)</f>
        <v>406.01535058700341</v>
      </c>
      <c r="Q282" s="81">
        <f>IF(G282="","",ABS(O282-Components!$C$3)/Components!$D$3)</f>
        <v>287.46314319518302</v>
      </c>
      <c r="R282" s="81">
        <f>IF(G282="","",ABS(O282-Components!$C$4)/Components!$D$4)</f>
        <v>66.053172282847058</v>
      </c>
      <c r="S282" s="81">
        <f>IF(G282="","",ABS(O282-Components!$C$5)/Components!$D$5)</f>
        <v>178.42335231600092</v>
      </c>
      <c r="T282" s="81">
        <f>IF(G282="","",ABS(O282-Components!$C$6)/Components!$D$6)</f>
        <v>39.295189730467548</v>
      </c>
      <c r="U282" s="81">
        <f>IF(G282="","",ABS(O282-Components!$C$7)/Components!$D$7)</f>
        <v>51.871331601507578</v>
      </c>
      <c r="V282" s="81" t="str">
        <f>IF(G282="","",IF(M282="OK","NONE",INDEX({"S1","S2","W1","W2","N1","N2"},MATCH(MIN(P282:U282),P282:U282,0))))</f>
        <v>NONE</v>
      </c>
      <c r="W282" s="117">
        <f t="shared" si="35"/>
        <v>1</v>
      </c>
      <c r="X282" s="107"/>
    </row>
    <row r="283" spans="1:24">
      <c r="A283" s="115">
        <v>281</v>
      </c>
      <c r="B283" s="116">
        <v>10</v>
      </c>
      <c r="C283" s="81" t="s">
        <v>132</v>
      </c>
      <c r="D283" s="109" t="s">
        <v>238</v>
      </c>
      <c r="E283" s="81" t="s">
        <v>239</v>
      </c>
      <c r="F283" s="61">
        <v>8.5299999999999994</v>
      </c>
      <c r="G283" s="52">
        <f t="shared" si="29"/>
        <v>9.5</v>
      </c>
      <c r="H283" s="110"/>
      <c r="I283" s="81">
        <v>9.61</v>
      </c>
      <c r="J283" s="81">
        <f>VLOOKUP(C283,Recipes!$A$2:$N$4,12,FALSE())</f>
        <v>6.1509461004819709E-2</v>
      </c>
      <c r="K283" s="81">
        <f t="shared" si="30"/>
        <v>9.4254716169855399</v>
      </c>
      <c r="L283" s="81">
        <f t="shared" si="31"/>
        <v>9.7945283830144589</v>
      </c>
      <c r="M283" s="81" t="str">
        <f t="shared" si="32"/>
        <v>OK</v>
      </c>
      <c r="N283" s="117">
        <f t="shared" si="33"/>
        <v>1</v>
      </c>
      <c r="O283" s="81">
        <f t="shared" si="34"/>
        <v>0.10999999999999943</v>
      </c>
      <c r="P283" s="81">
        <f>IF(G283="","",ABS(O283-Components!$C$2)/Components!$D$2)</f>
        <v>399.96294784533364</v>
      </c>
      <c r="Q283" s="81">
        <f>IF(G283="","",ABS(O283-Components!$C$3)/Components!$D$3)</f>
        <v>284.56386792342113</v>
      </c>
      <c r="R283" s="81">
        <f>IF(G283="","",ABS(O283-Components!$C$4)/Components!$D$4)</f>
        <v>63.191663014276003</v>
      </c>
      <c r="S283" s="81">
        <f>IF(G283="","",ABS(O283-Components!$C$5)/Components!$D$5)</f>
        <v>176.83477817459118</v>
      </c>
      <c r="T283" s="81">
        <f>IF(G283="","",ABS(O283-Components!$C$6)/Components!$D$6)</f>
        <v>37.847408714914522</v>
      </c>
      <c r="U283" s="81">
        <f>IF(G283="","",ABS(O283-Components!$C$7)/Components!$D$7)</f>
        <v>50.280593090855632</v>
      </c>
      <c r="V283" s="81" t="str">
        <f>IF(G283="","",IF(M283="OK","NONE",INDEX({"S1","S2","W1","W2","N1","N2"},MATCH(MIN(P283:U283),P283:U283,0))))</f>
        <v>NONE</v>
      </c>
      <c r="W283" s="117">
        <f t="shared" si="35"/>
        <v>1</v>
      </c>
      <c r="X283" s="107"/>
    </row>
    <row r="284" spans="1:24">
      <c r="A284" s="115">
        <v>282</v>
      </c>
      <c r="B284" s="116">
        <v>10</v>
      </c>
      <c r="C284" s="81" t="s">
        <v>132</v>
      </c>
      <c r="D284" s="109" t="s">
        <v>238</v>
      </c>
      <c r="E284" s="81" t="s">
        <v>239</v>
      </c>
      <c r="F284" s="61">
        <v>8.64</v>
      </c>
      <c r="G284" s="52">
        <f t="shared" si="29"/>
        <v>9.6100000000000012</v>
      </c>
      <c r="H284" s="110"/>
      <c r="I284" s="81">
        <v>9.61</v>
      </c>
      <c r="J284" s="81">
        <f>VLOOKUP(C284,Recipes!$A$2:$N$4,12,FALSE())</f>
        <v>6.1509461004819709E-2</v>
      </c>
      <c r="K284" s="81">
        <f t="shared" si="30"/>
        <v>9.4254716169855399</v>
      </c>
      <c r="L284" s="81">
        <f t="shared" si="31"/>
        <v>9.7945283830144589</v>
      </c>
      <c r="M284" s="81" t="str">
        <f t="shared" si="32"/>
        <v>OK</v>
      </c>
      <c r="N284" s="117">
        <f t="shared" si="33"/>
        <v>1</v>
      </c>
      <c r="O284" s="81">
        <f t="shared" si="34"/>
        <v>-1.7763568394002505E-15</v>
      </c>
      <c r="P284" s="81">
        <f>IF(G284="","",ABS(O284-Components!$C$2)/Components!$D$2)</f>
        <v>416.60705538492527</v>
      </c>
      <c r="Q284" s="81">
        <f>IF(G284="","",ABS(O284-Components!$C$3)/Components!$D$3)</f>
        <v>292.53687492076619</v>
      </c>
      <c r="R284" s="81">
        <f>IF(G284="","",ABS(O284-Components!$C$4)/Components!$D$4)</f>
        <v>71.060813502846301</v>
      </c>
      <c r="S284" s="81">
        <f>IF(G284="","",ABS(O284-Components!$C$5)/Components!$D$5)</f>
        <v>181.20335706346793</v>
      </c>
      <c r="T284" s="81">
        <f>IF(G284="","",ABS(O284-Components!$C$6)/Components!$D$6)</f>
        <v>41.828806507685286</v>
      </c>
      <c r="U284" s="81">
        <f>IF(G284="","",ABS(O284-Components!$C$7)/Components!$D$7)</f>
        <v>54.655123995148422</v>
      </c>
      <c r="V284" s="81" t="str">
        <f>IF(G284="","",IF(M284="OK","NONE",INDEX({"S1","S2","W1","W2","N1","N2"},MATCH(MIN(P284:U284),P284:U284,0))))</f>
        <v>NONE</v>
      </c>
      <c r="W284" s="117">
        <f t="shared" si="35"/>
        <v>1</v>
      </c>
      <c r="X284" s="107"/>
    </row>
    <row r="285" spans="1:24">
      <c r="A285" s="115">
        <v>283</v>
      </c>
      <c r="B285" s="116">
        <v>10</v>
      </c>
      <c r="C285" s="81" t="s">
        <v>132</v>
      </c>
      <c r="D285" s="109" t="s">
        <v>238</v>
      </c>
      <c r="E285" s="81" t="s">
        <v>239</v>
      </c>
      <c r="F285" s="61">
        <v>8.57</v>
      </c>
      <c r="G285" s="52">
        <f t="shared" si="29"/>
        <v>9.5400000000000009</v>
      </c>
      <c r="H285" s="110"/>
      <c r="I285" s="81">
        <v>9.61</v>
      </c>
      <c r="J285" s="81">
        <f>VLOOKUP(C285,Recipes!$A$2:$N$4,12,FALSE())</f>
        <v>6.1509461004819709E-2</v>
      </c>
      <c r="K285" s="81">
        <f t="shared" si="30"/>
        <v>9.4254716169855399</v>
      </c>
      <c r="L285" s="81">
        <f t="shared" si="31"/>
        <v>9.7945283830144589</v>
      </c>
      <c r="M285" s="81" t="str">
        <f t="shared" si="32"/>
        <v>OK</v>
      </c>
      <c r="N285" s="117">
        <f t="shared" si="33"/>
        <v>1</v>
      </c>
      <c r="O285" s="81">
        <f t="shared" si="34"/>
        <v>6.9999999999998508E-2</v>
      </c>
      <c r="P285" s="81">
        <f>IF(G285="","",ABS(O285-Components!$C$2)/Components!$D$2)</f>
        <v>406.01535058700341</v>
      </c>
      <c r="Q285" s="81">
        <f>IF(G285="","",ABS(O285-Components!$C$3)/Components!$D$3)</f>
        <v>287.46314319518302</v>
      </c>
      <c r="R285" s="81">
        <f>IF(G285="","",ABS(O285-Components!$C$4)/Components!$D$4)</f>
        <v>66.053172282847058</v>
      </c>
      <c r="S285" s="81">
        <f>IF(G285="","",ABS(O285-Components!$C$5)/Components!$D$5)</f>
        <v>178.42335231600092</v>
      </c>
      <c r="T285" s="81">
        <f>IF(G285="","",ABS(O285-Components!$C$6)/Components!$D$6)</f>
        <v>39.295189730467548</v>
      </c>
      <c r="U285" s="81">
        <f>IF(G285="","",ABS(O285-Components!$C$7)/Components!$D$7)</f>
        <v>51.871331601507578</v>
      </c>
      <c r="V285" s="81" t="str">
        <f>IF(G285="","",IF(M285="OK","NONE",INDEX({"S1","S2","W1","W2","N1","N2"},MATCH(MIN(P285:U285),P285:U285,0))))</f>
        <v>NONE</v>
      </c>
      <c r="W285" s="117">
        <f t="shared" si="35"/>
        <v>1</v>
      </c>
      <c r="X285" s="107"/>
    </row>
    <row r="286" spans="1:24">
      <c r="A286" s="115">
        <v>284</v>
      </c>
      <c r="B286" s="116">
        <v>10</v>
      </c>
      <c r="C286" s="81" t="s">
        <v>132</v>
      </c>
      <c r="D286" s="109" t="s">
        <v>238</v>
      </c>
      <c r="E286" s="81" t="s">
        <v>239</v>
      </c>
      <c r="F286" s="61">
        <v>8.58</v>
      </c>
      <c r="G286" s="52">
        <f t="shared" si="29"/>
        <v>9.5500000000000007</v>
      </c>
      <c r="H286" s="110"/>
      <c r="I286" s="81">
        <v>9.61</v>
      </c>
      <c r="J286" s="81">
        <f>VLOOKUP(C286,Recipes!$A$2:$N$4,12,FALSE())</f>
        <v>6.1509461004819709E-2</v>
      </c>
      <c r="K286" s="81">
        <f t="shared" si="30"/>
        <v>9.4254716169855399</v>
      </c>
      <c r="L286" s="81">
        <f t="shared" si="31"/>
        <v>9.7945283830144589</v>
      </c>
      <c r="M286" s="81" t="str">
        <f t="shared" si="32"/>
        <v>OK</v>
      </c>
      <c r="N286" s="117">
        <f t="shared" si="33"/>
        <v>1</v>
      </c>
      <c r="O286" s="81">
        <f t="shared" si="34"/>
        <v>5.9999999999998721E-2</v>
      </c>
      <c r="P286" s="81">
        <f>IF(G286="","",ABS(O286-Components!$C$2)/Components!$D$2)</f>
        <v>407.52845127242074</v>
      </c>
      <c r="Q286" s="81">
        <f>IF(G286="","",ABS(O286-Components!$C$3)/Components!$D$3)</f>
        <v>288.18796201312347</v>
      </c>
      <c r="R286" s="81">
        <f>IF(G286="","",ABS(O286-Components!$C$4)/Components!$D$4)</f>
        <v>66.768549599989782</v>
      </c>
      <c r="S286" s="81">
        <f>IF(G286="","",ABS(O286-Components!$C$5)/Components!$D$5)</f>
        <v>178.82049585135334</v>
      </c>
      <c r="T286" s="81">
        <f>IF(G286="","",ABS(O286-Components!$C$6)/Components!$D$6)</f>
        <v>39.657134984355785</v>
      </c>
      <c r="U286" s="81">
        <f>IF(G286="","",ABS(O286-Components!$C$7)/Components!$D$7)</f>
        <v>52.269016229170546</v>
      </c>
      <c r="V286" s="81" t="str">
        <f>IF(G286="","",IF(M286="OK","NONE",INDEX({"S1","S2","W1","W2","N1","N2"},MATCH(MIN(P286:U286),P286:U286,0))))</f>
        <v>NONE</v>
      </c>
      <c r="W286" s="117">
        <f t="shared" si="35"/>
        <v>1</v>
      </c>
      <c r="X286" s="107"/>
    </row>
    <row r="287" spans="1:24">
      <c r="A287" s="115">
        <v>285</v>
      </c>
      <c r="B287" s="116">
        <v>10</v>
      </c>
      <c r="C287" s="81" t="s">
        <v>132</v>
      </c>
      <c r="D287" s="109" t="s">
        <v>238</v>
      </c>
      <c r="E287" s="81" t="s">
        <v>239</v>
      </c>
      <c r="F287" s="61">
        <v>8.6300000000000008</v>
      </c>
      <c r="G287" s="52">
        <f t="shared" si="29"/>
        <v>9.6000000000000014</v>
      </c>
      <c r="H287" s="110"/>
      <c r="I287" s="81">
        <v>9.61</v>
      </c>
      <c r="J287" s="81">
        <f>VLOOKUP(C287,Recipes!$A$2:$N$4,12,FALSE())</f>
        <v>6.1509461004819709E-2</v>
      </c>
      <c r="K287" s="81">
        <f t="shared" si="30"/>
        <v>9.4254716169855399</v>
      </c>
      <c r="L287" s="81">
        <f t="shared" si="31"/>
        <v>9.7945283830144589</v>
      </c>
      <c r="M287" s="81" t="str">
        <f t="shared" si="32"/>
        <v>OK</v>
      </c>
      <c r="N287" s="117">
        <f t="shared" si="33"/>
        <v>1</v>
      </c>
      <c r="O287" s="81">
        <f t="shared" si="34"/>
        <v>9.9999999999980105E-3</v>
      </c>
      <c r="P287" s="81">
        <f>IF(G287="","",ABS(O287-Components!$C$2)/Components!$D$2)</f>
        <v>415.09395469950789</v>
      </c>
      <c r="Q287" s="81">
        <f>IF(G287="","",ABS(O287-Components!$C$3)/Components!$D$3)</f>
        <v>291.81205610282575</v>
      </c>
      <c r="R287" s="81">
        <f>IF(G287="","",ABS(O287-Components!$C$4)/Components!$D$4)</f>
        <v>70.345436185703576</v>
      </c>
      <c r="S287" s="81">
        <f>IF(G287="","",ABS(O287-Components!$C$5)/Components!$D$5)</f>
        <v>180.80621352811551</v>
      </c>
      <c r="T287" s="81">
        <f>IF(G287="","",ABS(O287-Components!$C$6)/Components!$D$6)</f>
        <v>41.466861253797049</v>
      </c>
      <c r="U287" s="81">
        <f>IF(G287="","",ABS(O287-Components!$C$7)/Components!$D$7)</f>
        <v>54.257439367485453</v>
      </c>
      <c r="V287" s="81" t="str">
        <f>IF(G287="","",IF(M287="OK","NONE",INDEX({"S1","S2","W1","W2","N1","N2"},MATCH(MIN(P287:U287),P287:U287,0))))</f>
        <v>NONE</v>
      </c>
      <c r="W287" s="117">
        <f t="shared" si="35"/>
        <v>1</v>
      </c>
      <c r="X287" s="107"/>
    </row>
    <row r="288" spans="1:24">
      <c r="A288" s="115">
        <v>286</v>
      </c>
      <c r="B288" s="116">
        <v>10</v>
      </c>
      <c r="C288" s="81" t="s">
        <v>132</v>
      </c>
      <c r="D288" s="109" t="s">
        <v>238</v>
      </c>
      <c r="E288" s="81" t="s">
        <v>239</v>
      </c>
      <c r="F288" s="61">
        <v>8.6</v>
      </c>
      <c r="G288" s="52">
        <f t="shared" si="29"/>
        <v>9.57</v>
      </c>
      <c r="H288" s="110"/>
      <c r="I288" s="81">
        <v>9.61</v>
      </c>
      <c r="J288" s="81">
        <f>VLOOKUP(C288,Recipes!$A$2:$N$4,12,FALSE())</f>
        <v>6.1509461004819709E-2</v>
      </c>
      <c r="K288" s="81">
        <f t="shared" si="30"/>
        <v>9.4254716169855399</v>
      </c>
      <c r="L288" s="81">
        <f t="shared" si="31"/>
        <v>9.7945283830144589</v>
      </c>
      <c r="M288" s="81" t="str">
        <f t="shared" si="32"/>
        <v>OK</v>
      </c>
      <c r="N288" s="117">
        <f t="shared" si="33"/>
        <v>1</v>
      </c>
      <c r="O288" s="81">
        <f t="shared" si="34"/>
        <v>3.9999999999999147E-2</v>
      </c>
      <c r="P288" s="81">
        <f>IF(G288="","",ABS(O288-Components!$C$2)/Components!$D$2)</f>
        <v>410.55465264325551</v>
      </c>
      <c r="Q288" s="81">
        <f>IF(G288="","",ABS(O288-Components!$C$3)/Components!$D$3)</f>
        <v>289.63759964900436</v>
      </c>
      <c r="R288" s="81">
        <f>IF(G288="","",ABS(O288-Components!$C$4)/Components!$D$4)</f>
        <v>68.199304234275246</v>
      </c>
      <c r="S288" s="81">
        <f>IF(G288="","",ABS(O288-Components!$C$5)/Components!$D$5)</f>
        <v>179.6147829220582</v>
      </c>
      <c r="T288" s="81">
        <f>IF(G288="","",ABS(O288-Components!$C$6)/Components!$D$6)</f>
        <v>40.381025492132267</v>
      </c>
      <c r="U288" s="81">
        <f>IF(G288="","",ABS(O288-Components!$C$7)/Components!$D$7)</f>
        <v>53.064385484496484</v>
      </c>
      <c r="V288" s="81" t="str">
        <f>IF(G288="","",IF(M288="OK","NONE",INDEX({"S1","S2","W1","W2","N1","N2"},MATCH(MIN(P288:U288),P288:U288,0))))</f>
        <v>NONE</v>
      </c>
      <c r="W288" s="117">
        <f t="shared" si="35"/>
        <v>1</v>
      </c>
      <c r="X288" s="107"/>
    </row>
    <row r="289" spans="1:24">
      <c r="A289" s="115">
        <v>287</v>
      </c>
      <c r="B289" s="116">
        <v>10</v>
      </c>
      <c r="C289" s="81" t="s">
        <v>132</v>
      </c>
      <c r="D289" s="109" t="s">
        <v>238</v>
      </c>
      <c r="E289" s="81" t="s">
        <v>239</v>
      </c>
      <c r="F289" s="61">
        <v>8.6199999999999992</v>
      </c>
      <c r="G289" s="52">
        <f t="shared" si="29"/>
        <v>9.59</v>
      </c>
      <c r="H289" s="110"/>
      <c r="I289" s="81">
        <v>9.61</v>
      </c>
      <c r="J289" s="81">
        <f>VLOOKUP(C289,Recipes!$A$2:$N$4,12,FALSE())</f>
        <v>6.1509461004819709E-2</v>
      </c>
      <c r="K289" s="81">
        <f t="shared" si="30"/>
        <v>9.4254716169855399</v>
      </c>
      <c r="L289" s="81">
        <f t="shared" si="31"/>
        <v>9.7945283830144589</v>
      </c>
      <c r="M289" s="81" t="str">
        <f t="shared" si="32"/>
        <v>OK</v>
      </c>
      <c r="N289" s="117">
        <f t="shared" si="33"/>
        <v>1</v>
      </c>
      <c r="O289" s="81">
        <f t="shared" si="34"/>
        <v>1.9999999999999574E-2</v>
      </c>
      <c r="P289" s="81">
        <f>IF(G289="","",ABS(O289-Components!$C$2)/Components!$D$2)</f>
        <v>413.58085401409028</v>
      </c>
      <c r="Q289" s="81">
        <f>IF(G289="","",ABS(O289-Components!$C$3)/Components!$D$3)</f>
        <v>291.08723728488519</v>
      </c>
      <c r="R289" s="81">
        <f>IF(G289="","",ABS(O289-Components!$C$4)/Components!$D$4)</f>
        <v>69.63005886856071</v>
      </c>
      <c r="S289" s="81">
        <f>IF(G289="","",ABS(O289-Components!$C$5)/Components!$D$5)</f>
        <v>180.40906999276302</v>
      </c>
      <c r="T289" s="81">
        <f>IF(G289="","",ABS(O289-Components!$C$6)/Components!$D$6)</f>
        <v>41.104915999908741</v>
      </c>
      <c r="U289" s="81">
        <f>IF(G289="","",ABS(O289-Components!$C$7)/Components!$D$7)</f>
        <v>53.859754739822421</v>
      </c>
      <c r="V289" s="81" t="str">
        <f>IF(G289="","",IF(M289="OK","NONE",INDEX({"S1","S2","W1","W2","N1","N2"},MATCH(MIN(P289:U289),P289:U289,0))))</f>
        <v>NONE</v>
      </c>
      <c r="W289" s="117">
        <f t="shared" si="35"/>
        <v>1</v>
      </c>
      <c r="X289" s="107"/>
    </row>
    <row r="290" spans="1:24">
      <c r="A290" s="115">
        <v>288</v>
      </c>
      <c r="B290" s="116">
        <v>10</v>
      </c>
      <c r="C290" s="81" t="s">
        <v>132</v>
      </c>
      <c r="D290" s="109" t="s">
        <v>238</v>
      </c>
      <c r="E290" s="81" t="s">
        <v>239</v>
      </c>
      <c r="F290" s="61">
        <v>8.41</v>
      </c>
      <c r="G290" s="52">
        <f t="shared" si="29"/>
        <v>9.3800000000000008</v>
      </c>
      <c r="H290" s="110"/>
      <c r="I290" s="81">
        <v>9.61</v>
      </c>
      <c r="J290" s="81">
        <f>VLOOKUP(C290,Recipes!$A$2:$N$4,12,FALSE())</f>
        <v>6.1509461004819709E-2</v>
      </c>
      <c r="K290" s="81">
        <f t="shared" si="30"/>
        <v>9.4254716169855399</v>
      </c>
      <c r="L290" s="81">
        <f t="shared" si="31"/>
        <v>9.7945283830144589</v>
      </c>
      <c r="M290" s="81" t="str">
        <f t="shared" si="32"/>
        <v>NG</v>
      </c>
      <c r="N290" s="122">
        <f t="shared" si="33"/>
        <v>0</v>
      </c>
      <c r="O290" s="81">
        <f t="shared" si="34"/>
        <v>0.22999999999999865</v>
      </c>
      <c r="P290" s="81">
        <f>IF(G290="","",ABS(O290-Components!$C$2)/Components!$D$2)</f>
        <v>381.80573962032491</v>
      </c>
      <c r="Q290" s="81">
        <f>IF(G290="","",ABS(O290-Components!$C$3)/Components!$D$3)</f>
        <v>275.86604210813579</v>
      </c>
      <c r="R290" s="81">
        <f>IF(G290="","",ABS(O290-Components!$C$4)/Components!$D$4)</f>
        <v>54.607135208563093</v>
      </c>
      <c r="S290" s="81">
        <f>IF(G290="","",ABS(O290-Components!$C$5)/Components!$D$5)</f>
        <v>172.06905575036208</v>
      </c>
      <c r="T290" s="81">
        <f>IF(G290="","",ABS(O290-Components!$C$6)/Components!$D$6)</f>
        <v>33.504065668255585</v>
      </c>
      <c r="U290" s="81">
        <f>IF(G290="","",ABS(O290-Components!$C$7)/Components!$D$7)</f>
        <v>45.508377558899937</v>
      </c>
      <c r="V290" s="81" t="str">
        <f>IF(G290="","",IF(M290="OK","NONE",INDEX({"S1","S2","W1","W2","N1","N2"},MATCH(MIN(P290:U290),P290:U290,0))))</f>
        <v>N1</v>
      </c>
      <c r="W290" s="122">
        <f t="shared" si="35"/>
        <v>0</v>
      </c>
      <c r="X290" s="107"/>
    </row>
    <row r="291" spans="1:24">
      <c r="A291" s="115">
        <v>289</v>
      </c>
      <c r="B291" s="116">
        <v>10</v>
      </c>
      <c r="C291" s="81" t="s">
        <v>132</v>
      </c>
      <c r="D291" s="109" t="s">
        <v>238</v>
      </c>
      <c r="E291" s="81" t="s">
        <v>239</v>
      </c>
      <c r="F291" s="61">
        <v>8.61</v>
      </c>
      <c r="G291" s="52">
        <f t="shared" si="29"/>
        <v>9.58</v>
      </c>
      <c r="H291" s="110"/>
      <c r="I291" s="81">
        <v>9.61</v>
      </c>
      <c r="J291" s="81">
        <f>VLOOKUP(C291,Recipes!$A$2:$N$4,12,FALSE())</f>
        <v>6.1509461004819709E-2</v>
      </c>
      <c r="K291" s="81">
        <f t="shared" si="30"/>
        <v>9.4254716169855399</v>
      </c>
      <c r="L291" s="81">
        <f t="shared" si="31"/>
        <v>9.7945283830144589</v>
      </c>
      <c r="M291" s="81" t="str">
        <f t="shared" si="32"/>
        <v>OK</v>
      </c>
      <c r="N291" s="117">
        <f t="shared" si="33"/>
        <v>1</v>
      </c>
      <c r="O291" s="81">
        <f t="shared" si="34"/>
        <v>2.9999999999999361E-2</v>
      </c>
      <c r="P291" s="81">
        <f>IF(G291="","",ABS(O291-Components!$C$2)/Components!$D$2)</f>
        <v>412.06775332867289</v>
      </c>
      <c r="Q291" s="81">
        <f>IF(G291="","",ABS(O291-Components!$C$3)/Components!$D$3)</f>
        <v>290.36241846694475</v>
      </c>
      <c r="R291" s="81">
        <f>IF(G291="","",ABS(O291-Components!$C$4)/Components!$D$4)</f>
        <v>68.914681551417985</v>
      </c>
      <c r="S291" s="81">
        <f>IF(G291="","",ABS(O291-Components!$C$5)/Components!$D$5)</f>
        <v>180.0119264574106</v>
      </c>
      <c r="T291" s="81">
        <f>IF(G291="","",ABS(O291-Components!$C$6)/Components!$D$6)</f>
        <v>40.742970746020504</v>
      </c>
      <c r="U291" s="81">
        <f>IF(G291="","",ABS(O291-Components!$C$7)/Components!$D$7)</f>
        <v>53.462070112159452</v>
      </c>
      <c r="V291" s="81" t="str">
        <f>IF(G291="","",IF(M291="OK","NONE",INDEX({"S1","S2","W1","W2","N1","N2"},MATCH(MIN(P291:U291),P291:U291,0))))</f>
        <v>NONE</v>
      </c>
      <c r="W291" s="117">
        <f t="shared" si="35"/>
        <v>1</v>
      </c>
      <c r="X291" s="107"/>
    </row>
    <row r="292" spans="1:24">
      <c r="A292" s="115">
        <v>290</v>
      </c>
      <c r="B292" s="116">
        <v>10</v>
      </c>
      <c r="C292" s="81" t="s">
        <v>132</v>
      </c>
      <c r="D292" s="109" t="s">
        <v>238</v>
      </c>
      <c r="E292" s="81" t="s">
        <v>239</v>
      </c>
      <c r="F292" s="61">
        <v>8.61</v>
      </c>
      <c r="G292" s="52">
        <f t="shared" si="29"/>
        <v>9.58</v>
      </c>
      <c r="H292" s="110"/>
      <c r="I292" s="81">
        <v>9.61</v>
      </c>
      <c r="J292" s="81">
        <f>VLOOKUP(C292,Recipes!$A$2:$N$4,12,FALSE())</f>
        <v>6.1509461004819709E-2</v>
      </c>
      <c r="K292" s="81">
        <f t="shared" si="30"/>
        <v>9.4254716169855399</v>
      </c>
      <c r="L292" s="81">
        <f t="shared" si="31"/>
        <v>9.7945283830144589</v>
      </c>
      <c r="M292" s="81" t="str">
        <f t="shared" si="32"/>
        <v>OK</v>
      </c>
      <c r="N292" s="117">
        <f t="shared" si="33"/>
        <v>1</v>
      </c>
      <c r="O292" s="81">
        <f t="shared" si="34"/>
        <v>2.9999999999999361E-2</v>
      </c>
      <c r="P292" s="81">
        <f>IF(G292="","",ABS(O292-Components!$C$2)/Components!$D$2)</f>
        <v>412.06775332867289</v>
      </c>
      <c r="Q292" s="81">
        <f>IF(G292="","",ABS(O292-Components!$C$3)/Components!$D$3)</f>
        <v>290.36241846694475</v>
      </c>
      <c r="R292" s="81">
        <f>IF(G292="","",ABS(O292-Components!$C$4)/Components!$D$4)</f>
        <v>68.914681551417985</v>
      </c>
      <c r="S292" s="81">
        <f>IF(G292="","",ABS(O292-Components!$C$5)/Components!$D$5)</f>
        <v>180.0119264574106</v>
      </c>
      <c r="T292" s="81">
        <f>IF(G292="","",ABS(O292-Components!$C$6)/Components!$D$6)</f>
        <v>40.742970746020504</v>
      </c>
      <c r="U292" s="81">
        <f>IF(G292="","",ABS(O292-Components!$C$7)/Components!$D$7)</f>
        <v>53.462070112159452</v>
      </c>
      <c r="V292" s="81" t="str">
        <f>IF(G292="","",IF(M292="OK","NONE",INDEX({"S1","S2","W1","W2","N1","N2"},MATCH(MIN(P292:U292),P292:U292,0))))</f>
        <v>NONE</v>
      </c>
      <c r="W292" s="117">
        <f t="shared" si="35"/>
        <v>1</v>
      </c>
      <c r="X292" s="107"/>
    </row>
    <row r="293" spans="1:24">
      <c r="A293" s="115">
        <v>291</v>
      </c>
      <c r="B293" s="116">
        <v>10</v>
      </c>
      <c r="C293" s="81" t="s">
        <v>132</v>
      </c>
      <c r="D293" s="109" t="s">
        <v>238</v>
      </c>
      <c r="E293" s="81" t="s">
        <v>239</v>
      </c>
      <c r="F293" s="61">
        <v>8.5399999999999991</v>
      </c>
      <c r="G293" s="52">
        <f t="shared" si="29"/>
        <v>9.51</v>
      </c>
      <c r="H293" s="110"/>
      <c r="I293" s="81">
        <v>9.61</v>
      </c>
      <c r="J293" s="81">
        <f>VLOOKUP(C293,Recipes!$A$2:$N$4,12,FALSE())</f>
        <v>6.1509461004819709E-2</v>
      </c>
      <c r="K293" s="81">
        <f t="shared" si="30"/>
        <v>9.4254716169855399</v>
      </c>
      <c r="L293" s="81">
        <f t="shared" si="31"/>
        <v>9.7945283830144589</v>
      </c>
      <c r="M293" s="81" t="str">
        <f t="shared" si="32"/>
        <v>OK</v>
      </c>
      <c r="N293" s="117">
        <f t="shared" si="33"/>
        <v>1</v>
      </c>
      <c r="O293" s="81">
        <f t="shared" si="34"/>
        <v>9.9999999999999645E-2</v>
      </c>
      <c r="P293" s="81">
        <f>IF(G293="","",ABS(O293-Components!$C$2)/Components!$D$2)</f>
        <v>401.47604853075103</v>
      </c>
      <c r="Q293" s="81">
        <f>IF(G293="","",ABS(O293-Components!$C$3)/Components!$D$3)</f>
        <v>285.28868674136157</v>
      </c>
      <c r="R293" s="81">
        <f>IF(G293="","",ABS(O293-Components!$C$4)/Components!$D$4)</f>
        <v>63.907040331418735</v>
      </c>
      <c r="S293" s="81">
        <f>IF(G293="","",ABS(O293-Components!$C$5)/Components!$D$5)</f>
        <v>177.23192170994361</v>
      </c>
      <c r="T293" s="81">
        <f>IF(G293="","",ABS(O293-Components!$C$6)/Components!$D$6)</f>
        <v>38.209353968802759</v>
      </c>
      <c r="U293" s="81">
        <f>IF(G293="","",ABS(O293-Components!$C$7)/Components!$D$7)</f>
        <v>50.678277718518601</v>
      </c>
      <c r="V293" s="81" t="str">
        <f>IF(G293="","",IF(M293="OK","NONE",INDEX({"S1","S2","W1","W2","N1","N2"},MATCH(MIN(P293:U293),P293:U293,0))))</f>
        <v>NONE</v>
      </c>
      <c r="W293" s="117">
        <f t="shared" si="35"/>
        <v>1</v>
      </c>
      <c r="X293" s="107"/>
    </row>
    <row r="294" spans="1:24">
      <c r="A294" s="115">
        <v>292</v>
      </c>
      <c r="B294" s="116">
        <v>10</v>
      </c>
      <c r="C294" s="81" t="s">
        <v>132</v>
      </c>
      <c r="D294" s="109" t="s">
        <v>238</v>
      </c>
      <c r="E294" s="81" t="s">
        <v>239</v>
      </c>
      <c r="F294" s="61">
        <v>8.59</v>
      </c>
      <c r="G294" s="52">
        <f t="shared" si="29"/>
        <v>9.56</v>
      </c>
      <c r="H294" s="110"/>
      <c r="I294" s="81">
        <v>9.61</v>
      </c>
      <c r="J294" s="81">
        <f>VLOOKUP(C294,Recipes!$A$2:$N$4,12,FALSE())</f>
        <v>6.1509461004819709E-2</v>
      </c>
      <c r="K294" s="81">
        <f t="shared" si="30"/>
        <v>9.4254716169855399</v>
      </c>
      <c r="L294" s="81">
        <f t="shared" si="31"/>
        <v>9.7945283830144589</v>
      </c>
      <c r="M294" s="81" t="str">
        <f t="shared" si="32"/>
        <v>OK</v>
      </c>
      <c r="N294" s="117">
        <f t="shared" si="33"/>
        <v>1</v>
      </c>
      <c r="O294" s="81">
        <f t="shared" si="34"/>
        <v>4.9999999999998934E-2</v>
      </c>
      <c r="P294" s="81">
        <f>IF(G294="","",ABS(O294-Components!$C$2)/Components!$D$2)</f>
        <v>409.04155195783812</v>
      </c>
      <c r="Q294" s="81">
        <f>IF(G294="","",ABS(O294-Components!$C$3)/Components!$D$3)</f>
        <v>288.91278083106391</v>
      </c>
      <c r="R294" s="81">
        <f>IF(G294="","",ABS(O294-Components!$C$4)/Components!$D$4)</f>
        <v>67.483926917132521</v>
      </c>
      <c r="S294" s="81">
        <f>IF(G294="","",ABS(O294-Components!$C$5)/Components!$D$5)</f>
        <v>179.21763938670577</v>
      </c>
      <c r="T294" s="81">
        <f>IF(G294="","",ABS(O294-Components!$C$6)/Components!$D$6)</f>
        <v>40.019080238244022</v>
      </c>
      <c r="U294" s="81">
        <f>IF(G294="","",ABS(O294-Components!$C$7)/Components!$D$7)</f>
        <v>52.666700856833515</v>
      </c>
      <c r="V294" s="81" t="str">
        <f>IF(G294="","",IF(M294="OK","NONE",INDEX({"S1","S2","W1","W2","N1","N2"},MATCH(MIN(P294:U294),P294:U294,0))))</f>
        <v>NONE</v>
      </c>
      <c r="W294" s="117">
        <f t="shared" si="35"/>
        <v>1</v>
      </c>
      <c r="X294" s="107"/>
    </row>
    <row r="295" spans="1:24">
      <c r="A295" s="115">
        <v>293</v>
      </c>
      <c r="B295" s="116">
        <v>10</v>
      </c>
      <c r="C295" s="81" t="s">
        <v>132</v>
      </c>
      <c r="D295" s="109" t="s">
        <v>238</v>
      </c>
      <c r="E295" s="81" t="s">
        <v>239</v>
      </c>
      <c r="F295" s="61">
        <v>8.64</v>
      </c>
      <c r="G295" s="52">
        <f t="shared" si="29"/>
        <v>9.6100000000000012</v>
      </c>
      <c r="H295" s="110"/>
      <c r="I295" s="81">
        <v>9.61</v>
      </c>
      <c r="J295" s="81">
        <f>VLOOKUP(C295,Recipes!$A$2:$N$4,12,FALSE())</f>
        <v>6.1509461004819709E-2</v>
      </c>
      <c r="K295" s="81">
        <f t="shared" si="30"/>
        <v>9.4254716169855399</v>
      </c>
      <c r="L295" s="81">
        <f t="shared" si="31"/>
        <v>9.7945283830144589</v>
      </c>
      <c r="M295" s="81" t="str">
        <f t="shared" si="32"/>
        <v>OK</v>
      </c>
      <c r="N295" s="117">
        <f t="shared" si="33"/>
        <v>1</v>
      </c>
      <c r="O295" s="81">
        <f t="shared" si="34"/>
        <v>-1.7763568394002505E-15</v>
      </c>
      <c r="P295" s="81">
        <f>IF(G295="","",ABS(O295-Components!$C$2)/Components!$D$2)</f>
        <v>416.60705538492527</v>
      </c>
      <c r="Q295" s="81">
        <f>IF(G295="","",ABS(O295-Components!$C$3)/Components!$D$3)</f>
        <v>292.53687492076619</v>
      </c>
      <c r="R295" s="81">
        <f>IF(G295="","",ABS(O295-Components!$C$4)/Components!$D$4)</f>
        <v>71.060813502846301</v>
      </c>
      <c r="S295" s="81">
        <f>IF(G295="","",ABS(O295-Components!$C$5)/Components!$D$5)</f>
        <v>181.20335706346793</v>
      </c>
      <c r="T295" s="81">
        <f>IF(G295="","",ABS(O295-Components!$C$6)/Components!$D$6)</f>
        <v>41.828806507685286</v>
      </c>
      <c r="U295" s="81">
        <f>IF(G295="","",ABS(O295-Components!$C$7)/Components!$D$7)</f>
        <v>54.655123995148422</v>
      </c>
      <c r="V295" s="81" t="str">
        <f>IF(G295="","",IF(M295="OK","NONE",INDEX({"S1","S2","W1","W2","N1","N2"},MATCH(MIN(P295:U295),P295:U295,0))))</f>
        <v>NONE</v>
      </c>
      <c r="W295" s="117">
        <f t="shared" si="35"/>
        <v>1</v>
      </c>
      <c r="X295" s="107"/>
    </row>
    <row r="296" spans="1:24">
      <c r="A296" s="115">
        <v>294</v>
      </c>
      <c r="B296" s="116">
        <v>10</v>
      </c>
      <c r="C296" s="81" t="s">
        <v>132</v>
      </c>
      <c r="D296" s="109" t="s">
        <v>238</v>
      </c>
      <c r="E296" s="81" t="s">
        <v>239</v>
      </c>
      <c r="F296" s="61">
        <v>8.64</v>
      </c>
      <c r="G296" s="52">
        <f t="shared" si="29"/>
        <v>9.6100000000000012</v>
      </c>
      <c r="H296" s="110"/>
      <c r="I296" s="81">
        <v>9.61</v>
      </c>
      <c r="J296" s="81">
        <f>VLOOKUP(C296,Recipes!$A$2:$N$4,12,FALSE())</f>
        <v>6.1509461004819709E-2</v>
      </c>
      <c r="K296" s="81">
        <f t="shared" si="30"/>
        <v>9.4254716169855399</v>
      </c>
      <c r="L296" s="81">
        <f t="shared" si="31"/>
        <v>9.7945283830144589</v>
      </c>
      <c r="M296" s="81" t="str">
        <f t="shared" si="32"/>
        <v>OK</v>
      </c>
      <c r="N296" s="117">
        <f t="shared" si="33"/>
        <v>1</v>
      </c>
      <c r="O296" s="81">
        <f t="shared" si="34"/>
        <v>-1.7763568394002505E-15</v>
      </c>
      <c r="P296" s="81">
        <f>IF(G296="","",ABS(O296-Components!$C$2)/Components!$D$2)</f>
        <v>416.60705538492527</v>
      </c>
      <c r="Q296" s="81">
        <f>IF(G296="","",ABS(O296-Components!$C$3)/Components!$D$3)</f>
        <v>292.53687492076619</v>
      </c>
      <c r="R296" s="81">
        <f>IF(G296="","",ABS(O296-Components!$C$4)/Components!$D$4)</f>
        <v>71.060813502846301</v>
      </c>
      <c r="S296" s="81">
        <f>IF(G296="","",ABS(O296-Components!$C$5)/Components!$D$5)</f>
        <v>181.20335706346793</v>
      </c>
      <c r="T296" s="81">
        <f>IF(G296="","",ABS(O296-Components!$C$6)/Components!$D$6)</f>
        <v>41.828806507685286</v>
      </c>
      <c r="U296" s="81">
        <f>IF(G296="","",ABS(O296-Components!$C$7)/Components!$D$7)</f>
        <v>54.655123995148422</v>
      </c>
      <c r="V296" s="81" t="str">
        <f>IF(G296="","",IF(M296="OK","NONE",INDEX({"S1","S2","W1","W2","N1","N2"},MATCH(MIN(P296:U296),P296:U296,0))))</f>
        <v>NONE</v>
      </c>
      <c r="W296" s="117">
        <f t="shared" si="35"/>
        <v>1</v>
      </c>
      <c r="X296" s="107"/>
    </row>
    <row r="297" spans="1:24">
      <c r="A297" s="115">
        <v>295</v>
      </c>
      <c r="B297" s="116">
        <v>10</v>
      </c>
      <c r="C297" s="81" t="s">
        <v>132</v>
      </c>
      <c r="D297" s="109" t="s">
        <v>238</v>
      </c>
      <c r="E297" s="81" t="s">
        <v>239</v>
      </c>
      <c r="F297" s="61">
        <v>8.68</v>
      </c>
      <c r="G297" s="52">
        <f t="shared" si="29"/>
        <v>9.65</v>
      </c>
      <c r="H297" s="110"/>
      <c r="I297" s="81">
        <v>9.61</v>
      </c>
      <c r="J297" s="81">
        <f>VLOOKUP(C297,Recipes!$A$2:$N$4,12,FALSE())</f>
        <v>6.1509461004819709E-2</v>
      </c>
      <c r="K297" s="81">
        <f t="shared" si="30"/>
        <v>9.4254716169855399</v>
      </c>
      <c r="L297" s="81">
        <f t="shared" si="31"/>
        <v>9.7945283830144589</v>
      </c>
      <c r="M297" s="81" t="str">
        <f t="shared" si="32"/>
        <v>OK</v>
      </c>
      <c r="N297" s="117">
        <f t="shared" si="33"/>
        <v>1</v>
      </c>
      <c r="O297" s="81">
        <f t="shared" si="34"/>
        <v>-4.0000000000000924E-2</v>
      </c>
      <c r="P297" s="81">
        <f>IF(G297="","",ABS(O297-Components!$C$2)/Components!$D$2)</f>
        <v>422.65945812659476</v>
      </c>
      <c r="Q297" s="81">
        <f>IF(G297="","",ABS(O297-Components!$C$3)/Components!$D$3)</f>
        <v>295.43615019252792</v>
      </c>
      <c r="R297" s="81">
        <f>IF(G297="","",ABS(O297-Components!$C$4)/Components!$D$4)</f>
        <v>73.922322771417228</v>
      </c>
      <c r="S297" s="81">
        <f>IF(G297="","",ABS(O297-Components!$C$5)/Components!$D$5)</f>
        <v>182.79193120487761</v>
      </c>
      <c r="T297" s="81">
        <f>IF(G297="","",ABS(O297-Components!$C$6)/Components!$D$6)</f>
        <v>43.276587523238241</v>
      </c>
      <c r="U297" s="81">
        <f>IF(G297="","",ABS(O297-Components!$C$7)/Components!$D$7)</f>
        <v>56.245862505800297</v>
      </c>
      <c r="V297" s="81" t="str">
        <f>IF(G297="","",IF(M297="OK","NONE",INDEX({"S1","S2","W1","W2","N1","N2"},MATCH(MIN(P297:U297),P297:U297,0))))</f>
        <v>NONE</v>
      </c>
      <c r="W297" s="117">
        <f t="shared" si="35"/>
        <v>1</v>
      </c>
      <c r="X297" s="107"/>
    </row>
    <row r="298" spans="1:24">
      <c r="A298" s="115">
        <v>296</v>
      </c>
      <c r="B298" s="116">
        <v>10</v>
      </c>
      <c r="C298" s="81" t="s">
        <v>132</v>
      </c>
      <c r="D298" s="109" t="s">
        <v>238</v>
      </c>
      <c r="E298" s="81" t="s">
        <v>239</v>
      </c>
      <c r="F298" s="61">
        <v>8.66</v>
      </c>
      <c r="G298" s="52">
        <f t="shared" si="29"/>
        <v>9.6300000000000008</v>
      </c>
      <c r="H298" s="110"/>
      <c r="I298" s="81">
        <v>9.61</v>
      </c>
      <c r="J298" s="81">
        <f>VLOOKUP(C298,Recipes!$A$2:$N$4,12,FALSE())</f>
        <v>6.1509461004819709E-2</v>
      </c>
      <c r="K298" s="81">
        <f t="shared" si="30"/>
        <v>9.4254716169855399</v>
      </c>
      <c r="L298" s="81">
        <f t="shared" si="31"/>
        <v>9.7945283830144589</v>
      </c>
      <c r="M298" s="81" t="str">
        <f t="shared" si="32"/>
        <v>OK</v>
      </c>
      <c r="N298" s="117">
        <f t="shared" si="33"/>
        <v>1</v>
      </c>
      <c r="O298" s="81">
        <f t="shared" si="34"/>
        <v>-2.000000000000135E-2</v>
      </c>
      <c r="P298" s="81">
        <f>IF(G298="","",ABS(O298-Components!$C$2)/Components!$D$2)</f>
        <v>419.63325675576004</v>
      </c>
      <c r="Q298" s="81">
        <f>IF(G298="","",ABS(O298-Components!$C$3)/Components!$D$3)</f>
        <v>293.98651255664709</v>
      </c>
      <c r="R298" s="81">
        <f>IF(G298="","",ABS(O298-Components!$C$4)/Components!$D$4)</f>
        <v>72.491568137131765</v>
      </c>
      <c r="S298" s="81">
        <f>IF(G298="","",ABS(O298-Components!$C$5)/Components!$D$5)</f>
        <v>181.99764413417276</v>
      </c>
      <c r="T298" s="81">
        <f>IF(G298="","",ABS(O298-Components!$C$6)/Components!$D$6)</f>
        <v>42.552697015461767</v>
      </c>
      <c r="U298" s="81">
        <f>IF(G298="","",ABS(O298-Components!$C$7)/Components!$D$7)</f>
        <v>55.450493250474359</v>
      </c>
      <c r="V298" s="81" t="str">
        <f>IF(G298="","",IF(M298="OK","NONE",INDEX({"S1","S2","W1","W2","N1","N2"},MATCH(MIN(P298:U298),P298:U298,0))))</f>
        <v>NONE</v>
      </c>
      <c r="W298" s="117">
        <f t="shared" si="35"/>
        <v>1</v>
      </c>
      <c r="X298" s="107"/>
    </row>
    <row r="299" spans="1:24">
      <c r="A299" s="115">
        <v>297</v>
      </c>
      <c r="B299" s="116">
        <v>10</v>
      </c>
      <c r="C299" s="81" t="s">
        <v>132</v>
      </c>
      <c r="D299" s="109" t="s">
        <v>238</v>
      </c>
      <c r="E299" s="81" t="s">
        <v>239</v>
      </c>
      <c r="F299" s="61">
        <v>8.58</v>
      </c>
      <c r="G299" s="52">
        <f t="shared" si="29"/>
        <v>9.5500000000000007</v>
      </c>
      <c r="H299" s="110"/>
      <c r="I299" s="81">
        <v>9.61</v>
      </c>
      <c r="J299" s="81">
        <f>VLOOKUP(C299,Recipes!$A$2:$N$4,12,FALSE())</f>
        <v>6.1509461004819709E-2</v>
      </c>
      <c r="K299" s="81">
        <f t="shared" si="30"/>
        <v>9.4254716169855399</v>
      </c>
      <c r="L299" s="81">
        <f t="shared" si="31"/>
        <v>9.7945283830144589</v>
      </c>
      <c r="M299" s="81" t="str">
        <f t="shared" si="32"/>
        <v>OK</v>
      </c>
      <c r="N299" s="117">
        <f t="shared" si="33"/>
        <v>1</v>
      </c>
      <c r="O299" s="81">
        <f t="shared" si="34"/>
        <v>5.9999999999998721E-2</v>
      </c>
      <c r="P299" s="81">
        <f>IF(G299="","",ABS(O299-Components!$C$2)/Components!$D$2)</f>
        <v>407.52845127242074</v>
      </c>
      <c r="Q299" s="81">
        <f>IF(G299="","",ABS(O299-Components!$C$3)/Components!$D$3)</f>
        <v>288.18796201312347</v>
      </c>
      <c r="R299" s="81">
        <f>IF(G299="","",ABS(O299-Components!$C$4)/Components!$D$4)</f>
        <v>66.768549599989782</v>
      </c>
      <c r="S299" s="81">
        <f>IF(G299="","",ABS(O299-Components!$C$5)/Components!$D$5)</f>
        <v>178.82049585135334</v>
      </c>
      <c r="T299" s="81">
        <f>IF(G299="","",ABS(O299-Components!$C$6)/Components!$D$6)</f>
        <v>39.657134984355785</v>
      </c>
      <c r="U299" s="81">
        <f>IF(G299="","",ABS(O299-Components!$C$7)/Components!$D$7)</f>
        <v>52.269016229170546</v>
      </c>
      <c r="V299" s="81" t="str">
        <f>IF(G299="","",IF(M299="OK","NONE",INDEX({"S1","S2","W1","W2","N1","N2"},MATCH(MIN(P299:U299),P299:U299,0))))</f>
        <v>NONE</v>
      </c>
      <c r="W299" s="117">
        <f t="shared" si="35"/>
        <v>1</v>
      </c>
      <c r="X299" s="107"/>
    </row>
    <row r="300" spans="1:24">
      <c r="A300" s="115">
        <v>298</v>
      </c>
      <c r="B300" s="116">
        <v>10</v>
      </c>
      <c r="C300" s="81" t="s">
        <v>132</v>
      </c>
      <c r="D300" s="109" t="s">
        <v>238</v>
      </c>
      <c r="E300" s="81" t="s">
        <v>239</v>
      </c>
      <c r="F300" s="52">
        <v>8.6300000000000008</v>
      </c>
      <c r="G300" s="52">
        <f t="shared" si="29"/>
        <v>9.6000000000000014</v>
      </c>
      <c r="H300" s="110"/>
      <c r="I300" s="81">
        <v>9.61</v>
      </c>
      <c r="J300" s="81">
        <f>VLOOKUP(C300,Recipes!$A$2:$N$4,12,FALSE())</f>
        <v>6.1509461004819709E-2</v>
      </c>
      <c r="K300" s="81">
        <f t="shared" si="30"/>
        <v>9.4254716169855399</v>
      </c>
      <c r="L300" s="81">
        <f t="shared" si="31"/>
        <v>9.7945283830144589</v>
      </c>
      <c r="M300" s="81" t="str">
        <f t="shared" si="32"/>
        <v>OK</v>
      </c>
      <c r="N300" s="117">
        <f t="shared" si="33"/>
        <v>1</v>
      </c>
      <c r="O300" s="81">
        <f t="shared" si="34"/>
        <v>9.9999999999980105E-3</v>
      </c>
      <c r="P300" s="81">
        <f>IF(G300="","",ABS(O300-Components!$C$2)/Components!$D$2)</f>
        <v>415.09395469950789</v>
      </c>
      <c r="Q300" s="81">
        <f>IF(G300="","",ABS(O300-Components!$C$3)/Components!$D$3)</f>
        <v>291.81205610282575</v>
      </c>
      <c r="R300" s="81">
        <f>IF(G300="","",ABS(O300-Components!$C$4)/Components!$D$4)</f>
        <v>70.345436185703576</v>
      </c>
      <c r="S300" s="81">
        <f>IF(G300="","",ABS(O300-Components!$C$5)/Components!$D$5)</f>
        <v>180.80621352811551</v>
      </c>
      <c r="T300" s="81">
        <f>IF(G300="","",ABS(O300-Components!$C$6)/Components!$D$6)</f>
        <v>41.466861253797049</v>
      </c>
      <c r="U300" s="81">
        <f>IF(G300="","",ABS(O300-Components!$C$7)/Components!$D$7)</f>
        <v>54.257439367485453</v>
      </c>
      <c r="V300" s="81" t="str">
        <f>IF(G300="","",IF(M300="OK","NONE",INDEX({"S1","S2","W1","W2","N1","N2"},MATCH(MIN(P300:U300),P300:U300,0))))</f>
        <v>NONE</v>
      </c>
      <c r="W300" s="117">
        <f t="shared" si="35"/>
        <v>1</v>
      </c>
      <c r="X300" s="107"/>
    </row>
    <row r="301" spans="1:24">
      <c r="A301" s="115">
        <v>299</v>
      </c>
      <c r="B301" s="116">
        <v>10</v>
      </c>
      <c r="C301" s="61" t="s">
        <v>132</v>
      </c>
      <c r="D301" s="61" t="s">
        <v>238</v>
      </c>
      <c r="E301" s="61" t="s">
        <v>239</v>
      </c>
      <c r="F301" s="61">
        <v>8.6199999999999992</v>
      </c>
      <c r="G301" s="52">
        <f t="shared" si="29"/>
        <v>9.59</v>
      </c>
      <c r="H301" s="110"/>
      <c r="I301" s="81">
        <v>9.61</v>
      </c>
      <c r="J301" s="81">
        <f>VLOOKUP(C301,Recipes!$A$2:$N$4,12,FALSE())</f>
        <v>6.1509461004819709E-2</v>
      </c>
      <c r="K301" s="81">
        <f t="shared" si="30"/>
        <v>9.4254716169855399</v>
      </c>
      <c r="L301" s="81">
        <f t="shared" si="31"/>
        <v>9.7945283830144589</v>
      </c>
      <c r="M301" s="81" t="str">
        <f t="shared" si="32"/>
        <v>OK</v>
      </c>
      <c r="N301" s="117">
        <f t="shared" si="33"/>
        <v>1</v>
      </c>
      <c r="O301" s="81">
        <f t="shared" si="34"/>
        <v>1.9999999999999574E-2</v>
      </c>
      <c r="P301" s="81">
        <f>IF(G301="","",ABS(O301-Components!$C$2)/Components!$D$2)</f>
        <v>413.58085401409028</v>
      </c>
      <c r="Q301" s="81">
        <f>IF(G301="","",ABS(O301-Components!$C$3)/Components!$D$3)</f>
        <v>291.08723728488519</v>
      </c>
      <c r="R301" s="81">
        <f>IF(G301="","",ABS(O301-Components!$C$4)/Components!$D$4)</f>
        <v>69.63005886856071</v>
      </c>
      <c r="S301" s="81">
        <f>IF(G301="","",ABS(O301-Components!$C$5)/Components!$D$5)</f>
        <v>180.40906999276302</v>
      </c>
      <c r="T301" s="81">
        <f>IF(G301="","",ABS(O301-Components!$C$6)/Components!$D$6)</f>
        <v>41.104915999908741</v>
      </c>
      <c r="U301" s="81">
        <f>IF(G301="","",ABS(O301-Components!$C$7)/Components!$D$7)</f>
        <v>53.859754739822421</v>
      </c>
      <c r="V301" s="81" t="str">
        <f>IF(G301="","",IF(M301="OK","NONE",INDEX({"S1","S2","W1","W2","N1","N2"},MATCH(MIN(P301:U301),P301:U301,0))))</f>
        <v>NONE</v>
      </c>
      <c r="W301" s="117">
        <f t="shared" si="35"/>
        <v>1</v>
      </c>
      <c r="X301" s="107"/>
    </row>
    <row r="302" spans="1:24">
      <c r="A302" s="115">
        <v>300</v>
      </c>
      <c r="B302" s="116">
        <v>10</v>
      </c>
      <c r="C302" s="61" t="s">
        <v>132</v>
      </c>
      <c r="D302" s="61" t="s">
        <v>238</v>
      </c>
      <c r="E302" s="61" t="s">
        <v>239</v>
      </c>
      <c r="F302" s="61">
        <v>8.58</v>
      </c>
      <c r="G302" s="52">
        <f t="shared" si="29"/>
        <v>9.5500000000000007</v>
      </c>
      <c r="H302" s="110"/>
      <c r="I302" s="81">
        <v>9.61</v>
      </c>
      <c r="J302" s="81">
        <f>VLOOKUP(C302,Recipes!$A$2:$N$4,12,FALSE())</f>
        <v>6.1509461004819709E-2</v>
      </c>
      <c r="K302" s="81">
        <f t="shared" si="30"/>
        <v>9.4254716169855399</v>
      </c>
      <c r="L302" s="81">
        <f t="shared" si="31"/>
        <v>9.7945283830144589</v>
      </c>
      <c r="M302" s="81" t="str">
        <f t="shared" si="32"/>
        <v>OK</v>
      </c>
      <c r="N302" s="117">
        <f t="shared" si="33"/>
        <v>1</v>
      </c>
      <c r="O302" s="81">
        <f t="shared" si="34"/>
        <v>5.9999999999998721E-2</v>
      </c>
      <c r="P302" s="81">
        <f>IF(G302="","",ABS(O302-Components!$C$2)/Components!$D$2)</f>
        <v>407.52845127242074</v>
      </c>
      <c r="Q302" s="81">
        <f>IF(G302="","",ABS(O302-Components!$C$3)/Components!$D$3)</f>
        <v>288.18796201312347</v>
      </c>
      <c r="R302" s="81">
        <f>IF(G302="","",ABS(O302-Components!$C$4)/Components!$D$4)</f>
        <v>66.768549599989782</v>
      </c>
      <c r="S302" s="81">
        <f>IF(G302="","",ABS(O302-Components!$C$5)/Components!$D$5)</f>
        <v>178.82049585135334</v>
      </c>
      <c r="T302" s="81">
        <f>IF(G302="","",ABS(O302-Components!$C$6)/Components!$D$6)</f>
        <v>39.657134984355785</v>
      </c>
      <c r="U302" s="81">
        <f>IF(G302="","",ABS(O302-Components!$C$7)/Components!$D$7)</f>
        <v>52.269016229170546</v>
      </c>
      <c r="V302" s="81" t="str">
        <f>IF(G302="","",IF(M302="OK","NONE",INDEX({"S1","S2","W1","W2","N1","N2"},MATCH(MIN(P302:U302),P302:U302,0))))</f>
        <v>NONE</v>
      </c>
      <c r="W302" s="117">
        <f t="shared" si="35"/>
        <v>1</v>
      </c>
      <c r="X302" s="107"/>
    </row>
    <row r="303" spans="1:24">
      <c r="A303" s="115">
        <v>301</v>
      </c>
      <c r="B303" s="116">
        <v>11</v>
      </c>
      <c r="C303" s="81" t="s">
        <v>132</v>
      </c>
      <c r="D303" s="111" t="s">
        <v>240</v>
      </c>
      <c r="E303" s="81" t="s">
        <v>99</v>
      </c>
      <c r="F303" s="52">
        <v>5.89</v>
      </c>
      <c r="G303" s="52">
        <f t="shared" si="29"/>
        <v>6.8599999999999994</v>
      </c>
      <c r="H303" s="110"/>
      <c r="I303" s="81">
        <v>9.61</v>
      </c>
      <c r="J303" s="81">
        <f>VLOOKUP(C303,Recipes!$A$2:$N$4,12,FALSE())</f>
        <v>6.1509461004819709E-2</v>
      </c>
      <c r="K303" s="81">
        <f t="shared" si="30"/>
        <v>9.4254716169855399</v>
      </c>
      <c r="L303" s="81">
        <f t="shared" si="31"/>
        <v>9.7945283830144589</v>
      </c>
      <c r="M303" s="81" t="str">
        <f t="shared" si="32"/>
        <v>NG</v>
      </c>
      <c r="N303" s="117">
        <f t="shared" si="33"/>
        <v>1</v>
      </c>
      <c r="O303" s="81">
        <f t="shared" si="34"/>
        <v>2.75</v>
      </c>
      <c r="P303" s="81">
        <f>IF(G303="","",ABS(O303-Components!$C$2)/Components!$D$2)</f>
        <v>0.50436689513860911</v>
      </c>
      <c r="Q303" s="81">
        <f>IF(G303="","",ABS(O303-Components!$C$3)/Components!$D$3)</f>
        <v>93.211699987141998</v>
      </c>
      <c r="R303" s="81">
        <f>IF(G303="","",ABS(O303-Components!$C$4)/Components!$D$4)</f>
        <v>125.66794871140925</v>
      </c>
      <c r="S303" s="81">
        <f>IF(G303="","",ABS(O303-Components!$C$5)/Components!$D$5)</f>
        <v>71.988884841550231</v>
      </c>
      <c r="T303" s="81">
        <f>IF(G303="","",ABS(O303-Components!$C$6)/Components!$D$6)</f>
        <v>57.706138311582762</v>
      </c>
      <c r="U303" s="81">
        <f>IF(G303="","",ABS(O303-Components!$C$7)/Components!$D$7)</f>
        <v>54.708148612170341</v>
      </c>
      <c r="V303" s="81" t="str">
        <f>IF(G303="","",IF(M303="OK","NONE",INDEX({"S1","S2","W1","W2","N1","N2"},MATCH(MIN(P303:U303),P303:U303,0))))</f>
        <v>S1</v>
      </c>
      <c r="W303" s="117">
        <f t="shared" si="35"/>
        <v>1</v>
      </c>
      <c r="X303" s="107"/>
    </row>
    <row r="304" spans="1:24">
      <c r="A304" s="115">
        <v>302</v>
      </c>
      <c r="B304" s="116">
        <v>11</v>
      </c>
      <c r="C304" s="81" t="s">
        <v>132</v>
      </c>
      <c r="D304" s="111" t="s">
        <v>240</v>
      </c>
      <c r="E304" s="81" t="s">
        <v>99</v>
      </c>
      <c r="F304" s="52">
        <v>5.89</v>
      </c>
      <c r="G304" s="52">
        <f t="shared" si="29"/>
        <v>6.8599999999999994</v>
      </c>
      <c r="H304" s="110"/>
      <c r="I304" s="81">
        <v>9.61</v>
      </c>
      <c r="J304" s="81">
        <f>VLOOKUP(C304,Recipes!$A$2:$N$4,12,FALSE())</f>
        <v>6.1509461004819709E-2</v>
      </c>
      <c r="K304" s="81">
        <f t="shared" si="30"/>
        <v>9.4254716169855399</v>
      </c>
      <c r="L304" s="81">
        <f t="shared" si="31"/>
        <v>9.7945283830144589</v>
      </c>
      <c r="M304" s="81" t="str">
        <f t="shared" si="32"/>
        <v>NG</v>
      </c>
      <c r="N304" s="117">
        <f t="shared" si="33"/>
        <v>1</v>
      </c>
      <c r="O304" s="81">
        <f t="shared" si="34"/>
        <v>2.75</v>
      </c>
      <c r="P304" s="81">
        <f>IF(G304="","",ABS(O304-Components!$C$2)/Components!$D$2)</f>
        <v>0.50436689513860911</v>
      </c>
      <c r="Q304" s="81">
        <f>IF(G304="","",ABS(O304-Components!$C$3)/Components!$D$3)</f>
        <v>93.211699987141998</v>
      </c>
      <c r="R304" s="81">
        <f>IF(G304="","",ABS(O304-Components!$C$4)/Components!$D$4)</f>
        <v>125.66794871140925</v>
      </c>
      <c r="S304" s="81">
        <f>IF(G304="","",ABS(O304-Components!$C$5)/Components!$D$5)</f>
        <v>71.988884841550231</v>
      </c>
      <c r="T304" s="81">
        <f>IF(G304="","",ABS(O304-Components!$C$6)/Components!$D$6)</f>
        <v>57.706138311582762</v>
      </c>
      <c r="U304" s="81">
        <f>IF(G304="","",ABS(O304-Components!$C$7)/Components!$D$7)</f>
        <v>54.708148612170341</v>
      </c>
      <c r="V304" s="81" t="str">
        <f>IF(G304="","",IF(M304="OK","NONE",INDEX({"S1","S2","W1","W2","N1","N2"},MATCH(MIN(P304:U304),P304:U304,0))))</f>
        <v>S1</v>
      </c>
      <c r="W304" s="117">
        <f t="shared" si="35"/>
        <v>1</v>
      </c>
      <c r="X304" s="107"/>
    </row>
    <row r="305" spans="1:24">
      <c r="A305" s="115">
        <v>303</v>
      </c>
      <c r="B305" s="116">
        <v>11</v>
      </c>
      <c r="C305" s="81" t="s">
        <v>132</v>
      </c>
      <c r="D305" s="111" t="s">
        <v>240</v>
      </c>
      <c r="E305" s="81" t="s">
        <v>99</v>
      </c>
      <c r="F305" s="61">
        <v>5.9</v>
      </c>
      <c r="G305" s="52">
        <f t="shared" si="29"/>
        <v>6.87</v>
      </c>
      <c r="H305" s="110"/>
      <c r="I305" s="81">
        <v>9.61</v>
      </c>
      <c r="J305" s="81">
        <f>VLOOKUP(C305,Recipes!$A$2:$N$4,12,FALSE())</f>
        <v>6.1509461004819709E-2</v>
      </c>
      <c r="K305" s="81">
        <f t="shared" si="30"/>
        <v>9.4254716169855399</v>
      </c>
      <c r="L305" s="81">
        <f t="shared" si="31"/>
        <v>9.7945283830144589</v>
      </c>
      <c r="M305" s="81" t="str">
        <f t="shared" si="32"/>
        <v>NG</v>
      </c>
      <c r="N305" s="117">
        <f t="shared" si="33"/>
        <v>1</v>
      </c>
      <c r="O305" s="81">
        <f t="shared" si="34"/>
        <v>2.7399999999999993</v>
      </c>
      <c r="P305" s="81">
        <f>IF(G305="","",ABS(O305-Components!$C$2)/Components!$D$2)</f>
        <v>2.0174675805561164</v>
      </c>
      <c r="Q305" s="81">
        <f>IF(G305="","",ABS(O305-Components!$C$3)/Components!$D$3)</f>
        <v>93.9365188050825</v>
      </c>
      <c r="R305" s="81">
        <f>IF(G305="","",ABS(O305-Components!$C$4)/Components!$D$4)</f>
        <v>124.95257139426646</v>
      </c>
      <c r="S305" s="81">
        <f>IF(G305="","",ABS(O305-Components!$C$5)/Components!$D$5)</f>
        <v>72.386028376902672</v>
      </c>
      <c r="T305" s="81">
        <f>IF(G305="","",ABS(O305-Components!$C$6)/Components!$D$6)</f>
        <v>57.34419305769449</v>
      </c>
      <c r="U305" s="81">
        <f>IF(G305="","",ABS(O305-Components!$C$7)/Components!$D$7)</f>
        <v>54.310463984507336</v>
      </c>
      <c r="V305" s="81" t="str">
        <f>IF(G305="","",IF(M305="OK","NONE",INDEX({"S1","S2","W1","W2","N1","N2"},MATCH(MIN(P305:U305),P305:U305,0))))</f>
        <v>S1</v>
      </c>
      <c r="W305" s="117">
        <f t="shared" si="35"/>
        <v>1</v>
      </c>
      <c r="X305" s="107"/>
    </row>
    <row r="306" spans="1:24">
      <c r="A306" s="115">
        <v>304</v>
      </c>
      <c r="B306" s="116">
        <v>11</v>
      </c>
      <c r="C306" s="81" t="s">
        <v>132</v>
      </c>
      <c r="D306" s="111" t="s">
        <v>240</v>
      </c>
      <c r="E306" s="81" t="s">
        <v>99</v>
      </c>
      <c r="F306" s="61">
        <v>5.88</v>
      </c>
      <c r="G306" s="52">
        <f t="shared" si="29"/>
        <v>6.85</v>
      </c>
      <c r="H306" s="110"/>
      <c r="I306" s="81">
        <v>9.61</v>
      </c>
      <c r="J306" s="81">
        <f>VLOOKUP(C306,Recipes!$A$2:$N$4,12,FALSE())</f>
        <v>6.1509461004819709E-2</v>
      </c>
      <c r="K306" s="81">
        <f t="shared" si="30"/>
        <v>9.4254716169855399</v>
      </c>
      <c r="L306" s="81">
        <f t="shared" si="31"/>
        <v>9.7945283830144589</v>
      </c>
      <c r="M306" s="81" t="str">
        <f t="shared" si="32"/>
        <v>NG</v>
      </c>
      <c r="N306" s="117">
        <f t="shared" si="33"/>
        <v>1</v>
      </c>
      <c r="O306" s="81">
        <f t="shared" si="34"/>
        <v>2.76</v>
      </c>
      <c r="P306" s="81">
        <f>IF(G306="","",ABS(O306-Components!$C$2)/Components!$D$2)</f>
        <v>1.0087337902787636</v>
      </c>
      <c r="Q306" s="81">
        <f>IF(G306="","",ABS(O306-Components!$C$3)/Components!$D$3)</f>
        <v>92.486881169201553</v>
      </c>
      <c r="R306" s="81">
        <f>IF(G306="","",ABS(O306-Components!$C$4)/Components!$D$4)</f>
        <v>126.38332602855199</v>
      </c>
      <c r="S306" s="81">
        <f>IF(G306="","",ABS(O306-Components!$C$5)/Components!$D$5)</f>
        <v>71.591741306197804</v>
      </c>
      <c r="T306" s="81">
        <f>IF(G306="","",ABS(O306-Components!$C$6)/Components!$D$6)</f>
        <v>58.068083565470999</v>
      </c>
      <c r="U306" s="81">
        <f>IF(G306="","",ABS(O306-Components!$C$7)/Components!$D$7)</f>
        <v>55.105833239833309</v>
      </c>
      <c r="V306" s="81" t="str">
        <f>IF(G306="","",IF(M306="OK","NONE",INDEX({"S1","S2","W1","W2","N1","N2"},MATCH(MIN(P306:U306),P306:U306,0))))</f>
        <v>S1</v>
      </c>
      <c r="W306" s="117">
        <f t="shared" si="35"/>
        <v>1</v>
      </c>
      <c r="X306" s="107"/>
    </row>
    <row r="307" spans="1:24">
      <c r="A307" s="115">
        <v>305</v>
      </c>
      <c r="B307" s="116">
        <v>11</v>
      </c>
      <c r="C307" s="81" t="s">
        <v>132</v>
      </c>
      <c r="D307" s="111" t="s">
        <v>240</v>
      </c>
      <c r="E307" s="81" t="s">
        <v>99</v>
      </c>
      <c r="F307" s="61">
        <v>5.91</v>
      </c>
      <c r="G307" s="52">
        <f t="shared" si="29"/>
        <v>6.88</v>
      </c>
      <c r="H307" s="110"/>
      <c r="I307" s="81">
        <v>9.61</v>
      </c>
      <c r="J307" s="81">
        <f>VLOOKUP(C307,Recipes!$A$2:$N$4,12,FALSE())</f>
        <v>6.1509461004819709E-2</v>
      </c>
      <c r="K307" s="81">
        <f t="shared" si="30"/>
        <v>9.4254716169855399</v>
      </c>
      <c r="L307" s="81">
        <f t="shared" si="31"/>
        <v>9.7945283830144589</v>
      </c>
      <c r="M307" s="81" t="str">
        <f t="shared" si="32"/>
        <v>NG</v>
      </c>
      <c r="N307" s="117">
        <f t="shared" si="33"/>
        <v>1</v>
      </c>
      <c r="O307" s="81">
        <f t="shared" si="34"/>
        <v>2.7299999999999995</v>
      </c>
      <c r="P307" s="81">
        <f>IF(G307="","",ABS(O307-Components!$C$2)/Components!$D$2)</f>
        <v>3.5305682659734892</v>
      </c>
      <c r="Q307" s="81">
        <f>IF(G307="","",ABS(O307-Components!$C$3)/Components!$D$3)</f>
        <v>94.661337623022931</v>
      </c>
      <c r="R307" s="81">
        <f>IF(G307="","",ABS(O307-Components!$C$4)/Components!$D$4)</f>
        <v>124.23719407712373</v>
      </c>
      <c r="S307" s="81">
        <f>IF(G307="","",ABS(O307-Components!$C$5)/Components!$D$5)</f>
        <v>72.783171912255099</v>
      </c>
      <c r="T307" s="81">
        <f>IF(G307="","",ABS(O307-Components!$C$6)/Components!$D$6)</f>
        <v>56.982247803806253</v>
      </c>
      <c r="U307" s="81">
        <f>IF(G307="","",ABS(O307-Components!$C$7)/Components!$D$7)</f>
        <v>53.912779356844368</v>
      </c>
      <c r="V307" s="81" t="str">
        <f>IF(G307="","",IF(M307="OK","NONE",INDEX({"S1","S2","W1","W2","N1","N2"},MATCH(MIN(P307:U307),P307:U307,0))))</f>
        <v>S1</v>
      </c>
      <c r="W307" s="117">
        <f t="shared" si="35"/>
        <v>1</v>
      </c>
      <c r="X307" s="107"/>
    </row>
    <row r="308" spans="1:24">
      <c r="A308" s="115">
        <v>306</v>
      </c>
      <c r="B308" s="116">
        <v>11</v>
      </c>
      <c r="C308" s="81" t="s">
        <v>132</v>
      </c>
      <c r="D308" s="111" t="s">
        <v>240</v>
      </c>
      <c r="E308" s="81" t="s">
        <v>99</v>
      </c>
      <c r="F308" s="61">
        <v>5.86</v>
      </c>
      <c r="G308" s="52">
        <f t="shared" si="29"/>
        <v>6.83</v>
      </c>
      <c r="H308" s="110"/>
      <c r="I308" s="81">
        <v>9.61</v>
      </c>
      <c r="J308" s="81">
        <f>VLOOKUP(C308,Recipes!$A$2:$N$4,12,FALSE())</f>
        <v>6.1509461004819709E-2</v>
      </c>
      <c r="K308" s="81">
        <f t="shared" si="30"/>
        <v>9.4254716169855399</v>
      </c>
      <c r="L308" s="81">
        <f t="shared" si="31"/>
        <v>9.7945283830144589</v>
      </c>
      <c r="M308" s="81" t="str">
        <f t="shared" si="32"/>
        <v>NG</v>
      </c>
      <c r="N308" s="117">
        <f t="shared" si="33"/>
        <v>1</v>
      </c>
      <c r="O308" s="81">
        <f t="shared" si="34"/>
        <v>2.7799999999999994</v>
      </c>
      <c r="P308" s="81">
        <f>IF(G308="","",ABS(O308-Components!$C$2)/Components!$D$2)</f>
        <v>4.0349351611135091</v>
      </c>
      <c r="Q308" s="81">
        <f>IF(G308="","",ABS(O308-Components!$C$3)/Components!$D$3)</f>
        <v>91.037243533320691</v>
      </c>
      <c r="R308" s="81">
        <f>IF(G308="","",ABS(O308-Components!$C$4)/Components!$D$4)</f>
        <v>127.81408066283745</v>
      </c>
      <c r="S308" s="81">
        <f>IF(G308="","",ABS(O308-Components!$C$5)/Components!$D$5)</f>
        <v>70.797454235492964</v>
      </c>
      <c r="T308" s="81">
        <f>IF(G308="","",ABS(O308-Components!$C$6)/Components!$D$6)</f>
        <v>58.791974073247481</v>
      </c>
      <c r="U308" s="81">
        <f>IF(G308="","",ABS(O308-Components!$C$7)/Components!$D$7)</f>
        <v>55.901202495159247</v>
      </c>
      <c r="V308" s="81" t="str">
        <f>IF(G308="","",IF(M308="OK","NONE",INDEX({"S1","S2","W1","W2","N1","N2"},MATCH(MIN(P308:U308),P308:U308,0))))</f>
        <v>S1</v>
      </c>
      <c r="W308" s="117">
        <f t="shared" si="35"/>
        <v>1</v>
      </c>
      <c r="X308" s="107"/>
    </row>
    <row r="309" spans="1:24">
      <c r="A309" s="115">
        <v>307</v>
      </c>
      <c r="B309" s="116">
        <v>11</v>
      </c>
      <c r="C309" s="81" t="s">
        <v>132</v>
      </c>
      <c r="D309" s="111" t="s">
        <v>240</v>
      </c>
      <c r="E309" s="81" t="s">
        <v>99</v>
      </c>
      <c r="F309" s="61">
        <v>5.9</v>
      </c>
      <c r="G309" s="52">
        <f t="shared" si="29"/>
        <v>6.87</v>
      </c>
      <c r="H309" s="110"/>
      <c r="I309" s="81">
        <v>9.61</v>
      </c>
      <c r="J309" s="81">
        <f>VLOOKUP(C309,Recipes!$A$2:$N$4,12,FALSE())</f>
        <v>6.1509461004819709E-2</v>
      </c>
      <c r="K309" s="81">
        <f t="shared" si="30"/>
        <v>9.4254716169855399</v>
      </c>
      <c r="L309" s="81">
        <f t="shared" si="31"/>
        <v>9.7945283830144589</v>
      </c>
      <c r="M309" s="81" t="str">
        <f t="shared" si="32"/>
        <v>NG</v>
      </c>
      <c r="N309" s="117">
        <f t="shared" si="33"/>
        <v>1</v>
      </c>
      <c r="O309" s="81">
        <f t="shared" si="34"/>
        <v>2.7399999999999993</v>
      </c>
      <c r="P309" s="81">
        <f>IF(G309="","",ABS(O309-Components!$C$2)/Components!$D$2)</f>
        <v>2.0174675805561164</v>
      </c>
      <c r="Q309" s="81">
        <f>IF(G309="","",ABS(O309-Components!$C$3)/Components!$D$3)</f>
        <v>93.9365188050825</v>
      </c>
      <c r="R309" s="81">
        <f>IF(G309="","",ABS(O309-Components!$C$4)/Components!$D$4)</f>
        <v>124.95257139426646</v>
      </c>
      <c r="S309" s="81">
        <f>IF(G309="","",ABS(O309-Components!$C$5)/Components!$D$5)</f>
        <v>72.386028376902672</v>
      </c>
      <c r="T309" s="81">
        <f>IF(G309="","",ABS(O309-Components!$C$6)/Components!$D$6)</f>
        <v>57.34419305769449</v>
      </c>
      <c r="U309" s="81">
        <f>IF(G309="","",ABS(O309-Components!$C$7)/Components!$D$7)</f>
        <v>54.310463984507336</v>
      </c>
      <c r="V309" s="81" t="str">
        <f>IF(G309="","",IF(M309="OK","NONE",INDEX({"S1","S2","W1","W2","N1","N2"},MATCH(MIN(P309:U309),P309:U309,0))))</f>
        <v>S1</v>
      </c>
      <c r="W309" s="117">
        <f t="shared" si="35"/>
        <v>1</v>
      </c>
      <c r="X309" s="107"/>
    </row>
    <row r="310" spans="1:24">
      <c r="A310" s="115">
        <v>308</v>
      </c>
      <c r="B310" s="116">
        <v>11</v>
      </c>
      <c r="C310" s="81" t="s">
        <v>132</v>
      </c>
      <c r="D310" s="111" t="s">
        <v>240</v>
      </c>
      <c r="E310" s="81" t="s">
        <v>99</v>
      </c>
      <c r="F310" s="61">
        <v>5.8</v>
      </c>
      <c r="G310" s="52">
        <f t="shared" si="29"/>
        <v>6.77</v>
      </c>
      <c r="H310" s="110"/>
      <c r="I310" s="81">
        <v>9.61</v>
      </c>
      <c r="J310" s="81">
        <f>VLOOKUP(C310,Recipes!$A$2:$N$4,12,FALSE())</f>
        <v>6.1509461004819709E-2</v>
      </c>
      <c r="K310" s="81">
        <f t="shared" si="30"/>
        <v>9.4254716169855399</v>
      </c>
      <c r="L310" s="81">
        <f t="shared" si="31"/>
        <v>9.7945283830144589</v>
      </c>
      <c r="M310" s="81" t="str">
        <f t="shared" si="32"/>
        <v>NG</v>
      </c>
      <c r="N310" s="117">
        <f t="shared" si="33"/>
        <v>1</v>
      </c>
      <c r="O310" s="81">
        <f t="shared" si="34"/>
        <v>2.84</v>
      </c>
      <c r="P310" s="81">
        <f>IF(G310="","",ABS(O310-Components!$C$2)/Components!$D$2)</f>
        <v>13.113539273618015</v>
      </c>
      <c r="Q310" s="81">
        <f>IF(G310="","",ABS(O310-Components!$C$3)/Components!$D$3)</f>
        <v>86.688330625677949</v>
      </c>
      <c r="R310" s="81">
        <f>IF(G310="","",ABS(O310-Components!$C$4)/Components!$D$4)</f>
        <v>132.10634456569397</v>
      </c>
      <c r="S310" s="81">
        <f>IF(G310="","",ABS(O310-Components!$C$5)/Components!$D$5)</f>
        <v>68.414593023378387</v>
      </c>
      <c r="T310" s="81">
        <f>IF(G310="","",ABS(O310-Components!$C$6)/Components!$D$6)</f>
        <v>60.963645596576981</v>
      </c>
      <c r="U310" s="81">
        <f>IF(G310="","",ABS(O310-Components!$C$7)/Components!$D$7)</f>
        <v>58.287310261137129</v>
      </c>
      <c r="V310" s="81" t="str">
        <f>IF(G310="","",IF(M310="OK","NONE",INDEX({"S1","S2","W1","W2","N1","N2"},MATCH(MIN(P310:U310),P310:U310,0))))</f>
        <v>S1</v>
      </c>
      <c r="W310" s="117">
        <f t="shared" si="35"/>
        <v>1</v>
      </c>
      <c r="X310" s="107"/>
    </row>
    <row r="311" spans="1:24">
      <c r="A311" s="115">
        <v>309</v>
      </c>
      <c r="B311" s="116">
        <v>11</v>
      </c>
      <c r="C311" s="81" t="s">
        <v>132</v>
      </c>
      <c r="D311" s="111" t="s">
        <v>240</v>
      </c>
      <c r="E311" s="81" t="s">
        <v>99</v>
      </c>
      <c r="F311" s="61">
        <v>5.94</v>
      </c>
      <c r="G311" s="52">
        <f t="shared" si="29"/>
        <v>6.91</v>
      </c>
      <c r="H311" s="110"/>
      <c r="I311" s="81">
        <v>9.61</v>
      </c>
      <c r="J311" s="81">
        <f>VLOOKUP(C311,Recipes!$A$2:$N$4,12,FALSE())</f>
        <v>6.1509461004819709E-2</v>
      </c>
      <c r="K311" s="81">
        <f t="shared" si="30"/>
        <v>9.4254716169855399</v>
      </c>
      <c r="L311" s="81">
        <f t="shared" si="31"/>
        <v>9.7945283830144589</v>
      </c>
      <c r="M311" s="81" t="str">
        <f t="shared" si="32"/>
        <v>NG</v>
      </c>
      <c r="N311" s="117">
        <f t="shared" si="33"/>
        <v>1</v>
      </c>
      <c r="O311" s="81">
        <f t="shared" si="34"/>
        <v>2.6999999999999993</v>
      </c>
      <c r="P311" s="81">
        <f>IF(G311="","",ABS(O311-Components!$C$2)/Components!$D$2)</f>
        <v>8.0698703222257411</v>
      </c>
      <c r="Q311" s="81">
        <f>IF(G311="","",ABS(O311-Components!$C$3)/Components!$D$3)</f>
        <v>96.835794076844309</v>
      </c>
      <c r="R311" s="81">
        <f>IF(G311="","",ABS(O311-Components!$C$4)/Components!$D$4)</f>
        <v>122.09106212569547</v>
      </c>
      <c r="S311" s="81">
        <f>IF(G311="","",ABS(O311-Components!$C$5)/Components!$D$5)</f>
        <v>73.974602518312395</v>
      </c>
      <c r="T311" s="81">
        <f>IF(G311="","",ABS(O311-Components!$C$6)/Components!$D$6)</f>
        <v>55.896412042141499</v>
      </c>
      <c r="U311" s="81">
        <f>IF(G311="","",ABS(O311-Components!$C$7)/Components!$D$7)</f>
        <v>52.719725473855434</v>
      </c>
      <c r="V311" s="81" t="str">
        <f>IF(G311="","",IF(M311="OK","NONE",INDEX({"S1","S2","W1","W2","N1","N2"},MATCH(MIN(P311:U311),P311:U311,0))))</f>
        <v>S1</v>
      </c>
      <c r="W311" s="117">
        <f t="shared" si="35"/>
        <v>1</v>
      </c>
      <c r="X311" s="107"/>
    </row>
    <row r="312" spans="1:24">
      <c r="A312" s="115">
        <v>310</v>
      </c>
      <c r="B312" s="116">
        <v>11</v>
      </c>
      <c r="C312" s="81" t="s">
        <v>132</v>
      </c>
      <c r="D312" s="111" t="s">
        <v>240</v>
      </c>
      <c r="E312" s="81" t="s">
        <v>99</v>
      </c>
      <c r="F312" s="61">
        <v>5.94</v>
      </c>
      <c r="G312" s="52">
        <f t="shared" si="29"/>
        <v>6.91</v>
      </c>
      <c r="H312" s="110"/>
      <c r="I312" s="81">
        <v>9.61</v>
      </c>
      <c r="J312" s="81">
        <f>VLOOKUP(C312,Recipes!$A$2:$N$4,12,FALSE())</f>
        <v>6.1509461004819709E-2</v>
      </c>
      <c r="K312" s="81">
        <f t="shared" si="30"/>
        <v>9.4254716169855399</v>
      </c>
      <c r="L312" s="81">
        <f t="shared" si="31"/>
        <v>9.7945283830144589</v>
      </c>
      <c r="M312" s="81" t="str">
        <f t="shared" si="32"/>
        <v>NG</v>
      </c>
      <c r="N312" s="117">
        <f t="shared" si="33"/>
        <v>1</v>
      </c>
      <c r="O312" s="81">
        <f t="shared" si="34"/>
        <v>2.6999999999999993</v>
      </c>
      <c r="P312" s="81">
        <f>IF(G312="","",ABS(O312-Components!$C$2)/Components!$D$2)</f>
        <v>8.0698703222257411</v>
      </c>
      <c r="Q312" s="81">
        <f>IF(G312="","",ABS(O312-Components!$C$3)/Components!$D$3)</f>
        <v>96.835794076844309</v>
      </c>
      <c r="R312" s="81">
        <f>IF(G312="","",ABS(O312-Components!$C$4)/Components!$D$4)</f>
        <v>122.09106212569547</v>
      </c>
      <c r="S312" s="81">
        <f>IF(G312="","",ABS(O312-Components!$C$5)/Components!$D$5)</f>
        <v>73.974602518312395</v>
      </c>
      <c r="T312" s="81">
        <f>IF(G312="","",ABS(O312-Components!$C$6)/Components!$D$6)</f>
        <v>55.896412042141499</v>
      </c>
      <c r="U312" s="81">
        <f>IF(G312="","",ABS(O312-Components!$C$7)/Components!$D$7)</f>
        <v>52.719725473855434</v>
      </c>
      <c r="V312" s="81" t="str">
        <f>IF(G312="","",IF(M312="OK","NONE",INDEX({"S1","S2","W1","W2","N1","N2"},MATCH(MIN(P312:U312),P312:U312,0))))</f>
        <v>S1</v>
      </c>
      <c r="W312" s="117">
        <f t="shared" si="35"/>
        <v>1</v>
      </c>
      <c r="X312" s="107"/>
    </row>
    <row r="313" spans="1:24">
      <c r="A313" s="115">
        <v>311</v>
      </c>
      <c r="B313" s="116">
        <v>11</v>
      </c>
      <c r="C313" s="81" t="s">
        <v>132</v>
      </c>
      <c r="D313" s="111" t="s">
        <v>240</v>
      </c>
      <c r="E313" s="81" t="s">
        <v>99</v>
      </c>
      <c r="F313" s="61">
        <v>5.87</v>
      </c>
      <c r="G313" s="52">
        <f t="shared" si="29"/>
        <v>6.84</v>
      </c>
      <c r="H313" s="110"/>
      <c r="I313" s="81">
        <v>9.61</v>
      </c>
      <c r="J313" s="81">
        <f>VLOOKUP(C313,Recipes!$A$2:$N$4,12,FALSE())</f>
        <v>6.1509461004819709E-2</v>
      </c>
      <c r="K313" s="81">
        <f t="shared" si="30"/>
        <v>9.4254716169855399</v>
      </c>
      <c r="L313" s="81">
        <f t="shared" si="31"/>
        <v>9.7945283830144589</v>
      </c>
      <c r="M313" s="81" t="str">
        <f t="shared" si="32"/>
        <v>NG</v>
      </c>
      <c r="N313" s="117">
        <f t="shared" si="33"/>
        <v>1</v>
      </c>
      <c r="O313" s="81">
        <f t="shared" si="34"/>
        <v>2.7699999999999996</v>
      </c>
      <c r="P313" s="81">
        <f>IF(G313="","",ABS(O313-Components!$C$2)/Components!$D$2)</f>
        <v>2.5218344756961364</v>
      </c>
      <c r="Q313" s="81">
        <f>IF(G313="","",ABS(O313-Components!$C$3)/Components!$D$3)</f>
        <v>91.762062351261122</v>
      </c>
      <c r="R313" s="81">
        <f>IF(G313="","",ABS(O313-Components!$C$4)/Components!$D$4)</f>
        <v>127.09870334569472</v>
      </c>
      <c r="S313" s="81">
        <f>IF(G313="","",ABS(O313-Components!$C$5)/Components!$D$5)</f>
        <v>71.194597770845391</v>
      </c>
      <c r="T313" s="81">
        <f>IF(G313="","",ABS(O313-Components!$C$6)/Components!$D$6)</f>
        <v>58.430028819359244</v>
      </c>
      <c r="U313" s="81">
        <f>IF(G313="","",ABS(O313-Components!$C$7)/Components!$D$7)</f>
        <v>55.503517867496278</v>
      </c>
      <c r="V313" s="81" t="str">
        <f>IF(G313="","",IF(M313="OK","NONE",INDEX({"S1","S2","W1","W2","N1","N2"},MATCH(MIN(P313:U313),P313:U313,0))))</f>
        <v>S1</v>
      </c>
      <c r="W313" s="117">
        <f t="shared" si="35"/>
        <v>1</v>
      </c>
      <c r="X313" s="107"/>
    </row>
    <row r="314" spans="1:24">
      <c r="A314" s="115">
        <v>312</v>
      </c>
      <c r="B314" s="116">
        <v>11</v>
      </c>
      <c r="C314" s="81" t="s">
        <v>132</v>
      </c>
      <c r="D314" s="111" t="s">
        <v>240</v>
      </c>
      <c r="E314" s="81" t="s">
        <v>99</v>
      </c>
      <c r="F314" s="61">
        <v>5.88</v>
      </c>
      <c r="G314" s="52">
        <f t="shared" si="29"/>
        <v>6.85</v>
      </c>
      <c r="H314" s="110"/>
      <c r="I314" s="81">
        <v>9.61</v>
      </c>
      <c r="J314" s="81">
        <f>VLOOKUP(C314,Recipes!$A$2:$N$4,12,FALSE())</f>
        <v>6.1509461004819709E-2</v>
      </c>
      <c r="K314" s="81">
        <f t="shared" si="30"/>
        <v>9.4254716169855399</v>
      </c>
      <c r="L314" s="81">
        <f t="shared" si="31"/>
        <v>9.7945283830144589</v>
      </c>
      <c r="M314" s="81" t="str">
        <f t="shared" si="32"/>
        <v>NG</v>
      </c>
      <c r="N314" s="117">
        <f t="shared" si="33"/>
        <v>1</v>
      </c>
      <c r="O314" s="81">
        <f t="shared" si="34"/>
        <v>2.76</v>
      </c>
      <c r="P314" s="81">
        <f>IF(G314="","",ABS(O314-Components!$C$2)/Components!$D$2)</f>
        <v>1.0087337902787636</v>
      </c>
      <c r="Q314" s="81">
        <f>IF(G314="","",ABS(O314-Components!$C$3)/Components!$D$3)</f>
        <v>92.486881169201553</v>
      </c>
      <c r="R314" s="81">
        <f>IF(G314="","",ABS(O314-Components!$C$4)/Components!$D$4)</f>
        <v>126.38332602855199</v>
      </c>
      <c r="S314" s="81">
        <f>IF(G314="","",ABS(O314-Components!$C$5)/Components!$D$5)</f>
        <v>71.591741306197804</v>
      </c>
      <c r="T314" s="81">
        <f>IF(G314="","",ABS(O314-Components!$C$6)/Components!$D$6)</f>
        <v>58.068083565470999</v>
      </c>
      <c r="U314" s="81">
        <f>IF(G314="","",ABS(O314-Components!$C$7)/Components!$D$7)</f>
        <v>55.105833239833309</v>
      </c>
      <c r="V314" s="81" t="str">
        <f>IF(G314="","",IF(M314="OK","NONE",INDEX({"S1","S2","W1","W2","N1","N2"},MATCH(MIN(P314:U314),P314:U314,0))))</f>
        <v>S1</v>
      </c>
      <c r="W314" s="117">
        <f t="shared" si="35"/>
        <v>1</v>
      </c>
      <c r="X314" s="107"/>
    </row>
    <row r="315" spans="1:24">
      <c r="A315" s="115">
        <v>313</v>
      </c>
      <c r="B315" s="116">
        <v>11</v>
      </c>
      <c r="C315" s="81" t="s">
        <v>132</v>
      </c>
      <c r="D315" s="111" t="s">
        <v>240</v>
      </c>
      <c r="E315" s="81" t="s">
        <v>99</v>
      </c>
      <c r="F315" s="61">
        <v>5.87</v>
      </c>
      <c r="G315" s="52">
        <f t="shared" si="29"/>
        <v>6.84</v>
      </c>
      <c r="H315" s="110"/>
      <c r="I315" s="81">
        <v>9.61</v>
      </c>
      <c r="J315" s="81">
        <f>VLOOKUP(C315,Recipes!$A$2:$N$4,12,FALSE())</f>
        <v>6.1509461004819709E-2</v>
      </c>
      <c r="K315" s="81">
        <f t="shared" si="30"/>
        <v>9.4254716169855399</v>
      </c>
      <c r="L315" s="81">
        <f t="shared" si="31"/>
        <v>9.7945283830144589</v>
      </c>
      <c r="M315" s="81" t="str">
        <f t="shared" si="32"/>
        <v>NG</v>
      </c>
      <c r="N315" s="117">
        <f t="shared" si="33"/>
        <v>1</v>
      </c>
      <c r="O315" s="81">
        <f t="shared" si="34"/>
        <v>2.7699999999999996</v>
      </c>
      <c r="P315" s="81">
        <f>IF(G315="","",ABS(O315-Components!$C$2)/Components!$D$2)</f>
        <v>2.5218344756961364</v>
      </c>
      <c r="Q315" s="81">
        <f>IF(G315="","",ABS(O315-Components!$C$3)/Components!$D$3)</f>
        <v>91.762062351261122</v>
      </c>
      <c r="R315" s="81">
        <f>IF(G315="","",ABS(O315-Components!$C$4)/Components!$D$4)</f>
        <v>127.09870334569472</v>
      </c>
      <c r="S315" s="81">
        <f>IF(G315="","",ABS(O315-Components!$C$5)/Components!$D$5)</f>
        <v>71.194597770845391</v>
      </c>
      <c r="T315" s="81">
        <f>IF(G315="","",ABS(O315-Components!$C$6)/Components!$D$6)</f>
        <v>58.430028819359244</v>
      </c>
      <c r="U315" s="81">
        <f>IF(G315="","",ABS(O315-Components!$C$7)/Components!$D$7)</f>
        <v>55.503517867496278</v>
      </c>
      <c r="V315" s="81" t="str">
        <f>IF(G315="","",IF(M315="OK","NONE",INDEX({"S1","S2","W1","W2","N1","N2"},MATCH(MIN(P315:U315),P315:U315,0))))</f>
        <v>S1</v>
      </c>
      <c r="W315" s="117">
        <f t="shared" si="35"/>
        <v>1</v>
      </c>
      <c r="X315" s="107"/>
    </row>
    <row r="316" spans="1:24">
      <c r="A316" s="115">
        <v>314</v>
      </c>
      <c r="B316" s="116">
        <v>11</v>
      </c>
      <c r="C316" s="81" t="s">
        <v>132</v>
      </c>
      <c r="D316" s="111" t="s">
        <v>240</v>
      </c>
      <c r="E316" s="81" t="s">
        <v>99</v>
      </c>
      <c r="F316" s="61">
        <v>5.87</v>
      </c>
      <c r="G316" s="52">
        <f t="shared" si="29"/>
        <v>6.84</v>
      </c>
      <c r="H316" s="110"/>
      <c r="I316" s="81">
        <v>9.61</v>
      </c>
      <c r="J316" s="81">
        <f>VLOOKUP(C316,Recipes!$A$2:$N$4,12,FALSE())</f>
        <v>6.1509461004819709E-2</v>
      </c>
      <c r="K316" s="81">
        <f t="shared" si="30"/>
        <v>9.4254716169855399</v>
      </c>
      <c r="L316" s="81">
        <f t="shared" si="31"/>
        <v>9.7945283830144589</v>
      </c>
      <c r="M316" s="81" t="str">
        <f t="shared" si="32"/>
        <v>NG</v>
      </c>
      <c r="N316" s="117">
        <f t="shared" si="33"/>
        <v>1</v>
      </c>
      <c r="O316" s="81">
        <f t="shared" si="34"/>
        <v>2.7699999999999996</v>
      </c>
      <c r="P316" s="81">
        <f>IF(G316="","",ABS(O316-Components!$C$2)/Components!$D$2)</f>
        <v>2.5218344756961364</v>
      </c>
      <c r="Q316" s="81">
        <f>IF(G316="","",ABS(O316-Components!$C$3)/Components!$D$3)</f>
        <v>91.762062351261122</v>
      </c>
      <c r="R316" s="81">
        <f>IF(G316="","",ABS(O316-Components!$C$4)/Components!$D$4)</f>
        <v>127.09870334569472</v>
      </c>
      <c r="S316" s="81">
        <f>IF(G316="","",ABS(O316-Components!$C$5)/Components!$D$5)</f>
        <v>71.194597770845391</v>
      </c>
      <c r="T316" s="81">
        <f>IF(G316="","",ABS(O316-Components!$C$6)/Components!$D$6)</f>
        <v>58.430028819359244</v>
      </c>
      <c r="U316" s="81">
        <f>IF(G316="","",ABS(O316-Components!$C$7)/Components!$D$7)</f>
        <v>55.503517867496278</v>
      </c>
      <c r="V316" s="81" t="str">
        <f>IF(G316="","",IF(M316="OK","NONE",INDEX({"S1","S2","W1","W2","N1","N2"},MATCH(MIN(P316:U316),P316:U316,0))))</f>
        <v>S1</v>
      </c>
      <c r="W316" s="117">
        <f t="shared" si="35"/>
        <v>1</v>
      </c>
      <c r="X316" s="107"/>
    </row>
    <row r="317" spans="1:24">
      <c r="A317" s="115">
        <v>315</v>
      </c>
      <c r="B317" s="116">
        <v>11</v>
      </c>
      <c r="C317" s="81" t="s">
        <v>132</v>
      </c>
      <c r="D317" s="111" t="s">
        <v>240</v>
      </c>
      <c r="E317" s="81" t="s">
        <v>99</v>
      </c>
      <c r="F317" s="61">
        <v>5.82</v>
      </c>
      <c r="G317" s="52">
        <f t="shared" si="29"/>
        <v>6.79</v>
      </c>
      <c r="H317" s="110"/>
      <c r="I317" s="81">
        <v>9.61</v>
      </c>
      <c r="J317" s="81">
        <f>VLOOKUP(C317,Recipes!$A$2:$N$4,12,FALSE())</f>
        <v>6.1509461004819709E-2</v>
      </c>
      <c r="K317" s="81">
        <f t="shared" si="30"/>
        <v>9.4254716169855399</v>
      </c>
      <c r="L317" s="81">
        <f t="shared" si="31"/>
        <v>9.7945283830144589</v>
      </c>
      <c r="M317" s="81" t="str">
        <f t="shared" si="32"/>
        <v>NG</v>
      </c>
      <c r="N317" s="117">
        <f t="shared" si="33"/>
        <v>1</v>
      </c>
      <c r="O317" s="81">
        <f t="shared" si="34"/>
        <v>2.8199999999999994</v>
      </c>
      <c r="P317" s="81">
        <f>IF(G317="","",ABS(O317-Components!$C$2)/Components!$D$2)</f>
        <v>10.087337902783135</v>
      </c>
      <c r="Q317" s="81">
        <f>IF(G317="","",ABS(O317-Components!$C$3)/Components!$D$3)</f>
        <v>88.137968261558882</v>
      </c>
      <c r="R317" s="81">
        <f>IF(G317="","",ABS(O317-Components!$C$4)/Components!$D$4)</f>
        <v>130.67558993140844</v>
      </c>
      <c r="S317" s="81">
        <f>IF(G317="","",ABS(O317-Components!$C$5)/Components!$D$5)</f>
        <v>69.208880094083256</v>
      </c>
      <c r="T317" s="81">
        <f>IF(G317="","",ABS(O317-Components!$C$6)/Components!$D$6)</f>
        <v>60.239755088800472</v>
      </c>
      <c r="U317" s="81">
        <f>IF(G317="","",ABS(O317-Components!$C$7)/Components!$D$7)</f>
        <v>57.491941005811157</v>
      </c>
      <c r="V317" s="81" t="str">
        <f>IF(G317="","",IF(M317="OK","NONE",INDEX({"S1","S2","W1","W2","N1","N2"},MATCH(MIN(P317:U317),P317:U317,0))))</f>
        <v>S1</v>
      </c>
      <c r="W317" s="117">
        <f t="shared" si="35"/>
        <v>1</v>
      </c>
      <c r="X317" s="107"/>
    </row>
    <row r="318" spans="1:24">
      <c r="A318" s="115">
        <v>316</v>
      </c>
      <c r="B318" s="116">
        <v>11</v>
      </c>
      <c r="C318" s="81" t="s">
        <v>132</v>
      </c>
      <c r="D318" s="111" t="s">
        <v>240</v>
      </c>
      <c r="E318" s="81" t="s">
        <v>99</v>
      </c>
      <c r="F318" s="61">
        <v>5.92</v>
      </c>
      <c r="G318" s="52">
        <f t="shared" si="29"/>
        <v>6.89</v>
      </c>
      <c r="H318" s="110"/>
      <c r="I318" s="81">
        <v>9.61</v>
      </c>
      <c r="J318" s="81">
        <f>VLOOKUP(C318,Recipes!$A$2:$N$4,12,FALSE())</f>
        <v>6.1509461004819709E-2</v>
      </c>
      <c r="K318" s="81">
        <f t="shared" si="30"/>
        <v>9.4254716169855399</v>
      </c>
      <c r="L318" s="81">
        <f t="shared" si="31"/>
        <v>9.7945283830144589</v>
      </c>
      <c r="M318" s="81" t="str">
        <f t="shared" si="32"/>
        <v>NG</v>
      </c>
      <c r="N318" s="117">
        <f t="shared" si="33"/>
        <v>1</v>
      </c>
      <c r="O318" s="81">
        <f t="shared" si="34"/>
        <v>2.7199999999999998</v>
      </c>
      <c r="P318" s="81">
        <f>IF(G318="","",ABS(O318-Components!$C$2)/Components!$D$2)</f>
        <v>5.0436689513908624</v>
      </c>
      <c r="Q318" s="81">
        <f>IF(G318="","",ABS(O318-Components!$C$3)/Components!$D$3)</f>
        <v>95.386156440963362</v>
      </c>
      <c r="R318" s="81">
        <f>IF(G318="","",ABS(O318-Components!$C$4)/Components!$D$4)</f>
        <v>123.52181675998099</v>
      </c>
      <c r="S318" s="81">
        <f>IF(G318="","",ABS(O318-Components!$C$5)/Components!$D$5)</f>
        <v>73.180315447607512</v>
      </c>
      <c r="T318" s="81">
        <f>IF(G318="","",ABS(O318-Components!$C$6)/Components!$D$6)</f>
        <v>56.620302549918009</v>
      </c>
      <c r="U318" s="81">
        <f>IF(G318="","",ABS(O318-Components!$C$7)/Components!$D$7)</f>
        <v>53.515094729181399</v>
      </c>
      <c r="V318" s="81" t="str">
        <f>IF(G318="","",IF(M318="OK","NONE",INDEX({"S1","S2","W1","W2","N1","N2"},MATCH(MIN(P318:U318),P318:U318,0))))</f>
        <v>S1</v>
      </c>
      <c r="W318" s="117">
        <f t="shared" si="35"/>
        <v>1</v>
      </c>
      <c r="X318" s="107"/>
    </row>
    <row r="319" spans="1:24">
      <c r="A319" s="115">
        <v>317</v>
      </c>
      <c r="B319" s="116">
        <v>11</v>
      </c>
      <c r="C319" s="81" t="s">
        <v>132</v>
      </c>
      <c r="D319" s="111" t="s">
        <v>240</v>
      </c>
      <c r="E319" s="81" t="s">
        <v>99</v>
      </c>
      <c r="F319" s="61">
        <v>5.84</v>
      </c>
      <c r="G319" s="52">
        <f t="shared" si="29"/>
        <v>6.81</v>
      </c>
      <c r="H319" s="110"/>
      <c r="I319" s="81">
        <v>9.61</v>
      </c>
      <c r="J319" s="81">
        <f>VLOOKUP(C319,Recipes!$A$2:$N$4,12,FALSE())</f>
        <v>6.1509461004819709E-2</v>
      </c>
      <c r="K319" s="81">
        <f t="shared" si="30"/>
        <v>9.4254716169855399</v>
      </c>
      <c r="L319" s="81">
        <f t="shared" si="31"/>
        <v>9.7945283830144589</v>
      </c>
      <c r="M319" s="81" t="str">
        <f t="shared" si="32"/>
        <v>NG</v>
      </c>
      <c r="N319" s="117">
        <f t="shared" si="33"/>
        <v>1</v>
      </c>
      <c r="O319" s="81">
        <f t="shared" si="34"/>
        <v>2.8</v>
      </c>
      <c r="P319" s="81">
        <f>IF(G319="","",ABS(O319-Components!$C$2)/Components!$D$2)</f>
        <v>7.0611365319483896</v>
      </c>
      <c r="Q319" s="81">
        <f>IF(G319="","",ABS(O319-Components!$C$3)/Components!$D$3)</f>
        <v>89.587605897439758</v>
      </c>
      <c r="R319" s="81">
        <f>IF(G319="","",ABS(O319-Components!$C$4)/Components!$D$4)</f>
        <v>129.24483529712299</v>
      </c>
      <c r="S319" s="81">
        <f>IF(G319="","",ABS(O319-Components!$C$5)/Components!$D$5)</f>
        <v>70.003167164788096</v>
      </c>
      <c r="T319" s="81">
        <f>IF(G319="","",ABS(O319-Components!$C$6)/Components!$D$6)</f>
        <v>59.51586458102399</v>
      </c>
      <c r="U319" s="81">
        <f>IF(G319="","",ABS(O319-Components!$C$7)/Components!$D$7)</f>
        <v>56.696571750485219</v>
      </c>
      <c r="V319" s="81" t="str">
        <f>IF(G319="","",IF(M319="OK","NONE",INDEX({"S1","S2","W1","W2","N1","N2"},MATCH(MIN(P319:U319),P319:U319,0))))</f>
        <v>S1</v>
      </c>
      <c r="W319" s="117">
        <f t="shared" si="35"/>
        <v>1</v>
      </c>
      <c r="X319" s="107"/>
    </row>
    <row r="320" spans="1:24">
      <c r="A320" s="115">
        <v>318</v>
      </c>
      <c r="B320" s="116">
        <v>11</v>
      </c>
      <c r="C320" s="81" t="s">
        <v>132</v>
      </c>
      <c r="D320" s="111" t="s">
        <v>240</v>
      </c>
      <c r="E320" s="81" t="s">
        <v>99</v>
      </c>
      <c r="F320" s="61">
        <v>5.92</v>
      </c>
      <c r="G320" s="52">
        <f t="shared" si="29"/>
        <v>6.89</v>
      </c>
      <c r="H320" s="110"/>
      <c r="I320" s="81">
        <v>9.61</v>
      </c>
      <c r="J320" s="81">
        <f>VLOOKUP(C320,Recipes!$A$2:$N$4,12,FALSE())</f>
        <v>6.1509461004819709E-2</v>
      </c>
      <c r="K320" s="81">
        <f t="shared" si="30"/>
        <v>9.4254716169855399</v>
      </c>
      <c r="L320" s="81">
        <f t="shared" si="31"/>
        <v>9.7945283830144589</v>
      </c>
      <c r="M320" s="81" t="str">
        <f t="shared" si="32"/>
        <v>NG</v>
      </c>
      <c r="N320" s="117">
        <f t="shared" si="33"/>
        <v>1</v>
      </c>
      <c r="O320" s="81">
        <f t="shared" si="34"/>
        <v>2.7199999999999998</v>
      </c>
      <c r="P320" s="81">
        <f>IF(G320="","",ABS(O320-Components!$C$2)/Components!$D$2)</f>
        <v>5.0436689513908624</v>
      </c>
      <c r="Q320" s="81">
        <f>IF(G320="","",ABS(O320-Components!$C$3)/Components!$D$3)</f>
        <v>95.386156440963362</v>
      </c>
      <c r="R320" s="81">
        <f>IF(G320="","",ABS(O320-Components!$C$4)/Components!$D$4)</f>
        <v>123.52181675998099</v>
      </c>
      <c r="S320" s="81">
        <f>IF(G320="","",ABS(O320-Components!$C$5)/Components!$D$5)</f>
        <v>73.180315447607512</v>
      </c>
      <c r="T320" s="81">
        <f>IF(G320="","",ABS(O320-Components!$C$6)/Components!$D$6)</f>
        <v>56.620302549918009</v>
      </c>
      <c r="U320" s="81">
        <f>IF(G320="","",ABS(O320-Components!$C$7)/Components!$D$7)</f>
        <v>53.515094729181399</v>
      </c>
      <c r="V320" s="81" t="str">
        <f>IF(G320="","",IF(M320="OK","NONE",INDEX({"S1","S2","W1","W2","N1","N2"},MATCH(MIN(P320:U320),P320:U320,0))))</f>
        <v>S1</v>
      </c>
      <c r="W320" s="117">
        <f t="shared" si="35"/>
        <v>1</v>
      </c>
      <c r="X320" s="107"/>
    </row>
    <row r="321" spans="1:24">
      <c r="A321" s="115">
        <v>319</v>
      </c>
      <c r="B321" s="116">
        <v>11</v>
      </c>
      <c r="C321" s="81" t="s">
        <v>132</v>
      </c>
      <c r="D321" s="111" t="s">
        <v>240</v>
      </c>
      <c r="E321" s="81" t="s">
        <v>99</v>
      </c>
      <c r="F321" s="61">
        <v>5.87</v>
      </c>
      <c r="G321" s="52">
        <f t="shared" si="29"/>
        <v>6.84</v>
      </c>
      <c r="H321" s="110"/>
      <c r="I321" s="81">
        <v>9.61</v>
      </c>
      <c r="J321" s="81">
        <f>VLOOKUP(C321,Recipes!$A$2:$N$4,12,FALSE())</f>
        <v>6.1509461004819709E-2</v>
      </c>
      <c r="K321" s="81">
        <f t="shared" si="30"/>
        <v>9.4254716169855399</v>
      </c>
      <c r="L321" s="81">
        <f t="shared" si="31"/>
        <v>9.7945283830144589</v>
      </c>
      <c r="M321" s="81" t="str">
        <f t="shared" si="32"/>
        <v>NG</v>
      </c>
      <c r="N321" s="117">
        <f t="shared" si="33"/>
        <v>1</v>
      </c>
      <c r="O321" s="81">
        <f t="shared" si="34"/>
        <v>2.7699999999999996</v>
      </c>
      <c r="P321" s="81">
        <f>IF(G321="","",ABS(O321-Components!$C$2)/Components!$D$2)</f>
        <v>2.5218344756961364</v>
      </c>
      <c r="Q321" s="81">
        <f>IF(G321="","",ABS(O321-Components!$C$3)/Components!$D$3)</f>
        <v>91.762062351261122</v>
      </c>
      <c r="R321" s="81">
        <f>IF(G321="","",ABS(O321-Components!$C$4)/Components!$D$4)</f>
        <v>127.09870334569472</v>
      </c>
      <c r="S321" s="81">
        <f>IF(G321="","",ABS(O321-Components!$C$5)/Components!$D$5)</f>
        <v>71.194597770845391</v>
      </c>
      <c r="T321" s="81">
        <f>IF(G321="","",ABS(O321-Components!$C$6)/Components!$D$6)</f>
        <v>58.430028819359244</v>
      </c>
      <c r="U321" s="81">
        <f>IF(G321="","",ABS(O321-Components!$C$7)/Components!$D$7)</f>
        <v>55.503517867496278</v>
      </c>
      <c r="V321" s="81" t="str">
        <f>IF(G321="","",IF(M321="OK","NONE",INDEX({"S1","S2","W1","W2","N1","N2"},MATCH(MIN(P321:U321),P321:U321,0))))</f>
        <v>S1</v>
      </c>
      <c r="W321" s="117">
        <f t="shared" si="35"/>
        <v>1</v>
      </c>
      <c r="X321" s="107"/>
    </row>
    <row r="322" spans="1:24">
      <c r="A322" s="115">
        <v>320</v>
      </c>
      <c r="B322" s="116">
        <v>11</v>
      </c>
      <c r="C322" s="81" t="s">
        <v>132</v>
      </c>
      <c r="D322" s="111" t="s">
        <v>240</v>
      </c>
      <c r="E322" s="81" t="s">
        <v>99</v>
      </c>
      <c r="F322" s="61">
        <v>5.82</v>
      </c>
      <c r="G322" s="52">
        <f t="shared" si="29"/>
        <v>6.79</v>
      </c>
      <c r="H322" s="110"/>
      <c r="I322" s="81">
        <v>9.61</v>
      </c>
      <c r="J322" s="81">
        <f>VLOOKUP(C322,Recipes!$A$2:$N$4,12,FALSE())</f>
        <v>6.1509461004819709E-2</v>
      </c>
      <c r="K322" s="81">
        <f t="shared" si="30"/>
        <v>9.4254716169855399</v>
      </c>
      <c r="L322" s="81">
        <f t="shared" si="31"/>
        <v>9.7945283830144589</v>
      </c>
      <c r="M322" s="81" t="str">
        <f t="shared" si="32"/>
        <v>NG</v>
      </c>
      <c r="N322" s="117">
        <f t="shared" si="33"/>
        <v>1</v>
      </c>
      <c r="O322" s="81">
        <f t="shared" si="34"/>
        <v>2.8199999999999994</v>
      </c>
      <c r="P322" s="81">
        <f>IF(G322="","",ABS(O322-Components!$C$2)/Components!$D$2)</f>
        <v>10.087337902783135</v>
      </c>
      <c r="Q322" s="81">
        <f>IF(G322="","",ABS(O322-Components!$C$3)/Components!$D$3)</f>
        <v>88.137968261558882</v>
      </c>
      <c r="R322" s="81">
        <f>IF(G322="","",ABS(O322-Components!$C$4)/Components!$D$4)</f>
        <v>130.67558993140844</v>
      </c>
      <c r="S322" s="81">
        <f>IF(G322="","",ABS(O322-Components!$C$5)/Components!$D$5)</f>
        <v>69.208880094083256</v>
      </c>
      <c r="T322" s="81">
        <f>IF(G322="","",ABS(O322-Components!$C$6)/Components!$D$6)</f>
        <v>60.239755088800472</v>
      </c>
      <c r="U322" s="81">
        <f>IF(G322="","",ABS(O322-Components!$C$7)/Components!$D$7)</f>
        <v>57.491941005811157</v>
      </c>
      <c r="V322" s="81" t="str">
        <f>IF(G322="","",IF(M322="OK","NONE",INDEX({"S1","S2","W1","W2","N1","N2"},MATCH(MIN(P322:U322),P322:U322,0))))</f>
        <v>S1</v>
      </c>
      <c r="W322" s="117">
        <f t="shared" si="35"/>
        <v>1</v>
      </c>
      <c r="X322" s="107"/>
    </row>
    <row r="323" spans="1:24">
      <c r="A323" s="115">
        <v>321</v>
      </c>
      <c r="B323" s="116">
        <v>11</v>
      </c>
      <c r="C323" s="81" t="s">
        <v>132</v>
      </c>
      <c r="D323" s="111" t="s">
        <v>240</v>
      </c>
      <c r="E323" s="81" t="s">
        <v>99</v>
      </c>
      <c r="F323" s="61">
        <v>5.77</v>
      </c>
      <c r="G323" s="52">
        <f t="shared" ref="G323:G386" si="36">0.97+F323</f>
        <v>6.7399999999999993</v>
      </c>
      <c r="H323" s="110"/>
      <c r="I323" s="81">
        <v>9.61</v>
      </c>
      <c r="J323" s="81">
        <f>VLOOKUP(C323,Recipes!$A$2:$N$4,12,FALSE())</f>
        <v>6.1509461004819709E-2</v>
      </c>
      <c r="K323" s="81">
        <f t="shared" ref="K323:K386" si="37">I323-3*J323</f>
        <v>9.4254716169855399</v>
      </c>
      <c r="L323" s="81">
        <f t="shared" ref="L323:L386" si="38">I323+3*J323</f>
        <v>9.7945283830144589</v>
      </c>
      <c r="M323" s="81" t="str">
        <f t="shared" si="32"/>
        <v>NG</v>
      </c>
      <c r="N323" s="117">
        <f t="shared" si="33"/>
        <v>1</v>
      </c>
      <c r="O323" s="81">
        <f t="shared" si="34"/>
        <v>2.87</v>
      </c>
      <c r="P323" s="81">
        <f>IF(G323="","",ABS(O323-Components!$C$2)/Components!$D$2)</f>
        <v>17.652841329870267</v>
      </c>
      <c r="Q323" s="81">
        <f>IF(G323="","",ABS(O323-Components!$C$3)/Components!$D$3)</f>
        <v>84.513874171856571</v>
      </c>
      <c r="R323" s="81">
        <f>IF(G323="","",ABS(O323-Components!$C$4)/Components!$D$4)</f>
        <v>134.25247651712223</v>
      </c>
      <c r="S323" s="81">
        <f>IF(G323="","",ABS(O323-Components!$C$5)/Components!$D$5)</f>
        <v>67.223162417321092</v>
      </c>
      <c r="T323" s="81">
        <f>IF(G323="","",ABS(O323-Components!$C$6)/Components!$D$6)</f>
        <v>62.049481358241735</v>
      </c>
      <c r="U323" s="81">
        <f>IF(G323="","",ABS(O323-Components!$C$7)/Components!$D$7)</f>
        <v>59.480364144126071</v>
      </c>
      <c r="V323" s="81" t="str">
        <f>IF(G323="","",IF(M323="OK","NONE",INDEX({"S1","S2","W1","W2","N1","N2"},MATCH(MIN(P323:U323),P323:U323,0))))</f>
        <v>S1</v>
      </c>
      <c r="W323" s="117">
        <f t="shared" si="35"/>
        <v>1</v>
      </c>
      <c r="X323" s="107"/>
    </row>
    <row r="324" spans="1:24">
      <c r="A324" s="115">
        <v>322</v>
      </c>
      <c r="B324" s="116">
        <v>11</v>
      </c>
      <c r="C324" s="81" t="s">
        <v>132</v>
      </c>
      <c r="D324" s="111" t="s">
        <v>240</v>
      </c>
      <c r="E324" s="81" t="s">
        <v>99</v>
      </c>
      <c r="F324" s="61">
        <v>5.83</v>
      </c>
      <c r="G324" s="52">
        <f t="shared" si="36"/>
        <v>6.8</v>
      </c>
      <c r="H324" s="110"/>
      <c r="I324" s="81">
        <v>9.61</v>
      </c>
      <c r="J324" s="81">
        <f>VLOOKUP(C324,Recipes!$A$2:$N$4,12,FALSE())</f>
        <v>6.1509461004819709E-2</v>
      </c>
      <c r="K324" s="81">
        <f t="shared" si="37"/>
        <v>9.4254716169855399</v>
      </c>
      <c r="L324" s="81">
        <f t="shared" si="38"/>
        <v>9.7945283830144589</v>
      </c>
      <c r="M324" s="81" t="str">
        <f t="shared" ref="M324:M387" si="39">IF(G324="","",IF(AND(G324&gt;=K324,G324&lt;=L324),"OK","NG"))</f>
        <v>NG</v>
      </c>
      <c r="N324" s="117">
        <f t="shared" ref="N324:N387" si="40">IF(M324="","",IF(M324=D324,1,0))</f>
        <v>1</v>
      </c>
      <c r="O324" s="81">
        <f t="shared" ref="O324:O387" si="41">IF(G324="","",I324-G324)</f>
        <v>2.8099999999999996</v>
      </c>
      <c r="P324" s="81">
        <f>IF(G324="","",ABS(O324-Components!$C$2)/Components!$D$2)</f>
        <v>8.5742372173657628</v>
      </c>
      <c r="Q324" s="81">
        <f>IF(G324="","",ABS(O324-Components!$C$3)/Components!$D$3)</f>
        <v>88.862787079499313</v>
      </c>
      <c r="R324" s="81">
        <f>IF(G324="","",ABS(O324-Components!$C$4)/Components!$D$4)</f>
        <v>129.96021261426571</v>
      </c>
      <c r="S324" s="81">
        <f>IF(G324="","",ABS(O324-Components!$C$5)/Components!$D$5)</f>
        <v>69.606023629435668</v>
      </c>
      <c r="T324" s="81">
        <f>IF(G324="","",ABS(O324-Components!$C$6)/Components!$D$6)</f>
        <v>59.877809834912227</v>
      </c>
      <c r="U324" s="81">
        <f>IF(G324="","",ABS(O324-Components!$C$7)/Components!$D$7)</f>
        <v>57.094256378148188</v>
      </c>
      <c r="V324" s="81" t="str">
        <f>IF(G324="","",IF(M324="OK","NONE",INDEX({"S1","S2","W1","W2","N1","N2"},MATCH(MIN(P324:U324),P324:U324,0))))</f>
        <v>S1</v>
      </c>
      <c r="W324" s="117">
        <f t="shared" ref="W324:W387" si="42">IF(G324="","",IF(V324=E324,1,0))</f>
        <v>1</v>
      </c>
      <c r="X324" s="107"/>
    </row>
    <row r="325" spans="1:24">
      <c r="A325" s="115">
        <v>323</v>
      </c>
      <c r="B325" s="116">
        <v>11</v>
      </c>
      <c r="C325" s="81" t="s">
        <v>132</v>
      </c>
      <c r="D325" s="111" t="s">
        <v>240</v>
      </c>
      <c r="E325" s="81" t="s">
        <v>99</v>
      </c>
      <c r="F325" s="61">
        <v>5.85</v>
      </c>
      <c r="G325" s="52">
        <f t="shared" si="36"/>
        <v>6.8199999999999994</v>
      </c>
      <c r="H325" s="110"/>
      <c r="I325" s="81">
        <v>9.61</v>
      </c>
      <c r="J325" s="81">
        <f>VLOOKUP(C325,Recipes!$A$2:$N$4,12,FALSE())</f>
        <v>6.1509461004819709E-2</v>
      </c>
      <c r="K325" s="81">
        <f t="shared" si="37"/>
        <v>9.4254716169855399</v>
      </c>
      <c r="L325" s="81">
        <f t="shared" si="38"/>
        <v>9.7945283830144589</v>
      </c>
      <c r="M325" s="81" t="str">
        <f t="shared" si="39"/>
        <v>NG</v>
      </c>
      <c r="N325" s="117">
        <f t="shared" si="40"/>
        <v>1</v>
      </c>
      <c r="O325" s="81">
        <f t="shared" si="41"/>
        <v>2.79</v>
      </c>
      <c r="P325" s="81">
        <f>IF(G325="","",ABS(O325-Components!$C$2)/Components!$D$2)</f>
        <v>5.5480358465310164</v>
      </c>
      <c r="Q325" s="81">
        <f>IF(G325="","",ABS(O325-Components!$C$3)/Components!$D$3)</f>
        <v>90.312424715380189</v>
      </c>
      <c r="R325" s="81">
        <f>IF(G325="","",ABS(O325-Components!$C$4)/Components!$D$4)</f>
        <v>128.52945797998024</v>
      </c>
      <c r="S325" s="81">
        <f>IF(G325="","",ABS(O325-Components!$C$5)/Components!$D$5)</f>
        <v>70.400310700140508</v>
      </c>
      <c r="T325" s="81">
        <f>IF(G325="","",ABS(O325-Components!$C$6)/Components!$D$6)</f>
        <v>59.153919327135753</v>
      </c>
      <c r="U325" s="81">
        <f>IF(G325="","",ABS(O325-Components!$C$7)/Components!$D$7)</f>
        <v>56.298887122822251</v>
      </c>
      <c r="V325" s="81" t="str">
        <f>IF(G325="","",IF(M325="OK","NONE",INDEX({"S1","S2","W1","W2","N1","N2"},MATCH(MIN(P325:U325),P325:U325,0))))</f>
        <v>S1</v>
      </c>
      <c r="W325" s="117">
        <f t="shared" si="42"/>
        <v>1</v>
      </c>
      <c r="X325" s="107"/>
    </row>
    <row r="326" spans="1:24">
      <c r="A326" s="115">
        <v>324</v>
      </c>
      <c r="B326" s="116">
        <v>11</v>
      </c>
      <c r="C326" s="81" t="s">
        <v>132</v>
      </c>
      <c r="D326" s="111" t="s">
        <v>240</v>
      </c>
      <c r="E326" s="81" t="s">
        <v>99</v>
      </c>
      <c r="F326" s="61">
        <v>5.86</v>
      </c>
      <c r="G326" s="52">
        <f t="shared" si="36"/>
        <v>6.83</v>
      </c>
      <c r="H326" s="110"/>
      <c r="I326" s="81">
        <v>9.61</v>
      </c>
      <c r="J326" s="81">
        <f>VLOOKUP(C326,Recipes!$A$2:$N$4,12,FALSE())</f>
        <v>6.1509461004819709E-2</v>
      </c>
      <c r="K326" s="81">
        <f t="shared" si="37"/>
        <v>9.4254716169855399</v>
      </c>
      <c r="L326" s="81">
        <f t="shared" si="38"/>
        <v>9.7945283830144589</v>
      </c>
      <c r="M326" s="81" t="str">
        <f t="shared" si="39"/>
        <v>NG</v>
      </c>
      <c r="N326" s="117">
        <f t="shared" si="40"/>
        <v>1</v>
      </c>
      <c r="O326" s="81">
        <f t="shared" si="41"/>
        <v>2.7799999999999994</v>
      </c>
      <c r="P326" s="81">
        <f>IF(G326="","",ABS(O326-Components!$C$2)/Components!$D$2)</f>
        <v>4.0349351611135091</v>
      </c>
      <c r="Q326" s="81">
        <f>IF(G326="","",ABS(O326-Components!$C$3)/Components!$D$3)</f>
        <v>91.037243533320691</v>
      </c>
      <c r="R326" s="81">
        <f>IF(G326="","",ABS(O326-Components!$C$4)/Components!$D$4)</f>
        <v>127.81408066283745</v>
      </c>
      <c r="S326" s="81">
        <f>IF(G326="","",ABS(O326-Components!$C$5)/Components!$D$5)</f>
        <v>70.797454235492964</v>
      </c>
      <c r="T326" s="81">
        <f>IF(G326="","",ABS(O326-Components!$C$6)/Components!$D$6)</f>
        <v>58.791974073247481</v>
      </c>
      <c r="U326" s="81">
        <f>IF(G326="","",ABS(O326-Components!$C$7)/Components!$D$7)</f>
        <v>55.901202495159247</v>
      </c>
      <c r="V326" s="81" t="str">
        <f>IF(G326="","",IF(M326="OK","NONE",INDEX({"S1","S2","W1","W2","N1","N2"},MATCH(MIN(P326:U326),P326:U326,0))))</f>
        <v>S1</v>
      </c>
      <c r="W326" s="117">
        <f t="shared" si="42"/>
        <v>1</v>
      </c>
      <c r="X326" s="107"/>
    </row>
    <row r="327" spans="1:24">
      <c r="A327" s="115">
        <v>325</v>
      </c>
      <c r="B327" s="116">
        <v>11</v>
      </c>
      <c r="C327" s="81" t="s">
        <v>132</v>
      </c>
      <c r="D327" s="111" t="s">
        <v>240</v>
      </c>
      <c r="E327" s="81" t="s">
        <v>99</v>
      </c>
      <c r="F327" s="61">
        <v>5.87</v>
      </c>
      <c r="G327" s="52">
        <f t="shared" si="36"/>
        <v>6.84</v>
      </c>
      <c r="H327" s="110"/>
      <c r="I327" s="81">
        <v>9.61</v>
      </c>
      <c r="J327" s="81">
        <f>VLOOKUP(C327,Recipes!$A$2:$N$4,12,FALSE())</f>
        <v>6.1509461004819709E-2</v>
      </c>
      <c r="K327" s="81">
        <f t="shared" si="37"/>
        <v>9.4254716169855399</v>
      </c>
      <c r="L327" s="81">
        <f t="shared" si="38"/>
        <v>9.7945283830144589</v>
      </c>
      <c r="M327" s="81" t="str">
        <f t="shared" si="39"/>
        <v>NG</v>
      </c>
      <c r="N327" s="117">
        <f t="shared" si="40"/>
        <v>1</v>
      </c>
      <c r="O327" s="81">
        <f t="shared" si="41"/>
        <v>2.7699999999999996</v>
      </c>
      <c r="P327" s="81">
        <f>IF(G327="","",ABS(O327-Components!$C$2)/Components!$D$2)</f>
        <v>2.5218344756961364</v>
      </c>
      <c r="Q327" s="81">
        <f>IF(G327="","",ABS(O327-Components!$C$3)/Components!$D$3)</f>
        <v>91.762062351261122</v>
      </c>
      <c r="R327" s="81">
        <f>IF(G327="","",ABS(O327-Components!$C$4)/Components!$D$4)</f>
        <v>127.09870334569472</v>
      </c>
      <c r="S327" s="81">
        <f>IF(G327="","",ABS(O327-Components!$C$5)/Components!$D$5)</f>
        <v>71.194597770845391</v>
      </c>
      <c r="T327" s="81">
        <f>IF(G327="","",ABS(O327-Components!$C$6)/Components!$D$6)</f>
        <v>58.430028819359244</v>
      </c>
      <c r="U327" s="81">
        <f>IF(G327="","",ABS(O327-Components!$C$7)/Components!$D$7)</f>
        <v>55.503517867496278</v>
      </c>
      <c r="V327" s="81" t="str">
        <f>IF(G327="","",IF(M327="OK","NONE",INDEX({"S1","S2","W1","W2","N1","N2"},MATCH(MIN(P327:U327),P327:U327,0))))</f>
        <v>S1</v>
      </c>
      <c r="W327" s="117">
        <f t="shared" si="42"/>
        <v>1</v>
      </c>
      <c r="X327" s="107"/>
    </row>
    <row r="328" spans="1:24">
      <c r="A328" s="115">
        <v>326</v>
      </c>
      <c r="B328" s="116">
        <v>11</v>
      </c>
      <c r="C328" s="81" t="s">
        <v>132</v>
      </c>
      <c r="D328" s="111" t="s">
        <v>240</v>
      </c>
      <c r="E328" s="81" t="s">
        <v>99</v>
      </c>
      <c r="F328" s="61">
        <v>5.81</v>
      </c>
      <c r="G328" s="52">
        <f t="shared" si="36"/>
        <v>6.7799999999999994</v>
      </c>
      <c r="H328" s="110"/>
      <c r="I328" s="81">
        <v>9.61</v>
      </c>
      <c r="J328" s="81">
        <f>VLOOKUP(C328,Recipes!$A$2:$N$4,12,FALSE())</f>
        <v>6.1509461004819709E-2</v>
      </c>
      <c r="K328" s="81">
        <f t="shared" si="37"/>
        <v>9.4254716169855399</v>
      </c>
      <c r="L328" s="81">
        <f t="shared" si="38"/>
        <v>9.7945283830144589</v>
      </c>
      <c r="M328" s="81" t="str">
        <f t="shared" si="39"/>
        <v>NG</v>
      </c>
      <c r="N328" s="117">
        <f t="shared" si="40"/>
        <v>1</v>
      </c>
      <c r="O328" s="81">
        <f t="shared" si="41"/>
        <v>2.83</v>
      </c>
      <c r="P328" s="81">
        <f>IF(G328="","",ABS(O328-Components!$C$2)/Components!$D$2)</f>
        <v>11.600438588200642</v>
      </c>
      <c r="Q328" s="81">
        <f>IF(G328="","",ABS(O328-Components!$C$3)/Components!$D$3)</f>
        <v>87.41314944361838</v>
      </c>
      <c r="R328" s="81">
        <f>IF(G328="","",ABS(O328-Components!$C$4)/Components!$D$4)</f>
        <v>131.39096724855125</v>
      </c>
      <c r="S328" s="81">
        <f>IF(G328="","",ABS(O328-Components!$C$5)/Components!$D$5)</f>
        <v>68.8117365587308</v>
      </c>
      <c r="T328" s="81">
        <f>IF(G328="","",ABS(O328-Components!$C$6)/Components!$D$6)</f>
        <v>60.601700342688744</v>
      </c>
      <c r="U328" s="81">
        <f>IF(G328="","",ABS(O328-Components!$C$7)/Components!$D$7)</f>
        <v>57.889625633474161</v>
      </c>
      <c r="V328" s="81" t="str">
        <f>IF(G328="","",IF(M328="OK","NONE",INDEX({"S1","S2","W1","W2","N1","N2"},MATCH(MIN(P328:U328),P328:U328,0))))</f>
        <v>S1</v>
      </c>
      <c r="W328" s="117">
        <f t="shared" si="42"/>
        <v>1</v>
      </c>
      <c r="X328" s="107"/>
    </row>
    <row r="329" spans="1:24">
      <c r="A329" s="115">
        <v>327</v>
      </c>
      <c r="B329" s="116">
        <v>11</v>
      </c>
      <c r="C329" s="81" t="s">
        <v>132</v>
      </c>
      <c r="D329" s="111" t="s">
        <v>240</v>
      </c>
      <c r="E329" s="81" t="s">
        <v>99</v>
      </c>
      <c r="F329" s="61">
        <v>5.83</v>
      </c>
      <c r="G329" s="52">
        <f t="shared" si="36"/>
        <v>6.8</v>
      </c>
      <c r="H329" s="110"/>
      <c r="I329" s="81">
        <v>9.61</v>
      </c>
      <c r="J329" s="81">
        <f>VLOOKUP(C329,Recipes!$A$2:$N$4,12,FALSE())</f>
        <v>6.1509461004819709E-2</v>
      </c>
      <c r="K329" s="81">
        <f t="shared" si="37"/>
        <v>9.4254716169855399</v>
      </c>
      <c r="L329" s="81">
        <f t="shared" si="38"/>
        <v>9.7945283830144589</v>
      </c>
      <c r="M329" s="81" t="str">
        <f t="shared" si="39"/>
        <v>NG</v>
      </c>
      <c r="N329" s="117">
        <f t="shared" si="40"/>
        <v>1</v>
      </c>
      <c r="O329" s="81">
        <f t="shared" si="41"/>
        <v>2.8099999999999996</v>
      </c>
      <c r="P329" s="81">
        <f>IF(G329="","",ABS(O329-Components!$C$2)/Components!$D$2)</f>
        <v>8.5742372173657628</v>
      </c>
      <c r="Q329" s="81">
        <f>IF(G329="","",ABS(O329-Components!$C$3)/Components!$D$3)</f>
        <v>88.862787079499313</v>
      </c>
      <c r="R329" s="81">
        <f>IF(G329="","",ABS(O329-Components!$C$4)/Components!$D$4)</f>
        <v>129.96021261426571</v>
      </c>
      <c r="S329" s="81">
        <f>IF(G329="","",ABS(O329-Components!$C$5)/Components!$D$5)</f>
        <v>69.606023629435668</v>
      </c>
      <c r="T329" s="81">
        <f>IF(G329="","",ABS(O329-Components!$C$6)/Components!$D$6)</f>
        <v>59.877809834912227</v>
      </c>
      <c r="U329" s="81">
        <f>IF(G329="","",ABS(O329-Components!$C$7)/Components!$D$7)</f>
        <v>57.094256378148188</v>
      </c>
      <c r="V329" s="81" t="str">
        <f>IF(G329="","",IF(M329="OK","NONE",INDEX({"S1","S2","W1","W2","N1","N2"},MATCH(MIN(P329:U329),P329:U329,0))))</f>
        <v>S1</v>
      </c>
      <c r="W329" s="117">
        <f t="shared" si="42"/>
        <v>1</v>
      </c>
      <c r="X329" s="107"/>
    </row>
    <row r="330" spans="1:24">
      <c r="A330" s="115">
        <v>328</v>
      </c>
      <c r="B330" s="116">
        <v>11</v>
      </c>
      <c r="C330" s="81" t="s">
        <v>132</v>
      </c>
      <c r="D330" s="111" t="s">
        <v>240</v>
      </c>
      <c r="E330" s="81" t="s">
        <v>99</v>
      </c>
      <c r="F330" s="61">
        <v>5.87</v>
      </c>
      <c r="G330" s="52">
        <f t="shared" si="36"/>
        <v>6.84</v>
      </c>
      <c r="H330" s="110"/>
      <c r="I330" s="81">
        <v>9.61</v>
      </c>
      <c r="J330" s="81">
        <f>VLOOKUP(C330,Recipes!$A$2:$N$4,12,FALSE())</f>
        <v>6.1509461004819709E-2</v>
      </c>
      <c r="K330" s="81">
        <f t="shared" si="37"/>
        <v>9.4254716169855399</v>
      </c>
      <c r="L330" s="81">
        <f t="shared" si="38"/>
        <v>9.7945283830144589</v>
      </c>
      <c r="M330" s="81" t="str">
        <f t="shared" si="39"/>
        <v>NG</v>
      </c>
      <c r="N330" s="117">
        <f t="shared" si="40"/>
        <v>1</v>
      </c>
      <c r="O330" s="81">
        <f t="shared" si="41"/>
        <v>2.7699999999999996</v>
      </c>
      <c r="P330" s="81">
        <f>IF(G330="","",ABS(O330-Components!$C$2)/Components!$D$2)</f>
        <v>2.5218344756961364</v>
      </c>
      <c r="Q330" s="81">
        <f>IF(G330="","",ABS(O330-Components!$C$3)/Components!$D$3)</f>
        <v>91.762062351261122</v>
      </c>
      <c r="R330" s="81">
        <f>IF(G330="","",ABS(O330-Components!$C$4)/Components!$D$4)</f>
        <v>127.09870334569472</v>
      </c>
      <c r="S330" s="81">
        <f>IF(G330="","",ABS(O330-Components!$C$5)/Components!$D$5)</f>
        <v>71.194597770845391</v>
      </c>
      <c r="T330" s="81">
        <f>IF(G330="","",ABS(O330-Components!$C$6)/Components!$D$6)</f>
        <v>58.430028819359244</v>
      </c>
      <c r="U330" s="81">
        <f>IF(G330="","",ABS(O330-Components!$C$7)/Components!$D$7)</f>
        <v>55.503517867496278</v>
      </c>
      <c r="V330" s="81" t="str">
        <f>IF(G330="","",IF(M330="OK","NONE",INDEX({"S1","S2","W1","W2","N1","N2"},MATCH(MIN(P330:U330),P330:U330,0))))</f>
        <v>S1</v>
      </c>
      <c r="W330" s="117">
        <f t="shared" si="42"/>
        <v>1</v>
      </c>
      <c r="X330" s="107"/>
    </row>
    <row r="331" spans="1:24">
      <c r="A331" s="115">
        <v>329</v>
      </c>
      <c r="B331" s="116">
        <v>11</v>
      </c>
      <c r="C331" s="81" t="s">
        <v>132</v>
      </c>
      <c r="D331" s="111" t="s">
        <v>240</v>
      </c>
      <c r="E331" s="81" t="s">
        <v>99</v>
      </c>
      <c r="F331" s="61">
        <v>5.8</v>
      </c>
      <c r="G331" s="52">
        <f t="shared" si="36"/>
        <v>6.77</v>
      </c>
      <c r="H331" s="110"/>
      <c r="I331" s="81">
        <v>9.61</v>
      </c>
      <c r="J331" s="81">
        <f>VLOOKUP(C331,Recipes!$A$2:$N$4,12,FALSE())</f>
        <v>6.1509461004819709E-2</v>
      </c>
      <c r="K331" s="81">
        <f t="shared" si="37"/>
        <v>9.4254716169855399</v>
      </c>
      <c r="L331" s="81">
        <f t="shared" si="38"/>
        <v>9.7945283830144589</v>
      </c>
      <c r="M331" s="81" t="str">
        <f t="shared" si="39"/>
        <v>NG</v>
      </c>
      <c r="N331" s="117">
        <f t="shared" si="40"/>
        <v>1</v>
      </c>
      <c r="O331" s="81">
        <f t="shared" si="41"/>
        <v>2.84</v>
      </c>
      <c r="P331" s="81">
        <f>IF(G331="","",ABS(O331-Components!$C$2)/Components!$D$2)</f>
        <v>13.113539273618015</v>
      </c>
      <c r="Q331" s="81">
        <f>IF(G331="","",ABS(O331-Components!$C$3)/Components!$D$3)</f>
        <v>86.688330625677949</v>
      </c>
      <c r="R331" s="81">
        <f>IF(G331="","",ABS(O331-Components!$C$4)/Components!$D$4)</f>
        <v>132.10634456569397</v>
      </c>
      <c r="S331" s="81">
        <f>IF(G331="","",ABS(O331-Components!$C$5)/Components!$D$5)</f>
        <v>68.414593023378387</v>
      </c>
      <c r="T331" s="81">
        <f>IF(G331="","",ABS(O331-Components!$C$6)/Components!$D$6)</f>
        <v>60.963645596576981</v>
      </c>
      <c r="U331" s="81">
        <f>IF(G331="","",ABS(O331-Components!$C$7)/Components!$D$7)</f>
        <v>58.287310261137129</v>
      </c>
      <c r="V331" s="81" t="str">
        <f>IF(G331="","",IF(M331="OK","NONE",INDEX({"S1","S2","W1","W2","N1","N2"},MATCH(MIN(P331:U331),P331:U331,0))))</f>
        <v>S1</v>
      </c>
      <c r="W331" s="117">
        <f t="shared" si="42"/>
        <v>1</v>
      </c>
      <c r="X331" s="107"/>
    </row>
    <row r="332" spans="1:24">
      <c r="A332" s="115">
        <v>330</v>
      </c>
      <c r="B332" s="116">
        <v>11</v>
      </c>
      <c r="C332" s="81" t="s">
        <v>132</v>
      </c>
      <c r="D332" s="111" t="s">
        <v>240</v>
      </c>
      <c r="E332" s="81" t="s">
        <v>99</v>
      </c>
      <c r="F332" s="61">
        <v>5.86</v>
      </c>
      <c r="G332" s="52">
        <f t="shared" si="36"/>
        <v>6.83</v>
      </c>
      <c r="H332" s="110"/>
      <c r="I332" s="81">
        <v>9.61</v>
      </c>
      <c r="J332" s="81">
        <f>VLOOKUP(C332,Recipes!$A$2:$N$4,12,FALSE())</f>
        <v>6.1509461004819709E-2</v>
      </c>
      <c r="K332" s="81">
        <f t="shared" si="37"/>
        <v>9.4254716169855399</v>
      </c>
      <c r="L332" s="81">
        <f t="shared" si="38"/>
        <v>9.7945283830144589</v>
      </c>
      <c r="M332" s="81" t="str">
        <f t="shared" si="39"/>
        <v>NG</v>
      </c>
      <c r="N332" s="117">
        <f t="shared" si="40"/>
        <v>1</v>
      </c>
      <c r="O332" s="81">
        <f t="shared" si="41"/>
        <v>2.7799999999999994</v>
      </c>
      <c r="P332" s="81">
        <f>IF(G332="","",ABS(O332-Components!$C$2)/Components!$D$2)</f>
        <v>4.0349351611135091</v>
      </c>
      <c r="Q332" s="81">
        <f>IF(G332="","",ABS(O332-Components!$C$3)/Components!$D$3)</f>
        <v>91.037243533320691</v>
      </c>
      <c r="R332" s="81">
        <f>IF(G332="","",ABS(O332-Components!$C$4)/Components!$D$4)</f>
        <v>127.81408066283745</v>
      </c>
      <c r="S332" s="81">
        <f>IF(G332="","",ABS(O332-Components!$C$5)/Components!$D$5)</f>
        <v>70.797454235492964</v>
      </c>
      <c r="T332" s="81">
        <f>IF(G332="","",ABS(O332-Components!$C$6)/Components!$D$6)</f>
        <v>58.791974073247481</v>
      </c>
      <c r="U332" s="81">
        <f>IF(G332="","",ABS(O332-Components!$C$7)/Components!$D$7)</f>
        <v>55.901202495159247</v>
      </c>
      <c r="V332" s="81" t="str">
        <f>IF(G332="","",IF(M332="OK","NONE",INDEX({"S1","S2","W1","W2","N1","N2"},MATCH(MIN(P332:U332),P332:U332,0))))</f>
        <v>S1</v>
      </c>
      <c r="W332" s="117">
        <f t="shared" si="42"/>
        <v>1</v>
      </c>
      <c r="X332" s="107"/>
    </row>
    <row r="333" spans="1:24">
      <c r="A333" s="115">
        <v>331</v>
      </c>
      <c r="B333" s="116">
        <v>12</v>
      </c>
      <c r="C333" s="81" t="s">
        <v>132</v>
      </c>
      <c r="D333" s="111" t="s">
        <v>240</v>
      </c>
      <c r="E333" s="81" t="s">
        <v>104</v>
      </c>
      <c r="F333" s="61">
        <v>7.6</v>
      </c>
      <c r="G333" s="52">
        <f t="shared" si="36"/>
        <v>8.57</v>
      </c>
      <c r="H333" s="110"/>
      <c r="I333" s="81">
        <v>9.61</v>
      </c>
      <c r="J333" s="81">
        <f>VLOOKUP(C333,Recipes!$A$2:$N$4,12,FALSE())</f>
        <v>6.1509461004819709E-2</v>
      </c>
      <c r="K333" s="81">
        <f t="shared" si="37"/>
        <v>9.4254716169855399</v>
      </c>
      <c r="L333" s="81">
        <f t="shared" si="38"/>
        <v>9.7945283830144589</v>
      </c>
      <c r="M333" s="81" t="str">
        <f t="shared" si="39"/>
        <v>NG</v>
      </c>
      <c r="N333" s="117">
        <f t="shared" si="40"/>
        <v>1</v>
      </c>
      <c r="O333" s="81">
        <f t="shared" si="41"/>
        <v>1.0399999999999991</v>
      </c>
      <c r="P333" s="81">
        <f>IF(G333="","",ABS(O333-Components!$C$2)/Components!$D$2)</f>
        <v>259.24458410151499</v>
      </c>
      <c r="Q333" s="81">
        <f>IF(G333="","",ABS(O333-Components!$C$3)/Components!$D$3)</f>
        <v>217.15571785495922</v>
      </c>
      <c r="R333" s="81">
        <f>IF(G333="","",ABS(O333-Components!$C$4)/Components!$D$4)</f>
        <v>3.338427479999452</v>
      </c>
      <c r="S333" s="81">
        <f>IF(G333="","",ABS(O333-Components!$C$5)/Components!$D$5)</f>
        <v>139.9004293868154</v>
      </c>
      <c r="T333" s="81">
        <f>IF(G333="","",ABS(O333-Components!$C$6)/Components!$D$6)</f>
        <v>4.1865001033075426</v>
      </c>
      <c r="U333" s="81">
        <f>IF(G333="","",ABS(O333-Components!$C$7)/Components!$D$7)</f>
        <v>13.295922718198771</v>
      </c>
      <c r="V333" s="81" t="str">
        <f>IF(G333="","",IF(M333="OK","NONE",INDEX({"S1","S2","W1","W2","N1","N2"},MATCH(MIN(P333:U333),P333:U333,0))))</f>
        <v>W1</v>
      </c>
      <c r="W333" s="117">
        <f t="shared" si="42"/>
        <v>1</v>
      </c>
      <c r="X333" s="107"/>
    </row>
    <row r="334" spans="1:24">
      <c r="A334" s="115">
        <v>332</v>
      </c>
      <c r="B334" s="116">
        <v>12</v>
      </c>
      <c r="C334" s="81" t="s">
        <v>132</v>
      </c>
      <c r="D334" s="111" t="s">
        <v>240</v>
      </c>
      <c r="E334" s="81" t="s">
        <v>104</v>
      </c>
      <c r="F334" s="61">
        <v>7.68</v>
      </c>
      <c r="G334" s="52">
        <f t="shared" si="36"/>
        <v>8.65</v>
      </c>
      <c r="H334" s="110"/>
      <c r="I334" s="81">
        <v>9.61</v>
      </c>
      <c r="J334" s="81">
        <f>VLOOKUP(C334,Recipes!$A$2:$N$4,12,FALSE())</f>
        <v>6.1509461004819709E-2</v>
      </c>
      <c r="K334" s="81">
        <f t="shared" si="37"/>
        <v>9.4254716169855399</v>
      </c>
      <c r="L334" s="81">
        <f t="shared" si="38"/>
        <v>9.7945283830144589</v>
      </c>
      <c r="M334" s="81" t="str">
        <f t="shared" si="39"/>
        <v>NG</v>
      </c>
      <c r="N334" s="117">
        <f t="shared" si="40"/>
        <v>1</v>
      </c>
      <c r="O334" s="81">
        <f t="shared" si="41"/>
        <v>0.95999999999999908</v>
      </c>
      <c r="P334" s="81">
        <f>IF(G334="","",ABS(O334-Components!$C$2)/Components!$D$2)</f>
        <v>271.34938958485424</v>
      </c>
      <c r="Q334" s="81">
        <f>IF(G334="","",ABS(O334-Components!$C$3)/Components!$D$3)</f>
        <v>222.95426839848284</v>
      </c>
      <c r="R334" s="81">
        <f>IF(G334="","",ABS(O334-Components!$C$4)/Components!$D$4)</f>
        <v>2.3845910571425293</v>
      </c>
      <c r="S334" s="81">
        <f>IF(G334="","",ABS(O334-Components!$C$5)/Components!$D$5)</f>
        <v>143.07757766963482</v>
      </c>
      <c r="T334" s="81">
        <f>IF(G334="","",ABS(O334-Components!$C$6)/Components!$D$6)</f>
        <v>7.0820621344135226</v>
      </c>
      <c r="U334" s="81">
        <f>IF(G334="","",ABS(O334-Components!$C$7)/Components!$D$7)</f>
        <v>16.477399739502591</v>
      </c>
      <c r="V334" s="81" t="str">
        <f>IF(G334="","",IF(M334="OK","NONE",INDEX({"S1","S2","W1","W2","N1","N2"},MATCH(MIN(P334:U334),P334:U334,0))))</f>
        <v>W1</v>
      </c>
      <c r="W334" s="117">
        <f t="shared" si="42"/>
        <v>1</v>
      </c>
      <c r="X334" s="107"/>
    </row>
    <row r="335" spans="1:24">
      <c r="A335" s="115">
        <v>333</v>
      </c>
      <c r="B335" s="116">
        <v>12</v>
      </c>
      <c r="C335" s="81" t="s">
        <v>132</v>
      </c>
      <c r="D335" s="111" t="s">
        <v>240</v>
      </c>
      <c r="E335" s="81" t="s">
        <v>104</v>
      </c>
      <c r="F335" s="61">
        <v>7.4</v>
      </c>
      <c r="G335" s="52">
        <f t="shared" si="36"/>
        <v>8.370000000000001</v>
      </c>
      <c r="H335" s="110"/>
      <c r="I335" s="81">
        <v>9.61</v>
      </c>
      <c r="J335" s="81">
        <f>VLOOKUP(C335,Recipes!$A$2:$N$4,12,FALSE())</f>
        <v>6.1509461004819709E-2</v>
      </c>
      <c r="K335" s="81">
        <f t="shared" si="37"/>
        <v>9.4254716169855399</v>
      </c>
      <c r="L335" s="81">
        <f t="shared" si="38"/>
        <v>9.7945283830144589</v>
      </c>
      <c r="M335" s="81" t="str">
        <f t="shared" si="39"/>
        <v>NG</v>
      </c>
      <c r="N335" s="117">
        <f t="shared" si="40"/>
        <v>1</v>
      </c>
      <c r="O335" s="81">
        <f t="shared" si="41"/>
        <v>1.2399999999999984</v>
      </c>
      <c r="P335" s="81">
        <f>IF(G335="","",ABS(O335-Components!$C$2)/Components!$D$2)</f>
        <v>228.98257039316701</v>
      </c>
      <c r="Q335" s="81">
        <f>IF(G335="","",ABS(O335-Components!$C$3)/Components!$D$3)</f>
        <v>202.65934149615023</v>
      </c>
      <c r="R335" s="81">
        <f>IF(G335="","",ABS(O335-Components!$C$4)/Components!$D$4)</f>
        <v>17.645973822854341</v>
      </c>
      <c r="S335" s="81">
        <f>IF(G335="","",ABS(O335-Components!$C$5)/Components!$D$5)</f>
        <v>131.95755867976689</v>
      </c>
      <c r="T335" s="81">
        <f>IF(G335="","",ABS(O335-Components!$C$6)/Components!$D$6)</f>
        <v>3.0524049744573762</v>
      </c>
      <c r="U335" s="81">
        <f>IF(G335="","",ABS(O335-Components!$C$7)/Components!$D$7)</f>
        <v>5.3422301649392585</v>
      </c>
      <c r="V335" s="81" t="str">
        <f>IF(G335="","",IF(M335="OK","NONE",INDEX({"S1","S2","W1","W2","N1","N2"},MATCH(MIN(P335:U335),P335:U335,0))))</f>
        <v>N1</v>
      </c>
      <c r="W335" s="122">
        <f t="shared" si="42"/>
        <v>0</v>
      </c>
      <c r="X335" s="107"/>
    </row>
    <row r="336" spans="1:24">
      <c r="A336" s="115">
        <v>334</v>
      </c>
      <c r="B336" s="116">
        <v>12</v>
      </c>
      <c r="C336" s="81" t="s">
        <v>132</v>
      </c>
      <c r="D336" s="111" t="s">
        <v>240</v>
      </c>
      <c r="E336" s="81" t="s">
        <v>104</v>
      </c>
      <c r="F336" s="61">
        <v>7.59</v>
      </c>
      <c r="G336" s="52">
        <f t="shared" si="36"/>
        <v>8.56</v>
      </c>
      <c r="H336" s="110"/>
      <c r="I336" s="81">
        <v>9.61</v>
      </c>
      <c r="J336" s="81">
        <f>VLOOKUP(C336,Recipes!$A$2:$N$4,12,FALSE())</f>
        <v>6.1509461004819709E-2</v>
      </c>
      <c r="K336" s="81">
        <f t="shared" si="37"/>
        <v>9.4254716169855399</v>
      </c>
      <c r="L336" s="81">
        <f t="shared" si="38"/>
        <v>9.7945283830144589</v>
      </c>
      <c r="M336" s="81" t="str">
        <f t="shared" si="39"/>
        <v>NG</v>
      </c>
      <c r="N336" s="117">
        <f t="shared" si="40"/>
        <v>1</v>
      </c>
      <c r="O336" s="81">
        <f t="shared" si="41"/>
        <v>1.0499999999999989</v>
      </c>
      <c r="P336" s="81">
        <f>IF(G336="","",ABS(O336-Components!$C$2)/Components!$D$2)</f>
        <v>257.7314834160976</v>
      </c>
      <c r="Q336" s="81">
        <f>IF(G336="","",ABS(O336-Components!$C$3)/Components!$D$3)</f>
        <v>216.43089903701878</v>
      </c>
      <c r="R336" s="81">
        <f>IF(G336="","",ABS(O336-Components!$C$4)/Components!$D$4)</f>
        <v>4.0538047971421838</v>
      </c>
      <c r="S336" s="81">
        <f>IF(G336="","",ABS(O336-Components!$C$5)/Components!$D$5)</f>
        <v>139.50328585146298</v>
      </c>
      <c r="T336" s="81">
        <f>IF(G336="","",ABS(O336-Components!$C$6)/Components!$D$6)</f>
        <v>3.8245548494193029</v>
      </c>
      <c r="U336" s="81">
        <f>IF(G336="","",ABS(O336-Components!$C$7)/Components!$D$7)</f>
        <v>12.898238090535804</v>
      </c>
      <c r="V336" s="81" t="str">
        <f>IF(G336="","",IF(M336="OK","NONE",INDEX({"S1","S2","W1","W2","N1","N2"},MATCH(MIN(P336:U336),P336:U336,0))))</f>
        <v>N1</v>
      </c>
      <c r="W336" s="122">
        <f t="shared" si="42"/>
        <v>0</v>
      </c>
      <c r="X336" s="107"/>
    </row>
    <row r="337" spans="1:24">
      <c r="A337" s="115">
        <v>335</v>
      </c>
      <c r="B337" s="116">
        <v>12</v>
      </c>
      <c r="C337" s="81" t="s">
        <v>132</v>
      </c>
      <c r="D337" s="111" t="s">
        <v>240</v>
      </c>
      <c r="E337" s="81" t="s">
        <v>104</v>
      </c>
      <c r="F337" s="61">
        <v>7.53</v>
      </c>
      <c r="G337" s="52">
        <f t="shared" si="36"/>
        <v>8.5</v>
      </c>
      <c r="H337" s="110"/>
      <c r="I337" s="81">
        <v>9.61</v>
      </c>
      <c r="J337" s="81">
        <f>VLOOKUP(C337,Recipes!$A$2:$N$4,12,FALSE())</f>
        <v>6.1509461004819709E-2</v>
      </c>
      <c r="K337" s="81">
        <f t="shared" si="37"/>
        <v>9.4254716169855399</v>
      </c>
      <c r="L337" s="81">
        <f t="shared" si="38"/>
        <v>9.7945283830144589</v>
      </c>
      <c r="M337" s="81" t="str">
        <f t="shared" si="39"/>
        <v>NG</v>
      </c>
      <c r="N337" s="117">
        <f t="shared" si="40"/>
        <v>1</v>
      </c>
      <c r="O337" s="81">
        <f t="shared" si="41"/>
        <v>1.1099999999999994</v>
      </c>
      <c r="P337" s="81">
        <f>IF(G337="","",ABS(O337-Components!$C$2)/Components!$D$2)</f>
        <v>248.65287930359312</v>
      </c>
      <c r="Q337" s="81">
        <f>IF(G337="","",ABS(O337-Components!$C$3)/Components!$D$3)</f>
        <v>212.08198612937602</v>
      </c>
      <c r="R337" s="81">
        <f>IF(G337="","",ABS(O337-Components!$C$4)/Components!$D$4)</f>
        <v>8.3460686999987015</v>
      </c>
      <c r="S337" s="81">
        <f>IF(G337="","",ABS(O337-Components!$C$5)/Components!$D$5)</f>
        <v>137.12042463934841</v>
      </c>
      <c r="T337" s="81">
        <f>IF(G337="","",ABS(O337-Components!$C$6)/Components!$D$6)</f>
        <v>1.6528833260898017</v>
      </c>
      <c r="U337" s="81">
        <f>IF(G337="","",ABS(O337-Components!$C$7)/Components!$D$7)</f>
        <v>10.512130324557921</v>
      </c>
      <c r="V337" s="81" t="str">
        <f>IF(G337="","",IF(M337="OK","NONE",INDEX({"S1","S2","W1","W2","N1","N2"},MATCH(MIN(P337:U337),P337:U337,0))))</f>
        <v>N1</v>
      </c>
      <c r="W337" s="122">
        <f t="shared" si="42"/>
        <v>0</v>
      </c>
      <c r="X337" s="107"/>
    </row>
    <row r="338" spans="1:24">
      <c r="A338" s="115">
        <v>336</v>
      </c>
      <c r="B338" s="116">
        <v>12</v>
      </c>
      <c r="C338" s="81" t="s">
        <v>132</v>
      </c>
      <c r="D338" s="111" t="s">
        <v>240</v>
      </c>
      <c r="E338" s="81" t="s">
        <v>104</v>
      </c>
      <c r="F338" s="61">
        <v>7.53</v>
      </c>
      <c r="G338" s="52">
        <f t="shared" si="36"/>
        <v>8.5</v>
      </c>
      <c r="H338" s="110"/>
      <c r="I338" s="81">
        <v>9.61</v>
      </c>
      <c r="J338" s="81">
        <f>VLOOKUP(C338,Recipes!$A$2:$N$4,12,FALSE())</f>
        <v>6.1509461004819709E-2</v>
      </c>
      <c r="K338" s="81">
        <f t="shared" si="37"/>
        <v>9.4254716169855399</v>
      </c>
      <c r="L338" s="81">
        <f t="shared" si="38"/>
        <v>9.7945283830144589</v>
      </c>
      <c r="M338" s="81" t="str">
        <f t="shared" si="39"/>
        <v>NG</v>
      </c>
      <c r="N338" s="117">
        <f t="shared" si="40"/>
        <v>1</v>
      </c>
      <c r="O338" s="81">
        <f t="shared" si="41"/>
        <v>1.1099999999999994</v>
      </c>
      <c r="P338" s="81">
        <f>IF(G338="","",ABS(O338-Components!$C$2)/Components!$D$2)</f>
        <v>248.65287930359312</v>
      </c>
      <c r="Q338" s="81">
        <f>IF(G338="","",ABS(O338-Components!$C$3)/Components!$D$3)</f>
        <v>212.08198612937602</v>
      </c>
      <c r="R338" s="81">
        <f>IF(G338="","",ABS(O338-Components!$C$4)/Components!$D$4)</f>
        <v>8.3460686999987015</v>
      </c>
      <c r="S338" s="81">
        <f>IF(G338="","",ABS(O338-Components!$C$5)/Components!$D$5)</f>
        <v>137.12042463934841</v>
      </c>
      <c r="T338" s="81">
        <f>IF(G338="","",ABS(O338-Components!$C$6)/Components!$D$6)</f>
        <v>1.6528833260898017</v>
      </c>
      <c r="U338" s="81">
        <f>IF(G338="","",ABS(O338-Components!$C$7)/Components!$D$7)</f>
        <v>10.512130324557921</v>
      </c>
      <c r="V338" s="81" t="str">
        <f>IF(G338="","",IF(M338="OK","NONE",INDEX({"S1","S2","W1","W2","N1","N2"},MATCH(MIN(P338:U338),P338:U338,0))))</f>
        <v>N1</v>
      </c>
      <c r="W338" s="122">
        <f t="shared" si="42"/>
        <v>0</v>
      </c>
      <c r="X338" s="107"/>
    </row>
    <row r="339" spans="1:24">
      <c r="A339" s="115">
        <v>337</v>
      </c>
      <c r="B339" s="116">
        <v>12</v>
      </c>
      <c r="C339" s="81" t="s">
        <v>132</v>
      </c>
      <c r="D339" s="111" t="s">
        <v>240</v>
      </c>
      <c r="E339" s="81" t="s">
        <v>104</v>
      </c>
      <c r="F339" s="61">
        <v>7.63</v>
      </c>
      <c r="G339" s="52">
        <f t="shared" si="36"/>
        <v>8.6</v>
      </c>
      <c r="H339" s="110"/>
      <c r="I339" s="81">
        <v>9.61</v>
      </c>
      <c r="J339" s="81">
        <f>VLOOKUP(C339,Recipes!$A$2:$N$4,12,FALSE())</f>
        <v>6.1509461004819709E-2</v>
      </c>
      <c r="K339" s="81">
        <f t="shared" si="37"/>
        <v>9.4254716169855399</v>
      </c>
      <c r="L339" s="81">
        <f t="shared" si="38"/>
        <v>9.7945283830144589</v>
      </c>
      <c r="M339" s="81" t="str">
        <f t="shared" si="39"/>
        <v>NG</v>
      </c>
      <c r="N339" s="117">
        <f t="shared" si="40"/>
        <v>1</v>
      </c>
      <c r="O339" s="81">
        <f t="shared" si="41"/>
        <v>1.0099999999999998</v>
      </c>
      <c r="P339" s="81">
        <f>IF(G339="","",ABS(O339-Components!$C$2)/Components!$D$2)</f>
        <v>263.78388615776714</v>
      </c>
      <c r="Q339" s="81">
        <f>IF(G339="","",ABS(O339-Components!$C$3)/Components!$D$3)</f>
        <v>219.33017430878053</v>
      </c>
      <c r="R339" s="81">
        <f>IF(G339="","",ABS(O339-Components!$C$4)/Components!$D$4)</f>
        <v>1.1922955285712566</v>
      </c>
      <c r="S339" s="81">
        <f>IF(G339="","",ABS(O339-Components!$C$5)/Components!$D$5)</f>
        <v>141.09185999287266</v>
      </c>
      <c r="T339" s="81">
        <f>IF(G339="","",ABS(O339-Components!$C$6)/Components!$D$6)</f>
        <v>5.2723358649722609</v>
      </c>
      <c r="U339" s="81">
        <f>IF(G339="","",ABS(O339-Components!$C$7)/Components!$D$7)</f>
        <v>14.488976601187677</v>
      </c>
      <c r="V339" s="81" t="str">
        <f>IF(G339="","",IF(M339="OK","NONE",INDEX({"S1","S2","W1","W2","N1","N2"},MATCH(MIN(P339:U339),P339:U339,0))))</f>
        <v>W1</v>
      </c>
      <c r="W339" s="117">
        <f t="shared" si="42"/>
        <v>1</v>
      </c>
      <c r="X339" s="107"/>
    </row>
    <row r="340" spans="1:24">
      <c r="A340" s="115">
        <v>338</v>
      </c>
      <c r="B340" s="116">
        <v>12</v>
      </c>
      <c r="C340" s="81" t="s">
        <v>132</v>
      </c>
      <c r="D340" s="111" t="s">
        <v>240</v>
      </c>
      <c r="E340" s="81" t="s">
        <v>104</v>
      </c>
      <c r="F340" s="61">
        <v>7.62</v>
      </c>
      <c r="G340" s="52">
        <f t="shared" si="36"/>
        <v>8.59</v>
      </c>
      <c r="H340" s="110"/>
      <c r="I340" s="81">
        <v>9.61</v>
      </c>
      <c r="J340" s="81">
        <f>VLOOKUP(C340,Recipes!$A$2:$N$4,12,FALSE())</f>
        <v>6.1509461004819709E-2</v>
      </c>
      <c r="K340" s="81">
        <f t="shared" si="37"/>
        <v>9.4254716169855399</v>
      </c>
      <c r="L340" s="81">
        <f t="shared" si="38"/>
        <v>9.7945283830144589</v>
      </c>
      <c r="M340" s="81" t="str">
        <f t="shared" si="39"/>
        <v>NG</v>
      </c>
      <c r="N340" s="117">
        <f t="shared" si="40"/>
        <v>1</v>
      </c>
      <c r="O340" s="81">
        <f t="shared" si="41"/>
        <v>1.0199999999999996</v>
      </c>
      <c r="P340" s="81">
        <f>IF(G340="","",ABS(O340-Components!$C$2)/Components!$D$2)</f>
        <v>262.27078547234976</v>
      </c>
      <c r="Q340" s="81">
        <f>IF(G340="","",ABS(O340-Components!$C$3)/Components!$D$3)</f>
        <v>218.60535549084008</v>
      </c>
      <c r="R340" s="81">
        <f>IF(G340="","",ABS(O340-Components!$C$4)/Components!$D$4)</f>
        <v>1.9076728457139884</v>
      </c>
      <c r="S340" s="81">
        <f>IF(G340="","",ABS(O340-Components!$C$5)/Components!$D$5)</f>
        <v>140.69471645752026</v>
      </c>
      <c r="T340" s="81">
        <f>IF(G340="","",ABS(O340-Components!$C$6)/Components!$D$6)</f>
        <v>4.9103906110840212</v>
      </c>
      <c r="U340" s="81">
        <f>IF(G340="","",ABS(O340-Components!$C$7)/Components!$D$7)</f>
        <v>14.091291973524708</v>
      </c>
      <c r="V340" s="81" t="str">
        <f>IF(G340="","",IF(M340="OK","NONE",INDEX({"S1","S2","W1","W2","N1","N2"},MATCH(MIN(P340:U340),P340:U340,0))))</f>
        <v>W1</v>
      </c>
      <c r="W340" s="117">
        <f t="shared" si="42"/>
        <v>1</v>
      </c>
      <c r="X340" s="107"/>
    </row>
    <row r="341" spans="1:24">
      <c r="A341" s="115">
        <v>339</v>
      </c>
      <c r="B341" s="116">
        <v>12</v>
      </c>
      <c r="C341" s="81" t="s">
        <v>132</v>
      </c>
      <c r="D341" s="111" t="s">
        <v>240</v>
      </c>
      <c r="E341" s="81" t="s">
        <v>104</v>
      </c>
      <c r="F341" s="61">
        <v>7.59</v>
      </c>
      <c r="G341" s="52">
        <f t="shared" si="36"/>
        <v>8.56</v>
      </c>
      <c r="H341" s="110"/>
      <c r="I341" s="81">
        <v>9.61</v>
      </c>
      <c r="J341" s="81">
        <f>VLOOKUP(C341,Recipes!$A$2:$N$4,12,FALSE())</f>
        <v>6.1509461004819709E-2</v>
      </c>
      <c r="K341" s="81">
        <f t="shared" si="37"/>
        <v>9.4254716169855399</v>
      </c>
      <c r="L341" s="81">
        <f t="shared" si="38"/>
        <v>9.7945283830144589</v>
      </c>
      <c r="M341" s="81" t="str">
        <f t="shared" si="39"/>
        <v>NG</v>
      </c>
      <c r="N341" s="117">
        <f t="shared" si="40"/>
        <v>1</v>
      </c>
      <c r="O341" s="81">
        <f t="shared" si="41"/>
        <v>1.0499999999999989</v>
      </c>
      <c r="P341" s="81">
        <f>IF(G341="","",ABS(O341-Components!$C$2)/Components!$D$2)</f>
        <v>257.7314834160976</v>
      </c>
      <c r="Q341" s="81">
        <f>IF(G341="","",ABS(O341-Components!$C$3)/Components!$D$3)</f>
        <v>216.43089903701878</v>
      </c>
      <c r="R341" s="81">
        <f>IF(G341="","",ABS(O341-Components!$C$4)/Components!$D$4)</f>
        <v>4.0538047971421838</v>
      </c>
      <c r="S341" s="81">
        <f>IF(G341="","",ABS(O341-Components!$C$5)/Components!$D$5)</f>
        <v>139.50328585146298</v>
      </c>
      <c r="T341" s="81">
        <f>IF(G341="","",ABS(O341-Components!$C$6)/Components!$D$6)</f>
        <v>3.8245548494193029</v>
      </c>
      <c r="U341" s="81">
        <f>IF(G341="","",ABS(O341-Components!$C$7)/Components!$D$7)</f>
        <v>12.898238090535804</v>
      </c>
      <c r="V341" s="81" t="str">
        <f>IF(G341="","",IF(M341="OK","NONE",INDEX({"S1","S2","W1","W2","N1","N2"},MATCH(MIN(P341:U341),P341:U341,0))))</f>
        <v>N1</v>
      </c>
      <c r="W341" s="122">
        <f t="shared" si="42"/>
        <v>0</v>
      </c>
      <c r="X341" s="107"/>
    </row>
    <row r="342" spans="1:24">
      <c r="A342" s="115">
        <v>340</v>
      </c>
      <c r="B342" s="116">
        <v>12</v>
      </c>
      <c r="C342" s="81" t="s">
        <v>132</v>
      </c>
      <c r="D342" s="111" t="s">
        <v>240</v>
      </c>
      <c r="E342" s="81" t="s">
        <v>104</v>
      </c>
      <c r="F342" s="61">
        <v>7.64</v>
      </c>
      <c r="G342" s="52">
        <f t="shared" si="36"/>
        <v>8.61</v>
      </c>
      <c r="H342" s="110"/>
      <c r="I342" s="81">
        <v>9.61</v>
      </c>
      <c r="J342" s="81">
        <f>VLOOKUP(C342,Recipes!$A$2:$N$4,12,FALSE())</f>
        <v>6.1509461004819709E-2</v>
      </c>
      <c r="K342" s="81">
        <f t="shared" si="37"/>
        <v>9.4254716169855399</v>
      </c>
      <c r="L342" s="81">
        <f t="shared" si="38"/>
        <v>9.7945283830144589</v>
      </c>
      <c r="M342" s="81" t="str">
        <f t="shared" si="39"/>
        <v>NG</v>
      </c>
      <c r="N342" s="117">
        <f t="shared" si="40"/>
        <v>1</v>
      </c>
      <c r="O342" s="81">
        <f t="shared" si="41"/>
        <v>1</v>
      </c>
      <c r="P342" s="81">
        <f>IF(G342="","",ABS(O342-Components!$C$2)/Components!$D$2)</f>
        <v>265.29698684318447</v>
      </c>
      <c r="Q342" s="81">
        <f>IF(G342="","",ABS(O342-Components!$C$3)/Components!$D$3)</f>
        <v>220.05499312672094</v>
      </c>
      <c r="R342" s="81">
        <f>IF(G342="","",ABS(O342-Components!$C$4)/Components!$D$4)</f>
        <v>0.47691821142852492</v>
      </c>
      <c r="S342" s="81">
        <f>IF(G342="","",ABS(O342-Components!$C$5)/Components!$D$5)</f>
        <v>141.48900352822508</v>
      </c>
      <c r="T342" s="81">
        <f>IF(G342="","",ABS(O342-Components!$C$6)/Components!$D$6)</f>
        <v>5.6342811188605006</v>
      </c>
      <c r="U342" s="81">
        <f>IF(G342="","",ABS(O342-Components!$C$7)/Components!$D$7)</f>
        <v>14.886661228850645</v>
      </c>
      <c r="V342" s="81" t="str">
        <f>IF(G342="","",IF(M342="OK","NONE",INDEX({"S1","S2","W1","W2","N1","N2"},MATCH(MIN(P342:U342),P342:U342,0))))</f>
        <v>W1</v>
      </c>
      <c r="W342" s="117">
        <f t="shared" si="42"/>
        <v>1</v>
      </c>
      <c r="X342" s="107"/>
    </row>
    <row r="343" spans="1:24">
      <c r="A343" s="115">
        <v>341</v>
      </c>
      <c r="B343" s="116">
        <v>12</v>
      </c>
      <c r="C343" s="81" t="s">
        <v>132</v>
      </c>
      <c r="D343" s="111" t="s">
        <v>240</v>
      </c>
      <c r="E343" s="81" t="s">
        <v>104</v>
      </c>
      <c r="F343" s="61">
        <v>7.65</v>
      </c>
      <c r="G343" s="52">
        <f t="shared" si="36"/>
        <v>8.620000000000001</v>
      </c>
      <c r="H343" s="110"/>
      <c r="I343" s="81">
        <v>9.61</v>
      </c>
      <c r="J343" s="81">
        <f>VLOOKUP(C343,Recipes!$A$2:$N$4,12,FALSE())</f>
        <v>6.1509461004819709E-2</v>
      </c>
      <c r="K343" s="81">
        <f t="shared" si="37"/>
        <v>9.4254716169855399</v>
      </c>
      <c r="L343" s="81">
        <f t="shared" si="38"/>
        <v>9.7945283830144589</v>
      </c>
      <c r="M343" s="81" t="str">
        <f t="shared" si="39"/>
        <v>NG</v>
      </c>
      <c r="N343" s="117">
        <f t="shared" si="40"/>
        <v>1</v>
      </c>
      <c r="O343" s="81">
        <f t="shared" si="41"/>
        <v>0.98999999999999844</v>
      </c>
      <c r="P343" s="81">
        <f>IF(G343="","",ABS(O343-Components!$C$2)/Components!$D$2)</f>
        <v>266.81008752860214</v>
      </c>
      <c r="Q343" s="81">
        <f>IF(G343="","",ABS(O343-Components!$C$3)/Components!$D$3)</f>
        <v>220.77981194466153</v>
      </c>
      <c r="R343" s="81">
        <f>IF(G343="","",ABS(O343-Components!$C$4)/Components!$D$4)</f>
        <v>0.23845910571433393</v>
      </c>
      <c r="S343" s="81">
        <f>IF(G343="","",ABS(O343-Components!$C$5)/Components!$D$5)</f>
        <v>141.88614706357757</v>
      </c>
      <c r="T343" s="81">
        <f>IF(G343="","",ABS(O343-Components!$C$6)/Components!$D$6)</f>
        <v>5.9962263727488043</v>
      </c>
      <c r="U343" s="81">
        <f>IF(G343="","",ABS(O343-Components!$C$7)/Components!$D$7)</f>
        <v>15.284345856513685</v>
      </c>
      <c r="V343" s="81" t="str">
        <f>IF(G343="","",IF(M343="OK","NONE",INDEX({"S1","S2","W1","W2","N1","N2"},MATCH(MIN(P343:U343),P343:U343,0))))</f>
        <v>W1</v>
      </c>
      <c r="W343" s="117">
        <f t="shared" si="42"/>
        <v>1</v>
      </c>
      <c r="X343" s="107"/>
    </row>
    <row r="344" spans="1:24">
      <c r="A344" s="115">
        <v>342</v>
      </c>
      <c r="B344" s="116">
        <v>12</v>
      </c>
      <c r="C344" s="81" t="s">
        <v>132</v>
      </c>
      <c r="D344" s="111" t="s">
        <v>240</v>
      </c>
      <c r="E344" s="81" t="s">
        <v>104</v>
      </c>
      <c r="F344" s="61">
        <v>7.6</v>
      </c>
      <c r="G344" s="52">
        <f t="shared" si="36"/>
        <v>8.57</v>
      </c>
      <c r="H344" s="110"/>
      <c r="I344" s="81">
        <v>9.61</v>
      </c>
      <c r="J344" s="81">
        <f>VLOOKUP(C344,Recipes!$A$2:$N$4,12,FALSE())</f>
        <v>6.1509461004819709E-2</v>
      </c>
      <c r="K344" s="81">
        <f t="shared" si="37"/>
        <v>9.4254716169855399</v>
      </c>
      <c r="L344" s="81">
        <f t="shared" si="38"/>
        <v>9.7945283830144589</v>
      </c>
      <c r="M344" s="81" t="str">
        <f t="shared" si="39"/>
        <v>NG</v>
      </c>
      <c r="N344" s="117">
        <f t="shared" si="40"/>
        <v>1</v>
      </c>
      <c r="O344" s="81">
        <f t="shared" si="41"/>
        <v>1.0399999999999991</v>
      </c>
      <c r="P344" s="81">
        <f>IF(G344="","",ABS(O344-Components!$C$2)/Components!$D$2)</f>
        <v>259.24458410151499</v>
      </c>
      <c r="Q344" s="81">
        <f>IF(G344="","",ABS(O344-Components!$C$3)/Components!$D$3)</f>
        <v>217.15571785495922</v>
      </c>
      <c r="R344" s="81">
        <f>IF(G344="","",ABS(O344-Components!$C$4)/Components!$D$4)</f>
        <v>3.338427479999452</v>
      </c>
      <c r="S344" s="81">
        <f>IF(G344="","",ABS(O344-Components!$C$5)/Components!$D$5)</f>
        <v>139.9004293868154</v>
      </c>
      <c r="T344" s="81">
        <f>IF(G344="","",ABS(O344-Components!$C$6)/Components!$D$6)</f>
        <v>4.1865001033075426</v>
      </c>
      <c r="U344" s="81">
        <f>IF(G344="","",ABS(O344-Components!$C$7)/Components!$D$7)</f>
        <v>13.295922718198771</v>
      </c>
      <c r="V344" s="81" t="str">
        <f>IF(G344="","",IF(M344="OK","NONE",INDEX({"S1","S2","W1","W2","N1","N2"},MATCH(MIN(P344:U344),P344:U344,0))))</f>
        <v>W1</v>
      </c>
      <c r="W344" s="117">
        <f t="shared" si="42"/>
        <v>1</v>
      </c>
      <c r="X344" s="107"/>
    </row>
    <row r="345" spans="1:24">
      <c r="A345" s="115">
        <v>343</v>
      </c>
      <c r="B345" s="116">
        <v>12</v>
      </c>
      <c r="C345" s="81" t="s">
        <v>132</v>
      </c>
      <c r="D345" s="111" t="s">
        <v>240</v>
      </c>
      <c r="E345" s="81" t="s">
        <v>104</v>
      </c>
      <c r="F345" s="61">
        <v>7.6</v>
      </c>
      <c r="G345" s="52">
        <f t="shared" si="36"/>
        <v>8.57</v>
      </c>
      <c r="H345" s="110"/>
      <c r="I345" s="81">
        <v>9.61</v>
      </c>
      <c r="J345" s="81">
        <f>VLOOKUP(C345,Recipes!$A$2:$N$4,12,FALSE())</f>
        <v>6.1509461004819709E-2</v>
      </c>
      <c r="K345" s="81">
        <f t="shared" si="37"/>
        <v>9.4254716169855399</v>
      </c>
      <c r="L345" s="81">
        <f t="shared" si="38"/>
        <v>9.7945283830144589</v>
      </c>
      <c r="M345" s="81" t="str">
        <f t="shared" si="39"/>
        <v>NG</v>
      </c>
      <c r="N345" s="117">
        <f t="shared" si="40"/>
        <v>1</v>
      </c>
      <c r="O345" s="81">
        <f t="shared" si="41"/>
        <v>1.0399999999999991</v>
      </c>
      <c r="P345" s="81">
        <f>IF(G345="","",ABS(O345-Components!$C$2)/Components!$D$2)</f>
        <v>259.24458410151499</v>
      </c>
      <c r="Q345" s="81">
        <f>IF(G345="","",ABS(O345-Components!$C$3)/Components!$D$3)</f>
        <v>217.15571785495922</v>
      </c>
      <c r="R345" s="81">
        <f>IF(G345="","",ABS(O345-Components!$C$4)/Components!$D$4)</f>
        <v>3.338427479999452</v>
      </c>
      <c r="S345" s="81">
        <f>IF(G345="","",ABS(O345-Components!$C$5)/Components!$D$5)</f>
        <v>139.9004293868154</v>
      </c>
      <c r="T345" s="81">
        <f>IF(G345="","",ABS(O345-Components!$C$6)/Components!$D$6)</f>
        <v>4.1865001033075426</v>
      </c>
      <c r="U345" s="81">
        <f>IF(G345="","",ABS(O345-Components!$C$7)/Components!$D$7)</f>
        <v>13.295922718198771</v>
      </c>
      <c r="V345" s="81" t="str">
        <f>IF(G345="","",IF(M345="OK","NONE",INDEX({"S1","S2","W1","W2","N1","N2"},MATCH(MIN(P345:U345),P345:U345,0))))</f>
        <v>W1</v>
      </c>
      <c r="W345" s="117">
        <f t="shared" si="42"/>
        <v>1</v>
      </c>
      <c r="X345" s="107"/>
    </row>
    <row r="346" spans="1:24">
      <c r="A346" s="115">
        <v>344</v>
      </c>
      <c r="B346" s="116">
        <v>12</v>
      </c>
      <c r="C346" s="81" t="s">
        <v>132</v>
      </c>
      <c r="D346" s="111" t="s">
        <v>240</v>
      </c>
      <c r="E346" s="81" t="s">
        <v>104</v>
      </c>
      <c r="F346" s="61">
        <v>7.59</v>
      </c>
      <c r="G346" s="52">
        <f t="shared" si="36"/>
        <v>8.56</v>
      </c>
      <c r="H346" s="110"/>
      <c r="I346" s="81">
        <v>9.61</v>
      </c>
      <c r="J346" s="81">
        <f>VLOOKUP(C346,Recipes!$A$2:$N$4,12,FALSE())</f>
        <v>6.1509461004819709E-2</v>
      </c>
      <c r="K346" s="81">
        <f t="shared" si="37"/>
        <v>9.4254716169855399</v>
      </c>
      <c r="L346" s="81">
        <f t="shared" si="38"/>
        <v>9.7945283830144589</v>
      </c>
      <c r="M346" s="81" t="str">
        <f t="shared" si="39"/>
        <v>NG</v>
      </c>
      <c r="N346" s="117">
        <f t="shared" si="40"/>
        <v>1</v>
      </c>
      <c r="O346" s="81">
        <f t="shared" si="41"/>
        <v>1.0499999999999989</v>
      </c>
      <c r="P346" s="81">
        <f>IF(G346="","",ABS(O346-Components!$C$2)/Components!$D$2)</f>
        <v>257.7314834160976</v>
      </c>
      <c r="Q346" s="81">
        <f>IF(G346="","",ABS(O346-Components!$C$3)/Components!$D$3)</f>
        <v>216.43089903701878</v>
      </c>
      <c r="R346" s="81">
        <f>IF(G346="","",ABS(O346-Components!$C$4)/Components!$D$4)</f>
        <v>4.0538047971421838</v>
      </c>
      <c r="S346" s="81">
        <f>IF(G346="","",ABS(O346-Components!$C$5)/Components!$D$5)</f>
        <v>139.50328585146298</v>
      </c>
      <c r="T346" s="81">
        <f>IF(G346="","",ABS(O346-Components!$C$6)/Components!$D$6)</f>
        <v>3.8245548494193029</v>
      </c>
      <c r="U346" s="81">
        <f>IF(G346="","",ABS(O346-Components!$C$7)/Components!$D$7)</f>
        <v>12.898238090535804</v>
      </c>
      <c r="V346" s="81" t="str">
        <f>IF(G346="","",IF(M346="OK","NONE",INDEX({"S1","S2","W1","W2","N1","N2"},MATCH(MIN(P346:U346),P346:U346,0))))</f>
        <v>N1</v>
      </c>
      <c r="W346" s="122">
        <f t="shared" si="42"/>
        <v>0</v>
      </c>
      <c r="X346" s="107"/>
    </row>
    <row r="347" spans="1:24">
      <c r="A347" s="115">
        <v>345</v>
      </c>
      <c r="B347" s="116">
        <v>12</v>
      </c>
      <c r="C347" s="81" t="s">
        <v>132</v>
      </c>
      <c r="D347" s="111" t="s">
        <v>240</v>
      </c>
      <c r="E347" s="81" t="s">
        <v>104</v>
      </c>
      <c r="F347" s="61">
        <v>7.63</v>
      </c>
      <c r="G347" s="52">
        <f t="shared" si="36"/>
        <v>8.6</v>
      </c>
      <c r="H347" s="110"/>
      <c r="I347" s="81">
        <v>9.61</v>
      </c>
      <c r="J347" s="81">
        <f>VLOOKUP(C347,Recipes!$A$2:$N$4,12,FALSE())</f>
        <v>6.1509461004819709E-2</v>
      </c>
      <c r="K347" s="81">
        <f t="shared" si="37"/>
        <v>9.4254716169855399</v>
      </c>
      <c r="L347" s="81">
        <f t="shared" si="38"/>
        <v>9.7945283830144589</v>
      </c>
      <c r="M347" s="81" t="str">
        <f t="shared" si="39"/>
        <v>NG</v>
      </c>
      <c r="N347" s="117">
        <f t="shared" si="40"/>
        <v>1</v>
      </c>
      <c r="O347" s="81">
        <f t="shared" si="41"/>
        <v>1.0099999999999998</v>
      </c>
      <c r="P347" s="81">
        <f>IF(G347="","",ABS(O347-Components!$C$2)/Components!$D$2)</f>
        <v>263.78388615776714</v>
      </c>
      <c r="Q347" s="81">
        <f>IF(G347="","",ABS(O347-Components!$C$3)/Components!$D$3)</f>
        <v>219.33017430878053</v>
      </c>
      <c r="R347" s="81">
        <f>IF(G347="","",ABS(O347-Components!$C$4)/Components!$D$4)</f>
        <v>1.1922955285712566</v>
      </c>
      <c r="S347" s="81">
        <f>IF(G347="","",ABS(O347-Components!$C$5)/Components!$D$5)</f>
        <v>141.09185999287266</v>
      </c>
      <c r="T347" s="81">
        <f>IF(G347="","",ABS(O347-Components!$C$6)/Components!$D$6)</f>
        <v>5.2723358649722609</v>
      </c>
      <c r="U347" s="81">
        <f>IF(G347="","",ABS(O347-Components!$C$7)/Components!$D$7)</f>
        <v>14.488976601187677</v>
      </c>
      <c r="V347" s="81" t="str">
        <f>IF(G347="","",IF(M347="OK","NONE",INDEX({"S1","S2","W1","W2","N1","N2"},MATCH(MIN(P347:U347),P347:U347,0))))</f>
        <v>W1</v>
      </c>
      <c r="W347" s="117">
        <f t="shared" si="42"/>
        <v>1</v>
      </c>
      <c r="X347" s="107"/>
    </row>
    <row r="348" spans="1:24">
      <c r="A348" s="115">
        <v>346</v>
      </c>
      <c r="B348" s="116">
        <v>12</v>
      </c>
      <c r="C348" s="81" t="s">
        <v>132</v>
      </c>
      <c r="D348" s="111" t="s">
        <v>240</v>
      </c>
      <c r="E348" s="81" t="s">
        <v>104</v>
      </c>
      <c r="F348" s="61">
        <v>7.6</v>
      </c>
      <c r="G348" s="52">
        <f t="shared" si="36"/>
        <v>8.57</v>
      </c>
      <c r="H348" s="110"/>
      <c r="I348" s="81">
        <v>9.61</v>
      </c>
      <c r="J348" s="81">
        <f>VLOOKUP(C348,Recipes!$A$2:$N$4,12,FALSE())</f>
        <v>6.1509461004819709E-2</v>
      </c>
      <c r="K348" s="81">
        <f t="shared" si="37"/>
        <v>9.4254716169855399</v>
      </c>
      <c r="L348" s="81">
        <f t="shared" si="38"/>
        <v>9.7945283830144589</v>
      </c>
      <c r="M348" s="81" t="str">
        <f t="shared" si="39"/>
        <v>NG</v>
      </c>
      <c r="N348" s="117">
        <f t="shared" si="40"/>
        <v>1</v>
      </c>
      <c r="O348" s="81">
        <f t="shared" si="41"/>
        <v>1.0399999999999991</v>
      </c>
      <c r="P348" s="81">
        <f>IF(G348="","",ABS(O348-Components!$C$2)/Components!$D$2)</f>
        <v>259.24458410151499</v>
      </c>
      <c r="Q348" s="81">
        <f>IF(G348="","",ABS(O348-Components!$C$3)/Components!$D$3)</f>
        <v>217.15571785495922</v>
      </c>
      <c r="R348" s="81">
        <f>IF(G348="","",ABS(O348-Components!$C$4)/Components!$D$4)</f>
        <v>3.338427479999452</v>
      </c>
      <c r="S348" s="81">
        <f>IF(G348="","",ABS(O348-Components!$C$5)/Components!$D$5)</f>
        <v>139.9004293868154</v>
      </c>
      <c r="T348" s="81">
        <f>IF(G348="","",ABS(O348-Components!$C$6)/Components!$D$6)</f>
        <v>4.1865001033075426</v>
      </c>
      <c r="U348" s="81">
        <f>IF(G348="","",ABS(O348-Components!$C$7)/Components!$D$7)</f>
        <v>13.295922718198771</v>
      </c>
      <c r="V348" s="81" t="str">
        <f>IF(G348="","",IF(M348="OK","NONE",INDEX({"S1","S2","W1","W2","N1","N2"},MATCH(MIN(P348:U348),P348:U348,0))))</f>
        <v>W1</v>
      </c>
      <c r="W348" s="117">
        <f t="shared" si="42"/>
        <v>1</v>
      </c>
      <c r="X348" s="107"/>
    </row>
    <row r="349" spans="1:24">
      <c r="A349" s="115">
        <v>347</v>
      </c>
      <c r="B349" s="116">
        <v>12</v>
      </c>
      <c r="C349" s="81" t="s">
        <v>132</v>
      </c>
      <c r="D349" s="111" t="s">
        <v>240</v>
      </c>
      <c r="E349" s="81" t="s">
        <v>104</v>
      </c>
      <c r="F349" s="61">
        <v>7.56</v>
      </c>
      <c r="G349" s="52">
        <f t="shared" si="36"/>
        <v>8.5299999999999994</v>
      </c>
      <c r="H349" s="110"/>
      <c r="I349" s="81">
        <v>9.61</v>
      </c>
      <c r="J349" s="81">
        <f>VLOOKUP(C349,Recipes!$A$2:$N$4,12,FALSE())</f>
        <v>6.1509461004819709E-2</v>
      </c>
      <c r="K349" s="81">
        <f t="shared" si="37"/>
        <v>9.4254716169855399</v>
      </c>
      <c r="L349" s="81">
        <f t="shared" si="38"/>
        <v>9.7945283830144589</v>
      </c>
      <c r="M349" s="81" t="str">
        <f t="shared" si="39"/>
        <v>NG</v>
      </c>
      <c r="N349" s="117">
        <f t="shared" si="40"/>
        <v>1</v>
      </c>
      <c r="O349" s="81">
        <f t="shared" si="41"/>
        <v>1.08</v>
      </c>
      <c r="P349" s="81">
        <f>IF(G349="","",ABS(O349-Components!$C$2)/Components!$D$2)</f>
        <v>253.19218135984525</v>
      </c>
      <c r="Q349" s="81">
        <f>IF(G349="","",ABS(O349-Components!$C$3)/Components!$D$3)</f>
        <v>214.25644258319733</v>
      </c>
      <c r="R349" s="81">
        <f>IF(G349="","",ABS(O349-Components!$C$4)/Components!$D$4)</f>
        <v>6.1999367485705061</v>
      </c>
      <c r="S349" s="81">
        <f>IF(G349="","",ABS(O349-Components!$C$5)/Components!$D$5)</f>
        <v>138.31185524540567</v>
      </c>
      <c r="T349" s="81">
        <f>IF(G349="","",ABS(O349-Components!$C$6)/Components!$D$6)</f>
        <v>2.7387190877545202</v>
      </c>
      <c r="U349" s="81">
        <f>IF(G349="","",ABS(O349-Components!$C$7)/Components!$D$7)</f>
        <v>11.705184207546827</v>
      </c>
      <c r="V349" s="81" t="str">
        <f>IF(G349="","",IF(M349="OK","NONE",INDEX({"S1","S2","W1","W2","N1","N2"},MATCH(MIN(P349:U349),P349:U349,0))))</f>
        <v>N1</v>
      </c>
      <c r="W349" s="122">
        <f t="shared" si="42"/>
        <v>0</v>
      </c>
      <c r="X349" s="107"/>
    </row>
    <row r="350" spans="1:24">
      <c r="A350" s="115">
        <v>348</v>
      </c>
      <c r="B350" s="116">
        <v>12</v>
      </c>
      <c r="C350" s="81" t="s">
        <v>132</v>
      </c>
      <c r="D350" s="111" t="s">
        <v>240</v>
      </c>
      <c r="E350" s="81" t="s">
        <v>104</v>
      </c>
      <c r="F350" s="61">
        <v>7.63</v>
      </c>
      <c r="G350" s="52">
        <f t="shared" si="36"/>
        <v>8.6</v>
      </c>
      <c r="H350" s="110"/>
      <c r="I350" s="81">
        <v>9.61</v>
      </c>
      <c r="J350" s="81">
        <f>VLOOKUP(C350,Recipes!$A$2:$N$4,12,FALSE())</f>
        <v>6.1509461004819709E-2</v>
      </c>
      <c r="K350" s="81">
        <f t="shared" si="37"/>
        <v>9.4254716169855399</v>
      </c>
      <c r="L350" s="81">
        <f t="shared" si="38"/>
        <v>9.7945283830144589</v>
      </c>
      <c r="M350" s="81" t="str">
        <f t="shared" si="39"/>
        <v>NG</v>
      </c>
      <c r="N350" s="117">
        <f t="shared" si="40"/>
        <v>1</v>
      </c>
      <c r="O350" s="81">
        <f t="shared" si="41"/>
        <v>1.0099999999999998</v>
      </c>
      <c r="P350" s="81">
        <f>IF(G350="","",ABS(O350-Components!$C$2)/Components!$D$2)</f>
        <v>263.78388615776714</v>
      </c>
      <c r="Q350" s="81">
        <f>IF(G350="","",ABS(O350-Components!$C$3)/Components!$D$3)</f>
        <v>219.33017430878053</v>
      </c>
      <c r="R350" s="81">
        <f>IF(G350="","",ABS(O350-Components!$C$4)/Components!$D$4)</f>
        <v>1.1922955285712566</v>
      </c>
      <c r="S350" s="81">
        <f>IF(G350="","",ABS(O350-Components!$C$5)/Components!$D$5)</f>
        <v>141.09185999287266</v>
      </c>
      <c r="T350" s="81">
        <f>IF(G350="","",ABS(O350-Components!$C$6)/Components!$D$6)</f>
        <v>5.2723358649722609</v>
      </c>
      <c r="U350" s="81">
        <f>IF(G350="","",ABS(O350-Components!$C$7)/Components!$D$7)</f>
        <v>14.488976601187677</v>
      </c>
      <c r="V350" s="81" t="str">
        <f>IF(G350="","",IF(M350="OK","NONE",INDEX({"S1","S2","W1","W2","N1","N2"},MATCH(MIN(P350:U350),P350:U350,0))))</f>
        <v>W1</v>
      </c>
      <c r="W350" s="117">
        <f t="shared" si="42"/>
        <v>1</v>
      </c>
      <c r="X350" s="107"/>
    </row>
    <row r="351" spans="1:24">
      <c r="A351" s="115">
        <v>349</v>
      </c>
      <c r="B351" s="116">
        <v>12</v>
      </c>
      <c r="C351" s="81" t="s">
        <v>132</v>
      </c>
      <c r="D351" s="111" t="s">
        <v>240</v>
      </c>
      <c r="E351" s="81" t="s">
        <v>104</v>
      </c>
      <c r="F351" s="61">
        <v>7.6</v>
      </c>
      <c r="G351" s="52">
        <f t="shared" si="36"/>
        <v>8.57</v>
      </c>
      <c r="H351" s="110"/>
      <c r="I351" s="81">
        <v>9.61</v>
      </c>
      <c r="J351" s="81">
        <f>VLOOKUP(C351,Recipes!$A$2:$N$4,12,FALSE())</f>
        <v>6.1509461004819709E-2</v>
      </c>
      <c r="K351" s="81">
        <f t="shared" si="37"/>
        <v>9.4254716169855399</v>
      </c>
      <c r="L351" s="81">
        <f t="shared" si="38"/>
        <v>9.7945283830144589</v>
      </c>
      <c r="M351" s="81" t="str">
        <f t="shared" si="39"/>
        <v>NG</v>
      </c>
      <c r="N351" s="117">
        <f t="shared" si="40"/>
        <v>1</v>
      </c>
      <c r="O351" s="81">
        <f t="shared" si="41"/>
        <v>1.0399999999999991</v>
      </c>
      <c r="P351" s="81">
        <f>IF(G351="","",ABS(O351-Components!$C$2)/Components!$D$2)</f>
        <v>259.24458410151499</v>
      </c>
      <c r="Q351" s="81">
        <f>IF(G351="","",ABS(O351-Components!$C$3)/Components!$D$3)</f>
        <v>217.15571785495922</v>
      </c>
      <c r="R351" s="81">
        <f>IF(G351="","",ABS(O351-Components!$C$4)/Components!$D$4)</f>
        <v>3.338427479999452</v>
      </c>
      <c r="S351" s="81">
        <f>IF(G351="","",ABS(O351-Components!$C$5)/Components!$D$5)</f>
        <v>139.9004293868154</v>
      </c>
      <c r="T351" s="81">
        <f>IF(G351="","",ABS(O351-Components!$C$6)/Components!$D$6)</f>
        <v>4.1865001033075426</v>
      </c>
      <c r="U351" s="81">
        <f>IF(G351="","",ABS(O351-Components!$C$7)/Components!$D$7)</f>
        <v>13.295922718198771</v>
      </c>
      <c r="V351" s="81" t="str">
        <f>IF(G351="","",IF(M351="OK","NONE",INDEX({"S1","S2","W1","W2","N1","N2"},MATCH(MIN(P351:U351),P351:U351,0))))</f>
        <v>W1</v>
      </c>
      <c r="W351" s="117">
        <f t="shared" si="42"/>
        <v>1</v>
      </c>
      <c r="X351" s="107"/>
    </row>
    <row r="352" spans="1:24">
      <c r="A352" s="115">
        <v>350</v>
      </c>
      <c r="B352" s="116">
        <v>12</v>
      </c>
      <c r="C352" s="81" t="s">
        <v>132</v>
      </c>
      <c r="D352" s="111" t="s">
        <v>240</v>
      </c>
      <c r="E352" s="81" t="s">
        <v>104</v>
      </c>
      <c r="F352" s="61">
        <v>7.58</v>
      </c>
      <c r="G352" s="52">
        <f t="shared" si="36"/>
        <v>8.5500000000000007</v>
      </c>
      <c r="H352" s="110"/>
      <c r="I352" s="81">
        <v>9.61</v>
      </c>
      <c r="J352" s="81">
        <f>VLOOKUP(C352,Recipes!$A$2:$N$4,12,FALSE())</f>
        <v>6.1509461004819709E-2</v>
      </c>
      <c r="K352" s="81">
        <f t="shared" si="37"/>
        <v>9.4254716169855399</v>
      </c>
      <c r="L352" s="81">
        <f t="shared" si="38"/>
        <v>9.7945283830144589</v>
      </c>
      <c r="M352" s="81" t="str">
        <f t="shared" si="39"/>
        <v>NG</v>
      </c>
      <c r="N352" s="117">
        <f t="shared" si="40"/>
        <v>1</v>
      </c>
      <c r="O352" s="81">
        <f t="shared" si="41"/>
        <v>1.0599999999999987</v>
      </c>
      <c r="P352" s="81">
        <f>IF(G352="","",ABS(O352-Components!$C$2)/Components!$D$2)</f>
        <v>256.21838273068028</v>
      </c>
      <c r="Q352" s="81">
        <f>IF(G352="","",ABS(O352-Components!$C$3)/Components!$D$3)</f>
        <v>215.70608021907833</v>
      </c>
      <c r="R352" s="81">
        <f>IF(G352="","",ABS(O352-Components!$C$4)/Components!$D$4)</f>
        <v>4.7691821142849156</v>
      </c>
      <c r="S352" s="81">
        <f>IF(G352="","",ABS(O352-Components!$C$5)/Components!$D$5)</f>
        <v>139.10614231611058</v>
      </c>
      <c r="T352" s="81">
        <f>IF(G352="","",ABS(O352-Components!$C$6)/Components!$D$6)</f>
        <v>3.4626095955310636</v>
      </c>
      <c r="U352" s="81">
        <f>IF(G352="","",ABS(O352-Components!$C$7)/Components!$D$7)</f>
        <v>12.500553462872835</v>
      </c>
      <c r="V352" s="81" t="str">
        <f>IF(G352="","",IF(M352="OK","NONE",INDEX({"S1","S2","W1","W2","N1","N2"},MATCH(MIN(P352:U352),P352:U352,0))))</f>
        <v>N1</v>
      </c>
      <c r="W352" s="122">
        <f t="shared" si="42"/>
        <v>0</v>
      </c>
      <c r="X352" s="107"/>
    </row>
    <row r="353" spans="1:24">
      <c r="A353" s="115">
        <v>351</v>
      </c>
      <c r="B353" s="116">
        <v>12</v>
      </c>
      <c r="C353" s="81" t="s">
        <v>132</v>
      </c>
      <c r="D353" s="111" t="s">
        <v>240</v>
      </c>
      <c r="E353" s="81" t="s">
        <v>104</v>
      </c>
      <c r="F353" s="61">
        <v>7.61</v>
      </c>
      <c r="G353" s="52">
        <f t="shared" si="36"/>
        <v>8.58</v>
      </c>
      <c r="H353" s="110"/>
      <c r="I353" s="81">
        <v>9.61</v>
      </c>
      <c r="J353" s="81">
        <f>VLOOKUP(C353,Recipes!$A$2:$N$4,12,FALSE())</f>
        <v>6.1509461004819709E-2</v>
      </c>
      <c r="K353" s="81">
        <f t="shared" si="37"/>
        <v>9.4254716169855399</v>
      </c>
      <c r="L353" s="81">
        <f t="shared" si="38"/>
        <v>9.7945283830144589</v>
      </c>
      <c r="M353" s="81" t="str">
        <f t="shared" si="39"/>
        <v>NG</v>
      </c>
      <c r="N353" s="117">
        <f t="shared" si="40"/>
        <v>1</v>
      </c>
      <c r="O353" s="81">
        <f t="shared" si="41"/>
        <v>1.0299999999999994</v>
      </c>
      <c r="P353" s="81">
        <f>IF(G353="","",ABS(O353-Components!$C$2)/Components!$D$2)</f>
        <v>260.75768478693237</v>
      </c>
      <c r="Q353" s="81">
        <f>IF(G353="","",ABS(O353-Components!$C$3)/Components!$D$3)</f>
        <v>217.88053667289964</v>
      </c>
      <c r="R353" s="81">
        <f>IF(G353="","",ABS(O353-Components!$C$4)/Components!$D$4)</f>
        <v>2.6230501628567202</v>
      </c>
      <c r="S353" s="81">
        <f>IF(G353="","",ABS(O353-Components!$C$5)/Components!$D$5)</f>
        <v>140.29757292216783</v>
      </c>
      <c r="T353" s="81">
        <f>IF(G353="","",ABS(O353-Components!$C$6)/Components!$D$6)</f>
        <v>4.5484453571957824</v>
      </c>
      <c r="U353" s="81">
        <f>IF(G353="","",ABS(O353-Components!$C$7)/Components!$D$7)</f>
        <v>13.693607345861739</v>
      </c>
      <c r="V353" s="81" t="str">
        <f>IF(G353="","",IF(M353="OK","NONE",INDEX({"S1","S2","W1","W2","N1","N2"},MATCH(MIN(P353:U353),P353:U353,0))))</f>
        <v>W1</v>
      </c>
      <c r="W353" s="117">
        <f t="shared" si="42"/>
        <v>1</v>
      </c>
      <c r="X353" s="107"/>
    </row>
    <row r="354" spans="1:24">
      <c r="A354" s="115">
        <v>352</v>
      </c>
      <c r="B354" s="116">
        <v>12</v>
      </c>
      <c r="C354" s="81" t="s">
        <v>132</v>
      </c>
      <c r="D354" s="111" t="s">
        <v>240</v>
      </c>
      <c r="E354" s="81" t="s">
        <v>104</v>
      </c>
      <c r="F354" s="61">
        <v>7.67</v>
      </c>
      <c r="G354" s="52">
        <f t="shared" si="36"/>
        <v>8.64</v>
      </c>
      <c r="H354" s="110"/>
      <c r="I354" s="81">
        <v>9.61</v>
      </c>
      <c r="J354" s="81">
        <f>VLOOKUP(C354,Recipes!$A$2:$N$4,12,FALSE())</f>
        <v>6.1509461004819709E-2</v>
      </c>
      <c r="K354" s="81">
        <f t="shared" si="37"/>
        <v>9.4254716169855399</v>
      </c>
      <c r="L354" s="81">
        <f t="shared" si="38"/>
        <v>9.7945283830144589</v>
      </c>
      <c r="M354" s="81" t="str">
        <f t="shared" si="39"/>
        <v>NG</v>
      </c>
      <c r="N354" s="117">
        <f t="shared" si="40"/>
        <v>1</v>
      </c>
      <c r="O354" s="81">
        <f t="shared" si="41"/>
        <v>0.96999999999999886</v>
      </c>
      <c r="P354" s="81">
        <f>IF(G354="","",ABS(O354-Components!$C$2)/Components!$D$2)</f>
        <v>269.83628889943691</v>
      </c>
      <c r="Q354" s="81">
        <f>IF(G354="","",ABS(O354-Components!$C$3)/Components!$D$3)</f>
        <v>222.22944958054239</v>
      </c>
      <c r="R354" s="81">
        <f>IF(G354="","",ABS(O354-Components!$C$4)/Components!$D$4)</f>
        <v>1.6692137399997975</v>
      </c>
      <c r="S354" s="81">
        <f>IF(G354="","",ABS(O354-Components!$C$5)/Components!$D$5)</f>
        <v>142.68043413428242</v>
      </c>
      <c r="T354" s="81">
        <f>IF(G354="","",ABS(O354-Components!$C$6)/Components!$D$6)</f>
        <v>6.7201168805252829</v>
      </c>
      <c r="U354" s="81">
        <f>IF(G354="","",ABS(O354-Components!$C$7)/Components!$D$7)</f>
        <v>16.079715111839622</v>
      </c>
      <c r="V354" s="81" t="str">
        <f>IF(G354="","",IF(M354="OK","NONE",INDEX({"S1","S2","W1","W2","N1","N2"},MATCH(MIN(P354:U354),P354:U354,0))))</f>
        <v>W1</v>
      </c>
      <c r="W354" s="117">
        <f t="shared" si="42"/>
        <v>1</v>
      </c>
      <c r="X354" s="107"/>
    </row>
    <row r="355" spans="1:24">
      <c r="A355" s="115">
        <v>353</v>
      </c>
      <c r="B355" s="116">
        <v>12</v>
      </c>
      <c r="C355" s="81" t="s">
        <v>132</v>
      </c>
      <c r="D355" s="111" t="s">
        <v>240</v>
      </c>
      <c r="E355" s="81" t="s">
        <v>104</v>
      </c>
      <c r="F355" s="61">
        <v>7.42</v>
      </c>
      <c r="G355" s="52">
        <f t="shared" si="36"/>
        <v>8.39</v>
      </c>
      <c r="H355" s="110"/>
      <c r="I355" s="81">
        <v>9.61</v>
      </c>
      <c r="J355" s="81">
        <f>VLOOKUP(C355,Recipes!$A$2:$N$4,12,FALSE())</f>
        <v>6.1509461004819709E-2</v>
      </c>
      <c r="K355" s="81">
        <f t="shared" si="37"/>
        <v>9.4254716169855399</v>
      </c>
      <c r="L355" s="81">
        <f t="shared" si="38"/>
        <v>9.7945283830144589</v>
      </c>
      <c r="M355" s="81" t="str">
        <f t="shared" si="39"/>
        <v>NG</v>
      </c>
      <c r="N355" s="117">
        <f t="shared" si="40"/>
        <v>1</v>
      </c>
      <c r="O355" s="81">
        <f t="shared" si="41"/>
        <v>1.2199999999999989</v>
      </c>
      <c r="P355" s="81">
        <f>IF(G355="","",ABS(O355-Components!$C$2)/Components!$D$2)</f>
        <v>232.00877176400175</v>
      </c>
      <c r="Q355" s="81">
        <f>IF(G355="","",ABS(O355-Components!$C$3)/Components!$D$3)</f>
        <v>204.10897913203112</v>
      </c>
      <c r="R355" s="81">
        <f>IF(G355="","",ABS(O355-Components!$C$4)/Components!$D$4)</f>
        <v>16.215219188568877</v>
      </c>
      <c r="S355" s="81">
        <f>IF(G355="","",ABS(O355-Components!$C$5)/Components!$D$5)</f>
        <v>132.75184575047172</v>
      </c>
      <c r="T355" s="81">
        <f>IF(G355="","",ABS(O355-Components!$C$6)/Components!$D$6)</f>
        <v>2.3285144666808972</v>
      </c>
      <c r="U355" s="81">
        <f>IF(G355="","",ABS(O355-Components!$C$7)/Components!$D$7)</f>
        <v>6.1375994202651958</v>
      </c>
      <c r="V355" s="81" t="str">
        <f>IF(G355="","",IF(M355="OK","NONE",INDEX({"S1","S2","W1","W2","N1","N2"},MATCH(MIN(P355:U355),P355:U355,0))))</f>
        <v>N1</v>
      </c>
      <c r="W355" s="122">
        <f t="shared" si="42"/>
        <v>0</v>
      </c>
      <c r="X355" s="107"/>
    </row>
    <row r="356" spans="1:24">
      <c r="A356" s="115">
        <v>354</v>
      </c>
      <c r="B356" s="116">
        <v>12</v>
      </c>
      <c r="C356" s="81" t="s">
        <v>132</v>
      </c>
      <c r="D356" s="111" t="s">
        <v>240</v>
      </c>
      <c r="E356" s="81" t="s">
        <v>104</v>
      </c>
      <c r="F356" s="61">
        <v>7.69</v>
      </c>
      <c r="G356" s="52">
        <f t="shared" si="36"/>
        <v>8.66</v>
      </c>
      <c r="H356" s="110"/>
      <c r="I356" s="81">
        <v>9.61</v>
      </c>
      <c r="J356" s="81">
        <f>VLOOKUP(C356,Recipes!$A$2:$N$4,12,FALSE())</f>
        <v>6.1509461004819709E-2</v>
      </c>
      <c r="K356" s="81">
        <f t="shared" si="37"/>
        <v>9.4254716169855399</v>
      </c>
      <c r="L356" s="81">
        <f t="shared" si="38"/>
        <v>9.7945283830144589</v>
      </c>
      <c r="M356" s="81" t="str">
        <f t="shared" si="39"/>
        <v>NG</v>
      </c>
      <c r="N356" s="117">
        <f t="shared" si="40"/>
        <v>1</v>
      </c>
      <c r="O356" s="81">
        <f t="shared" si="41"/>
        <v>0.94999999999999929</v>
      </c>
      <c r="P356" s="81">
        <f>IF(G356="","",ABS(O356-Components!$C$2)/Components!$D$2)</f>
        <v>272.86249027027162</v>
      </c>
      <c r="Q356" s="81">
        <f>IF(G356="","",ABS(O356-Components!$C$3)/Components!$D$3)</f>
        <v>223.67908721642326</v>
      </c>
      <c r="R356" s="81">
        <f>IF(G356="","",ABS(O356-Components!$C$4)/Components!$D$4)</f>
        <v>3.0999683742852611</v>
      </c>
      <c r="S356" s="81">
        <f>IF(G356="","",ABS(O356-Components!$C$5)/Components!$D$5)</f>
        <v>143.47472120498725</v>
      </c>
      <c r="T356" s="81">
        <f>IF(G356="","",ABS(O356-Components!$C$6)/Components!$D$6)</f>
        <v>7.4440073883017623</v>
      </c>
      <c r="U356" s="81">
        <f>IF(G356="","",ABS(O356-Components!$C$7)/Components!$D$7)</f>
        <v>16.875084367165559</v>
      </c>
      <c r="V356" s="81" t="str">
        <f>IF(G356="","",IF(M356="OK","NONE",INDEX({"S1","S2","W1","W2","N1","N2"},MATCH(MIN(P356:U356),P356:U356,0))))</f>
        <v>W1</v>
      </c>
      <c r="W356" s="117">
        <f t="shared" si="42"/>
        <v>1</v>
      </c>
      <c r="X356" s="107"/>
    </row>
    <row r="357" spans="1:24">
      <c r="A357" s="115">
        <v>355</v>
      </c>
      <c r="B357" s="116">
        <v>12</v>
      </c>
      <c r="C357" s="81" t="s">
        <v>132</v>
      </c>
      <c r="D357" s="111" t="s">
        <v>240</v>
      </c>
      <c r="E357" s="81" t="s">
        <v>104</v>
      </c>
      <c r="F357" s="61">
        <v>7.63</v>
      </c>
      <c r="G357" s="52">
        <f t="shared" si="36"/>
        <v>8.6</v>
      </c>
      <c r="H357" s="110"/>
      <c r="I357" s="81">
        <v>9.61</v>
      </c>
      <c r="J357" s="81">
        <f>VLOOKUP(C357,Recipes!$A$2:$N$4,12,FALSE())</f>
        <v>6.1509461004819709E-2</v>
      </c>
      <c r="K357" s="81">
        <f t="shared" si="37"/>
        <v>9.4254716169855399</v>
      </c>
      <c r="L357" s="81">
        <f t="shared" si="38"/>
        <v>9.7945283830144589</v>
      </c>
      <c r="M357" s="81" t="str">
        <f t="shared" si="39"/>
        <v>NG</v>
      </c>
      <c r="N357" s="117">
        <f t="shared" si="40"/>
        <v>1</v>
      </c>
      <c r="O357" s="81">
        <f t="shared" si="41"/>
        <v>1.0099999999999998</v>
      </c>
      <c r="P357" s="81">
        <f>IF(G357="","",ABS(O357-Components!$C$2)/Components!$D$2)</f>
        <v>263.78388615776714</v>
      </c>
      <c r="Q357" s="81">
        <f>IF(G357="","",ABS(O357-Components!$C$3)/Components!$D$3)</f>
        <v>219.33017430878053</v>
      </c>
      <c r="R357" s="81">
        <f>IF(G357="","",ABS(O357-Components!$C$4)/Components!$D$4)</f>
        <v>1.1922955285712566</v>
      </c>
      <c r="S357" s="81">
        <f>IF(G357="","",ABS(O357-Components!$C$5)/Components!$D$5)</f>
        <v>141.09185999287266</v>
      </c>
      <c r="T357" s="81">
        <f>IF(G357="","",ABS(O357-Components!$C$6)/Components!$D$6)</f>
        <v>5.2723358649722609</v>
      </c>
      <c r="U357" s="81">
        <f>IF(G357="","",ABS(O357-Components!$C$7)/Components!$D$7)</f>
        <v>14.488976601187677</v>
      </c>
      <c r="V357" s="81" t="str">
        <f>IF(G357="","",IF(M357="OK","NONE",INDEX({"S1","S2","W1","W2","N1","N2"},MATCH(MIN(P357:U357),P357:U357,0))))</f>
        <v>W1</v>
      </c>
      <c r="W357" s="117">
        <f t="shared" si="42"/>
        <v>1</v>
      </c>
      <c r="X357" s="107"/>
    </row>
    <row r="358" spans="1:24">
      <c r="A358" s="115">
        <v>356</v>
      </c>
      <c r="B358" s="116">
        <v>12</v>
      </c>
      <c r="C358" s="81" t="s">
        <v>132</v>
      </c>
      <c r="D358" s="111" t="s">
        <v>240</v>
      </c>
      <c r="E358" s="81" t="s">
        <v>104</v>
      </c>
      <c r="F358" s="52">
        <v>7.38</v>
      </c>
      <c r="G358" s="52">
        <f t="shared" si="36"/>
        <v>8.35</v>
      </c>
      <c r="H358" s="110"/>
      <c r="I358" s="81">
        <v>9.61</v>
      </c>
      <c r="J358" s="81">
        <f>VLOOKUP(C358,Recipes!$A$2:$N$4,12,FALSE())</f>
        <v>6.1509461004819709E-2</v>
      </c>
      <c r="K358" s="81">
        <f t="shared" si="37"/>
        <v>9.4254716169855399</v>
      </c>
      <c r="L358" s="81">
        <f t="shared" si="38"/>
        <v>9.7945283830144589</v>
      </c>
      <c r="M358" s="81" t="str">
        <f t="shared" si="39"/>
        <v>NG</v>
      </c>
      <c r="N358" s="117">
        <f t="shared" si="40"/>
        <v>1</v>
      </c>
      <c r="O358" s="81">
        <f t="shared" si="41"/>
        <v>1.2599999999999998</v>
      </c>
      <c r="P358" s="81">
        <f>IF(G358="","",ABS(O358-Components!$C$2)/Components!$D$2)</f>
        <v>225.95636902233198</v>
      </c>
      <c r="Q358" s="81">
        <f>IF(G358="","",ABS(O358-Components!$C$3)/Components!$D$3)</f>
        <v>201.20970386026923</v>
      </c>
      <c r="R358" s="81">
        <f>IF(G358="","",ABS(O358-Components!$C$4)/Components!$D$4)</f>
        <v>19.076728457139932</v>
      </c>
      <c r="S358" s="81">
        <f>IF(G358="","",ABS(O358-Components!$C$5)/Components!$D$5)</f>
        <v>131.16327160906198</v>
      </c>
      <c r="T358" s="81">
        <f>IF(G358="","",ABS(O358-Components!$C$6)/Components!$D$6)</f>
        <v>3.7762954822339192</v>
      </c>
      <c r="U358" s="81">
        <f>IF(G358="","",ABS(O358-Components!$C$7)/Components!$D$7)</f>
        <v>4.5468609096132502</v>
      </c>
      <c r="V358" s="81" t="str">
        <f>IF(G358="","",IF(M358="OK","NONE",INDEX({"S1","S2","W1","W2","N1","N2"},MATCH(MIN(P358:U358),P358:U358,0))))</f>
        <v>N1</v>
      </c>
      <c r="W358" s="122">
        <f t="shared" si="42"/>
        <v>0</v>
      </c>
      <c r="X358" s="107"/>
    </row>
    <row r="359" spans="1:24">
      <c r="A359" s="115">
        <v>357</v>
      </c>
      <c r="B359" s="116">
        <v>12</v>
      </c>
      <c r="C359" s="81" t="s">
        <v>132</v>
      </c>
      <c r="D359" s="111" t="s">
        <v>240</v>
      </c>
      <c r="E359" s="81" t="s">
        <v>104</v>
      </c>
      <c r="F359" s="52">
        <v>7.54</v>
      </c>
      <c r="G359" s="52">
        <f t="shared" si="36"/>
        <v>8.51</v>
      </c>
      <c r="H359" s="110"/>
      <c r="I359" s="81">
        <v>9.61</v>
      </c>
      <c r="J359" s="81">
        <f>VLOOKUP(C359,Recipes!$A$2:$N$4,12,FALSE())</f>
        <v>6.1509461004819709E-2</v>
      </c>
      <c r="K359" s="81">
        <f t="shared" si="37"/>
        <v>9.4254716169855399</v>
      </c>
      <c r="L359" s="81">
        <f t="shared" si="38"/>
        <v>9.7945283830144589</v>
      </c>
      <c r="M359" s="81" t="str">
        <f t="shared" si="39"/>
        <v>NG</v>
      </c>
      <c r="N359" s="117">
        <f t="shared" si="40"/>
        <v>1</v>
      </c>
      <c r="O359" s="81">
        <f t="shared" si="41"/>
        <v>1.0999999999999996</v>
      </c>
      <c r="P359" s="81">
        <f>IF(G359="","",ABS(O359-Components!$C$2)/Components!$D$2)</f>
        <v>250.16597998901051</v>
      </c>
      <c r="Q359" s="81">
        <f>IF(G359="","",ABS(O359-Components!$C$3)/Components!$D$3)</f>
        <v>212.80680494731646</v>
      </c>
      <c r="R359" s="81">
        <f>IF(G359="","",ABS(O359-Components!$C$4)/Components!$D$4)</f>
        <v>7.6306913828559697</v>
      </c>
      <c r="S359" s="81">
        <f>IF(G359="","",ABS(O359-Components!$C$5)/Components!$D$5)</f>
        <v>137.51756817470081</v>
      </c>
      <c r="T359" s="81">
        <f>IF(G359="","",ABS(O359-Components!$C$6)/Components!$D$6)</f>
        <v>2.0148285799780412</v>
      </c>
      <c r="U359" s="81">
        <f>IF(G359="","",ABS(O359-Components!$C$7)/Components!$D$7)</f>
        <v>10.90981495222089</v>
      </c>
      <c r="V359" s="81" t="str">
        <f>IF(G359="","",IF(M359="OK","NONE",INDEX({"S1","S2","W1","W2","N1","N2"},MATCH(MIN(P359:U359),P359:U359,0))))</f>
        <v>N1</v>
      </c>
      <c r="W359" s="122">
        <f t="shared" si="42"/>
        <v>0</v>
      </c>
      <c r="X359" s="107"/>
    </row>
    <row r="360" spans="1:24">
      <c r="A360" s="115">
        <v>358</v>
      </c>
      <c r="B360" s="116">
        <v>12</v>
      </c>
      <c r="C360" s="81" t="s">
        <v>132</v>
      </c>
      <c r="D360" s="111" t="s">
        <v>240</v>
      </c>
      <c r="E360" s="81" t="s">
        <v>104</v>
      </c>
      <c r="F360" s="52">
        <v>7.65</v>
      </c>
      <c r="G360" s="52">
        <f t="shared" si="36"/>
        <v>8.620000000000001</v>
      </c>
      <c r="H360" s="110"/>
      <c r="I360" s="81">
        <v>9.61</v>
      </c>
      <c r="J360" s="81">
        <f>VLOOKUP(C360,Recipes!$A$2:$N$4,12,FALSE())</f>
        <v>6.1509461004819709E-2</v>
      </c>
      <c r="K360" s="81">
        <f t="shared" si="37"/>
        <v>9.4254716169855399</v>
      </c>
      <c r="L360" s="81">
        <f t="shared" si="38"/>
        <v>9.7945283830144589</v>
      </c>
      <c r="M360" s="81" t="str">
        <f t="shared" si="39"/>
        <v>NG</v>
      </c>
      <c r="N360" s="117">
        <f t="shared" si="40"/>
        <v>1</v>
      </c>
      <c r="O360" s="81">
        <f t="shared" si="41"/>
        <v>0.98999999999999844</v>
      </c>
      <c r="P360" s="81">
        <f>IF(G360="","",ABS(O360-Components!$C$2)/Components!$D$2)</f>
        <v>266.81008752860214</v>
      </c>
      <c r="Q360" s="81">
        <f>IF(G360="","",ABS(O360-Components!$C$3)/Components!$D$3)</f>
        <v>220.77981194466153</v>
      </c>
      <c r="R360" s="81">
        <f>IF(G360="","",ABS(O360-Components!$C$4)/Components!$D$4)</f>
        <v>0.23845910571433393</v>
      </c>
      <c r="S360" s="81">
        <f>IF(G360="","",ABS(O360-Components!$C$5)/Components!$D$5)</f>
        <v>141.88614706357757</v>
      </c>
      <c r="T360" s="81">
        <f>IF(G360="","",ABS(O360-Components!$C$6)/Components!$D$6)</f>
        <v>5.9962263727488043</v>
      </c>
      <c r="U360" s="81">
        <f>IF(G360="","",ABS(O360-Components!$C$7)/Components!$D$7)</f>
        <v>15.284345856513685</v>
      </c>
      <c r="V360" s="81" t="str">
        <f>IF(G360="","",IF(M360="OK","NONE",INDEX({"S1","S2","W1","W2","N1","N2"},MATCH(MIN(P360:U360),P360:U360,0))))</f>
        <v>W1</v>
      </c>
      <c r="W360" s="117">
        <f t="shared" si="42"/>
        <v>1</v>
      </c>
      <c r="X360" s="107"/>
    </row>
    <row r="361" spans="1:24">
      <c r="A361" s="115">
        <v>359</v>
      </c>
      <c r="B361" s="116">
        <v>12</v>
      </c>
      <c r="C361" s="81" t="s">
        <v>132</v>
      </c>
      <c r="D361" s="111" t="s">
        <v>240</v>
      </c>
      <c r="E361" s="81" t="s">
        <v>104</v>
      </c>
      <c r="F361" s="52">
        <v>7.34</v>
      </c>
      <c r="G361" s="52">
        <f t="shared" si="36"/>
        <v>8.31</v>
      </c>
      <c r="H361" s="110"/>
      <c r="I361" s="81">
        <v>9.61</v>
      </c>
      <c r="J361" s="81">
        <f>VLOOKUP(C361,Recipes!$A$2:$N$4,12,FALSE())</f>
        <v>6.1509461004819709E-2</v>
      </c>
      <c r="K361" s="81">
        <f t="shared" si="37"/>
        <v>9.4254716169855399</v>
      </c>
      <c r="L361" s="81">
        <f t="shared" si="38"/>
        <v>9.7945283830144589</v>
      </c>
      <c r="M361" s="81" t="str">
        <f t="shared" si="39"/>
        <v>NG</v>
      </c>
      <c r="N361" s="117">
        <f t="shared" si="40"/>
        <v>1</v>
      </c>
      <c r="O361" s="81">
        <f t="shared" si="41"/>
        <v>1.2999999999999989</v>
      </c>
      <c r="P361" s="81">
        <f>IF(G361="","",ABS(O361-Components!$C$2)/Components!$D$2)</f>
        <v>219.9039662806625</v>
      </c>
      <c r="Q361" s="81">
        <f>IF(G361="","",ABS(O361-Components!$C$3)/Components!$D$3)</f>
        <v>198.31042858850751</v>
      </c>
      <c r="R361" s="81">
        <f>IF(G361="","",ABS(O361-Components!$C$4)/Components!$D$4)</f>
        <v>21.938237725710859</v>
      </c>
      <c r="S361" s="81">
        <f>IF(G361="","",ABS(O361-Components!$C$5)/Components!$D$5)</f>
        <v>129.5746974676523</v>
      </c>
      <c r="T361" s="81">
        <f>IF(G361="","",ABS(O361-Components!$C$6)/Components!$D$6)</f>
        <v>5.2240764977868777</v>
      </c>
      <c r="U361" s="81">
        <f>IF(G361="","",ABS(O361-Components!$C$7)/Components!$D$7)</f>
        <v>2.9561223989613756</v>
      </c>
      <c r="V361" s="81" t="str">
        <f>IF(G361="","",IF(M361="OK","NONE",INDEX({"S1","S2","W1","W2","N1","N2"},MATCH(MIN(P361:U361),P361:U361,0))))</f>
        <v>N2</v>
      </c>
      <c r="W361" s="122">
        <f t="shared" si="42"/>
        <v>0</v>
      </c>
      <c r="X361" s="107"/>
    </row>
    <row r="362" spans="1:24">
      <c r="A362" s="115">
        <v>360</v>
      </c>
      <c r="B362" s="116">
        <v>12</v>
      </c>
      <c r="C362" s="81" t="s">
        <v>132</v>
      </c>
      <c r="D362" s="111" t="s">
        <v>240</v>
      </c>
      <c r="E362" s="81" t="s">
        <v>104</v>
      </c>
      <c r="F362" s="52">
        <v>7.68</v>
      </c>
      <c r="G362" s="52">
        <f t="shared" si="36"/>
        <v>8.65</v>
      </c>
      <c r="H362" s="110"/>
      <c r="I362" s="81">
        <v>9.61</v>
      </c>
      <c r="J362" s="81">
        <f>VLOOKUP(C362,Recipes!$A$2:$N$4,12,FALSE())</f>
        <v>6.1509461004819709E-2</v>
      </c>
      <c r="K362" s="81">
        <f t="shared" si="37"/>
        <v>9.4254716169855399</v>
      </c>
      <c r="L362" s="81">
        <f t="shared" si="38"/>
        <v>9.7945283830144589</v>
      </c>
      <c r="M362" s="81" t="str">
        <f t="shared" si="39"/>
        <v>NG</v>
      </c>
      <c r="N362" s="117">
        <f t="shared" si="40"/>
        <v>1</v>
      </c>
      <c r="O362" s="81">
        <f t="shared" si="41"/>
        <v>0.95999999999999908</v>
      </c>
      <c r="P362" s="81">
        <f>IF(G362="","",ABS(O362-Components!$C$2)/Components!$D$2)</f>
        <v>271.34938958485424</v>
      </c>
      <c r="Q362" s="81">
        <f>IF(G362="","",ABS(O362-Components!$C$3)/Components!$D$3)</f>
        <v>222.95426839848284</v>
      </c>
      <c r="R362" s="81">
        <f>IF(G362="","",ABS(O362-Components!$C$4)/Components!$D$4)</f>
        <v>2.3845910571425293</v>
      </c>
      <c r="S362" s="81">
        <f>IF(G362="","",ABS(O362-Components!$C$5)/Components!$D$5)</f>
        <v>143.07757766963482</v>
      </c>
      <c r="T362" s="81">
        <f>IF(G362="","",ABS(O362-Components!$C$6)/Components!$D$6)</f>
        <v>7.0820621344135226</v>
      </c>
      <c r="U362" s="81">
        <f>IF(G362="","",ABS(O362-Components!$C$7)/Components!$D$7)</f>
        <v>16.477399739502591</v>
      </c>
      <c r="V362" s="81" t="str">
        <f>IF(G362="","",IF(M362="OK","NONE",INDEX({"S1","S2","W1","W2","N1","N2"},MATCH(MIN(P362:U362),P362:U362,0))))</f>
        <v>W1</v>
      </c>
      <c r="W362" s="117">
        <f t="shared" si="42"/>
        <v>1</v>
      </c>
      <c r="X362" s="107"/>
    </row>
    <row r="363" spans="1:24">
      <c r="A363" s="115">
        <v>361</v>
      </c>
      <c r="B363" s="116">
        <v>13</v>
      </c>
      <c r="C363" s="81" t="s">
        <v>132</v>
      </c>
      <c r="D363" s="111" t="s">
        <v>240</v>
      </c>
      <c r="E363" s="81" t="s">
        <v>110</v>
      </c>
      <c r="F363" s="61">
        <v>7.21</v>
      </c>
      <c r="G363" s="52">
        <f t="shared" si="36"/>
        <v>8.18</v>
      </c>
      <c r="H363" s="110"/>
      <c r="I363" s="81">
        <v>9.61</v>
      </c>
      <c r="J363" s="81">
        <f>VLOOKUP(C363,Recipes!$A$2:$N$4,12,FALSE())</f>
        <v>6.1509461004819709E-2</v>
      </c>
      <c r="K363" s="81">
        <f t="shared" si="37"/>
        <v>9.4254716169855399</v>
      </c>
      <c r="L363" s="81">
        <f t="shared" si="38"/>
        <v>9.7945283830144589</v>
      </c>
      <c r="M363" s="81" t="str">
        <f t="shared" si="39"/>
        <v>NG</v>
      </c>
      <c r="N363" s="117">
        <f t="shared" si="40"/>
        <v>1</v>
      </c>
      <c r="O363" s="81">
        <f t="shared" si="41"/>
        <v>1.4299999999999997</v>
      </c>
      <c r="P363" s="81">
        <f>IF(G363="","",ABS(O363-Components!$C$2)/Components!$D$2)</f>
        <v>200.23365737023613</v>
      </c>
      <c r="Q363" s="81">
        <f>IF(G363="","",ABS(O363-Components!$C$3)/Components!$D$3)</f>
        <v>188.88778395528158</v>
      </c>
      <c r="R363" s="81">
        <f>IF(G363="","",ABS(O363-Components!$C$4)/Components!$D$4)</f>
        <v>31.238142848566628</v>
      </c>
      <c r="S363" s="81">
        <f>IF(G363="","",ABS(O363-Components!$C$5)/Components!$D$5)</f>
        <v>124.4118315080707</v>
      </c>
      <c r="T363" s="81">
        <f>IF(G363="","",ABS(O363-Components!$C$6)/Components!$D$6)</f>
        <v>9.9293647983341184</v>
      </c>
      <c r="U363" s="81">
        <f>IF(G363="","",ABS(O363-Components!$C$7)/Components!$D$7)</f>
        <v>2.2137777606573574</v>
      </c>
      <c r="V363" s="81" t="str">
        <f>IF(G363="","",IF(M363="OK","NONE",INDEX({"S1","S2","W1","W2","N1","N2"},MATCH(MIN(P363:U363),P363:U363,0))))</f>
        <v>N2</v>
      </c>
      <c r="W363" s="117">
        <f t="shared" si="42"/>
        <v>1</v>
      </c>
      <c r="X363" s="107"/>
    </row>
    <row r="364" spans="1:24">
      <c r="A364" s="115">
        <v>362</v>
      </c>
      <c r="B364" s="116">
        <v>13</v>
      </c>
      <c r="C364" s="81" t="s">
        <v>132</v>
      </c>
      <c r="D364" s="111" t="s">
        <v>240</v>
      </c>
      <c r="E364" s="81" t="s">
        <v>110</v>
      </c>
      <c r="F364" s="61">
        <v>7.27</v>
      </c>
      <c r="G364" s="52">
        <f t="shared" si="36"/>
        <v>8.24</v>
      </c>
      <c r="H364" s="110"/>
      <c r="I364" s="81">
        <v>9.61</v>
      </c>
      <c r="J364" s="81">
        <f>VLOOKUP(C364,Recipes!$A$2:$N$4,12,FALSE())</f>
        <v>6.1509461004819709E-2</v>
      </c>
      <c r="K364" s="81">
        <f t="shared" si="37"/>
        <v>9.4254716169855399</v>
      </c>
      <c r="L364" s="81">
        <f t="shared" si="38"/>
        <v>9.7945283830144589</v>
      </c>
      <c r="M364" s="81" t="str">
        <f t="shared" si="39"/>
        <v>NG</v>
      </c>
      <c r="N364" s="117">
        <f t="shared" si="40"/>
        <v>1</v>
      </c>
      <c r="O364" s="81">
        <f t="shared" si="41"/>
        <v>1.3699999999999992</v>
      </c>
      <c r="P364" s="81">
        <f>IF(G364="","",ABS(O364-Components!$C$2)/Components!$D$2)</f>
        <v>209.31226148274064</v>
      </c>
      <c r="Q364" s="81">
        <f>IF(G364="","",ABS(O364-Components!$C$3)/Components!$D$3)</f>
        <v>193.2366968629243</v>
      </c>
      <c r="R364" s="81">
        <f>IF(G364="","",ABS(O364-Components!$C$4)/Components!$D$4)</f>
        <v>26.94587894571011</v>
      </c>
      <c r="S364" s="81">
        <f>IF(G364="","",ABS(O364-Components!$C$5)/Components!$D$5)</f>
        <v>126.7946927201853</v>
      </c>
      <c r="T364" s="81">
        <f>IF(G364="","",ABS(O364-Components!$C$6)/Components!$D$6)</f>
        <v>7.7576932750046179</v>
      </c>
      <c r="U364" s="81">
        <f>IF(G364="","",ABS(O364-Components!$C$7)/Components!$D$7)</f>
        <v>0.17233000532052495</v>
      </c>
      <c r="V364" s="81" t="str">
        <f>IF(G364="","",IF(M364="OK","NONE",INDEX({"S1","S2","W1","W2","N1","N2"},MATCH(MIN(P364:U364),P364:U364,0))))</f>
        <v>N2</v>
      </c>
      <c r="W364" s="117">
        <f t="shared" si="42"/>
        <v>1</v>
      </c>
      <c r="X364" s="107"/>
    </row>
    <row r="365" spans="1:24">
      <c r="A365" s="115">
        <v>363</v>
      </c>
      <c r="B365" s="116">
        <v>13</v>
      </c>
      <c r="C365" s="81" t="s">
        <v>132</v>
      </c>
      <c r="D365" s="111" t="s">
        <v>240</v>
      </c>
      <c r="E365" s="81" t="s">
        <v>110</v>
      </c>
      <c r="F365" s="61">
        <v>7.3</v>
      </c>
      <c r="G365" s="52">
        <f t="shared" si="36"/>
        <v>8.27</v>
      </c>
      <c r="H365" s="110"/>
      <c r="I365" s="81">
        <v>9.61</v>
      </c>
      <c r="J365" s="81">
        <f>VLOOKUP(C365,Recipes!$A$2:$N$4,12,FALSE())</f>
        <v>6.1509461004819709E-2</v>
      </c>
      <c r="K365" s="81">
        <f t="shared" si="37"/>
        <v>9.4254716169855399</v>
      </c>
      <c r="L365" s="81">
        <f t="shared" si="38"/>
        <v>9.7945283830144589</v>
      </c>
      <c r="M365" s="81" t="str">
        <f t="shared" si="39"/>
        <v>NG</v>
      </c>
      <c r="N365" s="117">
        <f t="shared" si="40"/>
        <v>1</v>
      </c>
      <c r="O365" s="81">
        <f t="shared" si="41"/>
        <v>1.3399999999999999</v>
      </c>
      <c r="P365" s="81">
        <f>IF(G365="","",ABS(O365-Components!$C$2)/Components!$D$2)</f>
        <v>213.85156353899274</v>
      </c>
      <c r="Q365" s="81">
        <f>IF(G365="","",ABS(O365-Components!$C$3)/Components!$D$3)</f>
        <v>195.41115331674561</v>
      </c>
      <c r="R365" s="81">
        <f>IF(G365="","",ABS(O365-Components!$C$4)/Components!$D$4)</f>
        <v>24.799746994281914</v>
      </c>
      <c r="S365" s="81">
        <f>IF(G365="","",ABS(O365-Components!$C$5)/Components!$D$5)</f>
        <v>127.98612332624255</v>
      </c>
      <c r="T365" s="81">
        <f>IF(G365="","",ABS(O365-Components!$C$6)/Components!$D$6)</f>
        <v>6.6718575133398996</v>
      </c>
      <c r="U365" s="81">
        <f>IF(G365="","",ABS(O365-Components!$C$7)/Components!$D$7)</f>
        <v>1.3653838883094307</v>
      </c>
      <c r="V365" s="81" t="str">
        <f>IF(G365="","",IF(M365="OK","NONE",INDEX({"S1","S2","W1","W2","N1","N2"},MATCH(MIN(P365:U365),P365:U365,0))))</f>
        <v>N2</v>
      </c>
      <c r="W365" s="117">
        <f t="shared" si="42"/>
        <v>1</v>
      </c>
      <c r="X365" s="107"/>
    </row>
    <row r="366" spans="1:24">
      <c r="A366" s="115">
        <v>364</v>
      </c>
      <c r="B366" s="116">
        <v>13</v>
      </c>
      <c r="C366" s="81" t="s">
        <v>132</v>
      </c>
      <c r="D366" s="111" t="s">
        <v>240</v>
      </c>
      <c r="E366" s="81" t="s">
        <v>110</v>
      </c>
      <c r="F366" s="61">
        <v>7.31</v>
      </c>
      <c r="G366" s="52">
        <f t="shared" si="36"/>
        <v>8.2799999999999994</v>
      </c>
      <c r="H366" s="110"/>
      <c r="I366" s="81">
        <v>9.61</v>
      </c>
      <c r="J366" s="81">
        <f>VLOOKUP(C366,Recipes!$A$2:$N$4,12,FALSE())</f>
        <v>6.1509461004819709E-2</v>
      </c>
      <c r="K366" s="81">
        <f t="shared" si="37"/>
        <v>9.4254716169855399</v>
      </c>
      <c r="L366" s="81">
        <f t="shared" si="38"/>
        <v>9.7945283830144589</v>
      </c>
      <c r="M366" s="81" t="str">
        <f t="shared" si="39"/>
        <v>NG</v>
      </c>
      <c r="N366" s="117">
        <f t="shared" si="40"/>
        <v>1</v>
      </c>
      <c r="O366" s="81">
        <f t="shared" si="41"/>
        <v>1.33</v>
      </c>
      <c r="P366" s="81">
        <f>IF(G366="","",ABS(O366-Components!$C$2)/Components!$D$2)</f>
        <v>215.36466422441012</v>
      </c>
      <c r="Q366" s="81">
        <f>IF(G366="","",ABS(O366-Components!$C$3)/Components!$D$3)</f>
        <v>196.13597213468606</v>
      </c>
      <c r="R366" s="81">
        <f>IF(G366="","",ABS(O366-Components!$C$4)/Components!$D$4)</f>
        <v>24.084369677139183</v>
      </c>
      <c r="S366" s="81">
        <f>IF(G366="","",ABS(O366-Components!$C$5)/Components!$D$5)</f>
        <v>128.38326686159496</v>
      </c>
      <c r="T366" s="81">
        <f>IF(G366="","",ABS(O366-Components!$C$6)/Components!$D$6)</f>
        <v>6.3099122594516599</v>
      </c>
      <c r="U366" s="81">
        <f>IF(G366="","",ABS(O366-Components!$C$7)/Components!$D$7)</f>
        <v>1.7630685159723993</v>
      </c>
      <c r="V366" s="81" t="str">
        <f>IF(G366="","",IF(M366="OK","NONE",INDEX({"S1","S2","W1","W2","N1","N2"},MATCH(MIN(P366:U366),P366:U366,0))))</f>
        <v>N2</v>
      </c>
      <c r="W366" s="117">
        <f t="shared" si="42"/>
        <v>1</v>
      </c>
      <c r="X366" s="107"/>
    </row>
    <row r="367" spans="1:24">
      <c r="A367" s="115">
        <v>365</v>
      </c>
      <c r="B367" s="116">
        <v>13</v>
      </c>
      <c r="C367" s="81" t="s">
        <v>132</v>
      </c>
      <c r="D367" s="111" t="s">
        <v>240</v>
      </c>
      <c r="E367" s="81" t="s">
        <v>110</v>
      </c>
      <c r="F367" s="61">
        <v>7.17</v>
      </c>
      <c r="G367" s="52">
        <f t="shared" si="36"/>
        <v>8.14</v>
      </c>
      <c r="H367" s="110"/>
      <c r="I367" s="81">
        <v>9.61</v>
      </c>
      <c r="J367" s="81">
        <f>VLOOKUP(C367,Recipes!$A$2:$N$4,12,FALSE())</f>
        <v>6.1509461004819709E-2</v>
      </c>
      <c r="K367" s="81">
        <f t="shared" si="37"/>
        <v>9.4254716169855399</v>
      </c>
      <c r="L367" s="81">
        <f t="shared" si="38"/>
        <v>9.7945283830144589</v>
      </c>
      <c r="M367" s="81" t="str">
        <f t="shared" si="39"/>
        <v>NG</v>
      </c>
      <c r="N367" s="117">
        <f t="shared" si="40"/>
        <v>1</v>
      </c>
      <c r="O367" s="81">
        <f t="shared" si="41"/>
        <v>1.4699999999999989</v>
      </c>
      <c r="P367" s="81">
        <f>IF(G367="","",ABS(O367-Components!$C$2)/Components!$D$2)</f>
        <v>194.18125462856662</v>
      </c>
      <c r="Q367" s="81">
        <f>IF(G367="","",ABS(O367-Components!$C$3)/Components!$D$3)</f>
        <v>185.98850868351983</v>
      </c>
      <c r="R367" s="81">
        <f>IF(G367="","",ABS(O367-Components!$C$4)/Components!$D$4)</f>
        <v>34.099652117137552</v>
      </c>
      <c r="S367" s="81">
        <f>IF(G367="","",ABS(O367-Components!$C$5)/Components!$D$5)</f>
        <v>122.82325736666103</v>
      </c>
      <c r="T367" s="81">
        <f>IF(G367="","",ABS(O367-Components!$C$6)/Components!$D$6)</f>
        <v>11.377145813887077</v>
      </c>
      <c r="U367" s="81">
        <f>IF(G367="","",ABS(O367-Components!$C$7)/Components!$D$7)</f>
        <v>3.804516271309232</v>
      </c>
      <c r="V367" s="81" t="str">
        <f>IF(G367="","",IF(M367="OK","NONE",INDEX({"S1","S2","W1","W2","N1","N2"},MATCH(MIN(P367:U367),P367:U367,0))))</f>
        <v>N2</v>
      </c>
      <c r="W367" s="117">
        <f t="shared" si="42"/>
        <v>1</v>
      </c>
      <c r="X367" s="107"/>
    </row>
    <row r="368" spans="1:24">
      <c r="A368" s="115">
        <v>366</v>
      </c>
      <c r="B368" s="116">
        <v>13</v>
      </c>
      <c r="C368" s="81" t="s">
        <v>132</v>
      </c>
      <c r="D368" s="111" t="s">
        <v>240</v>
      </c>
      <c r="E368" s="81" t="s">
        <v>110</v>
      </c>
      <c r="F368" s="61">
        <v>7.23</v>
      </c>
      <c r="G368" s="52">
        <f t="shared" si="36"/>
        <v>8.2000000000000011</v>
      </c>
      <c r="H368" s="110"/>
      <c r="I368" s="81">
        <v>9.61</v>
      </c>
      <c r="J368" s="81">
        <f>VLOOKUP(C368,Recipes!$A$2:$N$4,12,FALSE())</f>
        <v>6.1509461004819709E-2</v>
      </c>
      <c r="K368" s="81">
        <f t="shared" si="37"/>
        <v>9.4254716169855399</v>
      </c>
      <c r="L368" s="81">
        <f t="shared" si="38"/>
        <v>9.7945283830144589</v>
      </c>
      <c r="M368" s="81" t="str">
        <f t="shared" si="39"/>
        <v>NG</v>
      </c>
      <c r="N368" s="117">
        <f t="shared" si="40"/>
        <v>1</v>
      </c>
      <c r="O368" s="81">
        <f t="shared" si="41"/>
        <v>1.4099999999999984</v>
      </c>
      <c r="P368" s="81">
        <f>IF(G368="","",ABS(O368-Components!$C$2)/Components!$D$2)</f>
        <v>203.25985874107113</v>
      </c>
      <c r="Q368" s="81">
        <f>IF(G368="","",ABS(O368-Components!$C$3)/Components!$D$3)</f>
        <v>190.33742159116258</v>
      </c>
      <c r="R368" s="81">
        <f>IF(G368="","",ABS(O368-Components!$C$4)/Components!$D$4)</f>
        <v>29.807388214281037</v>
      </c>
      <c r="S368" s="81">
        <f>IF(G368="","",ABS(O368-Components!$C$5)/Components!$D$5)</f>
        <v>125.20611857877562</v>
      </c>
      <c r="T368" s="81">
        <f>IF(G368="","",ABS(O368-Components!$C$6)/Components!$D$6)</f>
        <v>9.2054742905575768</v>
      </c>
      <c r="U368" s="81">
        <f>IF(G368="","",ABS(O368-Components!$C$7)/Components!$D$7)</f>
        <v>1.4184085053313495</v>
      </c>
      <c r="V368" s="81" t="str">
        <f>IF(G368="","",IF(M368="OK","NONE",INDEX({"S1","S2","W1","W2","N1","N2"},MATCH(MIN(P368:U368),P368:U368,0))))</f>
        <v>N2</v>
      </c>
      <c r="W368" s="117">
        <f t="shared" si="42"/>
        <v>1</v>
      </c>
      <c r="X368" s="107"/>
    </row>
    <row r="369" spans="1:24">
      <c r="A369" s="115">
        <v>367</v>
      </c>
      <c r="B369" s="116">
        <v>13</v>
      </c>
      <c r="C369" s="81" t="s">
        <v>132</v>
      </c>
      <c r="D369" s="111" t="s">
        <v>240</v>
      </c>
      <c r="E369" s="81" t="s">
        <v>110</v>
      </c>
      <c r="F369" s="61">
        <v>7.23</v>
      </c>
      <c r="G369" s="52">
        <f t="shared" si="36"/>
        <v>8.2000000000000011</v>
      </c>
      <c r="H369" s="110"/>
      <c r="I369" s="81">
        <v>9.61</v>
      </c>
      <c r="J369" s="81">
        <f>VLOOKUP(C369,Recipes!$A$2:$N$4,12,FALSE())</f>
        <v>6.1509461004819709E-2</v>
      </c>
      <c r="K369" s="81">
        <f t="shared" si="37"/>
        <v>9.4254716169855399</v>
      </c>
      <c r="L369" s="81">
        <f t="shared" si="38"/>
        <v>9.7945283830144589</v>
      </c>
      <c r="M369" s="81" t="str">
        <f t="shared" si="39"/>
        <v>NG</v>
      </c>
      <c r="N369" s="117">
        <f t="shared" si="40"/>
        <v>1</v>
      </c>
      <c r="O369" s="81">
        <f t="shared" si="41"/>
        <v>1.4099999999999984</v>
      </c>
      <c r="P369" s="81">
        <f>IF(G369="","",ABS(O369-Components!$C$2)/Components!$D$2)</f>
        <v>203.25985874107113</v>
      </c>
      <c r="Q369" s="81">
        <f>IF(G369="","",ABS(O369-Components!$C$3)/Components!$D$3)</f>
        <v>190.33742159116258</v>
      </c>
      <c r="R369" s="81">
        <f>IF(G369="","",ABS(O369-Components!$C$4)/Components!$D$4)</f>
        <v>29.807388214281037</v>
      </c>
      <c r="S369" s="81">
        <f>IF(G369="","",ABS(O369-Components!$C$5)/Components!$D$5)</f>
        <v>125.20611857877562</v>
      </c>
      <c r="T369" s="81">
        <f>IF(G369="","",ABS(O369-Components!$C$6)/Components!$D$6)</f>
        <v>9.2054742905575768</v>
      </c>
      <c r="U369" s="81">
        <f>IF(G369="","",ABS(O369-Components!$C$7)/Components!$D$7)</f>
        <v>1.4184085053313495</v>
      </c>
      <c r="V369" s="81" t="str">
        <f>IF(G369="","",IF(M369="OK","NONE",INDEX({"S1","S2","W1","W2","N1","N2"},MATCH(MIN(P369:U369),P369:U369,0))))</f>
        <v>N2</v>
      </c>
      <c r="W369" s="117">
        <f t="shared" si="42"/>
        <v>1</v>
      </c>
      <c r="X369" s="107"/>
    </row>
    <row r="370" spans="1:24">
      <c r="A370" s="115">
        <v>368</v>
      </c>
      <c r="B370" s="116">
        <v>13</v>
      </c>
      <c r="C370" s="81" t="s">
        <v>132</v>
      </c>
      <c r="D370" s="111" t="s">
        <v>240</v>
      </c>
      <c r="E370" s="81" t="s">
        <v>110</v>
      </c>
      <c r="F370" s="61">
        <v>7.3</v>
      </c>
      <c r="G370" s="52">
        <f t="shared" si="36"/>
        <v>8.27</v>
      </c>
      <c r="H370" s="110"/>
      <c r="I370" s="81">
        <v>9.61</v>
      </c>
      <c r="J370" s="81">
        <f>VLOOKUP(C370,Recipes!$A$2:$N$4,12,FALSE())</f>
        <v>6.1509461004819709E-2</v>
      </c>
      <c r="K370" s="81">
        <f t="shared" si="37"/>
        <v>9.4254716169855399</v>
      </c>
      <c r="L370" s="81">
        <f t="shared" si="38"/>
        <v>9.7945283830144589</v>
      </c>
      <c r="M370" s="81" t="str">
        <f t="shared" si="39"/>
        <v>NG</v>
      </c>
      <c r="N370" s="117">
        <f t="shared" si="40"/>
        <v>1</v>
      </c>
      <c r="O370" s="81">
        <f t="shared" si="41"/>
        <v>1.3399999999999999</v>
      </c>
      <c r="P370" s="81">
        <f>IF(G370="","",ABS(O370-Components!$C$2)/Components!$D$2)</f>
        <v>213.85156353899274</v>
      </c>
      <c r="Q370" s="81">
        <f>IF(G370="","",ABS(O370-Components!$C$3)/Components!$D$3)</f>
        <v>195.41115331674561</v>
      </c>
      <c r="R370" s="81">
        <f>IF(G370="","",ABS(O370-Components!$C$4)/Components!$D$4)</f>
        <v>24.799746994281914</v>
      </c>
      <c r="S370" s="81">
        <f>IF(G370="","",ABS(O370-Components!$C$5)/Components!$D$5)</f>
        <v>127.98612332624255</v>
      </c>
      <c r="T370" s="81">
        <f>IF(G370="","",ABS(O370-Components!$C$6)/Components!$D$6)</f>
        <v>6.6718575133398996</v>
      </c>
      <c r="U370" s="81">
        <f>IF(G370="","",ABS(O370-Components!$C$7)/Components!$D$7)</f>
        <v>1.3653838883094307</v>
      </c>
      <c r="V370" s="81" t="str">
        <f>IF(G370="","",IF(M370="OK","NONE",INDEX({"S1","S2","W1","W2","N1","N2"},MATCH(MIN(P370:U370),P370:U370,0))))</f>
        <v>N2</v>
      </c>
      <c r="W370" s="117">
        <f t="shared" si="42"/>
        <v>1</v>
      </c>
      <c r="X370" s="107"/>
    </row>
    <row r="371" spans="1:24">
      <c r="A371" s="115">
        <v>369</v>
      </c>
      <c r="B371" s="116">
        <v>13</v>
      </c>
      <c r="C371" s="81" t="s">
        <v>132</v>
      </c>
      <c r="D371" s="111" t="s">
        <v>240</v>
      </c>
      <c r="E371" s="81" t="s">
        <v>110</v>
      </c>
      <c r="F371" s="61">
        <v>7.25</v>
      </c>
      <c r="G371" s="52">
        <f t="shared" si="36"/>
        <v>8.2200000000000006</v>
      </c>
      <c r="H371" s="110"/>
      <c r="I371" s="81">
        <v>9.61</v>
      </c>
      <c r="J371" s="81">
        <f>VLOOKUP(C371,Recipes!$A$2:$N$4,12,FALSE())</f>
        <v>6.1509461004819709E-2</v>
      </c>
      <c r="K371" s="81">
        <f t="shared" si="37"/>
        <v>9.4254716169855399</v>
      </c>
      <c r="L371" s="81">
        <f t="shared" si="38"/>
        <v>9.7945283830144589</v>
      </c>
      <c r="M371" s="81" t="str">
        <f t="shared" si="39"/>
        <v>NG</v>
      </c>
      <c r="N371" s="117">
        <f t="shared" si="40"/>
        <v>1</v>
      </c>
      <c r="O371" s="81">
        <f t="shared" si="41"/>
        <v>1.3899999999999988</v>
      </c>
      <c r="P371" s="81">
        <f>IF(G371="","",ABS(O371-Components!$C$2)/Components!$D$2)</f>
        <v>206.28606011190587</v>
      </c>
      <c r="Q371" s="81">
        <f>IF(G371="","",ABS(O371-Components!$C$3)/Components!$D$3)</f>
        <v>191.78705922704344</v>
      </c>
      <c r="R371" s="81">
        <f>IF(G371="","",ABS(O371-Components!$C$4)/Components!$D$4)</f>
        <v>28.376633579995573</v>
      </c>
      <c r="S371" s="81">
        <f>IF(G371="","",ABS(O371-Components!$C$5)/Components!$D$5)</f>
        <v>126.00040564948046</v>
      </c>
      <c r="T371" s="81">
        <f>IF(G371="","",ABS(O371-Components!$C$6)/Components!$D$6)</f>
        <v>8.4815837827810974</v>
      </c>
      <c r="U371" s="81">
        <f>IF(G371="","",ABS(O371-Components!$C$7)/Components!$D$7)</f>
        <v>0.62303925000541227</v>
      </c>
      <c r="V371" s="81" t="str">
        <f>IF(G371="","",IF(M371="OK","NONE",INDEX({"S1","S2","W1","W2","N1","N2"},MATCH(MIN(P371:U371),P371:U371,0))))</f>
        <v>N2</v>
      </c>
      <c r="W371" s="117">
        <f t="shared" si="42"/>
        <v>1</v>
      </c>
      <c r="X371" s="107"/>
    </row>
    <row r="372" spans="1:24">
      <c r="A372" s="115">
        <v>370</v>
      </c>
      <c r="B372" s="116">
        <v>13</v>
      </c>
      <c r="C372" s="81" t="s">
        <v>132</v>
      </c>
      <c r="D372" s="111" t="s">
        <v>240</v>
      </c>
      <c r="E372" s="81" t="s">
        <v>110</v>
      </c>
      <c r="F372" s="61">
        <v>7.25</v>
      </c>
      <c r="G372" s="52">
        <f t="shared" si="36"/>
        <v>8.2200000000000006</v>
      </c>
      <c r="H372" s="110"/>
      <c r="I372" s="81">
        <v>9.61</v>
      </c>
      <c r="J372" s="81">
        <f>VLOOKUP(C372,Recipes!$A$2:$N$4,12,FALSE())</f>
        <v>6.1509461004819709E-2</v>
      </c>
      <c r="K372" s="81">
        <f t="shared" si="37"/>
        <v>9.4254716169855399</v>
      </c>
      <c r="L372" s="81">
        <f t="shared" si="38"/>
        <v>9.7945283830144589</v>
      </c>
      <c r="M372" s="81" t="str">
        <f t="shared" si="39"/>
        <v>NG</v>
      </c>
      <c r="N372" s="117">
        <f t="shared" si="40"/>
        <v>1</v>
      </c>
      <c r="O372" s="81">
        <f t="shared" si="41"/>
        <v>1.3899999999999988</v>
      </c>
      <c r="P372" s="81">
        <f>IF(G372="","",ABS(O372-Components!$C$2)/Components!$D$2)</f>
        <v>206.28606011190587</v>
      </c>
      <c r="Q372" s="81">
        <f>IF(G372="","",ABS(O372-Components!$C$3)/Components!$D$3)</f>
        <v>191.78705922704344</v>
      </c>
      <c r="R372" s="81">
        <f>IF(G372="","",ABS(O372-Components!$C$4)/Components!$D$4)</f>
        <v>28.376633579995573</v>
      </c>
      <c r="S372" s="81">
        <f>IF(G372="","",ABS(O372-Components!$C$5)/Components!$D$5)</f>
        <v>126.00040564948046</v>
      </c>
      <c r="T372" s="81">
        <f>IF(G372="","",ABS(O372-Components!$C$6)/Components!$D$6)</f>
        <v>8.4815837827810974</v>
      </c>
      <c r="U372" s="81">
        <f>IF(G372="","",ABS(O372-Components!$C$7)/Components!$D$7)</f>
        <v>0.62303925000541227</v>
      </c>
      <c r="V372" s="81" t="str">
        <f>IF(G372="","",IF(M372="OK","NONE",INDEX({"S1","S2","W1","W2","N1","N2"},MATCH(MIN(P372:U372),P372:U372,0))))</f>
        <v>N2</v>
      </c>
      <c r="W372" s="117">
        <f t="shared" si="42"/>
        <v>1</v>
      </c>
      <c r="X372" s="107"/>
    </row>
    <row r="373" spans="1:24">
      <c r="A373" s="115">
        <v>371</v>
      </c>
      <c r="B373" s="116">
        <v>13</v>
      </c>
      <c r="C373" s="81" t="s">
        <v>132</v>
      </c>
      <c r="D373" s="111" t="s">
        <v>240</v>
      </c>
      <c r="E373" s="81" t="s">
        <v>110</v>
      </c>
      <c r="F373" s="61">
        <v>7.19</v>
      </c>
      <c r="G373" s="52">
        <f t="shared" si="36"/>
        <v>8.16</v>
      </c>
      <c r="H373" s="110"/>
      <c r="I373" s="81">
        <v>9.61</v>
      </c>
      <c r="J373" s="81">
        <f>VLOOKUP(C373,Recipes!$A$2:$N$4,12,FALSE())</f>
        <v>6.1509461004819709E-2</v>
      </c>
      <c r="K373" s="81">
        <f t="shared" si="37"/>
        <v>9.4254716169855399</v>
      </c>
      <c r="L373" s="81">
        <f t="shared" si="38"/>
        <v>9.7945283830144589</v>
      </c>
      <c r="M373" s="81" t="str">
        <f t="shared" si="39"/>
        <v>NG</v>
      </c>
      <c r="N373" s="117">
        <f t="shared" si="40"/>
        <v>1</v>
      </c>
      <c r="O373" s="81">
        <f t="shared" si="41"/>
        <v>1.4499999999999993</v>
      </c>
      <c r="P373" s="81">
        <f>IF(G373="","",ABS(O373-Components!$C$2)/Components!$D$2)</f>
        <v>197.20745599940136</v>
      </c>
      <c r="Q373" s="81">
        <f>IF(G373="","",ABS(O373-Components!$C$3)/Components!$D$3)</f>
        <v>187.43814631940072</v>
      </c>
      <c r="R373" s="81">
        <f>IF(G373="","",ABS(O373-Components!$C$4)/Components!$D$4)</f>
        <v>32.668897482852088</v>
      </c>
      <c r="S373" s="81">
        <f>IF(G373="","",ABS(O373-Components!$C$5)/Components!$D$5)</f>
        <v>123.61754443736586</v>
      </c>
      <c r="T373" s="81">
        <f>IF(G373="","",ABS(O373-Components!$C$6)/Components!$D$6)</f>
        <v>10.653255306110598</v>
      </c>
      <c r="U373" s="81">
        <f>IF(G373="","",ABS(O373-Components!$C$7)/Components!$D$7)</f>
        <v>3.0091470159832947</v>
      </c>
      <c r="V373" s="81" t="str">
        <f>IF(G373="","",IF(M373="OK","NONE",INDEX({"S1","S2","W1","W2","N1","N2"},MATCH(MIN(P373:U373),P373:U373,0))))</f>
        <v>N2</v>
      </c>
      <c r="W373" s="117">
        <f t="shared" si="42"/>
        <v>1</v>
      </c>
      <c r="X373" s="107"/>
    </row>
    <row r="374" spans="1:24">
      <c r="A374" s="115">
        <v>372</v>
      </c>
      <c r="B374" s="116">
        <v>13</v>
      </c>
      <c r="C374" s="81" t="s">
        <v>132</v>
      </c>
      <c r="D374" s="111" t="s">
        <v>240</v>
      </c>
      <c r="E374" s="81" t="s">
        <v>110</v>
      </c>
      <c r="F374" s="61">
        <v>7.26</v>
      </c>
      <c r="G374" s="52">
        <f t="shared" si="36"/>
        <v>8.23</v>
      </c>
      <c r="H374" s="110"/>
      <c r="I374" s="81">
        <v>9.61</v>
      </c>
      <c r="J374" s="81">
        <f>VLOOKUP(C374,Recipes!$A$2:$N$4,12,FALSE())</f>
        <v>6.1509461004819709E-2</v>
      </c>
      <c r="K374" s="81">
        <f t="shared" si="37"/>
        <v>9.4254716169855399</v>
      </c>
      <c r="L374" s="81">
        <f t="shared" si="38"/>
        <v>9.7945283830144589</v>
      </c>
      <c r="M374" s="81" t="str">
        <f t="shared" si="39"/>
        <v>NG</v>
      </c>
      <c r="N374" s="117">
        <f t="shared" si="40"/>
        <v>1</v>
      </c>
      <c r="O374" s="81">
        <f t="shared" si="41"/>
        <v>1.379999999999999</v>
      </c>
      <c r="P374" s="81">
        <f>IF(G374="","",ABS(O374-Components!$C$2)/Components!$D$2)</f>
        <v>207.79916079732325</v>
      </c>
      <c r="Q374" s="81">
        <f>IF(G374="","",ABS(O374-Components!$C$3)/Components!$D$3)</f>
        <v>192.51187804498389</v>
      </c>
      <c r="R374" s="81">
        <f>IF(G374="","",ABS(O374-Components!$C$4)/Components!$D$4)</f>
        <v>27.661256262852842</v>
      </c>
      <c r="S374" s="81">
        <f>IF(G374="","",ABS(O374-Components!$C$5)/Components!$D$5)</f>
        <v>126.39754918483287</v>
      </c>
      <c r="T374" s="81">
        <f>IF(G374="","",ABS(O374-Components!$C$6)/Components!$D$6)</f>
        <v>8.1196385288928568</v>
      </c>
      <c r="U374" s="81">
        <f>IF(G374="","",ABS(O374-Components!$C$7)/Components!$D$7)</f>
        <v>0.22535462234244366</v>
      </c>
      <c r="V374" s="81" t="str">
        <f>IF(G374="","",IF(M374="OK","NONE",INDEX({"S1","S2","W1","W2","N1","N2"},MATCH(MIN(P374:U374),P374:U374,0))))</f>
        <v>N2</v>
      </c>
      <c r="W374" s="117">
        <f t="shared" si="42"/>
        <v>1</v>
      </c>
      <c r="X374" s="107"/>
    </row>
    <row r="375" spans="1:24">
      <c r="A375" s="115">
        <v>373</v>
      </c>
      <c r="B375" s="116">
        <v>13</v>
      </c>
      <c r="C375" s="81" t="s">
        <v>132</v>
      </c>
      <c r="D375" s="111" t="s">
        <v>240</v>
      </c>
      <c r="E375" s="81" t="s">
        <v>110</v>
      </c>
      <c r="F375" s="61">
        <v>7.23</v>
      </c>
      <c r="G375" s="52">
        <f t="shared" si="36"/>
        <v>8.2000000000000011</v>
      </c>
      <c r="H375" s="110"/>
      <c r="I375" s="81">
        <v>9.61</v>
      </c>
      <c r="J375" s="81">
        <f>VLOOKUP(C375,Recipes!$A$2:$N$4,12,FALSE())</f>
        <v>6.1509461004819709E-2</v>
      </c>
      <c r="K375" s="81">
        <f t="shared" si="37"/>
        <v>9.4254716169855399</v>
      </c>
      <c r="L375" s="81">
        <f t="shared" si="38"/>
        <v>9.7945283830144589</v>
      </c>
      <c r="M375" s="81" t="str">
        <f t="shared" si="39"/>
        <v>NG</v>
      </c>
      <c r="N375" s="117">
        <f t="shared" si="40"/>
        <v>1</v>
      </c>
      <c r="O375" s="81">
        <f t="shared" si="41"/>
        <v>1.4099999999999984</v>
      </c>
      <c r="P375" s="81">
        <f>IF(G375="","",ABS(O375-Components!$C$2)/Components!$D$2)</f>
        <v>203.25985874107113</v>
      </c>
      <c r="Q375" s="81">
        <f>IF(G375="","",ABS(O375-Components!$C$3)/Components!$D$3)</f>
        <v>190.33742159116258</v>
      </c>
      <c r="R375" s="81">
        <f>IF(G375="","",ABS(O375-Components!$C$4)/Components!$D$4)</f>
        <v>29.807388214281037</v>
      </c>
      <c r="S375" s="81">
        <f>IF(G375="","",ABS(O375-Components!$C$5)/Components!$D$5)</f>
        <v>125.20611857877562</v>
      </c>
      <c r="T375" s="81">
        <f>IF(G375="","",ABS(O375-Components!$C$6)/Components!$D$6)</f>
        <v>9.2054742905575768</v>
      </c>
      <c r="U375" s="81">
        <f>IF(G375="","",ABS(O375-Components!$C$7)/Components!$D$7)</f>
        <v>1.4184085053313495</v>
      </c>
      <c r="V375" s="81" t="str">
        <f>IF(G375="","",IF(M375="OK","NONE",INDEX({"S1","S2","W1","W2","N1","N2"},MATCH(MIN(P375:U375),P375:U375,0))))</f>
        <v>N2</v>
      </c>
      <c r="W375" s="117">
        <f t="shared" si="42"/>
        <v>1</v>
      </c>
      <c r="X375" s="107"/>
    </row>
    <row r="376" spans="1:24">
      <c r="A376" s="115">
        <v>374</v>
      </c>
      <c r="B376" s="116">
        <v>13</v>
      </c>
      <c r="C376" s="81" t="s">
        <v>132</v>
      </c>
      <c r="D376" s="111" t="s">
        <v>240</v>
      </c>
      <c r="E376" s="81" t="s">
        <v>110</v>
      </c>
      <c r="F376" s="61">
        <v>7.06</v>
      </c>
      <c r="G376" s="52">
        <f t="shared" si="36"/>
        <v>8.0299999999999994</v>
      </c>
      <c r="H376" s="110"/>
      <c r="I376" s="81">
        <v>9.61</v>
      </c>
      <c r="J376" s="81">
        <f>VLOOKUP(C376,Recipes!$A$2:$N$4,12,FALSE())</f>
        <v>6.1509461004819709E-2</v>
      </c>
      <c r="K376" s="81">
        <f t="shared" si="37"/>
        <v>9.4254716169855399</v>
      </c>
      <c r="L376" s="81">
        <f t="shared" si="38"/>
        <v>9.7945283830144589</v>
      </c>
      <c r="M376" s="81" t="str">
        <f t="shared" si="39"/>
        <v>NG</v>
      </c>
      <c r="N376" s="117">
        <f t="shared" si="40"/>
        <v>1</v>
      </c>
      <c r="O376" s="81">
        <f t="shared" si="41"/>
        <v>1.58</v>
      </c>
      <c r="P376" s="81">
        <f>IF(G376="","",ABS(O376-Components!$C$2)/Components!$D$2)</f>
        <v>177.53714708897499</v>
      </c>
      <c r="Q376" s="81">
        <f>IF(G376="","",ABS(O376-Components!$C$3)/Components!$D$3)</f>
        <v>178.01550168617479</v>
      </c>
      <c r="R376" s="81">
        <f>IF(G376="","",ABS(O376-Components!$C$4)/Components!$D$4)</f>
        <v>41.968802605707857</v>
      </c>
      <c r="S376" s="81">
        <f>IF(G376="","",ABS(O376-Components!$C$5)/Components!$D$5)</f>
        <v>118.45467847778427</v>
      </c>
      <c r="T376" s="81">
        <f>IF(G376="","",ABS(O376-Components!$C$6)/Components!$D$6)</f>
        <v>15.35854360665784</v>
      </c>
      <c r="U376" s="81">
        <f>IF(G376="","",ABS(O376-Components!$C$7)/Components!$D$7)</f>
        <v>8.1790471756020278</v>
      </c>
      <c r="V376" s="81" t="str">
        <f>IF(G376="","",IF(M376="OK","NONE",INDEX({"S1","S2","W1","W2","N1","N2"},MATCH(MIN(P376:U376),P376:U376,0))))</f>
        <v>N2</v>
      </c>
      <c r="W376" s="117">
        <f t="shared" si="42"/>
        <v>1</v>
      </c>
      <c r="X376" s="107"/>
    </row>
    <row r="377" spans="1:24">
      <c r="A377" s="115">
        <v>375</v>
      </c>
      <c r="B377" s="116">
        <v>13</v>
      </c>
      <c r="C377" s="81" t="s">
        <v>132</v>
      </c>
      <c r="D377" s="111" t="s">
        <v>240</v>
      </c>
      <c r="E377" s="81" t="s">
        <v>110</v>
      </c>
      <c r="F377" s="61">
        <v>7.2</v>
      </c>
      <c r="G377" s="52">
        <f t="shared" si="36"/>
        <v>8.17</v>
      </c>
      <c r="H377" s="110"/>
      <c r="I377" s="81">
        <v>9.61</v>
      </c>
      <c r="J377" s="81">
        <f>VLOOKUP(C377,Recipes!$A$2:$N$4,12,FALSE())</f>
        <v>6.1509461004819709E-2</v>
      </c>
      <c r="K377" s="81">
        <f t="shared" si="37"/>
        <v>9.4254716169855399</v>
      </c>
      <c r="L377" s="81">
        <f t="shared" si="38"/>
        <v>9.7945283830144589</v>
      </c>
      <c r="M377" s="81" t="str">
        <f t="shared" si="39"/>
        <v>NG</v>
      </c>
      <c r="N377" s="117">
        <f t="shared" si="40"/>
        <v>1</v>
      </c>
      <c r="O377" s="81">
        <f t="shared" si="41"/>
        <v>1.4399999999999995</v>
      </c>
      <c r="P377" s="81">
        <f>IF(G377="","",ABS(O377-Components!$C$2)/Components!$D$2)</f>
        <v>198.72055668481875</v>
      </c>
      <c r="Q377" s="81">
        <f>IF(G377="","",ABS(O377-Components!$C$3)/Components!$D$3)</f>
        <v>188.16296513734113</v>
      </c>
      <c r="R377" s="81">
        <f>IF(G377="","",ABS(O377-Components!$C$4)/Components!$D$4)</f>
        <v>31.95352016570936</v>
      </c>
      <c r="S377" s="81">
        <f>IF(G377="","",ABS(O377-Components!$C$5)/Components!$D$5)</f>
        <v>124.01468797271828</v>
      </c>
      <c r="T377" s="81">
        <f>IF(G377="","",ABS(O377-Components!$C$6)/Components!$D$6)</f>
        <v>10.291310052222359</v>
      </c>
      <c r="U377" s="81">
        <f>IF(G377="","",ABS(O377-Components!$C$7)/Components!$D$7)</f>
        <v>2.6114623883203261</v>
      </c>
      <c r="V377" s="81" t="str">
        <f>IF(G377="","",IF(M377="OK","NONE",INDEX({"S1","S2","W1","W2","N1","N2"},MATCH(MIN(P377:U377),P377:U377,0))))</f>
        <v>N2</v>
      </c>
      <c r="W377" s="117">
        <f t="shared" si="42"/>
        <v>1</v>
      </c>
      <c r="X377" s="107"/>
    </row>
    <row r="378" spans="1:24">
      <c r="A378" s="115">
        <v>376</v>
      </c>
      <c r="B378" s="116">
        <v>13</v>
      </c>
      <c r="C378" s="81" t="s">
        <v>132</v>
      </c>
      <c r="D378" s="111" t="s">
        <v>240</v>
      </c>
      <c r="E378" s="81" t="s">
        <v>110</v>
      </c>
      <c r="F378" s="61">
        <v>7.21</v>
      </c>
      <c r="G378" s="52">
        <f t="shared" si="36"/>
        <v>8.18</v>
      </c>
      <c r="H378" s="110"/>
      <c r="I378" s="81">
        <v>9.61</v>
      </c>
      <c r="J378" s="81">
        <f>VLOOKUP(C378,Recipes!$A$2:$N$4,12,FALSE())</f>
        <v>6.1509461004819709E-2</v>
      </c>
      <c r="K378" s="81">
        <f t="shared" si="37"/>
        <v>9.4254716169855399</v>
      </c>
      <c r="L378" s="81">
        <f t="shared" si="38"/>
        <v>9.7945283830144589</v>
      </c>
      <c r="M378" s="81" t="str">
        <f t="shared" si="39"/>
        <v>NG</v>
      </c>
      <c r="N378" s="117">
        <f t="shared" si="40"/>
        <v>1</v>
      </c>
      <c r="O378" s="81">
        <f t="shared" si="41"/>
        <v>1.4299999999999997</v>
      </c>
      <c r="P378" s="81">
        <f>IF(G378="","",ABS(O378-Components!$C$2)/Components!$D$2)</f>
        <v>200.23365737023613</v>
      </c>
      <c r="Q378" s="81">
        <f>IF(G378="","",ABS(O378-Components!$C$3)/Components!$D$3)</f>
        <v>188.88778395528158</v>
      </c>
      <c r="R378" s="81">
        <f>IF(G378="","",ABS(O378-Components!$C$4)/Components!$D$4)</f>
        <v>31.238142848566628</v>
      </c>
      <c r="S378" s="81">
        <f>IF(G378="","",ABS(O378-Components!$C$5)/Components!$D$5)</f>
        <v>124.4118315080707</v>
      </c>
      <c r="T378" s="81">
        <f>IF(G378="","",ABS(O378-Components!$C$6)/Components!$D$6)</f>
        <v>9.9293647983341184</v>
      </c>
      <c r="U378" s="81">
        <f>IF(G378="","",ABS(O378-Components!$C$7)/Components!$D$7)</f>
        <v>2.2137777606573574</v>
      </c>
      <c r="V378" s="81" t="str">
        <f>IF(G378="","",IF(M378="OK","NONE",INDEX({"S1","S2","W1","W2","N1","N2"},MATCH(MIN(P378:U378),P378:U378,0))))</f>
        <v>N2</v>
      </c>
      <c r="W378" s="117">
        <f t="shared" si="42"/>
        <v>1</v>
      </c>
      <c r="X378" s="107"/>
    </row>
    <row r="379" spans="1:24">
      <c r="A379" s="115">
        <v>377</v>
      </c>
      <c r="B379" s="116">
        <v>13</v>
      </c>
      <c r="C379" s="81" t="s">
        <v>132</v>
      </c>
      <c r="D379" s="111" t="s">
        <v>240</v>
      </c>
      <c r="E379" s="81" t="s">
        <v>110</v>
      </c>
      <c r="F379" s="61">
        <v>7.22</v>
      </c>
      <c r="G379" s="52">
        <f t="shared" si="36"/>
        <v>8.19</v>
      </c>
      <c r="H379" s="110"/>
      <c r="I379" s="81">
        <v>9.61</v>
      </c>
      <c r="J379" s="81">
        <f>VLOOKUP(C379,Recipes!$A$2:$N$4,12,FALSE())</f>
        <v>6.1509461004819709E-2</v>
      </c>
      <c r="K379" s="81">
        <f t="shared" si="37"/>
        <v>9.4254716169855399</v>
      </c>
      <c r="L379" s="81">
        <f t="shared" si="38"/>
        <v>9.7945283830144589</v>
      </c>
      <c r="M379" s="81" t="str">
        <f t="shared" si="39"/>
        <v>NG</v>
      </c>
      <c r="N379" s="117">
        <f t="shared" si="40"/>
        <v>1</v>
      </c>
      <c r="O379" s="81">
        <f t="shared" si="41"/>
        <v>1.42</v>
      </c>
      <c r="P379" s="81">
        <f>IF(G379="","",ABS(O379-Components!$C$2)/Components!$D$2)</f>
        <v>201.74675805565349</v>
      </c>
      <c r="Q379" s="81">
        <f>IF(G379="","",ABS(O379-Components!$C$3)/Components!$D$3)</f>
        <v>189.61260277322202</v>
      </c>
      <c r="R379" s="81">
        <f>IF(G379="","",ABS(O379-Components!$C$4)/Components!$D$4)</f>
        <v>30.522765531423897</v>
      </c>
      <c r="S379" s="81">
        <f>IF(G379="","",ABS(O379-Components!$C$5)/Components!$D$5)</f>
        <v>124.80897504342312</v>
      </c>
      <c r="T379" s="81">
        <f>IF(G379="","",ABS(O379-Components!$C$6)/Components!$D$6)</f>
        <v>9.5674195444458796</v>
      </c>
      <c r="U379" s="81">
        <f>IF(G379="","",ABS(O379-Components!$C$7)/Components!$D$7)</f>
        <v>1.8160931329943888</v>
      </c>
      <c r="V379" s="81" t="str">
        <f>IF(G379="","",IF(M379="OK","NONE",INDEX({"S1","S2","W1","W2","N1","N2"},MATCH(MIN(P379:U379),P379:U379,0))))</f>
        <v>N2</v>
      </c>
      <c r="W379" s="117">
        <f t="shared" si="42"/>
        <v>1</v>
      </c>
      <c r="X379" s="107"/>
    </row>
    <row r="380" spans="1:24">
      <c r="A380" s="115">
        <v>378</v>
      </c>
      <c r="B380" s="116">
        <v>13</v>
      </c>
      <c r="C380" s="81" t="s">
        <v>132</v>
      </c>
      <c r="D380" s="111" t="s">
        <v>240</v>
      </c>
      <c r="E380" s="81" t="s">
        <v>110</v>
      </c>
      <c r="F380" s="61">
        <v>7.15</v>
      </c>
      <c r="G380" s="52">
        <f t="shared" si="36"/>
        <v>8.120000000000001</v>
      </c>
      <c r="H380" s="110"/>
      <c r="I380" s="81">
        <v>9.61</v>
      </c>
      <c r="J380" s="81">
        <f>VLOOKUP(C380,Recipes!$A$2:$N$4,12,FALSE())</f>
        <v>6.1509461004819709E-2</v>
      </c>
      <c r="K380" s="81">
        <f t="shared" si="37"/>
        <v>9.4254716169855399</v>
      </c>
      <c r="L380" s="81">
        <f t="shared" si="38"/>
        <v>9.7945283830144589</v>
      </c>
      <c r="M380" s="81" t="str">
        <f t="shared" si="39"/>
        <v>NG</v>
      </c>
      <c r="N380" s="117">
        <f t="shared" si="40"/>
        <v>1</v>
      </c>
      <c r="O380" s="81">
        <f t="shared" si="41"/>
        <v>1.4899999999999984</v>
      </c>
      <c r="P380" s="81">
        <f>IF(G380="","",ABS(O380-Components!$C$2)/Components!$D$2)</f>
        <v>191.15505325773188</v>
      </c>
      <c r="Q380" s="81">
        <f>IF(G380="","",ABS(O380-Components!$C$3)/Components!$D$3)</f>
        <v>184.53887104763896</v>
      </c>
      <c r="R380" s="81">
        <f>IF(G380="","",ABS(O380-Components!$C$4)/Components!$D$4)</f>
        <v>35.530406751423016</v>
      </c>
      <c r="S380" s="81">
        <f>IF(G380="","",ABS(O380-Components!$C$5)/Components!$D$5)</f>
        <v>122.02897029595619</v>
      </c>
      <c r="T380" s="81">
        <f>IF(G380="","",ABS(O380-Components!$C$6)/Components!$D$6)</f>
        <v>12.101036321663557</v>
      </c>
      <c r="U380" s="81">
        <f>IF(G380="","",ABS(O380-Components!$C$7)/Components!$D$7)</f>
        <v>4.5998855266351688</v>
      </c>
      <c r="V380" s="81" t="str">
        <f>IF(G380="","",IF(M380="OK","NONE",INDEX({"S1","S2","W1","W2","N1","N2"},MATCH(MIN(P380:U380),P380:U380,0))))</f>
        <v>N2</v>
      </c>
      <c r="W380" s="117">
        <f t="shared" si="42"/>
        <v>1</v>
      </c>
      <c r="X380" s="107"/>
    </row>
    <row r="381" spans="1:24">
      <c r="A381" s="115">
        <v>379</v>
      </c>
      <c r="B381" s="116">
        <v>13</v>
      </c>
      <c r="C381" s="81" t="s">
        <v>132</v>
      </c>
      <c r="D381" s="111" t="s">
        <v>240</v>
      </c>
      <c r="E381" s="81" t="s">
        <v>110</v>
      </c>
      <c r="F381" s="61">
        <v>7.28</v>
      </c>
      <c r="G381" s="52">
        <f t="shared" si="36"/>
        <v>8.25</v>
      </c>
      <c r="H381" s="110"/>
      <c r="I381" s="81">
        <v>9.61</v>
      </c>
      <c r="J381" s="81">
        <f>VLOOKUP(C381,Recipes!$A$2:$N$4,12,FALSE())</f>
        <v>6.1509461004819709E-2</v>
      </c>
      <c r="K381" s="81">
        <f t="shared" si="37"/>
        <v>9.4254716169855399</v>
      </c>
      <c r="L381" s="81">
        <f t="shared" si="38"/>
        <v>9.7945283830144589</v>
      </c>
      <c r="M381" s="81" t="str">
        <f t="shared" si="39"/>
        <v>NG</v>
      </c>
      <c r="N381" s="117">
        <f t="shared" si="40"/>
        <v>1</v>
      </c>
      <c r="O381" s="81">
        <f t="shared" si="41"/>
        <v>1.3599999999999994</v>
      </c>
      <c r="P381" s="81">
        <f>IF(G381="","",ABS(O381-Components!$C$2)/Components!$D$2)</f>
        <v>210.82536216815799</v>
      </c>
      <c r="Q381" s="81">
        <f>IF(G381="","",ABS(O381-Components!$C$3)/Components!$D$3)</f>
        <v>193.96151568086475</v>
      </c>
      <c r="R381" s="81">
        <f>IF(G381="","",ABS(O381-Components!$C$4)/Components!$D$4)</f>
        <v>26.230501628567378</v>
      </c>
      <c r="S381" s="81">
        <f>IF(G381="","",ABS(O381-Components!$C$5)/Components!$D$5)</f>
        <v>127.19183625553771</v>
      </c>
      <c r="T381" s="81">
        <f>IF(G381="","",ABS(O381-Components!$C$6)/Components!$D$6)</f>
        <v>7.3957480211163782</v>
      </c>
      <c r="U381" s="81">
        <f>IF(G381="","",ABS(O381-Components!$C$7)/Components!$D$7)</f>
        <v>0.57001463298349353</v>
      </c>
      <c r="V381" s="81" t="str">
        <f>IF(G381="","",IF(M381="OK","NONE",INDEX({"S1","S2","W1","W2","N1","N2"},MATCH(MIN(P381:U381),P381:U381,0))))</f>
        <v>N2</v>
      </c>
      <c r="W381" s="117">
        <f t="shared" si="42"/>
        <v>1</v>
      </c>
      <c r="X381" s="107"/>
    </row>
    <row r="382" spans="1:24">
      <c r="A382" s="115">
        <v>380</v>
      </c>
      <c r="B382" s="116">
        <v>13</v>
      </c>
      <c r="C382" s="81" t="s">
        <v>132</v>
      </c>
      <c r="D382" s="111" t="s">
        <v>240</v>
      </c>
      <c r="E382" s="81" t="s">
        <v>110</v>
      </c>
      <c r="F382" s="61">
        <v>7.23</v>
      </c>
      <c r="G382" s="52">
        <f t="shared" si="36"/>
        <v>8.2000000000000011</v>
      </c>
      <c r="H382" s="110"/>
      <c r="I382" s="81">
        <v>9.61</v>
      </c>
      <c r="J382" s="81">
        <f>VLOOKUP(C382,Recipes!$A$2:$N$4,12,FALSE())</f>
        <v>6.1509461004819709E-2</v>
      </c>
      <c r="K382" s="81">
        <f t="shared" si="37"/>
        <v>9.4254716169855399</v>
      </c>
      <c r="L382" s="81">
        <f t="shared" si="38"/>
        <v>9.7945283830144589</v>
      </c>
      <c r="M382" s="81" t="str">
        <f t="shared" si="39"/>
        <v>NG</v>
      </c>
      <c r="N382" s="117">
        <f t="shared" si="40"/>
        <v>1</v>
      </c>
      <c r="O382" s="81">
        <f t="shared" si="41"/>
        <v>1.4099999999999984</v>
      </c>
      <c r="P382" s="81">
        <f>IF(G382="","",ABS(O382-Components!$C$2)/Components!$D$2)</f>
        <v>203.25985874107113</v>
      </c>
      <c r="Q382" s="81">
        <f>IF(G382="","",ABS(O382-Components!$C$3)/Components!$D$3)</f>
        <v>190.33742159116258</v>
      </c>
      <c r="R382" s="81">
        <f>IF(G382="","",ABS(O382-Components!$C$4)/Components!$D$4)</f>
        <v>29.807388214281037</v>
      </c>
      <c r="S382" s="81">
        <f>IF(G382="","",ABS(O382-Components!$C$5)/Components!$D$5)</f>
        <v>125.20611857877562</v>
      </c>
      <c r="T382" s="81">
        <f>IF(G382="","",ABS(O382-Components!$C$6)/Components!$D$6)</f>
        <v>9.2054742905575768</v>
      </c>
      <c r="U382" s="81">
        <f>IF(G382="","",ABS(O382-Components!$C$7)/Components!$D$7)</f>
        <v>1.4184085053313495</v>
      </c>
      <c r="V382" s="81" t="str">
        <f>IF(G382="","",IF(M382="OK","NONE",INDEX({"S1","S2","W1","W2","N1","N2"},MATCH(MIN(P382:U382),P382:U382,0))))</f>
        <v>N2</v>
      </c>
      <c r="W382" s="117">
        <f t="shared" si="42"/>
        <v>1</v>
      </c>
      <c r="X382" s="107"/>
    </row>
    <row r="383" spans="1:24">
      <c r="A383" s="115">
        <v>381</v>
      </c>
      <c r="B383" s="116">
        <v>13</v>
      </c>
      <c r="C383" s="81" t="s">
        <v>132</v>
      </c>
      <c r="D383" s="111" t="s">
        <v>240</v>
      </c>
      <c r="E383" s="81" t="s">
        <v>110</v>
      </c>
      <c r="F383" s="61">
        <v>7.26</v>
      </c>
      <c r="G383" s="52">
        <f t="shared" si="36"/>
        <v>8.23</v>
      </c>
      <c r="H383" s="110"/>
      <c r="I383" s="81">
        <v>9.61</v>
      </c>
      <c r="J383" s="81">
        <f>VLOOKUP(C383,Recipes!$A$2:$N$4,12,FALSE())</f>
        <v>6.1509461004819709E-2</v>
      </c>
      <c r="K383" s="81">
        <f t="shared" si="37"/>
        <v>9.4254716169855399</v>
      </c>
      <c r="L383" s="81">
        <f t="shared" si="38"/>
        <v>9.7945283830144589</v>
      </c>
      <c r="M383" s="81" t="str">
        <f t="shared" si="39"/>
        <v>NG</v>
      </c>
      <c r="N383" s="117">
        <f t="shared" si="40"/>
        <v>1</v>
      </c>
      <c r="O383" s="81">
        <f t="shared" si="41"/>
        <v>1.379999999999999</v>
      </c>
      <c r="P383" s="81">
        <f>IF(G383="","",ABS(O383-Components!$C$2)/Components!$D$2)</f>
        <v>207.79916079732325</v>
      </c>
      <c r="Q383" s="81">
        <f>IF(G383="","",ABS(O383-Components!$C$3)/Components!$D$3)</f>
        <v>192.51187804498389</v>
      </c>
      <c r="R383" s="81">
        <f>IF(G383="","",ABS(O383-Components!$C$4)/Components!$D$4)</f>
        <v>27.661256262852842</v>
      </c>
      <c r="S383" s="81">
        <f>IF(G383="","",ABS(O383-Components!$C$5)/Components!$D$5)</f>
        <v>126.39754918483287</v>
      </c>
      <c r="T383" s="81">
        <f>IF(G383="","",ABS(O383-Components!$C$6)/Components!$D$6)</f>
        <v>8.1196385288928568</v>
      </c>
      <c r="U383" s="81">
        <f>IF(G383="","",ABS(O383-Components!$C$7)/Components!$D$7)</f>
        <v>0.22535462234244366</v>
      </c>
      <c r="V383" s="81" t="str">
        <f>IF(G383="","",IF(M383="OK","NONE",INDEX({"S1","S2","W1","W2","N1","N2"},MATCH(MIN(P383:U383),P383:U383,0))))</f>
        <v>N2</v>
      </c>
      <c r="W383" s="117">
        <f t="shared" si="42"/>
        <v>1</v>
      </c>
      <c r="X383" s="107"/>
    </row>
    <row r="384" spans="1:24">
      <c r="A384" s="115">
        <v>382</v>
      </c>
      <c r="B384" s="116">
        <v>13</v>
      </c>
      <c r="C384" s="81" t="s">
        <v>132</v>
      </c>
      <c r="D384" s="111" t="s">
        <v>240</v>
      </c>
      <c r="E384" s="81" t="s">
        <v>110</v>
      </c>
      <c r="F384" s="61">
        <v>7.26</v>
      </c>
      <c r="G384" s="52">
        <f t="shared" si="36"/>
        <v>8.23</v>
      </c>
      <c r="H384" s="110"/>
      <c r="I384" s="81">
        <v>9.61</v>
      </c>
      <c r="J384" s="81">
        <f>VLOOKUP(C384,Recipes!$A$2:$N$4,12,FALSE())</f>
        <v>6.1509461004819709E-2</v>
      </c>
      <c r="K384" s="81">
        <f t="shared" si="37"/>
        <v>9.4254716169855399</v>
      </c>
      <c r="L384" s="81">
        <f t="shared" si="38"/>
        <v>9.7945283830144589</v>
      </c>
      <c r="M384" s="81" t="str">
        <f t="shared" si="39"/>
        <v>NG</v>
      </c>
      <c r="N384" s="117">
        <f t="shared" si="40"/>
        <v>1</v>
      </c>
      <c r="O384" s="81">
        <f t="shared" si="41"/>
        <v>1.379999999999999</v>
      </c>
      <c r="P384" s="81">
        <f>IF(G384="","",ABS(O384-Components!$C$2)/Components!$D$2)</f>
        <v>207.79916079732325</v>
      </c>
      <c r="Q384" s="81">
        <f>IF(G384="","",ABS(O384-Components!$C$3)/Components!$D$3)</f>
        <v>192.51187804498389</v>
      </c>
      <c r="R384" s="81">
        <f>IF(G384="","",ABS(O384-Components!$C$4)/Components!$D$4)</f>
        <v>27.661256262852842</v>
      </c>
      <c r="S384" s="81">
        <f>IF(G384="","",ABS(O384-Components!$C$5)/Components!$D$5)</f>
        <v>126.39754918483287</v>
      </c>
      <c r="T384" s="81">
        <f>IF(G384="","",ABS(O384-Components!$C$6)/Components!$D$6)</f>
        <v>8.1196385288928568</v>
      </c>
      <c r="U384" s="81">
        <f>IF(G384="","",ABS(O384-Components!$C$7)/Components!$D$7)</f>
        <v>0.22535462234244366</v>
      </c>
      <c r="V384" s="81" t="str">
        <f>IF(G384="","",IF(M384="OK","NONE",INDEX({"S1","S2","W1","W2","N1","N2"},MATCH(MIN(P384:U384),P384:U384,0))))</f>
        <v>N2</v>
      </c>
      <c r="W384" s="117">
        <f t="shared" si="42"/>
        <v>1</v>
      </c>
      <c r="X384" s="107"/>
    </row>
    <row r="385" spans="1:24">
      <c r="A385" s="115">
        <v>383</v>
      </c>
      <c r="B385" s="116">
        <v>13</v>
      </c>
      <c r="C385" s="81" t="s">
        <v>132</v>
      </c>
      <c r="D385" s="111" t="s">
        <v>240</v>
      </c>
      <c r="E385" s="81" t="s">
        <v>110</v>
      </c>
      <c r="F385" s="61">
        <v>7.27</v>
      </c>
      <c r="G385" s="52">
        <f t="shared" si="36"/>
        <v>8.24</v>
      </c>
      <c r="H385" s="110"/>
      <c r="I385" s="81">
        <v>9.61</v>
      </c>
      <c r="J385" s="81">
        <f>VLOOKUP(C385,Recipes!$A$2:$N$4,12,FALSE())</f>
        <v>6.1509461004819709E-2</v>
      </c>
      <c r="K385" s="81">
        <f t="shared" si="37"/>
        <v>9.4254716169855399</v>
      </c>
      <c r="L385" s="81">
        <f t="shared" si="38"/>
        <v>9.7945283830144589</v>
      </c>
      <c r="M385" s="81" t="str">
        <f t="shared" si="39"/>
        <v>NG</v>
      </c>
      <c r="N385" s="117">
        <f t="shared" si="40"/>
        <v>1</v>
      </c>
      <c r="O385" s="81">
        <f t="shared" si="41"/>
        <v>1.3699999999999992</v>
      </c>
      <c r="P385" s="81">
        <f>IF(G385="","",ABS(O385-Components!$C$2)/Components!$D$2)</f>
        <v>209.31226148274064</v>
      </c>
      <c r="Q385" s="81">
        <f>IF(G385="","",ABS(O385-Components!$C$3)/Components!$D$3)</f>
        <v>193.2366968629243</v>
      </c>
      <c r="R385" s="81">
        <f>IF(G385="","",ABS(O385-Components!$C$4)/Components!$D$4)</f>
        <v>26.94587894571011</v>
      </c>
      <c r="S385" s="81">
        <f>IF(G385="","",ABS(O385-Components!$C$5)/Components!$D$5)</f>
        <v>126.7946927201853</v>
      </c>
      <c r="T385" s="81">
        <f>IF(G385="","",ABS(O385-Components!$C$6)/Components!$D$6)</f>
        <v>7.7576932750046179</v>
      </c>
      <c r="U385" s="81">
        <f>IF(G385="","",ABS(O385-Components!$C$7)/Components!$D$7)</f>
        <v>0.17233000532052495</v>
      </c>
      <c r="V385" s="81" t="str">
        <f>IF(G385="","",IF(M385="OK","NONE",INDEX({"S1","S2","W1","W2","N1","N2"},MATCH(MIN(P385:U385),P385:U385,0))))</f>
        <v>N2</v>
      </c>
      <c r="W385" s="117">
        <f t="shared" si="42"/>
        <v>1</v>
      </c>
      <c r="X385" s="107"/>
    </row>
    <row r="386" spans="1:24">
      <c r="A386" s="115">
        <v>384</v>
      </c>
      <c r="B386" s="116">
        <v>13</v>
      </c>
      <c r="C386" s="81" t="s">
        <v>132</v>
      </c>
      <c r="D386" s="111" t="s">
        <v>240</v>
      </c>
      <c r="E386" s="81" t="s">
        <v>110</v>
      </c>
      <c r="F386" s="61">
        <v>7.14</v>
      </c>
      <c r="G386" s="52">
        <f t="shared" si="36"/>
        <v>8.11</v>
      </c>
      <c r="H386" s="110"/>
      <c r="I386" s="81">
        <v>9.61</v>
      </c>
      <c r="J386" s="81">
        <f>VLOOKUP(C386,Recipes!$A$2:$N$4,12,FALSE())</f>
        <v>6.1509461004819709E-2</v>
      </c>
      <c r="K386" s="81">
        <f t="shared" si="37"/>
        <v>9.4254716169855399</v>
      </c>
      <c r="L386" s="81">
        <f t="shared" si="38"/>
        <v>9.7945283830144589</v>
      </c>
      <c r="M386" s="81" t="str">
        <f t="shared" si="39"/>
        <v>NG</v>
      </c>
      <c r="N386" s="117">
        <f t="shared" si="40"/>
        <v>1</v>
      </c>
      <c r="O386" s="81">
        <f t="shared" si="41"/>
        <v>1.5</v>
      </c>
      <c r="P386" s="81">
        <f>IF(G386="","",ABS(O386-Components!$C$2)/Components!$D$2)</f>
        <v>189.64195257231424</v>
      </c>
      <c r="Q386" s="81">
        <f>IF(G386="","",ABS(O386-Components!$C$3)/Components!$D$3)</f>
        <v>183.8140522296984</v>
      </c>
      <c r="R386" s="81">
        <f>IF(G386="","",ABS(O386-Components!$C$4)/Components!$D$4)</f>
        <v>36.245784068565875</v>
      </c>
      <c r="S386" s="81">
        <f>IF(G386="","",ABS(O386-Components!$C$5)/Components!$D$5)</f>
        <v>121.6318267606037</v>
      </c>
      <c r="T386" s="81">
        <f>IF(G386="","",ABS(O386-Components!$C$6)/Components!$D$6)</f>
        <v>12.46298157555186</v>
      </c>
      <c r="U386" s="81">
        <f>IF(G386="","",ABS(O386-Components!$C$7)/Components!$D$7)</f>
        <v>4.9975701542982085</v>
      </c>
      <c r="V386" s="81" t="str">
        <f>IF(G386="","",IF(M386="OK","NONE",INDEX({"S1","S2","W1","W2","N1","N2"},MATCH(MIN(P386:U386),P386:U386,0))))</f>
        <v>N2</v>
      </c>
      <c r="W386" s="117">
        <f t="shared" si="42"/>
        <v>1</v>
      </c>
      <c r="X386" s="107"/>
    </row>
    <row r="387" spans="1:24">
      <c r="A387" s="115">
        <v>385</v>
      </c>
      <c r="B387" s="116">
        <v>13</v>
      </c>
      <c r="C387" s="81" t="s">
        <v>132</v>
      </c>
      <c r="D387" s="111" t="s">
        <v>240</v>
      </c>
      <c r="E387" s="81" t="s">
        <v>110</v>
      </c>
      <c r="F387" s="61">
        <v>6.97</v>
      </c>
      <c r="G387" s="52">
        <f t="shared" ref="G387:G422" si="43">0.97+F387</f>
        <v>7.9399999999999995</v>
      </c>
      <c r="H387" s="110"/>
      <c r="I387" s="81">
        <v>9.61</v>
      </c>
      <c r="J387" s="81">
        <f>VLOOKUP(C387,Recipes!$A$2:$N$4,12,FALSE())</f>
        <v>6.1509461004819709E-2</v>
      </c>
      <c r="K387" s="81">
        <f t="shared" ref="K387:K422" si="44">I387-3*J387</f>
        <v>9.4254716169855399</v>
      </c>
      <c r="L387" s="81">
        <f t="shared" ref="L387:L422" si="45">I387+3*J387</f>
        <v>9.7945283830144589</v>
      </c>
      <c r="M387" s="81" t="str">
        <f t="shared" si="39"/>
        <v>NG</v>
      </c>
      <c r="N387" s="117">
        <f t="shared" si="40"/>
        <v>1</v>
      </c>
      <c r="O387" s="81">
        <f t="shared" si="41"/>
        <v>1.67</v>
      </c>
      <c r="P387" s="81">
        <f>IF(G387="","",ABS(O387-Components!$C$2)/Components!$D$2)</f>
        <v>163.91924092021836</v>
      </c>
      <c r="Q387" s="81">
        <f>IF(G387="","",ABS(O387-Components!$C$3)/Components!$D$3)</f>
        <v>171.49213232471072</v>
      </c>
      <c r="R387" s="81">
        <f>IF(G387="","",ABS(O387-Components!$C$4)/Components!$D$4)</f>
        <v>48.407198459992571</v>
      </c>
      <c r="S387" s="81">
        <f>IF(G387="","",ABS(O387-Components!$C$5)/Components!$D$5)</f>
        <v>114.88038665961243</v>
      </c>
      <c r="T387" s="81">
        <f>IF(G387="","",ABS(O387-Components!$C$6)/Components!$D$6)</f>
        <v>18.616050891652058</v>
      </c>
      <c r="U387" s="81">
        <f>IF(G387="","",ABS(O387-Components!$C$7)/Components!$D$7)</f>
        <v>11.758208824568817</v>
      </c>
      <c r="V387" s="81" t="str">
        <f>IF(G387="","",IF(M387="OK","NONE",INDEX({"S1","S2","W1","W2","N1","N2"},MATCH(MIN(P387:U387),P387:U387,0))))</f>
        <v>N2</v>
      </c>
      <c r="W387" s="117">
        <f t="shared" si="42"/>
        <v>1</v>
      </c>
      <c r="X387" s="107"/>
    </row>
    <row r="388" spans="1:24">
      <c r="A388" s="115">
        <v>386</v>
      </c>
      <c r="B388" s="116">
        <v>13</v>
      </c>
      <c r="C388" s="81" t="s">
        <v>132</v>
      </c>
      <c r="D388" s="111" t="s">
        <v>240</v>
      </c>
      <c r="E388" s="81" t="s">
        <v>110</v>
      </c>
      <c r="F388" s="52">
        <v>7.29</v>
      </c>
      <c r="G388" s="52">
        <f t="shared" si="43"/>
        <v>8.26</v>
      </c>
      <c r="H388" s="110"/>
      <c r="I388" s="81">
        <v>9.61</v>
      </c>
      <c r="J388" s="81">
        <f>VLOOKUP(C388,Recipes!$A$2:$N$4,12,FALSE())</f>
        <v>6.1509461004819709E-2</v>
      </c>
      <c r="K388" s="81">
        <f t="shared" si="44"/>
        <v>9.4254716169855399</v>
      </c>
      <c r="L388" s="81">
        <f t="shared" si="45"/>
        <v>9.7945283830144589</v>
      </c>
      <c r="M388" s="81" t="str">
        <f t="shared" ref="M388:M422" si="46">IF(G388="","",IF(AND(G388&gt;=K388,G388&lt;=L388),"OK","NG"))</f>
        <v>NG</v>
      </c>
      <c r="N388" s="117">
        <f t="shared" ref="N388:N422" si="47">IF(M388="","",IF(M388=D388,1,0))</f>
        <v>1</v>
      </c>
      <c r="O388" s="81">
        <f t="shared" ref="O388:O422" si="48">IF(G388="","",I388-G388)</f>
        <v>1.3499999999999996</v>
      </c>
      <c r="P388" s="81">
        <f>IF(G388="","",ABS(O388-Components!$C$2)/Components!$D$2)</f>
        <v>212.33846285357538</v>
      </c>
      <c r="Q388" s="81">
        <f>IF(G388="","",ABS(O388-Components!$C$3)/Components!$D$3)</f>
        <v>194.68633449880519</v>
      </c>
      <c r="R388" s="81">
        <f>IF(G388="","",ABS(O388-Components!$C$4)/Components!$D$4)</f>
        <v>25.515124311424646</v>
      </c>
      <c r="S388" s="81">
        <f>IF(G388="","",ABS(O388-Components!$C$5)/Components!$D$5)</f>
        <v>127.58897979089012</v>
      </c>
      <c r="T388" s="81">
        <f>IF(G388="","",ABS(O388-Components!$C$6)/Components!$D$6)</f>
        <v>7.0338027672281394</v>
      </c>
      <c r="U388" s="81">
        <f>IF(G388="","",ABS(O388-Components!$C$7)/Components!$D$7)</f>
        <v>0.96769926064646217</v>
      </c>
      <c r="V388" s="81" t="str">
        <f>IF(G388="","",IF(M388="OK","NONE",INDEX({"S1","S2","W1","W2","N1","N2"},MATCH(MIN(P388:U388),P388:U388,0))))</f>
        <v>N2</v>
      </c>
      <c r="W388" s="117">
        <f t="shared" ref="W388:W422" si="49">IF(G388="","",IF(V388=E388,1,0))</f>
        <v>1</v>
      </c>
      <c r="X388" s="107"/>
    </row>
    <row r="389" spans="1:24">
      <c r="A389" s="115">
        <v>387</v>
      </c>
      <c r="B389" s="116">
        <v>13</v>
      </c>
      <c r="C389" s="81" t="s">
        <v>132</v>
      </c>
      <c r="D389" s="111" t="s">
        <v>240</v>
      </c>
      <c r="E389" s="81" t="s">
        <v>110</v>
      </c>
      <c r="F389" s="52">
        <v>7.16</v>
      </c>
      <c r="G389" s="52">
        <f t="shared" si="43"/>
        <v>8.1300000000000008</v>
      </c>
      <c r="H389" s="110"/>
      <c r="I389" s="81">
        <v>9.61</v>
      </c>
      <c r="J389" s="81">
        <f>VLOOKUP(C389,Recipes!$A$2:$N$4,12,FALSE())</f>
        <v>6.1509461004819709E-2</v>
      </c>
      <c r="K389" s="81">
        <f t="shared" si="44"/>
        <v>9.4254716169855399</v>
      </c>
      <c r="L389" s="81">
        <f t="shared" si="45"/>
        <v>9.7945283830144589</v>
      </c>
      <c r="M389" s="81" t="str">
        <f t="shared" si="46"/>
        <v>NG</v>
      </c>
      <c r="N389" s="117">
        <f t="shared" si="47"/>
        <v>1</v>
      </c>
      <c r="O389" s="81">
        <f t="shared" si="48"/>
        <v>1.4799999999999986</v>
      </c>
      <c r="P389" s="81">
        <f>IF(G389="","",ABS(O389-Components!$C$2)/Components!$D$2)</f>
        <v>192.66815394314926</v>
      </c>
      <c r="Q389" s="81">
        <f>IF(G389="","",ABS(O389-Components!$C$3)/Components!$D$3)</f>
        <v>185.26368986557938</v>
      </c>
      <c r="R389" s="81">
        <f>IF(G389="","",ABS(O389-Components!$C$4)/Components!$D$4)</f>
        <v>34.815029434280284</v>
      </c>
      <c r="S389" s="81">
        <f>IF(G389="","",ABS(O389-Components!$C$5)/Components!$D$5)</f>
        <v>122.42611383130861</v>
      </c>
      <c r="T389" s="81">
        <f>IF(G389="","",ABS(O389-Components!$C$6)/Components!$D$6)</f>
        <v>11.739091067775316</v>
      </c>
      <c r="U389" s="81">
        <f>IF(G389="","",ABS(O389-Components!$C$7)/Components!$D$7)</f>
        <v>4.2022008989722002</v>
      </c>
      <c r="V389" s="81" t="str">
        <f>IF(G389="","",IF(M389="OK","NONE",INDEX({"S1","S2","W1","W2","N1","N2"},MATCH(MIN(P389:U389),P389:U389,0))))</f>
        <v>N2</v>
      </c>
      <c r="W389" s="117">
        <f t="shared" si="49"/>
        <v>1</v>
      </c>
      <c r="X389" s="107"/>
    </row>
    <row r="390" spans="1:24">
      <c r="A390" s="115">
        <v>388</v>
      </c>
      <c r="B390" s="116">
        <v>13</v>
      </c>
      <c r="C390" s="81" t="s">
        <v>132</v>
      </c>
      <c r="D390" s="111" t="s">
        <v>240</v>
      </c>
      <c r="E390" s="81" t="s">
        <v>110</v>
      </c>
      <c r="F390" s="52">
        <v>7.23</v>
      </c>
      <c r="G390" s="52">
        <f t="shared" si="43"/>
        <v>8.2000000000000011</v>
      </c>
      <c r="H390" s="110"/>
      <c r="I390" s="81">
        <v>9.61</v>
      </c>
      <c r="J390" s="81">
        <f>VLOOKUP(C390,Recipes!$A$2:$N$4,12,FALSE())</f>
        <v>6.1509461004819709E-2</v>
      </c>
      <c r="K390" s="81">
        <f t="shared" si="44"/>
        <v>9.4254716169855399</v>
      </c>
      <c r="L390" s="81">
        <f t="shared" si="45"/>
        <v>9.7945283830144589</v>
      </c>
      <c r="M390" s="81" t="str">
        <f t="shared" si="46"/>
        <v>NG</v>
      </c>
      <c r="N390" s="117">
        <f t="shared" si="47"/>
        <v>1</v>
      </c>
      <c r="O390" s="81">
        <f t="shared" si="48"/>
        <v>1.4099999999999984</v>
      </c>
      <c r="P390" s="81">
        <f>IF(G390="","",ABS(O390-Components!$C$2)/Components!$D$2)</f>
        <v>203.25985874107113</v>
      </c>
      <c r="Q390" s="81">
        <f>IF(G390="","",ABS(O390-Components!$C$3)/Components!$D$3)</f>
        <v>190.33742159116258</v>
      </c>
      <c r="R390" s="81">
        <f>IF(G390="","",ABS(O390-Components!$C$4)/Components!$D$4)</f>
        <v>29.807388214281037</v>
      </c>
      <c r="S390" s="81">
        <f>IF(G390="","",ABS(O390-Components!$C$5)/Components!$D$5)</f>
        <v>125.20611857877562</v>
      </c>
      <c r="T390" s="81">
        <f>IF(G390="","",ABS(O390-Components!$C$6)/Components!$D$6)</f>
        <v>9.2054742905575768</v>
      </c>
      <c r="U390" s="81">
        <f>IF(G390="","",ABS(O390-Components!$C$7)/Components!$D$7)</f>
        <v>1.4184085053313495</v>
      </c>
      <c r="V390" s="81" t="str">
        <f>IF(G390="","",IF(M390="OK","NONE",INDEX({"S1","S2","W1","W2","N1","N2"},MATCH(MIN(P390:U390),P390:U390,0))))</f>
        <v>N2</v>
      </c>
      <c r="W390" s="117">
        <f t="shared" si="49"/>
        <v>1</v>
      </c>
      <c r="X390" s="107"/>
    </row>
    <row r="391" spans="1:24">
      <c r="A391" s="115">
        <v>389</v>
      </c>
      <c r="B391" s="116">
        <v>13</v>
      </c>
      <c r="C391" s="61" t="s">
        <v>132</v>
      </c>
      <c r="D391" s="61" t="s">
        <v>240</v>
      </c>
      <c r="E391" s="61" t="s">
        <v>110</v>
      </c>
      <c r="F391" s="61">
        <v>7.25</v>
      </c>
      <c r="G391" s="52">
        <f t="shared" si="43"/>
        <v>8.2200000000000006</v>
      </c>
      <c r="H391" s="110"/>
      <c r="I391" s="81">
        <v>9.61</v>
      </c>
      <c r="J391" s="81">
        <f>VLOOKUP(C391,Recipes!$A$2:$N$4,12,FALSE())</f>
        <v>6.1509461004819709E-2</v>
      </c>
      <c r="K391" s="81">
        <f t="shared" si="44"/>
        <v>9.4254716169855399</v>
      </c>
      <c r="L391" s="81">
        <f t="shared" si="45"/>
        <v>9.7945283830144589</v>
      </c>
      <c r="M391" s="81" t="str">
        <f t="shared" si="46"/>
        <v>NG</v>
      </c>
      <c r="N391" s="117">
        <f t="shared" si="47"/>
        <v>1</v>
      </c>
      <c r="O391" s="81">
        <f t="shared" si="48"/>
        <v>1.3899999999999988</v>
      </c>
      <c r="P391" s="81">
        <f>IF(G391="","",ABS(O391-Components!$C$2)/Components!$D$2)</f>
        <v>206.28606011190587</v>
      </c>
      <c r="Q391" s="81">
        <f>IF(G391="","",ABS(O391-Components!$C$3)/Components!$D$3)</f>
        <v>191.78705922704344</v>
      </c>
      <c r="R391" s="81">
        <f>IF(G391="","",ABS(O391-Components!$C$4)/Components!$D$4)</f>
        <v>28.376633579995573</v>
      </c>
      <c r="S391" s="81">
        <f>IF(G391="","",ABS(O391-Components!$C$5)/Components!$D$5)</f>
        <v>126.00040564948046</v>
      </c>
      <c r="T391" s="81">
        <f>IF(G391="","",ABS(O391-Components!$C$6)/Components!$D$6)</f>
        <v>8.4815837827810974</v>
      </c>
      <c r="U391" s="81">
        <f>IF(G391="","",ABS(O391-Components!$C$7)/Components!$D$7)</f>
        <v>0.62303925000541227</v>
      </c>
      <c r="V391" s="81" t="str">
        <f>IF(G391="","",IF(M391="OK","NONE",INDEX({"S1","S2","W1","W2","N1","N2"},MATCH(MIN(P391:U391),P391:U391,0))))</f>
        <v>N2</v>
      </c>
      <c r="W391" s="117">
        <f t="shared" si="49"/>
        <v>1</v>
      </c>
      <c r="X391" s="107"/>
    </row>
    <row r="392" spans="1:24">
      <c r="A392" s="115">
        <v>390</v>
      </c>
      <c r="B392" s="116">
        <v>13</v>
      </c>
      <c r="C392" s="61" t="s">
        <v>132</v>
      </c>
      <c r="D392" s="61" t="s">
        <v>240</v>
      </c>
      <c r="E392" s="61" t="s">
        <v>110</v>
      </c>
      <c r="F392" s="61">
        <v>7.2</v>
      </c>
      <c r="G392" s="52">
        <f t="shared" si="43"/>
        <v>8.17</v>
      </c>
      <c r="H392" s="110"/>
      <c r="I392" s="81">
        <v>9.61</v>
      </c>
      <c r="J392" s="81">
        <f>VLOOKUP(C392,Recipes!$A$2:$N$4,12,FALSE())</f>
        <v>6.1509461004819709E-2</v>
      </c>
      <c r="K392" s="81">
        <f t="shared" si="44"/>
        <v>9.4254716169855399</v>
      </c>
      <c r="L392" s="81">
        <f t="shared" si="45"/>
        <v>9.7945283830144589</v>
      </c>
      <c r="M392" s="81" t="str">
        <f t="shared" si="46"/>
        <v>NG</v>
      </c>
      <c r="N392" s="117">
        <f t="shared" si="47"/>
        <v>1</v>
      </c>
      <c r="O392" s="81">
        <f t="shared" si="48"/>
        <v>1.4399999999999995</v>
      </c>
      <c r="P392" s="81">
        <f>IF(G392="","",ABS(O392-Components!$C$2)/Components!$D$2)</f>
        <v>198.72055668481875</v>
      </c>
      <c r="Q392" s="81">
        <f>IF(G392="","",ABS(O392-Components!$C$3)/Components!$D$3)</f>
        <v>188.16296513734113</v>
      </c>
      <c r="R392" s="81">
        <f>IF(G392="","",ABS(O392-Components!$C$4)/Components!$D$4)</f>
        <v>31.95352016570936</v>
      </c>
      <c r="S392" s="81">
        <f>IF(G392="","",ABS(O392-Components!$C$5)/Components!$D$5)</f>
        <v>124.01468797271828</v>
      </c>
      <c r="T392" s="81">
        <f>IF(G392="","",ABS(O392-Components!$C$6)/Components!$D$6)</f>
        <v>10.291310052222359</v>
      </c>
      <c r="U392" s="81">
        <f>IF(G392="","",ABS(O392-Components!$C$7)/Components!$D$7)</f>
        <v>2.6114623883203261</v>
      </c>
      <c r="V392" s="81" t="str">
        <f>IF(G392="","",IF(M392="OK","NONE",INDEX({"S1","S2","W1","W2","N1","N2"},MATCH(MIN(P392:U392),P392:U392,0))))</f>
        <v>N2</v>
      </c>
      <c r="W392" s="117">
        <f t="shared" si="49"/>
        <v>1</v>
      </c>
      <c r="X392" s="107"/>
    </row>
    <row r="393" spans="1:24">
      <c r="A393" s="115">
        <v>391</v>
      </c>
      <c r="B393" s="116">
        <v>14</v>
      </c>
      <c r="C393" s="81" t="s">
        <v>132</v>
      </c>
      <c r="D393" s="111" t="s">
        <v>240</v>
      </c>
      <c r="E393" s="81" t="s">
        <v>108</v>
      </c>
      <c r="F393" s="61">
        <v>7.39</v>
      </c>
      <c r="G393" s="52">
        <f t="shared" si="43"/>
        <v>8.36</v>
      </c>
      <c r="H393" s="110"/>
      <c r="I393" s="81">
        <v>9.61</v>
      </c>
      <c r="J393" s="81">
        <f>VLOOKUP(C393,Recipes!$A$2:$N$4,12,FALSE())</f>
        <v>6.1509461004819709E-2</v>
      </c>
      <c r="K393" s="81">
        <f t="shared" si="44"/>
        <v>9.4254716169855399</v>
      </c>
      <c r="L393" s="81">
        <f t="shared" si="45"/>
        <v>9.7945283830144589</v>
      </c>
      <c r="M393" s="81" t="str">
        <f t="shared" si="46"/>
        <v>NG</v>
      </c>
      <c r="N393" s="117">
        <f t="shared" si="47"/>
        <v>1</v>
      </c>
      <c r="O393" s="81">
        <f t="shared" si="48"/>
        <v>1.25</v>
      </c>
      <c r="P393" s="81">
        <f>IF(G393="","",ABS(O393-Components!$C$2)/Components!$D$2)</f>
        <v>227.46946970774937</v>
      </c>
      <c r="Q393" s="81">
        <f>IF(G393="","",ABS(O393-Components!$C$3)/Components!$D$3)</f>
        <v>201.93452267820967</v>
      </c>
      <c r="R393" s="81">
        <f>IF(G393="","",ABS(O393-Components!$C$4)/Components!$D$4)</f>
        <v>18.3613511399972</v>
      </c>
      <c r="S393" s="81">
        <f>IF(G393="","",ABS(O393-Components!$C$5)/Components!$D$5)</f>
        <v>131.56041514441438</v>
      </c>
      <c r="T393" s="81">
        <f>IF(G393="","",ABS(O393-Components!$C$6)/Components!$D$6)</f>
        <v>3.4143502283456799</v>
      </c>
      <c r="U393" s="81">
        <f>IF(G393="","",ABS(O393-Components!$C$7)/Components!$D$7)</f>
        <v>4.9445455372762188</v>
      </c>
      <c r="V393" s="81" t="str">
        <f>IF(G393="","",IF(M393="OK","NONE",INDEX({"S1","S2","W1","W2","N1","N2"},MATCH(MIN(P393:U393),P393:U393,0))))</f>
        <v>N1</v>
      </c>
      <c r="W393" s="117">
        <f t="shared" si="49"/>
        <v>1</v>
      </c>
      <c r="X393" s="107"/>
    </row>
    <row r="394" spans="1:24">
      <c r="A394" s="115">
        <v>392</v>
      </c>
      <c r="B394" s="116">
        <v>14</v>
      </c>
      <c r="C394" s="81" t="s">
        <v>132</v>
      </c>
      <c r="D394" s="111" t="s">
        <v>240</v>
      </c>
      <c r="E394" s="81" t="s">
        <v>108</v>
      </c>
      <c r="F394" s="61">
        <v>7.49</v>
      </c>
      <c r="G394" s="52">
        <f t="shared" si="43"/>
        <v>8.4600000000000009</v>
      </c>
      <c r="H394" s="110"/>
      <c r="I394" s="81">
        <v>9.61</v>
      </c>
      <c r="J394" s="81">
        <f>VLOOKUP(C394,Recipes!$A$2:$N$4,12,FALSE())</f>
        <v>6.1509461004819709E-2</v>
      </c>
      <c r="K394" s="81">
        <f t="shared" si="44"/>
        <v>9.4254716169855399</v>
      </c>
      <c r="L394" s="81">
        <f t="shared" si="45"/>
        <v>9.7945283830144589</v>
      </c>
      <c r="M394" s="81" t="str">
        <f t="shared" si="46"/>
        <v>NG</v>
      </c>
      <c r="N394" s="117">
        <f t="shared" si="47"/>
        <v>1</v>
      </c>
      <c r="O394" s="81">
        <f t="shared" si="48"/>
        <v>1.1499999999999986</v>
      </c>
      <c r="P394" s="81">
        <f>IF(G394="","",ABS(O394-Components!$C$2)/Components!$D$2)</f>
        <v>242.60047656192364</v>
      </c>
      <c r="Q394" s="81">
        <f>IF(G394="","",ABS(O394-Components!$C$3)/Components!$D$3)</f>
        <v>209.1827108576143</v>
      </c>
      <c r="R394" s="81">
        <f>IF(G394="","",ABS(O394-Components!$C$4)/Components!$D$4)</f>
        <v>11.207577968569629</v>
      </c>
      <c r="S394" s="81">
        <f>IF(G394="","",ABS(O394-Components!$C$5)/Components!$D$5)</f>
        <v>135.53185049793873</v>
      </c>
      <c r="T394" s="81">
        <f>IF(G394="","",ABS(O394-Components!$C$6)/Components!$D$6)</f>
        <v>0.20510231053684372</v>
      </c>
      <c r="U394" s="81">
        <f>IF(G394="","",ABS(O394-Components!$C$7)/Components!$D$7)</f>
        <v>8.9213918139060464</v>
      </c>
      <c r="V394" s="81" t="str">
        <f>IF(G394="","",IF(M394="OK","NONE",INDEX({"S1","S2","W1","W2","N1","N2"},MATCH(MIN(P394:U394),P394:U394,0))))</f>
        <v>N1</v>
      </c>
      <c r="W394" s="117">
        <f t="shared" si="49"/>
        <v>1</v>
      </c>
      <c r="X394" s="107"/>
    </row>
    <row r="395" spans="1:24">
      <c r="A395" s="115">
        <v>393</v>
      </c>
      <c r="B395" s="116">
        <v>14</v>
      </c>
      <c r="C395" s="81" t="s">
        <v>132</v>
      </c>
      <c r="D395" s="111" t="s">
        <v>240</v>
      </c>
      <c r="E395" s="81" t="s">
        <v>108</v>
      </c>
      <c r="F395" s="61">
        <v>7.43</v>
      </c>
      <c r="G395" s="52">
        <f t="shared" si="43"/>
        <v>8.4</v>
      </c>
      <c r="H395" s="110"/>
      <c r="I395" s="81">
        <v>9.61</v>
      </c>
      <c r="J395" s="81">
        <f>VLOOKUP(C395,Recipes!$A$2:$N$4,12,FALSE())</f>
        <v>6.1509461004819709E-2</v>
      </c>
      <c r="K395" s="81">
        <f t="shared" si="44"/>
        <v>9.4254716169855399</v>
      </c>
      <c r="L395" s="81">
        <f t="shared" si="45"/>
        <v>9.7945283830144589</v>
      </c>
      <c r="M395" s="81" t="str">
        <f t="shared" si="46"/>
        <v>NG</v>
      </c>
      <c r="N395" s="117">
        <f t="shared" si="47"/>
        <v>1</v>
      </c>
      <c r="O395" s="81">
        <f t="shared" si="48"/>
        <v>1.2099999999999991</v>
      </c>
      <c r="P395" s="81">
        <f>IF(G395="","",ABS(O395-Components!$C$2)/Components!$D$2)</f>
        <v>233.52187244941913</v>
      </c>
      <c r="Q395" s="81">
        <f>IF(G395="","",ABS(O395-Components!$C$3)/Components!$D$3)</f>
        <v>204.83379794997154</v>
      </c>
      <c r="R395" s="81">
        <f>IF(G395="","",ABS(O395-Components!$C$4)/Components!$D$4)</f>
        <v>15.499841871426147</v>
      </c>
      <c r="S395" s="81">
        <f>IF(G395="","",ABS(O395-Components!$C$5)/Components!$D$5)</f>
        <v>133.14898928582414</v>
      </c>
      <c r="T395" s="81">
        <f>IF(G395="","",ABS(O395-Components!$C$6)/Components!$D$6)</f>
        <v>1.9665692127926575</v>
      </c>
      <c r="U395" s="81">
        <f>IF(G395="","",ABS(O395-Components!$C$7)/Components!$D$7)</f>
        <v>6.5352840479281635</v>
      </c>
      <c r="V395" s="81" t="str">
        <f>IF(G395="","",IF(M395="OK","NONE",INDEX({"S1","S2","W1","W2","N1","N2"},MATCH(MIN(P395:U395),P395:U395,0))))</f>
        <v>N1</v>
      </c>
      <c r="W395" s="117">
        <f t="shared" si="49"/>
        <v>1</v>
      </c>
      <c r="X395" s="107"/>
    </row>
    <row r="396" spans="1:24">
      <c r="A396" s="115">
        <v>394</v>
      </c>
      <c r="B396" s="116">
        <v>14</v>
      </c>
      <c r="C396" s="81" t="s">
        <v>132</v>
      </c>
      <c r="D396" s="111" t="s">
        <v>240</v>
      </c>
      <c r="E396" s="81" t="s">
        <v>108</v>
      </c>
      <c r="F396" s="61">
        <v>7.39</v>
      </c>
      <c r="G396" s="52">
        <f t="shared" si="43"/>
        <v>8.36</v>
      </c>
      <c r="H396" s="110"/>
      <c r="I396" s="81">
        <v>9.61</v>
      </c>
      <c r="J396" s="81">
        <f>VLOOKUP(C396,Recipes!$A$2:$N$4,12,FALSE())</f>
        <v>6.1509461004819709E-2</v>
      </c>
      <c r="K396" s="81">
        <f t="shared" si="44"/>
        <v>9.4254716169855399</v>
      </c>
      <c r="L396" s="81">
        <f t="shared" si="45"/>
        <v>9.7945283830144589</v>
      </c>
      <c r="M396" s="81" t="str">
        <f t="shared" si="46"/>
        <v>NG</v>
      </c>
      <c r="N396" s="117">
        <f t="shared" si="47"/>
        <v>1</v>
      </c>
      <c r="O396" s="81">
        <f t="shared" si="48"/>
        <v>1.25</v>
      </c>
      <c r="P396" s="81">
        <f>IF(G396="","",ABS(O396-Components!$C$2)/Components!$D$2)</f>
        <v>227.46946970774937</v>
      </c>
      <c r="Q396" s="81">
        <f>IF(G396="","",ABS(O396-Components!$C$3)/Components!$D$3)</f>
        <v>201.93452267820967</v>
      </c>
      <c r="R396" s="81">
        <f>IF(G396="","",ABS(O396-Components!$C$4)/Components!$D$4)</f>
        <v>18.3613511399972</v>
      </c>
      <c r="S396" s="81">
        <f>IF(G396="","",ABS(O396-Components!$C$5)/Components!$D$5)</f>
        <v>131.56041514441438</v>
      </c>
      <c r="T396" s="81">
        <f>IF(G396="","",ABS(O396-Components!$C$6)/Components!$D$6)</f>
        <v>3.4143502283456799</v>
      </c>
      <c r="U396" s="81">
        <f>IF(G396="","",ABS(O396-Components!$C$7)/Components!$D$7)</f>
        <v>4.9445455372762188</v>
      </c>
      <c r="V396" s="81" t="str">
        <f>IF(G396="","",IF(M396="OK","NONE",INDEX({"S1","S2","W1","W2","N1","N2"},MATCH(MIN(P396:U396),P396:U396,0))))</f>
        <v>N1</v>
      </c>
      <c r="W396" s="117">
        <f t="shared" si="49"/>
        <v>1</v>
      </c>
      <c r="X396" s="107"/>
    </row>
    <row r="397" spans="1:24">
      <c r="A397" s="115">
        <v>395</v>
      </c>
      <c r="B397" s="116">
        <v>14</v>
      </c>
      <c r="C397" s="81" t="s">
        <v>132</v>
      </c>
      <c r="D397" s="111" t="s">
        <v>240</v>
      </c>
      <c r="E397" s="81" t="s">
        <v>108</v>
      </c>
      <c r="F397" s="61">
        <v>7.49</v>
      </c>
      <c r="G397" s="52">
        <f t="shared" si="43"/>
        <v>8.4600000000000009</v>
      </c>
      <c r="H397" s="110"/>
      <c r="I397" s="81">
        <v>9.61</v>
      </c>
      <c r="J397" s="81">
        <f>VLOOKUP(C397,Recipes!$A$2:$N$4,12,FALSE())</f>
        <v>6.1509461004819709E-2</v>
      </c>
      <c r="K397" s="81">
        <f t="shared" si="44"/>
        <v>9.4254716169855399</v>
      </c>
      <c r="L397" s="81">
        <f t="shared" si="45"/>
        <v>9.7945283830144589</v>
      </c>
      <c r="M397" s="81" t="str">
        <f t="shared" si="46"/>
        <v>NG</v>
      </c>
      <c r="N397" s="117">
        <f t="shared" si="47"/>
        <v>1</v>
      </c>
      <c r="O397" s="81">
        <f t="shared" si="48"/>
        <v>1.1499999999999986</v>
      </c>
      <c r="P397" s="81">
        <f>IF(G397="","",ABS(O397-Components!$C$2)/Components!$D$2)</f>
        <v>242.60047656192364</v>
      </c>
      <c r="Q397" s="81">
        <f>IF(G397="","",ABS(O397-Components!$C$3)/Components!$D$3)</f>
        <v>209.1827108576143</v>
      </c>
      <c r="R397" s="81">
        <f>IF(G397="","",ABS(O397-Components!$C$4)/Components!$D$4)</f>
        <v>11.207577968569629</v>
      </c>
      <c r="S397" s="81">
        <f>IF(G397="","",ABS(O397-Components!$C$5)/Components!$D$5)</f>
        <v>135.53185049793873</v>
      </c>
      <c r="T397" s="81">
        <f>IF(G397="","",ABS(O397-Components!$C$6)/Components!$D$6)</f>
        <v>0.20510231053684372</v>
      </c>
      <c r="U397" s="81">
        <f>IF(G397="","",ABS(O397-Components!$C$7)/Components!$D$7)</f>
        <v>8.9213918139060464</v>
      </c>
      <c r="V397" s="81" t="str">
        <f>IF(G397="","",IF(M397="OK","NONE",INDEX({"S1","S2","W1","W2","N1","N2"},MATCH(MIN(P397:U397),P397:U397,0))))</f>
        <v>N1</v>
      </c>
      <c r="W397" s="117">
        <f t="shared" si="49"/>
        <v>1</v>
      </c>
      <c r="X397" s="107"/>
    </row>
    <row r="398" spans="1:24">
      <c r="A398" s="115">
        <v>396</v>
      </c>
      <c r="B398" s="116">
        <v>14</v>
      </c>
      <c r="C398" s="81" t="s">
        <v>132</v>
      </c>
      <c r="D398" s="111" t="s">
        <v>240</v>
      </c>
      <c r="E398" s="81" t="s">
        <v>108</v>
      </c>
      <c r="F398" s="61">
        <v>7.48</v>
      </c>
      <c r="G398" s="52">
        <f t="shared" si="43"/>
        <v>8.4500000000000011</v>
      </c>
      <c r="H398" s="110"/>
      <c r="I398" s="81">
        <v>9.61</v>
      </c>
      <c r="J398" s="81">
        <f>VLOOKUP(C398,Recipes!$A$2:$N$4,12,FALSE())</f>
        <v>6.1509461004819709E-2</v>
      </c>
      <c r="K398" s="81">
        <f t="shared" si="44"/>
        <v>9.4254716169855399</v>
      </c>
      <c r="L398" s="81">
        <f t="shared" si="45"/>
        <v>9.7945283830144589</v>
      </c>
      <c r="M398" s="81" t="str">
        <f t="shared" si="46"/>
        <v>NG</v>
      </c>
      <c r="N398" s="117">
        <f t="shared" si="47"/>
        <v>1</v>
      </c>
      <c r="O398" s="81">
        <f t="shared" si="48"/>
        <v>1.1599999999999984</v>
      </c>
      <c r="P398" s="81">
        <f>IF(G398="","",ABS(O398-Components!$C$2)/Components!$D$2)</f>
        <v>241.08737587650626</v>
      </c>
      <c r="Q398" s="81">
        <f>IF(G398="","",ABS(O398-Components!$C$3)/Components!$D$3)</f>
        <v>208.45789203967385</v>
      </c>
      <c r="R398" s="81">
        <f>IF(G398="","",ABS(O398-Components!$C$4)/Components!$D$4)</f>
        <v>11.92295528571236</v>
      </c>
      <c r="S398" s="81">
        <f>IF(G398="","",ABS(O398-Components!$C$5)/Components!$D$5)</f>
        <v>135.13470696258631</v>
      </c>
      <c r="T398" s="81">
        <f>IF(G398="","",ABS(O398-Components!$C$6)/Components!$D$6)</f>
        <v>0.15684294335139579</v>
      </c>
      <c r="U398" s="81">
        <f>IF(G398="","",ABS(O398-Components!$C$7)/Components!$D$7)</f>
        <v>8.5237071862430778</v>
      </c>
      <c r="V398" s="81" t="str">
        <f>IF(G398="","",IF(M398="OK","NONE",INDEX({"S1","S2","W1","W2","N1","N2"},MATCH(MIN(P398:U398),P398:U398,0))))</f>
        <v>N1</v>
      </c>
      <c r="W398" s="117">
        <f t="shared" si="49"/>
        <v>1</v>
      </c>
      <c r="X398" s="107"/>
    </row>
    <row r="399" spans="1:24">
      <c r="A399" s="115">
        <v>397</v>
      </c>
      <c r="B399" s="116">
        <v>14</v>
      </c>
      <c r="C399" s="81" t="s">
        <v>132</v>
      </c>
      <c r="D399" s="111" t="s">
        <v>240</v>
      </c>
      <c r="E399" s="81" t="s">
        <v>108</v>
      </c>
      <c r="F399" s="61">
        <v>7.46</v>
      </c>
      <c r="G399" s="52">
        <f t="shared" si="43"/>
        <v>8.43</v>
      </c>
      <c r="H399" s="110"/>
      <c r="I399" s="81">
        <v>9.61</v>
      </c>
      <c r="J399" s="81">
        <f>VLOOKUP(C399,Recipes!$A$2:$N$4,12,FALSE())</f>
        <v>6.1509461004819709E-2</v>
      </c>
      <c r="K399" s="81">
        <f t="shared" si="44"/>
        <v>9.4254716169855399</v>
      </c>
      <c r="L399" s="81">
        <f t="shared" si="45"/>
        <v>9.7945283830144589</v>
      </c>
      <c r="M399" s="81" t="str">
        <f t="shared" si="46"/>
        <v>NG</v>
      </c>
      <c r="N399" s="117">
        <f t="shared" si="47"/>
        <v>1</v>
      </c>
      <c r="O399" s="81">
        <f t="shared" si="48"/>
        <v>1.1799999999999997</v>
      </c>
      <c r="P399" s="81">
        <f>IF(G399="","",ABS(O399-Components!$C$2)/Components!$D$2)</f>
        <v>238.06117450567126</v>
      </c>
      <c r="Q399" s="81">
        <f>IF(G399="","",ABS(O399-Components!$C$3)/Components!$D$3)</f>
        <v>207.00825440379285</v>
      </c>
      <c r="R399" s="81">
        <f>IF(G399="","",ABS(O399-Components!$C$4)/Components!$D$4)</f>
        <v>13.353709919997952</v>
      </c>
      <c r="S399" s="81">
        <f>IF(G399="","",ABS(O399-Components!$C$5)/Components!$D$5)</f>
        <v>134.3404198918814</v>
      </c>
      <c r="T399" s="81">
        <f>IF(G399="","",ABS(O399-Components!$C$6)/Components!$D$6)</f>
        <v>0.8807334511279391</v>
      </c>
      <c r="U399" s="81">
        <f>IF(G399="","",ABS(O399-Components!$C$7)/Components!$D$7)</f>
        <v>7.7283379309170694</v>
      </c>
      <c r="V399" s="81" t="str">
        <f>IF(G399="","",IF(M399="OK","NONE",INDEX({"S1","S2","W1","W2","N1","N2"},MATCH(MIN(P399:U399),P399:U399,0))))</f>
        <v>N1</v>
      </c>
      <c r="W399" s="117">
        <f t="shared" si="49"/>
        <v>1</v>
      </c>
      <c r="X399" s="107"/>
    </row>
    <row r="400" spans="1:24">
      <c r="A400" s="115">
        <v>398</v>
      </c>
      <c r="B400" s="116">
        <v>14</v>
      </c>
      <c r="C400" s="81" t="s">
        <v>132</v>
      </c>
      <c r="D400" s="111" t="s">
        <v>240</v>
      </c>
      <c r="E400" s="81" t="s">
        <v>108</v>
      </c>
      <c r="F400" s="61">
        <v>7.48</v>
      </c>
      <c r="G400" s="52">
        <f t="shared" si="43"/>
        <v>8.4500000000000011</v>
      </c>
      <c r="H400" s="110"/>
      <c r="I400" s="81">
        <v>9.61</v>
      </c>
      <c r="J400" s="81">
        <f>VLOOKUP(C400,Recipes!$A$2:$N$4,12,FALSE())</f>
        <v>6.1509461004819709E-2</v>
      </c>
      <c r="K400" s="81">
        <f t="shared" si="44"/>
        <v>9.4254716169855399</v>
      </c>
      <c r="L400" s="81">
        <f t="shared" si="45"/>
        <v>9.7945283830144589</v>
      </c>
      <c r="M400" s="81" t="str">
        <f t="shared" si="46"/>
        <v>NG</v>
      </c>
      <c r="N400" s="117">
        <f t="shared" si="47"/>
        <v>1</v>
      </c>
      <c r="O400" s="81">
        <f t="shared" si="48"/>
        <v>1.1599999999999984</v>
      </c>
      <c r="P400" s="81">
        <f>IF(G400="","",ABS(O400-Components!$C$2)/Components!$D$2)</f>
        <v>241.08737587650626</v>
      </c>
      <c r="Q400" s="81">
        <f>IF(G400="","",ABS(O400-Components!$C$3)/Components!$D$3)</f>
        <v>208.45789203967385</v>
      </c>
      <c r="R400" s="81">
        <f>IF(G400="","",ABS(O400-Components!$C$4)/Components!$D$4)</f>
        <v>11.92295528571236</v>
      </c>
      <c r="S400" s="81">
        <f>IF(G400="","",ABS(O400-Components!$C$5)/Components!$D$5)</f>
        <v>135.13470696258631</v>
      </c>
      <c r="T400" s="81">
        <f>IF(G400="","",ABS(O400-Components!$C$6)/Components!$D$6)</f>
        <v>0.15684294335139579</v>
      </c>
      <c r="U400" s="81">
        <f>IF(G400="","",ABS(O400-Components!$C$7)/Components!$D$7)</f>
        <v>8.5237071862430778</v>
      </c>
      <c r="V400" s="81" t="str">
        <f>IF(G400="","",IF(M400="OK","NONE",INDEX({"S1","S2","W1","W2","N1","N2"},MATCH(MIN(P400:U400),P400:U400,0))))</f>
        <v>N1</v>
      </c>
      <c r="W400" s="117">
        <f t="shared" si="49"/>
        <v>1</v>
      </c>
      <c r="X400" s="107"/>
    </row>
    <row r="401" spans="1:24">
      <c r="A401" s="115">
        <v>399</v>
      </c>
      <c r="B401" s="116">
        <v>14</v>
      </c>
      <c r="C401" s="81" t="s">
        <v>132</v>
      </c>
      <c r="D401" s="111" t="s">
        <v>240</v>
      </c>
      <c r="E401" s="81" t="s">
        <v>108</v>
      </c>
      <c r="F401" s="61">
        <v>7.45</v>
      </c>
      <c r="G401" s="52">
        <f t="shared" si="43"/>
        <v>8.42</v>
      </c>
      <c r="H401" s="110"/>
      <c r="I401" s="81">
        <v>9.61</v>
      </c>
      <c r="J401" s="81">
        <f>VLOOKUP(C401,Recipes!$A$2:$N$4,12,FALSE())</f>
        <v>6.1509461004819709E-2</v>
      </c>
      <c r="K401" s="81">
        <f t="shared" si="44"/>
        <v>9.4254716169855399</v>
      </c>
      <c r="L401" s="81">
        <f t="shared" si="45"/>
        <v>9.7945283830144589</v>
      </c>
      <c r="M401" s="81" t="str">
        <f t="shared" si="46"/>
        <v>NG</v>
      </c>
      <c r="N401" s="117">
        <f t="shared" si="47"/>
        <v>1</v>
      </c>
      <c r="O401" s="81">
        <f t="shared" si="48"/>
        <v>1.1899999999999995</v>
      </c>
      <c r="P401" s="81">
        <f>IF(G401="","",ABS(O401-Components!$C$2)/Components!$D$2)</f>
        <v>236.54807382025388</v>
      </c>
      <c r="Q401" s="81">
        <f>IF(G401="","",ABS(O401-Components!$C$3)/Components!$D$3)</f>
        <v>206.28343558585243</v>
      </c>
      <c r="R401" s="81">
        <f>IF(G401="","",ABS(O401-Components!$C$4)/Components!$D$4)</f>
        <v>14.069087237140684</v>
      </c>
      <c r="S401" s="81">
        <f>IF(G401="","",ABS(O401-Components!$C$5)/Components!$D$5)</f>
        <v>133.94327635652897</v>
      </c>
      <c r="T401" s="81">
        <f>IF(G401="","",ABS(O401-Components!$C$6)/Components!$D$6)</f>
        <v>1.2426787050161785</v>
      </c>
      <c r="U401" s="81">
        <f>IF(G401="","",ABS(O401-Components!$C$7)/Components!$D$7)</f>
        <v>7.3306533032541008</v>
      </c>
      <c r="V401" s="81" t="str">
        <f>IF(G401="","",IF(M401="OK","NONE",INDEX({"S1","S2","W1","W2","N1","N2"},MATCH(MIN(P401:U401),P401:U401,0))))</f>
        <v>N1</v>
      </c>
      <c r="W401" s="117">
        <f t="shared" si="49"/>
        <v>1</v>
      </c>
      <c r="X401" s="107"/>
    </row>
    <row r="402" spans="1:24">
      <c r="A402" s="115">
        <v>400</v>
      </c>
      <c r="B402" s="116">
        <v>14</v>
      </c>
      <c r="C402" s="81" t="s">
        <v>132</v>
      </c>
      <c r="D402" s="111" t="s">
        <v>240</v>
      </c>
      <c r="E402" s="81" t="s">
        <v>108</v>
      </c>
      <c r="F402" s="61">
        <v>7.43</v>
      </c>
      <c r="G402" s="52">
        <f t="shared" si="43"/>
        <v>8.4</v>
      </c>
      <c r="H402" s="110"/>
      <c r="I402" s="81">
        <v>9.61</v>
      </c>
      <c r="J402" s="81">
        <f>VLOOKUP(C402,Recipes!$A$2:$N$4,12,FALSE())</f>
        <v>6.1509461004819709E-2</v>
      </c>
      <c r="K402" s="81">
        <f t="shared" si="44"/>
        <v>9.4254716169855399</v>
      </c>
      <c r="L402" s="81">
        <f t="shared" si="45"/>
        <v>9.7945283830144589</v>
      </c>
      <c r="M402" s="81" t="str">
        <f t="shared" si="46"/>
        <v>NG</v>
      </c>
      <c r="N402" s="117">
        <f t="shared" si="47"/>
        <v>1</v>
      </c>
      <c r="O402" s="81">
        <f t="shared" si="48"/>
        <v>1.2099999999999991</v>
      </c>
      <c r="P402" s="81">
        <f>IF(G402="","",ABS(O402-Components!$C$2)/Components!$D$2)</f>
        <v>233.52187244941913</v>
      </c>
      <c r="Q402" s="81">
        <f>IF(G402="","",ABS(O402-Components!$C$3)/Components!$D$3)</f>
        <v>204.83379794997154</v>
      </c>
      <c r="R402" s="81">
        <f>IF(G402="","",ABS(O402-Components!$C$4)/Components!$D$4)</f>
        <v>15.499841871426147</v>
      </c>
      <c r="S402" s="81">
        <f>IF(G402="","",ABS(O402-Components!$C$5)/Components!$D$5)</f>
        <v>133.14898928582414</v>
      </c>
      <c r="T402" s="81">
        <f>IF(G402="","",ABS(O402-Components!$C$6)/Components!$D$6)</f>
        <v>1.9665692127926575</v>
      </c>
      <c r="U402" s="81">
        <f>IF(G402="","",ABS(O402-Components!$C$7)/Components!$D$7)</f>
        <v>6.5352840479281635</v>
      </c>
      <c r="V402" s="81" t="str">
        <f>IF(G402="","",IF(M402="OK","NONE",INDEX({"S1","S2","W1","W2","N1","N2"},MATCH(MIN(P402:U402),P402:U402,0))))</f>
        <v>N1</v>
      </c>
      <c r="W402" s="117">
        <f t="shared" si="49"/>
        <v>1</v>
      </c>
      <c r="X402" s="107"/>
    </row>
    <row r="403" spans="1:24">
      <c r="A403" s="115">
        <v>401</v>
      </c>
      <c r="B403" s="116">
        <v>14</v>
      </c>
      <c r="C403" s="81" t="s">
        <v>132</v>
      </c>
      <c r="D403" s="111" t="s">
        <v>240</v>
      </c>
      <c r="E403" s="81" t="s">
        <v>108</v>
      </c>
      <c r="F403" s="61">
        <v>7.48</v>
      </c>
      <c r="G403" s="52">
        <f t="shared" si="43"/>
        <v>8.4500000000000011</v>
      </c>
      <c r="H403" s="110"/>
      <c r="I403" s="81">
        <v>9.61</v>
      </c>
      <c r="J403" s="81">
        <f>VLOOKUP(C403,Recipes!$A$2:$N$4,12,FALSE())</f>
        <v>6.1509461004819709E-2</v>
      </c>
      <c r="K403" s="81">
        <f t="shared" si="44"/>
        <v>9.4254716169855399</v>
      </c>
      <c r="L403" s="81">
        <f t="shared" si="45"/>
        <v>9.7945283830144589</v>
      </c>
      <c r="M403" s="81" t="str">
        <f t="shared" si="46"/>
        <v>NG</v>
      </c>
      <c r="N403" s="117">
        <f t="shared" si="47"/>
        <v>1</v>
      </c>
      <c r="O403" s="81">
        <f t="shared" si="48"/>
        <v>1.1599999999999984</v>
      </c>
      <c r="P403" s="81">
        <f>IF(G403="","",ABS(O403-Components!$C$2)/Components!$D$2)</f>
        <v>241.08737587650626</v>
      </c>
      <c r="Q403" s="81">
        <f>IF(G403="","",ABS(O403-Components!$C$3)/Components!$D$3)</f>
        <v>208.45789203967385</v>
      </c>
      <c r="R403" s="81">
        <f>IF(G403="","",ABS(O403-Components!$C$4)/Components!$D$4)</f>
        <v>11.92295528571236</v>
      </c>
      <c r="S403" s="81">
        <f>IF(G403="","",ABS(O403-Components!$C$5)/Components!$D$5)</f>
        <v>135.13470696258631</v>
      </c>
      <c r="T403" s="81">
        <f>IF(G403="","",ABS(O403-Components!$C$6)/Components!$D$6)</f>
        <v>0.15684294335139579</v>
      </c>
      <c r="U403" s="81">
        <f>IF(G403="","",ABS(O403-Components!$C$7)/Components!$D$7)</f>
        <v>8.5237071862430778</v>
      </c>
      <c r="V403" s="81" t="str">
        <f>IF(G403="","",IF(M403="OK","NONE",INDEX({"S1","S2","W1","W2","N1","N2"},MATCH(MIN(P403:U403),P403:U403,0))))</f>
        <v>N1</v>
      </c>
      <c r="W403" s="117">
        <f t="shared" si="49"/>
        <v>1</v>
      </c>
      <c r="X403" s="107"/>
    </row>
    <row r="404" spans="1:24">
      <c r="A404" s="115">
        <v>402</v>
      </c>
      <c r="B404" s="116">
        <v>14</v>
      </c>
      <c r="C404" s="81" t="s">
        <v>132</v>
      </c>
      <c r="D404" s="111" t="s">
        <v>240</v>
      </c>
      <c r="E404" s="81" t="s">
        <v>108</v>
      </c>
      <c r="F404" s="61">
        <v>7.46</v>
      </c>
      <c r="G404" s="52">
        <f t="shared" si="43"/>
        <v>8.43</v>
      </c>
      <c r="H404" s="110"/>
      <c r="I404" s="81">
        <v>9.61</v>
      </c>
      <c r="J404" s="81">
        <f>VLOOKUP(C404,Recipes!$A$2:$N$4,12,FALSE())</f>
        <v>6.1509461004819709E-2</v>
      </c>
      <c r="K404" s="81">
        <f t="shared" si="44"/>
        <v>9.4254716169855399</v>
      </c>
      <c r="L404" s="81">
        <f t="shared" si="45"/>
        <v>9.7945283830144589</v>
      </c>
      <c r="M404" s="81" t="str">
        <f t="shared" si="46"/>
        <v>NG</v>
      </c>
      <c r="N404" s="117">
        <f t="shared" si="47"/>
        <v>1</v>
      </c>
      <c r="O404" s="81">
        <f t="shared" si="48"/>
        <v>1.1799999999999997</v>
      </c>
      <c r="P404" s="81">
        <f>IF(G404="","",ABS(O404-Components!$C$2)/Components!$D$2)</f>
        <v>238.06117450567126</v>
      </c>
      <c r="Q404" s="81">
        <f>IF(G404="","",ABS(O404-Components!$C$3)/Components!$D$3)</f>
        <v>207.00825440379285</v>
      </c>
      <c r="R404" s="81">
        <f>IF(G404="","",ABS(O404-Components!$C$4)/Components!$D$4)</f>
        <v>13.353709919997952</v>
      </c>
      <c r="S404" s="81">
        <f>IF(G404="","",ABS(O404-Components!$C$5)/Components!$D$5)</f>
        <v>134.3404198918814</v>
      </c>
      <c r="T404" s="81">
        <f>IF(G404="","",ABS(O404-Components!$C$6)/Components!$D$6)</f>
        <v>0.8807334511279391</v>
      </c>
      <c r="U404" s="81">
        <f>IF(G404="","",ABS(O404-Components!$C$7)/Components!$D$7)</f>
        <v>7.7283379309170694</v>
      </c>
      <c r="V404" s="81" t="str">
        <f>IF(G404="","",IF(M404="OK","NONE",INDEX({"S1","S2","W1","W2","N1","N2"},MATCH(MIN(P404:U404),P404:U404,0))))</f>
        <v>N1</v>
      </c>
      <c r="W404" s="117">
        <f t="shared" si="49"/>
        <v>1</v>
      </c>
      <c r="X404" s="107"/>
    </row>
    <row r="405" spans="1:24">
      <c r="A405" s="115">
        <v>403</v>
      </c>
      <c r="B405" s="116">
        <v>14</v>
      </c>
      <c r="C405" s="81" t="s">
        <v>132</v>
      </c>
      <c r="D405" s="111" t="s">
        <v>240</v>
      </c>
      <c r="E405" s="81" t="s">
        <v>108</v>
      </c>
      <c r="F405" s="61">
        <v>7.47</v>
      </c>
      <c r="G405" s="52">
        <f t="shared" si="43"/>
        <v>8.44</v>
      </c>
      <c r="H405" s="110"/>
      <c r="I405" s="81">
        <v>9.61</v>
      </c>
      <c r="J405" s="81">
        <f>VLOOKUP(C405,Recipes!$A$2:$N$4,12,FALSE())</f>
        <v>6.1509461004819709E-2</v>
      </c>
      <c r="K405" s="81">
        <f t="shared" si="44"/>
        <v>9.4254716169855399</v>
      </c>
      <c r="L405" s="81">
        <f t="shared" si="45"/>
        <v>9.7945283830144589</v>
      </c>
      <c r="M405" s="81" t="str">
        <f t="shared" si="46"/>
        <v>NG</v>
      </c>
      <c r="N405" s="117">
        <f t="shared" si="47"/>
        <v>1</v>
      </c>
      <c r="O405" s="81">
        <f t="shared" si="48"/>
        <v>1.17</v>
      </c>
      <c r="P405" s="81">
        <f>IF(G405="","",ABS(O405-Components!$C$2)/Components!$D$2)</f>
        <v>239.57427519108862</v>
      </c>
      <c r="Q405" s="81">
        <f>IF(G405="","",ABS(O405-Components!$C$3)/Components!$D$3)</f>
        <v>207.73307322173329</v>
      </c>
      <c r="R405" s="81">
        <f>IF(G405="","",ABS(O405-Components!$C$4)/Components!$D$4)</f>
        <v>12.63833260285522</v>
      </c>
      <c r="S405" s="81">
        <f>IF(G405="","",ABS(O405-Components!$C$5)/Components!$D$5)</f>
        <v>134.73756342723382</v>
      </c>
      <c r="T405" s="81">
        <f>IF(G405="","",ABS(O405-Components!$C$6)/Components!$D$6)</f>
        <v>0.5187881972396996</v>
      </c>
      <c r="U405" s="81">
        <f>IF(G405="","",ABS(O405-Components!$C$7)/Components!$D$7)</f>
        <v>8.1260225585800381</v>
      </c>
      <c r="V405" s="81" t="str">
        <f>IF(G405="","",IF(M405="OK","NONE",INDEX({"S1","S2","W1","W2","N1","N2"},MATCH(MIN(P405:U405),P405:U405,0))))</f>
        <v>N1</v>
      </c>
      <c r="W405" s="117">
        <f t="shared" si="49"/>
        <v>1</v>
      </c>
      <c r="X405" s="107"/>
    </row>
    <row r="406" spans="1:24">
      <c r="A406" s="115">
        <v>404</v>
      </c>
      <c r="B406" s="116">
        <v>14</v>
      </c>
      <c r="C406" s="81" t="s">
        <v>132</v>
      </c>
      <c r="D406" s="111" t="s">
        <v>240</v>
      </c>
      <c r="E406" s="81" t="s">
        <v>108</v>
      </c>
      <c r="F406" s="61">
        <v>7.3</v>
      </c>
      <c r="G406" s="52">
        <f t="shared" si="43"/>
        <v>8.27</v>
      </c>
      <c r="H406" s="110"/>
      <c r="I406" s="81">
        <v>9.61</v>
      </c>
      <c r="J406" s="81">
        <f>VLOOKUP(C406,Recipes!$A$2:$N$4,12,FALSE())</f>
        <v>6.1509461004819709E-2</v>
      </c>
      <c r="K406" s="81">
        <f t="shared" si="44"/>
        <v>9.4254716169855399</v>
      </c>
      <c r="L406" s="81">
        <f t="shared" si="45"/>
        <v>9.7945283830144589</v>
      </c>
      <c r="M406" s="81" t="str">
        <f t="shared" si="46"/>
        <v>NG</v>
      </c>
      <c r="N406" s="117">
        <f t="shared" si="47"/>
        <v>1</v>
      </c>
      <c r="O406" s="81">
        <f t="shared" si="48"/>
        <v>1.3399999999999999</v>
      </c>
      <c r="P406" s="81">
        <f>IF(G406="","",ABS(O406-Components!$C$2)/Components!$D$2)</f>
        <v>213.85156353899274</v>
      </c>
      <c r="Q406" s="81">
        <f>IF(G406="","",ABS(O406-Components!$C$3)/Components!$D$3)</f>
        <v>195.41115331674561</v>
      </c>
      <c r="R406" s="81">
        <f>IF(G406="","",ABS(O406-Components!$C$4)/Components!$D$4)</f>
        <v>24.799746994281914</v>
      </c>
      <c r="S406" s="81">
        <f>IF(G406="","",ABS(O406-Components!$C$5)/Components!$D$5)</f>
        <v>127.98612332624255</v>
      </c>
      <c r="T406" s="81">
        <f>IF(G406="","",ABS(O406-Components!$C$6)/Components!$D$6)</f>
        <v>6.6718575133398996</v>
      </c>
      <c r="U406" s="81">
        <f>IF(G406="","",ABS(O406-Components!$C$7)/Components!$D$7)</f>
        <v>1.3653838883094307</v>
      </c>
      <c r="V406" s="81" t="str">
        <f>IF(G406="","",IF(M406="OK","NONE",INDEX({"S1","S2","W1","W2","N1","N2"},MATCH(MIN(P406:U406),P406:U406,0))))</f>
        <v>N2</v>
      </c>
      <c r="W406" s="122">
        <f t="shared" si="49"/>
        <v>0</v>
      </c>
      <c r="X406" s="107"/>
    </row>
    <row r="407" spans="1:24">
      <c r="A407" s="115">
        <v>405</v>
      </c>
      <c r="B407" s="116">
        <v>14</v>
      </c>
      <c r="C407" s="81" t="s">
        <v>132</v>
      </c>
      <c r="D407" s="111" t="s">
        <v>240</v>
      </c>
      <c r="E407" s="81" t="s">
        <v>108</v>
      </c>
      <c r="F407" s="61">
        <v>7.44</v>
      </c>
      <c r="G407" s="52">
        <f t="shared" si="43"/>
        <v>8.41</v>
      </c>
      <c r="H407" s="110"/>
      <c r="I407" s="81">
        <v>9.61</v>
      </c>
      <c r="J407" s="81">
        <f>VLOOKUP(C407,Recipes!$A$2:$N$4,12,FALSE())</f>
        <v>6.1509461004819709E-2</v>
      </c>
      <c r="K407" s="81">
        <f t="shared" si="44"/>
        <v>9.4254716169855399</v>
      </c>
      <c r="L407" s="81">
        <f t="shared" si="45"/>
        <v>9.7945283830144589</v>
      </c>
      <c r="M407" s="81" t="str">
        <f t="shared" si="46"/>
        <v>NG</v>
      </c>
      <c r="N407" s="117">
        <f t="shared" si="47"/>
        <v>1</v>
      </c>
      <c r="O407" s="81">
        <f t="shared" si="48"/>
        <v>1.1999999999999993</v>
      </c>
      <c r="P407" s="81">
        <f>IF(G407="","",ABS(O407-Components!$C$2)/Components!$D$2)</f>
        <v>235.03497313483649</v>
      </c>
      <c r="Q407" s="81">
        <f>IF(G407="","",ABS(O407-Components!$C$3)/Components!$D$3)</f>
        <v>205.55861676791199</v>
      </c>
      <c r="R407" s="81">
        <f>IF(G407="","",ABS(O407-Components!$C$4)/Components!$D$4)</f>
        <v>14.784464554283415</v>
      </c>
      <c r="S407" s="81">
        <f>IF(G407="","",ABS(O407-Components!$C$5)/Components!$D$5)</f>
        <v>133.54613282117657</v>
      </c>
      <c r="T407" s="81">
        <f>IF(G407="","",ABS(O407-Components!$C$6)/Components!$D$6)</f>
        <v>1.604623958904418</v>
      </c>
      <c r="U407" s="81">
        <f>IF(G407="","",ABS(O407-Components!$C$7)/Components!$D$7)</f>
        <v>6.9329686755911322</v>
      </c>
      <c r="V407" s="81" t="str">
        <f>IF(G407="","",IF(M407="OK","NONE",INDEX({"S1","S2","W1","W2","N1","N2"},MATCH(MIN(P407:U407),P407:U407,0))))</f>
        <v>N1</v>
      </c>
      <c r="W407" s="117">
        <f t="shared" si="49"/>
        <v>1</v>
      </c>
      <c r="X407" s="107"/>
    </row>
    <row r="408" spans="1:24">
      <c r="A408" s="115">
        <v>406</v>
      </c>
      <c r="B408" s="116">
        <v>14</v>
      </c>
      <c r="C408" s="81" t="s">
        <v>132</v>
      </c>
      <c r="D408" s="111" t="s">
        <v>240</v>
      </c>
      <c r="E408" s="81" t="s">
        <v>108</v>
      </c>
      <c r="F408" s="61">
        <v>7.45</v>
      </c>
      <c r="G408" s="52">
        <f t="shared" si="43"/>
        <v>8.42</v>
      </c>
      <c r="H408" s="110"/>
      <c r="I408" s="81">
        <v>9.61</v>
      </c>
      <c r="J408" s="81">
        <f>VLOOKUP(C408,Recipes!$A$2:$N$4,12,FALSE())</f>
        <v>6.1509461004819709E-2</v>
      </c>
      <c r="K408" s="81">
        <f t="shared" si="44"/>
        <v>9.4254716169855399</v>
      </c>
      <c r="L408" s="81">
        <f t="shared" si="45"/>
        <v>9.7945283830144589</v>
      </c>
      <c r="M408" s="81" t="str">
        <f t="shared" si="46"/>
        <v>NG</v>
      </c>
      <c r="N408" s="117">
        <f t="shared" si="47"/>
        <v>1</v>
      </c>
      <c r="O408" s="81">
        <f t="shared" si="48"/>
        <v>1.1899999999999995</v>
      </c>
      <c r="P408" s="81">
        <f>IF(G408="","",ABS(O408-Components!$C$2)/Components!$D$2)</f>
        <v>236.54807382025388</v>
      </c>
      <c r="Q408" s="81">
        <f>IF(G408="","",ABS(O408-Components!$C$3)/Components!$D$3)</f>
        <v>206.28343558585243</v>
      </c>
      <c r="R408" s="81">
        <f>IF(G408="","",ABS(O408-Components!$C$4)/Components!$D$4)</f>
        <v>14.069087237140684</v>
      </c>
      <c r="S408" s="81">
        <f>IF(G408="","",ABS(O408-Components!$C$5)/Components!$D$5)</f>
        <v>133.94327635652897</v>
      </c>
      <c r="T408" s="81">
        <f>IF(G408="","",ABS(O408-Components!$C$6)/Components!$D$6)</f>
        <v>1.2426787050161785</v>
      </c>
      <c r="U408" s="81">
        <f>IF(G408="","",ABS(O408-Components!$C$7)/Components!$D$7)</f>
        <v>7.3306533032541008</v>
      </c>
      <c r="V408" s="81" t="str">
        <f>IF(G408="","",IF(M408="OK","NONE",INDEX({"S1","S2","W1","W2","N1","N2"},MATCH(MIN(P408:U408),P408:U408,0))))</f>
        <v>N1</v>
      </c>
      <c r="W408" s="117">
        <f t="shared" si="49"/>
        <v>1</v>
      </c>
      <c r="X408" s="107"/>
    </row>
    <row r="409" spans="1:24">
      <c r="A409" s="115">
        <v>407</v>
      </c>
      <c r="B409" s="116">
        <v>14</v>
      </c>
      <c r="C409" s="81" t="s">
        <v>132</v>
      </c>
      <c r="D409" s="111" t="s">
        <v>240</v>
      </c>
      <c r="E409" s="81" t="s">
        <v>108</v>
      </c>
      <c r="F409" s="61">
        <v>7.45</v>
      </c>
      <c r="G409" s="52">
        <f t="shared" si="43"/>
        <v>8.42</v>
      </c>
      <c r="H409" s="110"/>
      <c r="I409" s="81">
        <v>9.61</v>
      </c>
      <c r="J409" s="81">
        <f>VLOOKUP(C409,Recipes!$A$2:$N$4,12,FALSE())</f>
        <v>6.1509461004819709E-2</v>
      </c>
      <c r="K409" s="81">
        <f t="shared" si="44"/>
        <v>9.4254716169855399</v>
      </c>
      <c r="L409" s="81">
        <f t="shared" si="45"/>
        <v>9.7945283830144589</v>
      </c>
      <c r="M409" s="81" t="str">
        <f t="shared" si="46"/>
        <v>NG</v>
      </c>
      <c r="N409" s="117">
        <f t="shared" si="47"/>
        <v>1</v>
      </c>
      <c r="O409" s="81">
        <f t="shared" si="48"/>
        <v>1.1899999999999995</v>
      </c>
      <c r="P409" s="81">
        <f>IF(G409="","",ABS(O409-Components!$C$2)/Components!$D$2)</f>
        <v>236.54807382025388</v>
      </c>
      <c r="Q409" s="81">
        <f>IF(G409="","",ABS(O409-Components!$C$3)/Components!$D$3)</f>
        <v>206.28343558585243</v>
      </c>
      <c r="R409" s="81">
        <f>IF(G409="","",ABS(O409-Components!$C$4)/Components!$D$4)</f>
        <v>14.069087237140684</v>
      </c>
      <c r="S409" s="81">
        <f>IF(G409="","",ABS(O409-Components!$C$5)/Components!$D$5)</f>
        <v>133.94327635652897</v>
      </c>
      <c r="T409" s="81">
        <f>IF(G409="","",ABS(O409-Components!$C$6)/Components!$D$6)</f>
        <v>1.2426787050161785</v>
      </c>
      <c r="U409" s="81">
        <f>IF(G409="","",ABS(O409-Components!$C$7)/Components!$D$7)</f>
        <v>7.3306533032541008</v>
      </c>
      <c r="V409" s="81" t="str">
        <f>IF(G409="","",IF(M409="OK","NONE",INDEX({"S1","S2","W1","W2","N1","N2"},MATCH(MIN(P409:U409),P409:U409,0))))</f>
        <v>N1</v>
      </c>
      <c r="W409" s="117">
        <f t="shared" si="49"/>
        <v>1</v>
      </c>
      <c r="X409" s="107"/>
    </row>
    <row r="410" spans="1:24">
      <c r="A410" s="115">
        <v>408</v>
      </c>
      <c r="B410" s="116">
        <v>14</v>
      </c>
      <c r="C410" s="81" t="s">
        <v>132</v>
      </c>
      <c r="D410" s="111" t="s">
        <v>240</v>
      </c>
      <c r="E410" s="81" t="s">
        <v>108</v>
      </c>
      <c r="F410" s="61">
        <v>7.44</v>
      </c>
      <c r="G410" s="52">
        <f t="shared" si="43"/>
        <v>8.41</v>
      </c>
      <c r="H410" s="110"/>
      <c r="I410" s="81">
        <v>9.61</v>
      </c>
      <c r="J410" s="81">
        <f>VLOOKUP(C410,Recipes!$A$2:$N$4,12,FALSE())</f>
        <v>6.1509461004819709E-2</v>
      </c>
      <c r="K410" s="81">
        <f t="shared" si="44"/>
        <v>9.4254716169855399</v>
      </c>
      <c r="L410" s="81">
        <f t="shared" si="45"/>
        <v>9.7945283830144589</v>
      </c>
      <c r="M410" s="81" t="str">
        <f t="shared" si="46"/>
        <v>NG</v>
      </c>
      <c r="N410" s="117">
        <f t="shared" si="47"/>
        <v>1</v>
      </c>
      <c r="O410" s="81">
        <f t="shared" si="48"/>
        <v>1.1999999999999993</v>
      </c>
      <c r="P410" s="81">
        <f>IF(G410="","",ABS(O410-Components!$C$2)/Components!$D$2)</f>
        <v>235.03497313483649</v>
      </c>
      <c r="Q410" s="81">
        <f>IF(G410="","",ABS(O410-Components!$C$3)/Components!$D$3)</f>
        <v>205.55861676791199</v>
      </c>
      <c r="R410" s="81">
        <f>IF(G410="","",ABS(O410-Components!$C$4)/Components!$D$4)</f>
        <v>14.784464554283415</v>
      </c>
      <c r="S410" s="81">
        <f>IF(G410="","",ABS(O410-Components!$C$5)/Components!$D$5)</f>
        <v>133.54613282117657</v>
      </c>
      <c r="T410" s="81">
        <f>IF(G410="","",ABS(O410-Components!$C$6)/Components!$D$6)</f>
        <v>1.604623958904418</v>
      </c>
      <c r="U410" s="81">
        <f>IF(G410="","",ABS(O410-Components!$C$7)/Components!$D$7)</f>
        <v>6.9329686755911322</v>
      </c>
      <c r="V410" s="81" t="str">
        <f>IF(G410="","",IF(M410="OK","NONE",INDEX({"S1","S2","W1","W2","N1","N2"},MATCH(MIN(P410:U410),P410:U410,0))))</f>
        <v>N1</v>
      </c>
      <c r="W410" s="117">
        <f t="shared" si="49"/>
        <v>1</v>
      </c>
      <c r="X410" s="107"/>
    </row>
    <row r="411" spans="1:24">
      <c r="A411" s="115">
        <v>409</v>
      </c>
      <c r="B411" s="116">
        <v>14</v>
      </c>
      <c r="C411" s="81" t="s">
        <v>132</v>
      </c>
      <c r="D411" s="111" t="s">
        <v>240</v>
      </c>
      <c r="E411" s="81" t="s">
        <v>108</v>
      </c>
      <c r="F411" s="61">
        <v>7.47</v>
      </c>
      <c r="G411" s="52">
        <f t="shared" si="43"/>
        <v>8.44</v>
      </c>
      <c r="H411" s="110"/>
      <c r="I411" s="81">
        <v>9.61</v>
      </c>
      <c r="J411" s="81">
        <f>VLOOKUP(C411,Recipes!$A$2:$N$4,12,FALSE())</f>
        <v>6.1509461004819709E-2</v>
      </c>
      <c r="K411" s="81">
        <f t="shared" si="44"/>
        <v>9.4254716169855399</v>
      </c>
      <c r="L411" s="81">
        <f t="shared" si="45"/>
        <v>9.7945283830144589</v>
      </c>
      <c r="M411" s="81" t="str">
        <f t="shared" si="46"/>
        <v>NG</v>
      </c>
      <c r="N411" s="117">
        <f t="shared" si="47"/>
        <v>1</v>
      </c>
      <c r="O411" s="81">
        <f t="shared" si="48"/>
        <v>1.17</v>
      </c>
      <c r="P411" s="81">
        <f>IF(G411="","",ABS(O411-Components!$C$2)/Components!$D$2)</f>
        <v>239.57427519108862</v>
      </c>
      <c r="Q411" s="81">
        <f>IF(G411="","",ABS(O411-Components!$C$3)/Components!$D$3)</f>
        <v>207.73307322173329</v>
      </c>
      <c r="R411" s="81">
        <f>IF(G411="","",ABS(O411-Components!$C$4)/Components!$D$4)</f>
        <v>12.63833260285522</v>
      </c>
      <c r="S411" s="81">
        <f>IF(G411="","",ABS(O411-Components!$C$5)/Components!$D$5)</f>
        <v>134.73756342723382</v>
      </c>
      <c r="T411" s="81">
        <f>IF(G411="","",ABS(O411-Components!$C$6)/Components!$D$6)</f>
        <v>0.5187881972396996</v>
      </c>
      <c r="U411" s="81">
        <f>IF(G411="","",ABS(O411-Components!$C$7)/Components!$D$7)</f>
        <v>8.1260225585800381</v>
      </c>
      <c r="V411" s="81" t="str">
        <f>IF(G411="","",IF(M411="OK","NONE",INDEX({"S1","S2","W1","W2","N1","N2"},MATCH(MIN(P411:U411),P411:U411,0))))</f>
        <v>N1</v>
      </c>
      <c r="W411" s="117">
        <f t="shared" si="49"/>
        <v>1</v>
      </c>
      <c r="X411" s="107"/>
    </row>
    <row r="412" spans="1:24">
      <c r="A412" s="115">
        <v>410</v>
      </c>
      <c r="B412" s="116">
        <v>14</v>
      </c>
      <c r="C412" s="81" t="s">
        <v>132</v>
      </c>
      <c r="D412" s="111" t="s">
        <v>240</v>
      </c>
      <c r="E412" s="81" t="s">
        <v>108</v>
      </c>
      <c r="F412" s="61">
        <v>7.38</v>
      </c>
      <c r="G412" s="52">
        <f t="shared" si="43"/>
        <v>8.35</v>
      </c>
      <c r="H412" s="110"/>
      <c r="I412" s="81">
        <v>9.61</v>
      </c>
      <c r="J412" s="81">
        <f>VLOOKUP(C412,Recipes!$A$2:$N$4,12,FALSE())</f>
        <v>6.1509461004819709E-2</v>
      </c>
      <c r="K412" s="81">
        <f t="shared" si="44"/>
        <v>9.4254716169855399</v>
      </c>
      <c r="L412" s="81">
        <f t="shared" si="45"/>
        <v>9.7945283830144589</v>
      </c>
      <c r="M412" s="81" t="str">
        <f t="shared" si="46"/>
        <v>NG</v>
      </c>
      <c r="N412" s="117">
        <f t="shared" si="47"/>
        <v>1</v>
      </c>
      <c r="O412" s="81">
        <f t="shared" si="48"/>
        <v>1.2599999999999998</v>
      </c>
      <c r="P412" s="81">
        <f>IF(G412="","",ABS(O412-Components!$C$2)/Components!$D$2)</f>
        <v>225.95636902233198</v>
      </c>
      <c r="Q412" s="81">
        <f>IF(G412="","",ABS(O412-Components!$C$3)/Components!$D$3)</f>
        <v>201.20970386026923</v>
      </c>
      <c r="R412" s="81">
        <f>IF(G412="","",ABS(O412-Components!$C$4)/Components!$D$4)</f>
        <v>19.076728457139932</v>
      </c>
      <c r="S412" s="81">
        <f>IF(G412="","",ABS(O412-Components!$C$5)/Components!$D$5)</f>
        <v>131.16327160906198</v>
      </c>
      <c r="T412" s="81">
        <f>IF(G412="","",ABS(O412-Components!$C$6)/Components!$D$6)</f>
        <v>3.7762954822339192</v>
      </c>
      <c r="U412" s="81">
        <f>IF(G412="","",ABS(O412-Components!$C$7)/Components!$D$7)</f>
        <v>4.5468609096132502</v>
      </c>
      <c r="V412" s="81" t="str">
        <f>IF(G412="","",IF(M412="OK","NONE",INDEX({"S1","S2","W1","W2","N1","N2"},MATCH(MIN(P412:U412),P412:U412,0))))</f>
        <v>N1</v>
      </c>
      <c r="W412" s="117">
        <f t="shared" si="49"/>
        <v>1</v>
      </c>
      <c r="X412" s="107"/>
    </row>
    <row r="413" spans="1:24">
      <c r="A413" s="115">
        <v>411</v>
      </c>
      <c r="B413" s="116">
        <v>14</v>
      </c>
      <c r="C413" s="81" t="s">
        <v>132</v>
      </c>
      <c r="D413" s="111" t="s">
        <v>240</v>
      </c>
      <c r="E413" s="81" t="s">
        <v>108</v>
      </c>
      <c r="F413" s="61">
        <v>7.45</v>
      </c>
      <c r="G413" s="52">
        <f t="shared" si="43"/>
        <v>8.42</v>
      </c>
      <c r="H413" s="110"/>
      <c r="I413" s="81">
        <v>9.61</v>
      </c>
      <c r="J413" s="81">
        <f>VLOOKUP(C413,Recipes!$A$2:$N$4,12,FALSE())</f>
        <v>6.1509461004819709E-2</v>
      </c>
      <c r="K413" s="81">
        <f t="shared" si="44"/>
        <v>9.4254716169855399</v>
      </c>
      <c r="L413" s="81">
        <f t="shared" si="45"/>
        <v>9.7945283830144589</v>
      </c>
      <c r="M413" s="81" t="str">
        <f t="shared" si="46"/>
        <v>NG</v>
      </c>
      <c r="N413" s="117">
        <f t="shared" si="47"/>
        <v>1</v>
      </c>
      <c r="O413" s="81">
        <f t="shared" si="48"/>
        <v>1.1899999999999995</v>
      </c>
      <c r="P413" s="81">
        <f>IF(G413="","",ABS(O413-Components!$C$2)/Components!$D$2)</f>
        <v>236.54807382025388</v>
      </c>
      <c r="Q413" s="81">
        <f>IF(G413="","",ABS(O413-Components!$C$3)/Components!$D$3)</f>
        <v>206.28343558585243</v>
      </c>
      <c r="R413" s="81">
        <f>IF(G413="","",ABS(O413-Components!$C$4)/Components!$D$4)</f>
        <v>14.069087237140684</v>
      </c>
      <c r="S413" s="81">
        <f>IF(G413="","",ABS(O413-Components!$C$5)/Components!$D$5)</f>
        <v>133.94327635652897</v>
      </c>
      <c r="T413" s="81">
        <f>IF(G413="","",ABS(O413-Components!$C$6)/Components!$D$6)</f>
        <v>1.2426787050161785</v>
      </c>
      <c r="U413" s="81">
        <f>IF(G413="","",ABS(O413-Components!$C$7)/Components!$D$7)</f>
        <v>7.3306533032541008</v>
      </c>
      <c r="V413" s="81" t="str">
        <f>IF(G413="","",IF(M413="OK","NONE",INDEX({"S1","S2","W1","W2","N1","N2"},MATCH(MIN(P413:U413),P413:U413,0))))</f>
        <v>N1</v>
      </c>
      <c r="W413" s="117">
        <f t="shared" si="49"/>
        <v>1</v>
      </c>
      <c r="X413" s="107"/>
    </row>
    <row r="414" spans="1:24">
      <c r="A414" s="115">
        <v>412</v>
      </c>
      <c r="B414" s="116">
        <v>14</v>
      </c>
      <c r="C414" s="81" t="s">
        <v>132</v>
      </c>
      <c r="D414" s="111" t="s">
        <v>240</v>
      </c>
      <c r="E414" s="81" t="s">
        <v>108</v>
      </c>
      <c r="F414" s="61">
        <v>7.45</v>
      </c>
      <c r="G414" s="52">
        <f t="shared" si="43"/>
        <v>8.42</v>
      </c>
      <c r="H414" s="110"/>
      <c r="I414" s="81">
        <v>9.61</v>
      </c>
      <c r="J414" s="81">
        <f>VLOOKUP(C414,Recipes!$A$2:$N$4,12,FALSE())</f>
        <v>6.1509461004819709E-2</v>
      </c>
      <c r="K414" s="81">
        <f t="shared" si="44"/>
        <v>9.4254716169855399</v>
      </c>
      <c r="L414" s="81">
        <f t="shared" si="45"/>
        <v>9.7945283830144589</v>
      </c>
      <c r="M414" s="81" t="str">
        <f t="shared" si="46"/>
        <v>NG</v>
      </c>
      <c r="N414" s="117">
        <f t="shared" si="47"/>
        <v>1</v>
      </c>
      <c r="O414" s="81">
        <f t="shared" si="48"/>
        <v>1.1899999999999995</v>
      </c>
      <c r="P414" s="81">
        <f>IF(G414="","",ABS(O414-Components!$C$2)/Components!$D$2)</f>
        <v>236.54807382025388</v>
      </c>
      <c r="Q414" s="81">
        <f>IF(G414="","",ABS(O414-Components!$C$3)/Components!$D$3)</f>
        <v>206.28343558585243</v>
      </c>
      <c r="R414" s="81">
        <f>IF(G414="","",ABS(O414-Components!$C$4)/Components!$D$4)</f>
        <v>14.069087237140684</v>
      </c>
      <c r="S414" s="81">
        <f>IF(G414="","",ABS(O414-Components!$C$5)/Components!$D$5)</f>
        <v>133.94327635652897</v>
      </c>
      <c r="T414" s="81">
        <f>IF(G414="","",ABS(O414-Components!$C$6)/Components!$D$6)</f>
        <v>1.2426787050161785</v>
      </c>
      <c r="U414" s="81">
        <f>IF(G414="","",ABS(O414-Components!$C$7)/Components!$D$7)</f>
        <v>7.3306533032541008</v>
      </c>
      <c r="V414" s="81" t="str">
        <f>IF(G414="","",IF(M414="OK","NONE",INDEX({"S1","S2","W1","W2","N1","N2"},MATCH(MIN(P414:U414),P414:U414,0))))</f>
        <v>N1</v>
      </c>
      <c r="W414" s="117">
        <f t="shared" si="49"/>
        <v>1</v>
      </c>
      <c r="X414" s="107"/>
    </row>
    <row r="415" spans="1:24">
      <c r="A415" s="115">
        <v>413</v>
      </c>
      <c r="B415" s="116">
        <v>14</v>
      </c>
      <c r="C415" s="81" t="s">
        <v>132</v>
      </c>
      <c r="D415" s="111" t="s">
        <v>240</v>
      </c>
      <c r="E415" s="81" t="s">
        <v>108</v>
      </c>
      <c r="F415" s="61">
        <v>7.45</v>
      </c>
      <c r="G415" s="52">
        <f t="shared" si="43"/>
        <v>8.42</v>
      </c>
      <c r="H415" s="110"/>
      <c r="I415" s="81">
        <v>9.61</v>
      </c>
      <c r="J415" s="81">
        <f>VLOOKUP(C415,Recipes!$A$2:$N$4,12,FALSE())</f>
        <v>6.1509461004819709E-2</v>
      </c>
      <c r="K415" s="81">
        <f t="shared" si="44"/>
        <v>9.4254716169855399</v>
      </c>
      <c r="L415" s="81">
        <f t="shared" si="45"/>
        <v>9.7945283830144589</v>
      </c>
      <c r="M415" s="81" t="str">
        <f t="shared" si="46"/>
        <v>NG</v>
      </c>
      <c r="N415" s="117">
        <f t="shared" si="47"/>
        <v>1</v>
      </c>
      <c r="O415" s="81">
        <f t="shared" si="48"/>
        <v>1.1899999999999995</v>
      </c>
      <c r="P415" s="81">
        <f>IF(G415="","",ABS(O415-Components!$C$2)/Components!$D$2)</f>
        <v>236.54807382025388</v>
      </c>
      <c r="Q415" s="81">
        <f>IF(G415="","",ABS(O415-Components!$C$3)/Components!$D$3)</f>
        <v>206.28343558585243</v>
      </c>
      <c r="R415" s="81">
        <f>IF(G415="","",ABS(O415-Components!$C$4)/Components!$D$4)</f>
        <v>14.069087237140684</v>
      </c>
      <c r="S415" s="81">
        <f>IF(G415="","",ABS(O415-Components!$C$5)/Components!$D$5)</f>
        <v>133.94327635652897</v>
      </c>
      <c r="T415" s="81">
        <f>IF(G415="","",ABS(O415-Components!$C$6)/Components!$D$6)</f>
        <v>1.2426787050161785</v>
      </c>
      <c r="U415" s="81">
        <f>IF(G415="","",ABS(O415-Components!$C$7)/Components!$D$7)</f>
        <v>7.3306533032541008</v>
      </c>
      <c r="V415" s="81" t="str">
        <f>IF(G415="","",IF(M415="OK","NONE",INDEX({"S1","S2","W1","W2","N1","N2"},MATCH(MIN(P415:U415),P415:U415,0))))</f>
        <v>N1</v>
      </c>
      <c r="W415" s="117">
        <f t="shared" si="49"/>
        <v>1</v>
      </c>
      <c r="X415" s="107"/>
    </row>
    <row r="416" spans="1:24">
      <c r="A416" s="115">
        <v>414</v>
      </c>
      <c r="B416" s="116">
        <v>14</v>
      </c>
      <c r="C416" s="81" t="s">
        <v>132</v>
      </c>
      <c r="D416" s="111" t="s">
        <v>240</v>
      </c>
      <c r="E416" s="81" t="s">
        <v>108</v>
      </c>
      <c r="F416" s="61">
        <v>7.44</v>
      </c>
      <c r="G416" s="52">
        <f t="shared" si="43"/>
        <v>8.41</v>
      </c>
      <c r="H416" s="110"/>
      <c r="I416" s="81">
        <v>9.61</v>
      </c>
      <c r="J416" s="81">
        <f>VLOOKUP(C416,Recipes!$A$2:$N$4,12,FALSE())</f>
        <v>6.1509461004819709E-2</v>
      </c>
      <c r="K416" s="81">
        <f t="shared" si="44"/>
        <v>9.4254716169855399</v>
      </c>
      <c r="L416" s="81">
        <f t="shared" si="45"/>
        <v>9.7945283830144589</v>
      </c>
      <c r="M416" s="81" t="str">
        <f t="shared" si="46"/>
        <v>NG</v>
      </c>
      <c r="N416" s="117">
        <f t="shared" si="47"/>
        <v>1</v>
      </c>
      <c r="O416" s="81">
        <f t="shared" si="48"/>
        <v>1.1999999999999993</v>
      </c>
      <c r="P416" s="81">
        <f>IF(G416="","",ABS(O416-Components!$C$2)/Components!$D$2)</f>
        <v>235.03497313483649</v>
      </c>
      <c r="Q416" s="81">
        <f>IF(G416="","",ABS(O416-Components!$C$3)/Components!$D$3)</f>
        <v>205.55861676791199</v>
      </c>
      <c r="R416" s="81">
        <f>IF(G416="","",ABS(O416-Components!$C$4)/Components!$D$4)</f>
        <v>14.784464554283415</v>
      </c>
      <c r="S416" s="81">
        <f>IF(G416="","",ABS(O416-Components!$C$5)/Components!$D$5)</f>
        <v>133.54613282117657</v>
      </c>
      <c r="T416" s="81">
        <f>IF(G416="","",ABS(O416-Components!$C$6)/Components!$D$6)</f>
        <v>1.604623958904418</v>
      </c>
      <c r="U416" s="81">
        <f>IF(G416="","",ABS(O416-Components!$C$7)/Components!$D$7)</f>
        <v>6.9329686755911322</v>
      </c>
      <c r="V416" s="81" t="str">
        <f>IF(G416="","",IF(M416="OK","NONE",INDEX({"S1","S2","W1","W2","N1","N2"},MATCH(MIN(P416:U416),P416:U416,0))))</f>
        <v>N1</v>
      </c>
      <c r="W416" s="117">
        <f t="shared" si="49"/>
        <v>1</v>
      </c>
      <c r="X416" s="107"/>
    </row>
    <row r="417" spans="1:24">
      <c r="A417" s="115">
        <v>415</v>
      </c>
      <c r="B417" s="116">
        <v>14</v>
      </c>
      <c r="C417" s="81" t="s">
        <v>132</v>
      </c>
      <c r="D417" s="111" t="s">
        <v>240</v>
      </c>
      <c r="E417" s="81" t="s">
        <v>108</v>
      </c>
      <c r="F417" s="52">
        <v>7.45</v>
      </c>
      <c r="G417" s="52">
        <f t="shared" si="43"/>
        <v>8.42</v>
      </c>
      <c r="H417" s="110"/>
      <c r="I417" s="81">
        <v>9.61</v>
      </c>
      <c r="J417" s="81">
        <f>VLOOKUP(C417,Recipes!$A$2:$N$4,12,FALSE())</f>
        <v>6.1509461004819709E-2</v>
      </c>
      <c r="K417" s="81">
        <f t="shared" si="44"/>
        <v>9.4254716169855399</v>
      </c>
      <c r="L417" s="81">
        <f t="shared" si="45"/>
        <v>9.7945283830144589</v>
      </c>
      <c r="M417" s="81" t="str">
        <f t="shared" si="46"/>
        <v>NG</v>
      </c>
      <c r="N417" s="117">
        <f t="shared" si="47"/>
        <v>1</v>
      </c>
      <c r="O417" s="81">
        <f t="shared" si="48"/>
        <v>1.1899999999999995</v>
      </c>
      <c r="P417" s="81">
        <f>IF(G417="","",ABS(O417-Components!$C$2)/Components!$D$2)</f>
        <v>236.54807382025388</v>
      </c>
      <c r="Q417" s="81">
        <f>IF(G417="","",ABS(O417-Components!$C$3)/Components!$D$3)</f>
        <v>206.28343558585243</v>
      </c>
      <c r="R417" s="81">
        <f>IF(G417="","",ABS(O417-Components!$C$4)/Components!$D$4)</f>
        <v>14.069087237140684</v>
      </c>
      <c r="S417" s="81">
        <f>IF(G417="","",ABS(O417-Components!$C$5)/Components!$D$5)</f>
        <v>133.94327635652897</v>
      </c>
      <c r="T417" s="81">
        <f>IF(G417="","",ABS(O417-Components!$C$6)/Components!$D$6)</f>
        <v>1.2426787050161785</v>
      </c>
      <c r="U417" s="81">
        <f>IF(G417="","",ABS(O417-Components!$C$7)/Components!$D$7)</f>
        <v>7.3306533032541008</v>
      </c>
      <c r="V417" s="81" t="str">
        <f>IF(G417="","",IF(M417="OK","NONE",INDEX({"S1","S2","W1","W2","N1","N2"},MATCH(MIN(P417:U417),P417:U417,0))))</f>
        <v>N1</v>
      </c>
      <c r="W417" s="117">
        <f t="shared" si="49"/>
        <v>1</v>
      </c>
      <c r="X417" s="107"/>
    </row>
    <row r="418" spans="1:24">
      <c r="A418" s="115">
        <v>416</v>
      </c>
      <c r="B418" s="116">
        <v>14</v>
      </c>
      <c r="C418" s="81" t="s">
        <v>132</v>
      </c>
      <c r="D418" s="111" t="s">
        <v>240</v>
      </c>
      <c r="E418" s="81" t="s">
        <v>108</v>
      </c>
      <c r="F418" s="52">
        <v>7.45</v>
      </c>
      <c r="G418" s="52">
        <f t="shared" si="43"/>
        <v>8.42</v>
      </c>
      <c r="H418" s="110"/>
      <c r="I418" s="81">
        <v>9.61</v>
      </c>
      <c r="J418" s="81">
        <f>VLOOKUP(C418,Recipes!$A$2:$N$4,12,FALSE())</f>
        <v>6.1509461004819709E-2</v>
      </c>
      <c r="K418" s="81">
        <f t="shared" si="44"/>
        <v>9.4254716169855399</v>
      </c>
      <c r="L418" s="81">
        <f t="shared" si="45"/>
        <v>9.7945283830144589</v>
      </c>
      <c r="M418" s="81" t="str">
        <f t="shared" si="46"/>
        <v>NG</v>
      </c>
      <c r="N418" s="117">
        <f t="shared" si="47"/>
        <v>1</v>
      </c>
      <c r="O418" s="81">
        <f t="shared" si="48"/>
        <v>1.1899999999999995</v>
      </c>
      <c r="P418" s="81">
        <f>IF(G418="","",ABS(O418-Components!$C$2)/Components!$D$2)</f>
        <v>236.54807382025388</v>
      </c>
      <c r="Q418" s="81">
        <f>IF(G418="","",ABS(O418-Components!$C$3)/Components!$D$3)</f>
        <v>206.28343558585243</v>
      </c>
      <c r="R418" s="81">
        <f>IF(G418="","",ABS(O418-Components!$C$4)/Components!$D$4)</f>
        <v>14.069087237140684</v>
      </c>
      <c r="S418" s="81">
        <f>IF(G418="","",ABS(O418-Components!$C$5)/Components!$D$5)</f>
        <v>133.94327635652897</v>
      </c>
      <c r="T418" s="81">
        <f>IF(G418="","",ABS(O418-Components!$C$6)/Components!$D$6)</f>
        <v>1.2426787050161785</v>
      </c>
      <c r="U418" s="81">
        <f>IF(G418="","",ABS(O418-Components!$C$7)/Components!$D$7)</f>
        <v>7.3306533032541008</v>
      </c>
      <c r="V418" s="81" t="str">
        <f>IF(G418="","",IF(M418="OK","NONE",INDEX({"S1","S2","W1","W2","N1","N2"},MATCH(MIN(P418:U418),P418:U418,0))))</f>
        <v>N1</v>
      </c>
      <c r="W418" s="117">
        <f t="shared" si="49"/>
        <v>1</v>
      </c>
      <c r="X418" s="107"/>
    </row>
    <row r="419" spans="1:24">
      <c r="A419" s="115">
        <v>417</v>
      </c>
      <c r="B419" s="116">
        <v>14</v>
      </c>
      <c r="C419" s="61" t="s">
        <v>132</v>
      </c>
      <c r="D419" s="61" t="s">
        <v>240</v>
      </c>
      <c r="E419" s="61" t="s">
        <v>108</v>
      </c>
      <c r="F419" s="61">
        <v>7.44</v>
      </c>
      <c r="G419" s="52">
        <f t="shared" si="43"/>
        <v>8.41</v>
      </c>
      <c r="H419" s="110"/>
      <c r="I419" s="81">
        <v>9.61</v>
      </c>
      <c r="J419" s="81">
        <f>VLOOKUP(C419,Recipes!$A$2:$N$4,12,FALSE())</f>
        <v>6.1509461004819709E-2</v>
      </c>
      <c r="K419" s="81">
        <f t="shared" si="44"/>
        <v>9.4254716169855399</v>
      </c>
      <c r="L419" s="81">
        <f t="shared" si="45"/>
        <v>9.7945283830144589</v>
      </c>
      <c r="M419" s="81" t="str">
        <f t="shared" si="46"/>
        <v>NG</v>
      </c>
      <c r="N419" s="117">
        <f t="shared" si="47"/>
        <v>1</v>
      </c>
      <c r="O419" s="81">
        <f t="shared" si="48"/>
        <v>1.1999999999999993</v>
      </c>
      <c r="P419" s="81">
        <f>IF(G419="","",ABS(O419-Components!$C$2)/Components!$D$2)</f>
        <v>235.03497313483649</v>
      </c>
      <c r="Q419" s="81">
        <f>IF(G419="","",ABS(O419-Components!$C$3)/Components!$D$3)</f>
        <v>205.55861676791199</v>
      </c>
      <c r="R419" s="81">
        <f>IF(G419="","",ABS(O419-Components!$C$4)/Components!$D$4)</f>
        <v>14.784464554283415</v>
      </c>
      <c r="S419" s="81">
        <f>IF(G419="","",ABS(O419-Components!$C$5)/Components!$D$5)</f>
        <v>133.54613282117657</v>
      </c>
      <c r="T419" s="81">
        <f>IF(G419="","",ABS(O419-Components!$C$6)/Components!$D$6)</f>
        <v>1.604623958904418</v>
      </c>
      <c r="U419" s="81">
        <f>IF(G419="","",ABS(O419-Components!$C$7)/Components!$D$7)</f>
        <v>6.9329686755911322</v>
      </c>
      <c r="V419" s="81" t="str">
        <f>IF(G419="","",IF(M419="OK","NONE",INDEX({"S1","S2","W1","W2","N1","N2"},MATCH(MIN(P419:U419),P419:U419,0))))</f>
        <v>N1</v>
      </c>
      <c r="W419" s="117">
        <f t="shared" si="49"/>
        <v>1</v>
      </c>
      <c r="X419" s="107"/>
    </row>
    <row r="420" spans="1:24">
      <c r="A420" s="115">
        <v>418</v>
      </c>
      <c r="B420" s="116">
        <v>14</v>
      </c>
      <c r="C420" s="61" t="s">
        <v>132</v>
      </c>
      <c r="D420" s="61" t="s">
        <v>240</v>
      </c>
      <c r="E420" s="61" t="s">
        <v>108</v>
      </c>
      <c r="F420" s="61">
        <v>7.46</v>
      </c>
      <c r="G420" s="52">
        <f t="shared" si="43"/>
        <v>8.43</v>
      </c>
      <c r="H420" s="110"/>
      <c r="I420" s="81">
        <v>9.61</v>
      </c>
      <c r="J420" s="81">
        <f>VLOOKUP(C420,Recipes!$A$2:$N$4,12,FALSE())</f>
        <v>6.1509461004819709E-2</v>
      </c>
      <c r="K420" s="81">
        <f t="shared" si="44"/>
        <v>9.4254716169855399</v>
      </c>
      <c r="L420" s="81">
        <f t="shared" si="45"/>
        <v>9.7945283830144589</v>
      </c>
      <c r="M420" s="81" t="str">
        <f t="shared" si="46"/>
        <v>NG</v>
      </c>
      <c r="N420" s="117">
        <f t="shared" si="47"/>
        <v>1</v>
      </c>
      <c r="O420" s="81">
        <f t="shared" si="48"/>
        <v>1.1799999999999997</v>
      </c>
      <c r="P420" s="81">
        <f>IF(G420="","",ABS(O420-Components!$C$2)/Components!$D$2)</f>
        <v>238.06117450567126</v>
      </c>
      <c r="Q420" s="81">
        <f>IF(G420="","",ABS(O420-Components!$C$3)/Components!$D$3)</f>
        <v>207.00825440379285</v>
      </c>
      <c r="R420" s="81">
        <f>IF(G420="","",ABS(O420-Components!$C$4)/Components!$D$4)</f>
        <v>13.353709919997952</v>
      </c>
      <c r="S420" s="81">
        <f>IF(G420="","",ABS(O420-Components!$C$5)/Components!$D$5)</f>
        <v>134.3404198918814</v>
      </c>
      <c r="T420" s="81">
        <f>IF(G420="","",ABS(O420-Components!$C$6)/Components!$D$6)</f>
        <v>0.8807334511279391</v>
      </c>
      <c r="U420" s="81">
        <f>IF(G420="","",ABS(O420-Components!$C$7)/Components!$D$7)</f>
        <v>7.7283379309170694</v>
      </c>
      <c r="V420" s="81" t="str">
        <f>IF(G420="","",IF(M420="OK","NONE",INDEX({"S1","S2","W1","W2","N1","N2"},MATCH(MIN(P420:U420),P420:U420,0))))</f>
        <v>N1</v>
      </c>
      <c r="W420" s="117">
        <f t="shared" si="49"/>
        <v>1</v>
      </c>
      <c r="X420" s="107"/>
    </row>
    <row r="421" spans="1:24">
      <c r="A421" s="115">
        <v>419</v>
      </c>
      <c r="B421" s="116">
        <v>14</v>
      </c>
      <c r="C421" s="81" t="s">
        <v>132</v>
      </c>
      <c r="D421" s="111" t="s">
        <v>240</v>
      </c>
      <c r="E421" s="81" t="s">
        <v>108</v>
      </c>
      <c r="F421" s="61">
        <v>7.25</v>
      </c>
      <c r="G421" s="52">
        <f t="shared" si="43"/>
        <v>8.2200000000000006</v>
      </c>
      <c r="H421" s="110"/>
      <c r="I421" s="81">
        <v>9.61</v>
      </c>
      <c r="J421" s="81">
        <f>VLOOKUP(C421,Recipes!$A$2:$N$4,12,FALSE())</f>
        <v>6.1509461004819709E-2</v>
      </c>
      <c r="K421" s="81">
        <f t="shared" si="44"/>
        <v>9.4254716169855399</v>
      </c>
      <c r="L421" s="81">
        <f t="shared" si="45"/>
        <v>9.7945283830144589</v>
      </c>
      <c r="M421" s="81" t="str">
        <f t="shared" si="46"/>
        <v>NG</v>
      </c>
      <c r="N421" s="117">
        <f t="shared" si="47"/>
        <v>1</v>
      </c>
      <c r="O421" s="81">
        <f t="shared" si="48"/>
        <v>1.3899999999999988</v>
      </c>
      <c r="P421" s="81">
        <f>IF(G421="","",ABS(O421-Components!$C$2)/Components!$D$2)</f>
        <v>206.28606011190587</v>
      </c>
      <c r="Q421" s="81">
        <f>IF(G421="","",ABS(O421-Components!$C$3)/Components!$D$3)</f>
        <v>191.78705922704344</v>
      </c>
      <c r="R421" s="81">
        <f>IF(G421="","",ABS(O421-Components!$C$4)/Components!$D$4)</f>
        <v>28.376633579995573</v>
      </c>
      <c r="S421" s="81">
        <f>IF(G421="","",ABS(O421-Components!$C$5)/Components!$D$5)</f>
        <v>126.00040564948046</v>
      </c>
      <c r="T421" s="81">
        <f>IF(G421="","",ABS(O421-Components!$C$6)/Components!$D$6)</f>
        <v>8.4815837827810974</v>
      </c>
      <c r="U421" s="81">
        <f>IF(G421="","",ABS(O421-Components!$C$7)/Components!$D$7)</f>
        <v>0.62303925000541227</v>
      </c>
      <c r="V421" s="81" t="str">
        <f>IF(G421="","",IF(M421="OK","NONE",INDEX({"S1","S2","W1","W2","N1","N2"},MATCH(MIN(P421:U421),P421:U421,0))))</f>
        <v>N2</v>
      </c>
      <c r="W421" s="122">
        <f t="shared" si="49"/>
        <v>0</v>
      </c>
      <c r="X421" s="107"/>
    </row>
    <row r="422" spans="1:24">
      <c r="A422" s="115">
        <v>420</v>
      </c>
      <c r="B422" s="116">
        <v>14</v>
      </c>
      <c r="C422" s="61" t="s">
        <v>132</v>
      </c>
      <c r="D422" s="61" t="s">
        <v>240</v>
      </c>
      <c r="E422" s="61" t="s">
        <v>108</v>
      </c>
      <c r="F422" s="61">
        <v>7.47</v>
      </c>
      <c r="G422" s="112">
        <f t="shared" si="43"/>
        <v>8.44</v>
      </c>
      <c r="H422" s="113"/>
      <c r="I422" s="81">
        <v>9.61</v>
      </c>
      <c r="J422" s="81">
        <f>VLOOKUP(C422,Recipes!$A$2:$N$4,12,FALSE())</f>
        <v>6.1509461004819709E-2</v>
      </c>
      <c r="K422" s="81">
        <f t="shared" si="44"/>
        <v>9.4254716169855399</v>
      </c>
      <c r="L422" s="81">
        <f t="shared" si="45"/>
        <v>9.7945283830144589</v>
      </c>
      <c r="M422" s="81" t="str">
        <f t="shared" si="46"/>
        <v>NG</v>
      </c>
      <c r="N422" s="117">
        <f t="shared" si="47"/>
        <v>1</v>
      </c>
      <c r="O422" s="81">
        <f t="shared" si="48"/>
        <v>1.17</v>
      </c>
      <c r="P422" s="81">
        <f>IF(G422="","",ABS(O422-Components!$C$2)/Components!$D$2)</f>
        <v>239.57427519108862</v>
      </c>
      <c r="Q422" s="81">
        <f>IF(G422="","",ABS(O422-Components!$C$3)/Components!$D$3)</f>
        <v>207.73307322173329</v>
      </c>
      <c r="R422" s="81">
        <f>IF(G422="","",ABS(O422-Components!$C$4)/Components!$D$4)</f>
        <v>12.63833260285522</v>
      </c>
      <c r="S422" s="81">
        <f>IF(G422="","",ABS(O422-Components!$C$5)/Components!$D$5)</f>
        <v>134.73756342723382</v>
      </c>
      <c r="T422" s="81">
        <f>IF(G422="","",ABS(O422-Components!$C$6)/Components!$D$6)</f>
        <v>0.5187881972396996</v>
      </c>
      <c r="U422" s="81">
        <f>IF(G422="","",ABS(O422-Components!$C$7)/Components!$D$7)</f>
        <v>8.1260225585800381</v>
      </c>
      <c r="V422" s="81" t="str">
        <f>IF(G422="","",IF(M422="OK","NONE",INDEX({"S1","S2","W1","W2","N1","N2"},MATCH(MIN(P422:U422),P422:U422,0))))</f>
        <v>N1</v>
      </c>
      <c r="W422" s="117">
        <f t="shared" si="49"/>
        <v>1</v>
      </c>
      <c r="X422" s="107"/>
    </row>
    <row r="423" spans="1:24">
      <c r="A423" s="7"/>
      <c r="B423" s="66"/>
      <c r="C423" s="7"/>
      <c r="D423" s="7"/>
      <c r="E423" s="7"/>
      <c r="F423" s="67"/>
      <c r="G423" s="68"/>
      <c r="H423" s="69"/>
      <c r="I423" s="70"/>
      <c r="J423" s="70"/>
      <c r="K423" s="71"/>
      <c r="L423" s="71"/>
      <c r="M423" s="7"/>
      <c r="N423" s="7"/>
      <c r="O423" s="71"/>
      <c r="P423" s="72"/>
      <c r="Q423" s="72"/>
      <c r="R423" s="72"/>
      <c r="S423" s="72"/>
      <c r="T423" s="72"/>
      <c r="U423" s="72"/>
      <c r="V423" s="7"/>
      <c r="W423" s="7"/>
    </row>
    <row r="424" spans="1:24">
      <c r="A424" s="7"/>
      <c r="B424" s="66"/>
      <c r="C424" s="7"/>
      <c r="D424" s="7"/>
      <c r="E424" s="7"/>
      <c r="F424" s="67"/>
      <c r="G424" s="68"/>
      <c r="H424" s="69"/>
      <c r="I424" s="70"/>
      <c r="J424" s="70"/>
      <c r="K424" s="71"/>
      <c r="L424" s="71"/>
      <c r="M424" s="7"/>
      <c r="N424" s="7"/>
      <c r="O424" s="71"/>
      <c r="P424" s="72"/>
      <c r="Q424" s="72"/>
      <c r="R424" s="72"/>
      <c r="S424" s="72"/>
      <c r="T424" s="72"/>
      <c r="U424" s="72"/>
      <c r="V424" s="7"/>
      <c r="W424" s="7"/>
    </row>
  </sheetData>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804B-3855-487B-AB70-FEE5E54E550F}">
  <sheetPr>
    <tabColor rgb="FF00B050"/>
  </sheetPr>
  <dimension ref="A1:X424"/>
  <sheetViews>
    <sheetView topLeftCell="F1" zoomScaleNormal="100" workbookViewId="0">
      <pane ySplit="2" topLeftCell="A3" activePane="bottomLeft" state="frozen"/>
      <selection activeCell="O34" sqref="O34"/>
      <selection pane="bottomLeft" activeCell="O34" sqref="O34"/>
    </sheetView>
  </sheetViews>
  <sheetFormatPr defaultColWidth="8.7109375" defaultRowHeight="15"/>
  <cols>
    <col min="1" max="1" width="8" customWidth="1"/>
    <col min="2" max="2" width="17" customWidth="1"/>
    <col min="3" max="3" width="8" customWidth="1"/>
    <col min="4" max="4" width="11" customWidth="1"/>
    <col min="5" max="6" width="19" customWidth="1"/>
    <col min="7" max="7" width="30.7109375" customWidth="1"/>
    <col min="8" max="8" width="8" customWidth="1"/>
    <col min="9" max="9" width="17" customWidth="1"/>
    <col min="10" max="10" width="14" customWidth="1"/>
    <col min="11" max="12" width="13" customWidth="1"/>
    <col min="13" max="13" width="17" customWidth="1"/>
    <col min="14" max="14" width="12" customWidth="1"/>
    <col min="15" max="15" width="19" customWidth="1"/>
    <col min="16" max="21" width="10" customWidth="1"/>
    <col min="22" max="22" width="19" customWidth="1"/>
    <col min="23" max="23" width="12" customWidth="1"/>
    <col min="24" max="24" width="17.5703125" bestFit="1" customWidth="1"/>
  </cols>
  <sheetData>
    <row r="1" spans="1:24" ht="15.75" customHeight="1" thickBot="1"/>
    <row r="2" spans="1:24" ht="30" customHeight="1" thickBot="1">
      <c r="A2" s="48" t="s">
        <v>216</v>
      </c>
      <c r="B2" s="48" t="s">
        <v>217</v>
      </c>
      <c r="C2" s="48" t="s">
        <v>218</v>
      </c>
      <c r="D2" s="48" t="s">
        <v>219</v>
      </c>
      <c r="E2" s="48" t="s">
        <v>220</v>
      </c>
      <c r="F2" s="48" t="s">
        <v>221</v>
      </c>
      <c r="G2" s="48" t="s">
        <v>445</v>
      </c>
      <c r="H2" s="48" t="s">
        <v>98</v>
      </c>
      <c r="I2" s="48" t="s">
        <v>223</v>
      </c>
      <c r="J2" s="48" t="s">
        <v>224</v>
      </c>
      <c r="K2" s="48" t="s">
        <v>225</v>
      </c>
      <c r="L2" s="48" t="s">
        <v>226</v>
      </c>
      <c r="M2" s="48" t="s">
        <v>227</v>
      </c>
      <c r="N2" s="48" t="s">
        <v>228</v>
      </c>
      <c r="O2" s="48" t="s">
        <v>229</v>
      </c>
      <c r="P2" s="48" t="s">
        <v>230</v>
      </c>
      <c r="Q2" s="48" t="s">
        <v>231</v>
      </c>
      <c r="R2" s="48" t="s">
        <v>232</v>
      </c>
      <c r="S2" s="48" t="s">
        <v>233</v>
      </c>
      <c r="T2" s="48" t="s">
        <v>234</v>
      </c>
      <c r="U2" s="48" t="s">
        <v>235</v>
      </c>
      <c r="V2" s="48" t="s">
        <v>236</v>
      </c>
      <c r="W2" s="48" t="s">
        <v>237</v>
      </c>
      <c r="X2" s="123" t="s">
        <v>447</v>
      </c>
    </row>
    <row r="3" spans="1:24">
      <c r="A3" s="115">
        <v>1</v>
      </c>
      <c r="B3" s="116">
        <v>1</v>
      </c>
      <c r="C3" s="81" t="s">
        <v>128</v>
      </c>
      <c r="D3" s="109" t="s">
        <v>238</v>
      </c>
      <c r="E3" s="81" t="s">
        <v>239</v>
      </c>
      <c r="F3" s="52">
        <v>9.91</v>
      </c>
      <c r="G3" s="52">
        <f t="shared" ref="G3:G66" si="0">0.97+F3</f>
        <v>10.88</v>
      </c>
      <c r="H3" s="110"/>
      <c r="I3" s="81">
        <f>VLOOKUP(C3,Recipes!$A$2:$N$4,10,FALSE())</f>
        <v>10.940000000000001</v>
      </c>
      <c r="J3" s="81">
        <f>VLOOKUP(C3,Recipes!$A$2:$N$4,12,FALSE())</f>
        <v>5.2703573566378441E-2</v>
      </c>
      <c r="K3" s="81">
        <f t="shared" ref="K3:K66" si="1">I3-3.5*J3</f>
        <v>10.755537492517677</v>
      </c>
      <c r="L3" s="81">
        <f t="shared" ref="L3:L66" si="2">I3+3.5*J3</f>
        <v>11.124462507482326</v>
      </c>
      <c r="M3" s="81" t="str">
        <f>IF(G3="","",IF(AND(G3&gt;=K3,G3&lt;=L3),"OK","NG"))</f>
        <v>OK</v>
      </c>
      <c r="N3" s="117">
        <f t="shared" ref="N3:N66" si="3">IF(M3="","",IF(M3=D3,1,0))</f>
        <v>1</v>
      </c>
      <c r="O3" s="81">
        <f>IF(G3="","",I3-G3)</f>
        <v>6.0000000000000497E-2</v>
      </c>
      <c r="P3" s="81">
        <f>IF(G3="","",ABS(O3-Components!$C$2)/Components!$D$2)</f>
        <v>407.52845127242051</v>
      </c>
      <c r="Q3" s="81">
        <f>IF(G3="","",ABS(O3-Components!$C$3)/Components!$D$3)</f>
        <v>288.18796201312335</v>
      </c>
      <c r="R3" s="81">
        <f>IF(G3="","",ABS(O3-Components!$C$4)/Components!$D$4)</f>
        <v>66.768549599989655</v>
      </c>
      <c r="S3" s="81">
        <f>IF(G3="","",ABS(O3-Components!$C$5)/Components!$D$5)</f>
        <v>178.82049585135329</v>
      </c>
      <c r="T3" s="81">
        <f>IF(G3="","",ABS(O3-Components!$C$6)/Components!$D$6)</f>
        <v>39.657134984355721</v>
      </c>
      <c r="U3" s="81">
        <f>IF(G3="","",ABS(O3-Components!$C$7)/Components!$D$7)</f>
        <v>52.269016229170475</v>
      </c>
      <c r="V3" s="81" t="str">
        <f>IF(G3="","",IF(M3="OK","NONE",INDEX({"S1","S2","W1","W2","N1","N2"},MATCH(MIN(P3:U3),P3:U3,0))))</f>
        <v>NONE</v>
      </c>
      <c r="W3" s="117">
        <f>IF(G3="","",IF(V3=E3,1,0))</f>
        <v>1</v>
      </c>
      <c r="X3" s="107"/>
    </row>
    <row r="4" spans="1:24">
      <c r="A4" s="115">
        <v>2</v>
      </c>
      <c r="B4" s="116">
        <v>1</v>
      </c>
      <c r="C4" s="81" t="s">
        <v>128</v>
      </c>
      <c r="D4" s="109" t="s">
        <v>238</v>
      </c>
      <c r="E4" s="81" t="s">
        <v>239</v>
      </c>
      <c r="F4" s="52">
        <v>10</v>
      </c>
      <c r="G4" s="52">
        <f t="shared" si="0"/>
        <v>10.97</v>
      </c>
      <c r="H4" s="110"/>
      <c r="I4" s="81">
        <f>VLOOKUP(C4,Recipes!$A$2:$N$4,10,FALSE())</f>
        <v>10.940000000000001</v>
      </c>
      <c r="J4" s="81">
        <f>VLOOKUP(C4,Recipes!$A$2:$N$4,12,FALSE())</f>
        <v>5.2703573566378441E-2</v>
      </c>
      <c r="K4" s="81">
        <f t="shared" si="1"/>
        <v>10.755537492517677</v>
      </c>
      <c r="L4" s="81">
        <f t="shared" si="2"/>
        <v>11.124462507482326</v>
      </c>
      <c r="M4" s="81" t="str">
        <f t="shared" ref="M4:M67" si="4">IF(G4="","",IF(AND(G4&gt;=K4,G4&lt;=L4),"OK","NG"))</f>
        <v>OK</v>
      </c>
      <c r="N4" s="117">
        <f t="shared" si="3"/>
        <v>1</v>
      </c>
      <c r="O4" s="81">
        <f t="shared" ref="O4:O67" si="5">IF(G4="","",I4-G4)</f>
        <v>-2.9999999999999361E-2</v>
      </c>
      <c r="P4" s="81">
        <f>IF(G4="","",ABS(O4-Components!$C$2)/Components!$D$2)</f>
        <v>421.14635744117714</v>
      </c>
      <c r="Q4" s="81">
        <f>IF(G4="","",ABS(O4-Components!$C$3)/Components!$D$3)</f>
        <v>294.71133137458736</v>
      </c>
      <c r="R4" s="81">
        <f>IF(G4="","",ABS(O4-Components!$C$4)/Components!$D$4)</f>
        <v>73.206945454274376</v>
      </c>
      <c r="S4" s="81">
        <f>IF(G4="","",ABS(O4-Components!$C$5)/Components!$D$5)</f>
        <v>182.39478766952513</v>
      </c>
      <c r="T4" s="81">
        <f>IF(G4="","",ABS(O4-Components!$C$6)/Components!$D$6)</f>
        <v>42.91464226934994</v>
      </c>
      <c r="U4" s="81">
        <f>IF(G4="","",ABS(O4-Components!$C$7)/Components!$D$7)</f>
        <v>55.848177878137257</v>
      </c>
      <c r="V4" s="81" t="str">
        <f>IF(G4="","",IF(M4="OK","NONE",INDEX({"S1","S2","W1","W2","N1","N2"},MATCH(MIN(P4:U4),P4:U4,0))))</f>
        <v>NONE</v>
      </c>
      <c r="W4" s="117">
        <f t="shared" ref="W4:W67" si="6">IF(G4="","",IF(V4=E4,1,0))</f>
        <v>1</v>
      </c>
      <c r="X4" s="107"/>
    </row>
    <row r="5" spans="1:24">
      <c r="A5" s="115">
        <v>3</v>
      </c>
      <c r="B5" s="116">
        <v>1</v>
      </c>
      <c r="C5" s="81" t="s">
        <v>128</v>
      </c>
      <c r="D5" s="109" t="s">
        <v>238</v>
      </c>
      <c r="E5" s="81" t="s">
        <v>239</v>
      </c>
      <c r="F5" s="52">
        <v>10</v>
      </c>
      <c r="G5" s="52">
        <f t="shared" si="0"/>
        <v>10.97</v>
      </c>
      <c r="H5" s="110"/>
      <c r="I5" s="81">
        <f>VLOOKUP(C5,Recipes!$A$2:$N$4,10,FALSE())</f>
        <v>10.940000000000001</v>
      </c>
      <c r="J5" s="81">
        <f>VLOOKUP(C5,Recipes!$A$2:$N$4,12,FALSE())</f>
        <v>5.2703573566378441E-2</v>
      </c>
      <c r="K5" s="81">
        <f t="shared" si="1"/>
        <v>10.755537492517677</v>
      </c>
      <c r="L5" s="81">
        <f t="shared" si="2"/>
        <v>11.124462507482326</v>
      </c>
      <c r="M5" s="81" t="str">
        <f t="shared" si="4"/>
        <v>OK</v>
      </c>
      <c r="N5" s="117">
        <f t="shared" si="3"/>
        <v>1</v>
      </c>
      <c r="O5" s="81">
        <f t="shared" si="5"/>
        <v>-2.9999999999999361E-2</v>
      </c>
      <c r="P5" s="81">
        <f>IF(G5="","",ABS(O5-Components!$C$2)/Components!$D$2)</f>
        <v>421.14635744117714</v>
      </c>
      <c r="Q5" s="81">
        <f>IF(G5="","",ABS(O5-Components!$C$3)/Components!$D$3)</f>
        <v>294.71133137458736</v>
      </c>
      <c r="R5" s="81">
        <f>IF(G5="","",ABS(O5-Components!$C$4)/Components!$D$4)</f>
        <v>73.206945454274376</v>
      </c>
      <c r="S5" s="81">
        <f>IF(G5="","",ABS(O5-Components!$C$5)/Components!$D$5)</f>
        <v>182.39478766952513</v>
      </c>
      <c r="T5" s="81">
        <f>IF(G5="","",ABS(O5-Components!$C$6)/Components!$D$6)</f>
        <v>42.91464226934994</v>
      </c>
      <c r="U5" s="81">
        <f>IF(G5="","",ABS(O5-Components!$C$7)/Components!$D$7)</f>
        <v>55.848177878137257</v>
      </c>
      <c r="V5" s="81" t="str">
        <f>IF(G5="","",IF(M5="OK","NONE",INDEX({"S1","S2","W1","W2","N1","N2"},MATCH(MIN(P5:U5),P5:U5,0))))</f>
        <v>NONE</v>
      </c>
      <c r="W5" s="117">
        <f t="shared" si="6"/>
        <v>1</v>
      </c>
      <c r="X5" s="107"/>
    </row>
    <row r="6" spans="1:24">
      <c r="A6" s="115">
        <v>4</v>
      </c>
      <c r="B6" s="116">
        <v>1</v>
      </c>
      <c r="C6" s="81" t="s">
        <v>128</v>
      </c>
      <c r="D6" s="109" t="s">
        <v>238</v>
      </c>
      <c r="E6" s="81" t="s">
        <v>239</v>
      </c>
      <c r="F6" s="52">
        <v>9.91</v>
      </c>
      <c r="G6" s="52">
        <f t="shared" si="0"/>
        <v>10.88</v>
      </c>
      <c r="H6" s="110"/>
      <c r="I6" s="81">
        <f>VLOOKUP(C6,Recipes!$A$2:$N$4,10,FALSE())</f>
        <v>10.940000000000001</v>
      </c>
      <c r="J6" s="81">
        <f>VLOOKUP(C6,Recipes!$A$2:$N$4,12,FALSE())</f>
        <v>5.2703573566378441E-2</v>
      </c>
      <c r="K6" s="81">
        <f t="shared" si="1"/>
        <v>10.755537492517677</v>
      </c>
      <c r="L6" s="81">
        <f t="shared" si="2"/>
        <v>11.124462507482326</v>
      </c>
      <c r="M6" s="81" t="str">
        <f t="shared" si="4"/>
        <v>OK</v>
      </c>
      <c r="N6" s="117">
        <f t="shared" si="3"/>
        <v>1</v>
      </c>
      <c r="O6" s="81">
        <f t="shared" si="5"/>
        <v>6.0000000000000497E-2</v>
      </c>
      <c r="P6" s="81">
        <f>IF(G6="","",ABS(O6-Components!$C$2)/Components!$D$2)</f>
        <v>407.52845127242051</v>
      </c>
      <c r="Q6" s="81">
        <f>IF(G6="","",ABS(O6-Components!$C$3)/Components!$D$3)</f>
        <v>288.18796201312335</v>
      </c>
      <c r="R6" s="81">
        <f>IF(G6="","",ABS(O6-Components!$C$4)/Components!$D$4)</f>
        <v>66.768549599989655</v>
      </c>
      <c r="S6" s="81">
        <f>IF(G6="","",ABS(O6-Components!$C$5)/Components!$D$5)</f>
        <v>178.82049585135329</v>
      </c>
      <c r="T6" s="81">
        <f>IF(G6="","",ABS(O6-Components!$C$6)/Components!$D$6)</f>
        <v>39.657134984355721</v>
      </c>
      <c r="U6" s="81">
        <f>IF(G6="","",ABS(O6-Components!$C$7)/Components!$D$7)</f>
        <v>52.269016229170475</v>
      </c>
      <c r="V6" s="81" t="str">
        <f>IF(G6="","",IF(M6="OK","NONE",INDEX({"S1","S2","W1","W2","N1","N2"},MATCH(MIN(P6:U6),P6:U6,0))))</f>
        <v>NONE</v>
      </c>
      <c r="W6" s="117">
        <f t="shared" si="6"/>
        <v>1</v>
      </c>
      <c r="X6" s="107"/>
    </row>
    <row r="7" spans="1:24">
      <c r="A7" s="115">
        <v>5</v>
      </c>
      <c r="B7" s="116">
        <v>1</v>
      </c>
      <c r="C7" s="81" t="s">
        <v>128</v>
      </c>
      <c r="D7" s="109" t="s">
        <v>238</v>
      </c>
      <c r="E7" s="81" t="s">
        <v>239</v>
      </c>
      <c r="F7" s="52">
        <v>10.039999999999999</v>
      </c>
      <c r="G7" s="52">
        <f t="shared" si="0"/>
        <v>11.01</v>
      </c>
      <c r="H7" s="110"/>
      <c r="I7" s="81">
        <f>VLOOKUP(C7,Recipes!$A$2:$N$4,10,FALSE())</f>
        <v>10.940000000000001</v>
      </c>
      <c r="J7" s="81">
        <f>VLOOKUP(C7,Recipes!$A$2:$N$4,12,FALSE())</f>
        <v>5.2703573566378441E-2</v>
      </c>
      <c r="K7" s="81">
        <f t="shared" si="1"/>
        <v>10.755537492517677</v>
      </c>
      <c r="L7" s="81">
        <f t="shared" si="2"/>
        <v>11.124462507482326</v>
      </c>
      <c r="M7" s="81" t="str">
        <f t="shared" si="4"/>
        <v>OK</v>
      </c>
      <c r="N7" s="117">
        <f t="shared" si="3"/>
        <v>1</v>
      </c>
      <c r="O7" s="81">
        <f t="shared" si="5"/>
        <v>-6.9999999999998508E-2</v>
      </c>
      <c r="P7" s="81">
        <f>IF(G7="","",ABS(O7-Components!$C$2)/Components!$D$2)</f>
        <v>427.19876018284663</v>
      </c>
      <c r="Q7" s="81">
        <f>IF(G7="","",ABS(O7-Components!$C$3)/Components!$D$3)</f>
        <v>297.61060664634914</v>
      </c>
      <c r="R7" s="81">
        <f>IF(G7="","",ABS(O7-Components!$C$4)/Components!$D$4)</f>
        <v>76.068454722845303</v>
      </c>
      <c r="S7" s="81">
        <f>IF(G7="","",ABS(O7-Components!$C$5)/Components!$D$5)</f>
        <v>183.98336181093481</v>
      </c>
      <c r="T7" s="81">
        <f>IF(G7="","",ABS(O7-Components!$C$6)/Components!$D$6)</f>
        <v>44.362423284902896</v>
      </c>
      <c r="U7" s="81">
        <f>IF(G7="","",ABS(O7-Components!$C$7)/Components!$D$7)</f>
        <v>57.438916388789131</v>
      </c>
      <c r="V7" s="81" t="str">
        <f>IF(G7="","",IF(M7="OK","NONE",INDEX({"S1","S2","W1","W2","N1","N2"},MATCH(MIN(P7:U7),P7:U7,0))))</f>
        <v>NONE</v>
      </c>
      <c r="W7" s="117">
        <f t="shared" si="6"/>
        <v>1</v>
      </c>
      <c r="X7" s="107"/>
    </row>
    <row r="8" spans="1:24">
      <c r="A8" s="115">
        <v>6</v>
      </c>
      <c r="B8" s="116">
        <v>1</v>
      </c>
      <c r="C8" s="81" t="s">
        <v>128</v>
      </c>
      <c r="D8" s="109" t="s">
        <v>238</v>
      </c>
      <c r="E8" s="81" t="s">
        <v>239</v>
      </c>
      <c r="F8" s="52">
        <v>9.84</v>
      </c>
      <c r="G8" s="52">
        <f t="shared" si="0"/>
        <v>10.81</v>
      </c>
      <c r="H8" s="110"/>
      <c r="I8" s="81">
        <f>VLOOKUP(C8,Recipes!$A$2:$N$4,10,FALSE())</f>
        <v>10.940000000000001</v>
      </c>
      <c r="J8" s="81">
        <f>VLOOKUP(C8,Recipes!$A$2:$N$4,12,FALSE())</f>
        <v>5.2703573566378441E-2</v>
      </c>
      <c r="K8" s="81">
        <f t="shared" si="1"/>
        <v>10.755537492517677</v>
      </c>
      <c r="L8" s="81">
        <f t="shared" si="2"/>
        <v>11.124462507482326</v>
      </c>
      <c r="M8" s="81" t="str">
        <f t="shared" si="4"/>
        <v>OK</v>
      </c>
      <c r="N8" s="117">
        <f t="shared" si="3"/>
        <v>1</v>
      </c>
      <c r="O8" s="81">
        <f t="shared" si="5"/>
        <v>0.13000000000000078</v>
      </c>
      <c r="P8" s="81">
        <f>IF(G8="","",ABS(O8-Components!$C$2)/Components!$D$2)</f>
        <v>396.93674647449859</v>
      </c>
      <c r="Q8" s="81">
        <f>IF(G8="","",ABS(O8-Components!$C$3)/Components!$D$3)</f>
        <v>283.11423028754012</v>
      </c>
      <c r="R8" s="81">
        <f>IF(G8="","",ABS(O8-Components!$C$4)/Components!$D$4)</f>
        <v>61.760908379990411</v>
      </c>
      <c r="S8" s="81">
        <f>IF(G8="","",ABS(O8-Components!$C$5)/Components!$D$5)</f>
        <v>176.04049110388627</v>
      </c>
      <c r="T8" s="81">
        <f>IF(G8="","",ABS(O8-Components!$C$6)/Components!$D$6)</f>
        <v>37.123518207137977</v>
      </c>
      <c r="U8" s="81">
        <f>IF(G8="","",ABS(O8-Components!$C$7)/Components!$D$7)</f>
        <v>49.485223835529624</v>
      </c>
      <c r="V8" s="81" t="str">
        <f>IF(G8="","",IF(M8="OK","NONE",INDEX({"S1","S2","W1","W2","N1","N2"},MATCH(MIN(P8:U8),P8:U8,0))))</f>
        <v>NONE</v>
      </c>
      <c r="W8" s="117">
        <f t="shared" si="6"/>
        <v>1</v>
      </c>
      <c r="X8" s="107"/>
    </row>
    <row r="9" spans="1:24">
      <c r="A9" s="115">
        <v>7</v>
      </c>
      <c r="B9" s="116">
        <v>1</v>
      </c>
      <c r="C9" s="81" t="s">
        <v>128</v>
      </c>
      <c r="D9" s="109" t="s">
        <v>238</v>
      </c>
      <c r="E9" s="81" t="s">
        <v>239</v>
      </c>
      <c r="F9" s="52">
        <v>9.9</v>
      </c>
      <c r="G9" s="52">
        <f t="shared" si="0"/>
        <v>10.870000000000001</v>
      </c>
      <c r="H9" s="110"/>
      <c r="I9" s="81">
        <f>VLOOKUP(C9,Recipes!$A$2:$N$4,10,FALSE())</f>
        <v>10.940000000000001</v>
      </c>
      <c r="J9" s="81">
        <f>VLOOKUP(C9,Recipes!$A$2:$N$4,12,FALSE())</f>
        <v>5.2703573566378441E-2</v>
      </c>
      <c r="K9" s="81">
        <f t="shared" si="1"/>
        <v>10.755537492517677</v>
      </c>
      <c r="L9" s="81">
        <f t="shared" si="2"/>
        <v>11.124462507482326</v>
      </c>
      <c r="M9" s="81" t="str">
        <f t="shared" si="4"/>
        <v>OK</v>
      </c>
      <c r="N9" s="117">
        <f t="shared" si="3"/>
        <v>1</v>
      </c>
      <c r="O9" s="81">
        <f t="shared" si="5"/>
        <v>7.0000000000000284E-2</v>
      </c>
      <c r="P9" s="81">
        <f>IF(G9="","",ABS(O9-Components!$C$2)/Components!$D$2)</f>
        <v>406.01535058700313</v>
      </c>
      <c r="Q9" s="81">
        <f>IF(G9="","",ABS(O9-Components!$C$3)/Components!$D$3)</f>
        <v>287.46314319518291</v>
      </c>
      <c r="R9" s="81">
        <f>IF(G9="","",ABS(O9-Components!$C$4)/Components!$D$4)</f>
        <v>66.05317228284693</v>
      </c>
      <c r="S9" s="81">
        <f>IF(G9="","",ABS(O9-Components!$C$5)/Components!$D$5)</f>
        <v>178.42335231600086</v>
      </c>
      <c r="T9" s="81">
        <f>IF(G9="","",ABS(O9-Components!$C$6)/Components!$D$6)</f>
        <v>39.295189730467477</v>
      </c>
      <c r="U9" s="81">
        <f>IF(G9="","",ABS(O9-Components!$C$7)/Components!$D$7)</f>
        <v>51.871331601507507</v>
      </c>
      <c r="V9" s="81" t="str">
        <f>IF(G9="","",IF(M9="OK","NONE",INDEX({"S1","S2","W1","W2","N1","N2"},MATCH(MIN(P9:U9),P9:U9,0))))</f>
        <v>NONE</v>
      </c>
      <c r="W9" s="117">
        <f t="shared" si="6"/>
        <v>1</v>
      </c>
      <c r="X9" s="107"/>
    </row>
    <row r="10" spans="1:24">
      <c r="A10" s="115">
        <v>8</v>
      </c>
      <c r="B10" s="116">
        <v>1</v>
      </c>
      <c r="C10" s="81" t="s">
        <v>128</v>
      </c>
      <c r="D10" s="109" t="s">
        <v>238</v>
      </c>
      <c r="E10" s="81" t="s">
        <v>239</v>
      </c>
      <c r="F10" s="52">
        <v>9.92</v>
      </c>
      <c r="G10" s="52">
        <f t="shared" si="0"/>
        <v>10.89</v>
      </c>
      <c r="H10" s="110"/>
      <c r="I10" s="81">
        <f>VLOOKUP(C10,Recipes!$A$2:$N$4,10,FALSE())</f>
        <v>10.940000000000001</v>
      </c>
      <c r="J10" s="81">
        <f>VLOOKUP(C10,Recipes!$A$2:$N$4,12,FALSE())</f>
        <v>5.2703573566378441E-2</v>
      </c>
      <c r="K10" s="61">
        <f t="shared" si="1"/>
        <v>10.755537492517677</v>
      </c>
      <c r="L10" s="61">
        <f t="shared" si="2"/>
        <v>11.124462507482326</v>
      </c>
      <c r="M10" s="81" t="str">
        <f t="shared" si="4"/>
        <v>OK</v>
      </c>
      <c r="N10" s="117">
        <f t="shared" si="3"/>
        <v>1</v>
      </c>
      <c r="O10" s="81">
        <f t="shared" si="5"/>
        <v>5.0000000000000711E-2</v>
      </c>
      <c r="P10" s="81">
        <f>IF(G10="","",ABS(O10-Components!$C$2)/Components!$D$2)</f>
        <v>409.0415519578379</v>
      </c>
      <c r="Q10" s="81">
        <f>IF(G10="","",ABS(O10-Components!$C$3)/Components!$D$3)</f>
        <v>288.91278083106374</v>
      </c>
      <c r="R10" s="81">
        <f>IF(G10="","",ABS(O10-Components!$C$4)/Components!$D$4)</f>
        <v>67.483926917132393</v>
      </c>
      <c r="S10" s="81">
        <f>IF(G10="","",ABS(O10-Components!$C$5)/Components!$D$5)</f>
        <v>179.21763938670568</v>
      </c>
      <c r="T10" s="81">
        <f>IF(G10="","",ABS(O10-Components!$C$6)/Components!$D$6)</f>
        <v>40.019080238243959</v>
      </c>
      <c r="U10" s="81">
        <f>IF(G10="","",ABS(O10-Components!$C$7)/Components!$D$7)</f>
        <v>52.666700856833444</v>
      </c>
      <c r="V10" s="81" t="str">
        <f>IF(G10="","",IF(M10="OK","NONE",INDEX({"S1","S2","W1","W2","N1","N2"},MATCH(MIN(P10:U10),P10:U10,0))))</f>
        <v>NONE</v>
      </c>
      <c r="W10" s="117">
        <f t="shared" si="6"/>
        <v>1</v>
      </c>
      <c r="X10" s="107"/>
    </row>
    <row r="11" spans="1:24">
      <c r="A11" s="115">
        <v>9</v>
      </c>
      <c r="B11" s="116">
        <v>1</v>
      </c>
      <c r="C11" s="81" t="s">
        <v>128</v>
      </c>
      <c r="D11" s="109" t="s">
        <v>238</v>
      </c>
      <c r="E11" s="81" t="s">
        <v>239</v>
      </c>
      <c r="F11" s="52">
        <v>9.9499999999999993</v>
      </c>
      <c r="G11" s="52">
        <f t="shared" si="0"/>
        <v>10.92</v>
      </c>
      <c r="H11" s="110"/>
      <c r="I11" s="81">
        <f>VLOOKUP(C11,Recipes!$A$2:$N$4,10,FALSE())</f>
        <v>10.940000000000001</v>
      </c>
      <c r="J11" s="81">
        <f>VLOOKUP(C11,Recipes!$A$2:$N$4,12,FALSE())</f>
        <v>5.2703573566378441E-2</v>
      </c>
      <c r="K11" s="81">
        <f t="shared" si="1"/>
        <v>10.755537492517677</v>
      </c>
      <c r="L11" s="81">
        <f t="shared" si="2"/>
        <v>11.124462507482326</v>
      </c>
      <c r="M11" s="81" t="str">
        <f t="shared" si="4"/>
        <v>OK</v>
      </c>
      <c r="N11" s="117">
        <f t="shared" si="3"/>
        <v>1</v>
      </c>
      <c r="O11" s="81">
        <f t="shared" si="5"/>
        <v>2.000000000000135E-2</v>
      </c>
      <c r="P11" s="81">
        <f>IF(G11="","",ABS(O11-Components!$C$2)/Components!$D$2)</f>
        <v>413.58085401408999</v>
      </c>
      <c r="Q11" s="81">
        <f>IF(G11="","",ABS(O11-Components!$C$3)/Components!$D$3)</f>
        <v>291.08723728488508</v>
      </c>
      <c r="R11" s="81">
        <f>IF(G11="","",ABS(O11-Components!$C$4)/Components!$D$4)</f>
        <v>69.630058868560582</v>
      </c>
      <c r="S11" s="81">
        <f>IF(G11="","",ABS(O11-Components!$C$5)/Components!$D$5)</f>
        <v>180.40906999276297</v>
      </c>
      <c r="T11" s="81">
        <f>IF(G11="","",ABS(O11-Components!$C$6)/Components!$D$6)</f>
        <v>41.104915999908677</v>
      </c>
      <c r="U11" s="81">
        <f>IF(G11="","",ABS(O11-Components!$C$7)/Components!$D$7)</f>
        <v>53.85975473982235</v>
      </c>
      <c r="V11" s="81" t="str">
        <f>IF(G11="","",IF(M11="OK","NONE",INDEX({"S1","S2","W1","W2","N1","N2"},MATCH(MIN(P11:U11),P11:U11,0))))</f>
        <v>NONE</v>
      </c>
      <c r="W11" s="117">
        <f t="shared" si="6"/>
        <v>1</v>
      </c>
      <c r="X11" s="107"/>
    </row>
    <row r="12" spans="1:24">
      <c r="A12" s="115">
        <v>10</v>
      </c>
      <c r="B12" s="116">
        <v>1</v>
      </c>
      <c r="C12" s="81" t="s">
        <v>128</v>
      </c>
      <c r="D12" s="109" t="s">
        <v>238</v>
      </c>
      <c r="E12" s="81" t="s">
        <v>239</v>
      </c>
      <c r="F12" s="52">
        <v>9.8699999999999992</v>
      </c>
      <c r="G12" s="52">
        <f t="shared" si="0"/>
        <v>10.84</v>
      </c>
      <c r="H12" s="110"/>
      <c r="I12" s="81">
        <f>VLOOKUP(C12,Recipes!$A$2:$N$4,10,FALSE())</f>
        <v>10.940000000000001</v>
      </c>
      <c r="J12" s="81">
        <f>VLOOKUP(C12,Recipes!$A$2:$N$4,12,FALSE())</f>
        <v>5.2703573566378441E-2</v>
      </c>
      <c r="K12" s="81">
        <f t="shared" si="1"/>
        <v>10.755537492517677</v>
      </c>
      <c r="L12" s="81">
        <f t="shared" si="2"/>
        <v>11.124462507482326</v>
      </c>
      <c r="M12" s="81" t="str">
        <f t="shared" si="4"/>
        <v>OK</v>
      </c>
      <c r="N12" s="117">
        <f t="shared" si="3"/>
        <v>1</v>
      </c>
      <c r="O12" s="81">
        <f t="shared" si="5"/>
        <v>0.10000000000000142</v>
      </c>
      <c r="P12" s="81">
        <f>IF(G12="","",ABS(O12-Components!$C$2)/Components!$D$2)</f>
        <v>401.47604853075075</v>
      </c>
      <c r="Q12" s="81">
        <f>IF(G12="","",ABS(O12-Components!$C$3)/Components!$D$3)</f>
        <v>285.28868674136146</v>
      </c>
      <c r="R12" s="81">
        <f>IF(G12="","",ABS(O12-Components!$C$4)/Components!$D$4)</f>
        <v>63.907040331418607</v>
      </c>
      <c r="S12" s="81">
        <f>IF(G12="","",ABS(O12-Components!$C$5)/Components!$D$5)</f>
        <v>177.23192170994352</v>
      </c>
      <c r="T12" s="81">
        <f>IF(G12="","",ABS(O12-Components!$C$6)/Components!$D$6)</f>
        <v>38.209353968802695</v>
      </c>
      <c r="U12" s="81">
        <f>IF(G12="","",ABS(O12-Components!$C$7)/Components!$D$7)</f>
        <v>50.67827771851853</v>
      </c>
      <c r="V12" s="81" t="str">
        <f>IF(G12="","",IF(M12="OK","NONE",INDEX({"S1","S2","W1","W2","N1","N2"},MATCH(MIN(P12:U12),P12:U12,0))))</f>
        <v>NONE</v>
      </c>
      <c r="W12" s="117">
        <f t="shared" si="6"/>
        <v>1</v>
      </c>
      <c r="X12" s="107"/>
    </row>
    <row r="13" spans="1:24">
      <c r="A13" s="115">
        <v>11</v>
      </c>
      <c r="B13" s="116">
        <v>1</v>
      </c>
      <c r="C13" s="81" t="s">
        <v>128</v>
      </c>
      <c r="D13" s="109" t="s">
        <v>238</v>
      </c>
      <c r="E13" s="81" t="s">
        <v>239</v>
      </c>
      <c r="F13" s="52">
        <v>9.8800000000000008</v>
      </c>
      <c r="G13" s="52">
        <f t="shared" si="0"/>
        <v>10.850000000000001</v>
      </c>
      <c r="H13" s="110"/>
      <c r="I13" s="81">
        <f>VLOOKUP(C13,Recipes!$A$2:$N$4,10,FALSE())</f>
        <v>10.940000000000001</v>
      </c>
      <c r="J13" s="81">
        <f>VLOOKUP(C13,Recipes!$A$2:$N$4,12,FALSE())</f>
        <v>5.2703573566378441E-2</v>
      </c>
      <c r="K13" s="81">
        <f t="shared" si="1"/>
        <v>10.755537492517677</v>
      </c>
      <c r="L13" s="81">
        <f t="shared" si="2"/>
        <v>11.124462507482326</v>
      </c>
      <c r="M13" s="81" t="str">
        <f t="shared" si="4"/>
        <v>OK</v>
      </c>
      <c r="N13" s="117">
        <f t="shared" si="3"/>
        <v>1</v>
      </c>
      <c r="O13" s="81">
        <f t="shared" si="5"/>
        <v>8.9999999999999858E-2</v>
      </c>
      <c r="P13" s="81">
        <f>IF(G13="","",ABS(O13-Components!$C$2)/Components!$D$2)</f>
        <v>402.98914921616836</v>
      </c>
      <c r="Q13" s="81">
        <f>IF(G13="","",ABS(O13-Components!$C$3)/Components!$D$3)</f>
        <v>286.01350555930202</v>
      </c>
      <c r="R13" s="81">
        <f>IF(G13="","",ABS(O13-Components!$C$4)/Components!$D$4)</f>
        <v>64.622417648561466</v>
      </c>
      <c r="S13" s="81">
        <f>IF(G13="","",ABS(O13-Components!$C$5)/Components!$D$5)</f>
        <v>177.62906524529603</v>
      </c>
      <c r="T13" s="81">
        <f>IF(G13="","",ABS(O13-Components!$C$6)/Components!$D$6)</f>
        <v>38.571299222691003</v>
      </c>
      <c r="U13" s="81">
        <f>IF(G13="","",ABS(O13-Components!$C$7)/Components!$D$7)</f>
        <v>51.075962346181569</v>
      </c>
      <c r="V13" s="81" t="str">
        <f>IF(G13="","",IF(M13="OK","NONE",INDEX({"S1","S2","W1","W2","N1","N2"},MATCH(MIN(P13:U13),P13:U13,0))))</f>
        <v>NONE</v>
      </c>
      <c r="W13" s="117">
        <f t="shared" si="6"/>
        <v>1</v>
      </c>
      <c r="X13" s="107"/>
    </row>
    <row r="14" spans="1:24">
      <c r="A14" s="115">
        <v>12</v>
      </c>
      <c r="B14" s="116">
        <v>1</v>
      </c>
      <c r="C14" s="81" t="s">
        <v>128</v>
      </c>
      <c r="D14" s="109" t="s">
        <v>238</v>
      </c>
      <c r="E14" s="81" t="s">
        <v>239</v>
      </c>
      <c r="F14" s="52">
        <v>9.91</v>
      </c>
      <c r="G14" s="52">
        <f t="shared" si="0"/>
        <v>10.88</v>
      </c>
      <c r="H14" s="110"/>
      <c r="I14" s="81">
        <f>VLOOKUP(C14,Recipes!$A$2:$N$4,10,FALSE())</f>
        <v>10.940000000000001</v>
      </c>
      <c r="J14" s="81">
        <f>VLOOKUP(C14,Recipes!$A$2:$N$4,12,FALSE())</f>
        <v>5.2703573566378441E-2</v>
      </c>
      <c r="K14" s="81">
        <f t="shared" si="1"/>
        <v>10.755537492517677</v>
      </c>
      <c r="L14" s="81">
        <f t="shared" si="2"/>
        <v>11.124462507482326</v>
      </c>
      <c r="M14" s="81" t="str">
        <f t="shared" si="4"/>
        <v>OK</v>
      </c>
      <c r="N14" s="117">
        <f t="shared" si="3"/>
        <v>1</v>
      </c>
      <c r="O14" s="81">
        <f t="shared" si="5"/>
        <v>6.0000000000000497E-2</v>
      </c>
      <c r="P14" s="81">
        <f>IF(G14="","",ABS(O14-Components!$C$2)/Components!$D$2)</f>
        <v>407.52845127242051</v>
      </c>
      <c r="Q14" s="81">
        <f>IF(G14="","",ABS(O14-Components!$C$3)/Components!$D$3)</f>
        <v>288.18796201312335</v>
      </c>
      <c r="R14" s="81">
        <f>IF(G14="","",ABS(O14-Components!$C$4)/Components!$D$4)</f>
        <v>66.768549599989655</v>
      </c>
      <c r="S14" s="81">
        <f>IF(G14="","",ABS(O14-Components!$C$5)/Components!$D$5)</f>
        <v>178.82049585135329</v>
      </c>
      <c r="T14" s="81">
        <f>IF(G14="","",ABS(O14-Components!$C$6)/Components!$D$6)</f>
        <v>39.657134984355721</v>
      </c>
      <c r="U14" s="81">
        <f>IF(G14="","",ABS(O14-Components!$C$7)/Components!$D$7)</f>
        <v>52.269016229170475</v>
      </c>
      <c r="V14" s="81" t="str">
        <f>IF(G14="","",IF(M14="OK","NONE",INDEX({"S1","S2","W1","W2","N1","N2"},MATCH(MIN(P14:U14),P14:U14,0))))</f>
        <v>NONE</v>
      </c>
      <c r="W14" s="117">
        <f t="shared" si="6"/>
        <v>1</v>
      </c>
      <c r="X14" s="107"/>
    </row>
    <row r="15" spans="1:24">
      <c r="A15" s="115">
        <v>13</v>
      </c>
      <c r="B15" s="116">
        <v>1</v>
      </c>
      <c r="C15" s="81" t="s">
        <v>128</v>
      </c>
      <c r="D15" s="109" t="s">
        <v>238</v>
      </c>
      <c r="E15" s="81" t="s">
        <v>239</v>
      </c>
      <c r="F15" s="52">
        <v>9.9</v>
      </c>
      <c r="G15" s="52">
        <f t="shared" si="0"/>
        <v>10.870000000000001</v>
      </c>
      <c r="H15" s="110"/>
      <c r="I15" s="81">
        <f>VLOOKUP(C15,Recipes!$A$2:$N$4,10,FALSE())</f>
        <v>10.940000000000001</v>
      </c>
      <c r="J15" s="81">
        <f>VLOOKUP(C15,Recipes!$A$2:$N$4,12,FALSE())</f>
        <v>5.2703573566378441E-2</v>
      </c>
      <c r="K15" s="81">
        <f t="shared" si="1"/>
        <v>10.755537492517677</v>
      </c>
      <c r="L15" s="81">
        <f t="shared" si="2"/>
        <v>11.124462507482326</v>
      </c>
      <c r="M15" s="81" t="str">
        <f t="shared" si="4"/>
        <v>OK</v>
      </c>
      <c r="N15" s="117">
        <f t="shared" si="3"/>
        <v>1</v>
      </c>
      <c r="O15" s="81">
        <f t="shared" si="5"/>
        <v>7.0000000000000284E-2</v>
      </c>
      <c r="P15" s="81">
        <f>IF(G15="","",ABS(O15-Components!$C$2)/Components!$D$2)</f>
        <v>406.01535058700313</v>
      </c>
      <c r="Q15" s="81">
        <f>IF(G15="","",ABS(O15-Components!$C$3)/Components!$D$3)</f>
        <v>287.46314319518291</v>
      </c>
      <c r="R15" s="81">
        <f>IF(G15="","",ABS(O15-Components!$C$4)/Components!$D$4)</f>
        <v>66.05317228284693</v>
      </c>
      <c r="S15" s="81">
        <f>IF(G15="","",ABS(O15-Components!$C$5)/Components!$D$5)</f>
        <v>178.42335231600086</v>
      </c>
      <c r="T15" s="81">
        <f>IF(G15="","",ABS(O15-Components!$C$6)/Components!$D$6)</f>
        <v>39.295189730467477</v>
      </c>
      <c r="U15" s="81">
        <f>IF(G15="","",ABS(O15-Components!$C$7)/Components!$D$7)</f>
        <v>51.871331601507507</v>
      </c>
      <c r="V15" s="81" t="str">
        <f>IF(G15="","",IF(M15="OK","NONE",INDEX({"S1","S2","W1","W2","N1","N2"},MATCH(MIN(P15:U15),P15:U15,0))))</f>
        <v>NONE</v>
      </c>
      <c r="W15" s="117">
        <f t="shared" si="6"/>
        <v>1</v>
      </c>
      <c r="X15" s="107"/>
    </row>
    <row r="16" spans="1:24">
      <c r="A16" s="115">
        <v>14</v>
      </c>
      <c r="B16" s="116">
        <v>1</v>
      </c>
      <c r="C16" s="81" t="s">
        <v>128</v>
      </c>
      <c r="D16" s="109" t="s">
        <v>238</v>
      </c>
      <c r="E16" s="81" t="s">
        <v>239</v>
      </c>
      <c r="F16" s="52">
        <v>9.92</v>
      </c>
      <c r="G16" s="52">
        <f t="shared" si="0"/>
        <v>10.89</v>
      </c>
      <c r="H16" s="110"/>
      <c r="I16" s="81">
        <f>VLOOKUP(C16,Recipes!$A$2:$N$4,10,FALSE())</f>
        <v>10.940000000000001</v>
      </c>
      <c r="J16" s="81">
        <f>VLOOKUP(C16,Recipes!$A$2:$N$4,12,FALSE())</f>
        <v>5.2703573566378441E-2</v>
      </c>
      <c r="K16" s="81">
        <f t="shared" si="1"/>
        <v>10.755537492517677</v>
      </c>
      <c r="L16" s="81">
        <f t="shared" si="2"/>
        <v>11.124462507482326</v>
      </c>
      <c r="M16" s="81" t="str">
        <f t="shared" si="4"/>
        <v>OK</v>
      </c>
      <c r="N16" s="117">
        <f t="shared" si="3"/>
        <v>1</v>
      </c>
      <c r="O16" s="81">
        <f t="shared" si="5"/>
        <v>5.0000000000000711E-2</v>
      </c>
      <c r="P16" s="81">
        <f>IF(G16="","",ABS(O16-Components!$C$2)/Components!$D$2)</f>
        <v>409.0415519578379</v>
      </c>
      <c r="Q16" s="81">
        <f>IF(G16="","",ABS(O16-Components!$C$3)/Components!$D$3)</f>
        <v>288.91278083106374</v>
      </c>
      <c r="R16" s="81">
        <f>IF(G16="","",ABS(O16-Components!$C$4)/Components!$D$4)</f>
        <v>67.483926917132393</v>
      </c>
      <c r="S16" s="81">
        <f>IF(G16="","",ABS(O16-Components!$C$5)/Components!$D$5)</f>
        <v>179.21763938670568</v>
      </c>
      <c r="T16" s="81">
        <f>IF(G16="","",ABS(O16-Components!$C$6)/Components!$D$6)</f>
        <v>40.019080238243959</v>
      </c>
      <c r="U16" s="81">
        <f>IF(G16="","",ABS(O16-Components!$C$7)/Components!$D$7)</f>
        <v>52.666700856833444</v>
      </c>
      <c r="V16" s="81" t="str">
        <f>IF(G16="","",IF(M16="OK","NONE",INDEX({"S1","S2","W1","W2","N1","N2"},MATCH(MIN(P16:U16),P16:U16,0))))</f>
        <v>NONE</v>
      </c>
      <c r="W16" s="117">
        <f t="shared" si="6"/>
        <v>1</v>
      </c>
      <c r="X16" s="107"/>
    </row>
    <row r="17" spans="1:24">
      <c r="A17" s="115">
        <v>15</v>
      </c>
      <c r="B17" s="116">
        <v>1</v>
      </c>
      <c r="C17" s="81" t="s">
        <v>128</v>
      </c>
      <c r="D17" s="109" t="s">
        <v>238</v>
      </c>
      <c r="E17" s="81" t="s">
        <v>239</v>
      </c>
      <c r="F17" s="52">
        <v>9.94</v>
      </c>
      <c r="G17" s="52">
        <f t="shared" si="0"/>
        <v>10.91</v>
      </c>
      <c r="H17" s="110"/>
      <c r="I17" s="81">
        <f>VLOOKUP(C17,Recipes!$A$2:$N$4,10,FALSE())</f>
        <v>10.940000000000001</v>
      </c>
      <c r="J17" s="81">
        <f>VLOOKUP(C17,Recipes!$A$2:$N$4,12,FALSE())</f>
        <v>5.2703573566378441E-2</v>
      </c>
      <c r="K17" s="81">
        <f t="shared" si="1"/>
        <v>10.755537492517677</v>
      </c>
      <c r="L17" s="81">
        <f t="shared" si="2"/>
        <v>11.124462507482326</v>
      </c>
      <c r="M17" s="81" t="str">
        <f t="shared" si="4"/>
        <v>OK</v>
      </c>
      <c r="N17" s="117">
        <f t="shared" si="3"/>
        <v>1</v>
      </c>
      <c r="O17" s="81">
        <f t="shared" si="5"/>
        <v>3.0000000000001137E-2</v>
      </c>
      <c r="P17" s="81">
        <f>IF(G17="","",ABS(O17-Components!$C$2)/Components!$D$2)</f>
        <v>412.06775332867261</v>
      </c>
      <c r="Q17" s="81">
        <f>IF(G17="","",ABS(O17-Components!$C$3)/Components!$D$3)</f>
        <v>290.36241846694463</v>
      </c>
      <c r="R17" s="81">
        <f>IF(G17="","",ABS(O17-Components!$C$4)/Components!$D$4)</f>
        <v>68.914681551417857</v>
      </c>
      <c r="S17" s="81">
        <f>IF(G17="","",ABS(O17-Components!$C$5)/Components!$D$5)</f>
        <v>180.01192645741054</v>
      </c>
      <c r="T17" s="81">
        <f>IF(G17="","",ABS(O17-Components!$C$6)/Components!$D$6)</f>
        <v>40.74297074602044</v>
      </c>
      <c r="U17" s="81">
        <f>IF(G17="","",ABS(O17-Components!$C$7)/Components!$D$7)</f>
        <v>53.462070112159381</v>
      </c>
      <c r="V17" s="81" t="str">
        <f>IF(G17="","",IF(M17="OK","NONE",INDEX({"S1","S2","W1","W2","N1","N2"},MATCH(MIN(P17:U17),P17:U17,0))))</f>
        <v>NONE</v>
      </c>
      <c r="W17" s="117">
        <f t="shared" si="6"/>
        <v>1</v>
      </c>
      <c r="X17" s="107"/>
    </row>
    <row r="18" spans="1:24">
      <c r="A18" s="115">
        <v>16</v>
      </c>
      <c r="B18" s="116">
        <v>1</v>
      </c>
      <c r="C18" s="81" t="s">
        <v>128</v>
      </c>
      <c r="D18" s="109" t="s">
        <v>238</v>
      </c>
      <c r="E18" s="81" t="s">
        <v>239</v>
      </c>
      <c r="F18" s="52">
        <v>9.92</v>
      </c>
      <c r="G18" s="52">
        <f t="shared" si="0"/>
        <v>10.89</v>
      </c>
      <c r="H18" s="110"/>
      <c r="I18" s="81">
        <f>VLOOKUP(C18,Recipes!$A$2:$N$4,10,FALSE())</f>
        <v>10.940000000000001</v>
      </c>
      <c r="J18" s="81">
        <f>VLOOKUP(C18,Recipes!$A$2:$N$4,12,FALSE())</f>
        <v>5.2703573566378441E-2</v>
      </c>
      <c r="K18" s="81">
        <f t="shared" si="1"/>
        <v>10.755537492517677</v>
      </c>
      <c r="L18" s="81">
        <f t="shared" si="2"/>
        <v>11.124462507482326</v>
      </c>
      <c r="M18" s="81" t="str">
        <f t="shared" si="4"/>
        <v>OK</v>
      </c>
      <c r="N18" s="117">
        <f t="shared" si="3"/>
        <v>1</v>
      </c>
      <c r="O18" s="81">
        <f t="shared" si="5"/>
        <v>5.0000000000000711E-2</v>
      </c>
      <c r="P18" s="81">
        <f>IF(G18="","",ABS(O18-Components!$C$2)/Components!$D$2)</f>
        <v>409.0415519578379</v>
      </c>
      <c r="Q18" s="81">
        <f>IF(G18="","",ABS(O18-Components!$C$3)/Components!$D$3)</f>
        <v>288.91278083106374</v>
      </c>
      <c r="R18" s="81">
        <f>IF(G18="","",ABS(O18-Components!$C$4)/Components!$D$4)</f>
        <v>67.483926917132393</v>
      </c>
      <c r="S18" s="81">
        <f>IF(G18="","",ABS(O18-Components!$C$5)/Components!$D$5)</f>
        <v>179.21763938670568</v>
      </c>
      <c r="T18" s="81">
        <f>IF(G18="","",ABS(O18-Components!$C$6)/Components!$D$6)</f>
        <v>40.019080238243959</v>
      </c>
      <c r="U18" s="81">
        <f>IF(G18="","",ABS(O18-Components!$C$7)/Components!$D$7)</f>
        <v>52.666700856833444</v>
      </c>
      <c r="V18" s="81" t="str">
        <f>IF(G18="","",IF(M18="OK","NONE",INDEX({"S1","S2","W1","W2","N1","N2"},MATCH(MIN(P18:U18),P18:U18,0))))</f>
        <v>NONE</v>
      </c>
      <c r="W18" s="117">
        <f t="shared" si="6"/>
        <v>1</v>
      </c>
      <c r="X18" s="107"/>
    </row>
    <row r="19" spans="1:24">
      <c r="A19" s="115">
        <v>17</v>
      </c>
      <c r="B19" s="116">
        <v>1</v>
      </c>
      <c r="C19" s="81" t="s">
        <v>128</v>
      </c>
      <c r="D19" s="109" t="s">
        <v>238</v>
      </c>
      <c r="E19" s="81" t="s">
        <v>239</v>
      </c>
      <c r="F19" s="52">
        <v>9.89</v>
      </c>
      <c r="G19" s="52">
        <f t="shared" si="0"/>
        <v>10.860000000000001</v>
      </c>
      <c r="H19" s="110"/>
      <c r="I19" s="81">
        <f>VLOOKUP(C19,Recipes!$A$2:$N$4,10,FALSE())</f>
        <v>10.940000000000001</v>
      </c>
      <c r="J19" s="81">
        <f>VLOOKUP(C19,Recipes!$A$2:$N$4,12,FALSE())</f>
        <v>5.2703573566378441E-2</v>
      </c>
      <c r="K19" s="81">
        <f t="shared" si="1"/>
        <v>10.755537492517677</v>
      </c>
      <c r="L19" s="81">
        <f t="shared" si="2"/>
        <v>11.124462507482326</v>
      </c>
      <c r="M19" s="81" t="str">
        <f t="shared" si="4"/>
        <v>OK</v>
      </c>
      <c r="N19" s="117">
        <f t="shared" si="3"/>
        <v>1</v>
      </c>
      <c r="O19" s="81">
        <f t="shared" si="5"/>
        <v>8.0000000000000071E-2</v>
      </c>
      <c r="P19" s="81">
        <f>IF(G19="","",ABS(O19-Components!$C$2)/Components!$D$2)</f>
        <v>404.50224990158574</v>
      </c>
      <c r="Q19" s="81">
        <f>IF(G19="","",ABS(O19-Components!$C$3)/Components!$D$3)</f>
        <v>286.73832437724246</v>
      </c>
      <c r="R19" s="81">
        <f>IF(G19="","",ABS(O19-Components!$C$4)/Components!$D$4)</f>
        <v>65.337794965704191</v>
      </c>
      <c r="S19" s="81">
        <f>IF(G19="","",ABS(O19-Components!$C$5)/Components!$D$5)</f>
        <v>178.02620878064843</v>
      </c>
      <c r="T19" s="81">
        <f>IF(G19="","",ABS(O19-Components!$C$6)/Components!$D$6)</f>
        <v>38.93324447657924</v>
      </c>
      <c r="U19" s="81">
        <f>IF(G19="","",ABS(O19-Components!$C$7)/Components!$D$7)</f>
        <v>51.473646973844538</v>
      </c>
      <c r="V19" s="81" t="str">
        <f>IF(G19="","",IF(M19="OK","NONE",INDEX({"S1","S2","W1","W2","N1","N2"},MATCH(MIN(P19:U19),P19:U19,0))))</f>
        <v>NONE</v>
      </c>
      <c r="W19" s="117">
        <f t="shared" si="6"/>
        <v>1</v>
      </c>
      <c r="X19" s="107"/>
    </row>
    <row r="20" spans="1:24">
      <c r="A20" s="115">
        <v>18</v>
      </c>
      <c r="B20" s="116">
        <v>1</v>
      </c>
      <c r="C20" s="81" t="s">
        <v>128</v>
      </c>
      <c r="D20" s="109" t="s">
        <v>238</v>
      </c>
      <c r="E20" s="81" t="s">
        <v>239</v>
      </c>
      <c r="F20" s="52">
        <v>9.92</v>
      </c>
      <c r="G20" s="52">
        <f t="shared" si="0"/>
        <v>10.89</v>
      </c>
      <c r="H20" s="110"/>
      <c r="I20" s="81">
        <f>VLOOKUP(C20,Recipes!$A$2:$N$4,10,FALSE())</f>
        <v>10.940000000000001</v>
      </c>
      <c r="J20" s="81">
        <f>VLOOKUP(C20,Recipes!$A$2:$N$4,12,FALSE())</f>
        <v>5.2703573566378441E-2</v>
      </c>
      <c r="K20" s="81">
        <f t="shared" si="1"/>
        <v>10.755537492517677</v>
      </c>
      <c r="L20" s="81">
        <f t="shared" si="2"/>
        <v>11.124462507482326</v>
      </c>
      <c r="M20" s="81" t="str">
        <f t="shared" si="4"/>
        <v>OK</v>
      </c>
      <c r="N20" s="117">
        <f t="shared" si="3"/>
        <v>1</v>
      </c>
      <c r="O20" s="81">
        <f t="shared" si="5"/>
        <v>5.0000000000000711E-2</v>
      </c>
      <c r="P20" s="81">
        <f>IF(G20="","",ABS(O20-Components!$C$2)/Components!$D$2)</f>
        <v>409.0415519578379</v>
      </c>
      <c r="Q20" s="81">
        <f>IF(G20="","",ABS(O20-Components!$C$3)/Components!$D$3)</f>
        <v>288.91278083106374</v>
      </c>
      <c r="R20" s="81">
        <f>IF(G20="","",ABS(O20-Components!$C$4)/Components!$D$4)</f>
        <v>67.483926917132393</v>
      </c>
      <c r="S20" s="81">
        <f>IF(G20="","",ABS(O20-Components!$C$5)/Components!$D$5)</f>
        <v>179.21763938670568</v>
      </c>
      <c r="T20" s="81">
        <f>IF(G20="","",ABS(O20-Components!$C$6)/Components!$D$6)</f>
        <v>40.019080238243959</v>
      </c>
      <c r="U20" s="81">
        <f>IF(G20="","",ABS(O20-Components!$C$7)/Components!$D$7)</f>
        <v>52.666700856833444</v>
      </c>
      <c r="V20" s="81" t="str">
        <f>IF(G20="","",IF(M20="OK","NONE",INDEX({"S1","S2","W1","W2","N1","N2"},MATCH(MIN(P20:U20),P20:U20,0))))</f>
        <v>NONE</v>
      </c>
      <c r="W20" s="117">
        <f t="shared" si="6"/>
        <v>1</v>
      </c>
      <c r="X20" s="107"/>
    </row>
    <row r="21" spans="1:24">
      <c r="A21" s="115">
        <v>19</v>
      </c>
      <c r="B21" s="116">
        <v>1</v>
      </c>
      <c r="C21" s="81" t="s">
        <v>128</v>
      </c>
      <c r="D21" s="109" t="s">
        <v>238</v>
      </c>
      <c r="E21" s="81" t="s">
        <v>239</v>
      </c>
      <c r="F21" s="52">
        <v>9.9499999999999993</v>
      </c>
      <c r="G21" s="52">
        <f t="shared" si="0"/>
        <v>10.92</v>
      </c>
      <c r="H21" s="110"/>
      <c r="I21" s="81">
        <f>VLOOKUP(C21,Recipes!$A$2:$N$4,10,FALSE())</f>
        <v>10.940000000000001</v>
      </c>
      <c r="J21" s="81">
        <f>VLOOKUP(C21,Recipes!$A$2:$N$4,12,FALSE())</f>
        <v>5.2703573566378441E-2</v>
      </c>
      <c r="K21" s="81">
        <f t="shared" si="1"/>
        <v>10.755537492517677</v>
      </c>
      <c r="L21" s="81">
        <f t="shared" si="2"/>
        <v>11.124462507482326</v>
      </c>
      <c r="M21" s="81" t="str">
        <f t="shared" si="4"/>
        <v>OK</v>
      </c>
      <c r="N21" s="117">
        <f t="shared" si="3"/>
        <v>1</v>
      </c>
      <c r="O21" s="81">
        <f t="shared" si="5"/>
        <v>2.000000000000135E-2</v>
      </c>
      <c r="P21" s="81">
        <f>IF(G21="","",ABS(O21-Components!$C$2)/Components!$D$2)</f>
        <v>413.58085401408999</v>
      </c>
      <c r="Q21" s="81">
        <f>IF(G21="","",ABS(O21-Components!$C$3)/Components!$D$3)</f>
        <v>291.08723728488508</v>
      </c>
      <c r="R21" s="81">
        <f>IF(G21="","",ABS(O21-Components!$C$4)/Components!$D$4)</f>
        <v>69.630058868560582</v>
      </c>
      <c r="S21" s="81">
        <f>IF(G21="","",ABS(O21-Components!$C$5)/Components!$D$5)</f>
        <v>180.40906999276297</v>
      </c>
      <c r="T21" s="81">
        <f>IF(G21="","",ABS(O21-Components!$C$6)/Components!$D$6)</f>
        <v>41.104915999908677</v>
      </c>
      <c r="U21" s="81">
        <f>IF(G21="","",ABS(O21-Components!$C$7)/Components!$D$7)</f>
        <v>53.85975473982235</v>
      </c>
      <c r="V21" s="81" t="str">
        <f>IF(G21="","",IF(M21="OK","NONE",INDEX({"S1","S2","W1","W2","N1","N2"},MATCH(MIN(P21:U21),P21:U21,0))))</f>
        <v>NONE</v>
      </c>
      <c r="W21" s="117">
        <f t="shared" si="6"/>
        <v>1</v>
      </c>
      <c r="X21" s="107"/>
    </row>
    <row r="22" spans="1:24">
      <c r="A22" s="115">
        <v>20</v>
      </c>
      <c r="B22" s="116">
        <v>1</v>
      </c>
      <c r="C22" s="81" t="s">
        <v>128</v>
      </c>
      <c r="D22" s="109" t="s">
        <v>238</v>
      </c>
      <c r="E22" s="81" t="s">
        <v>239</v>
      </c>
      <c r="F22" s="52">
        <v>9.98</v>
      </c>
      <c r="G22" s="52">
        <f t="shared" si="0"/>
        <v>10.950000000000001</v>
      </c>
      <c r="H22" s="110"/>
      <c r="I22" s="81">
        <f>VLOOKUP(C22,Recipes!$A$2:$N$4,10,FALSE())</f>
        <v>10.940000000000001</v>
      </c>
      <c r="J22" s="81">
        <f>VLOOKUP(C22,Recipes!$A$2:$N$4,12,FALSE())</f>
        <v>5.2703573566378441E-2</v>
      </c>
      <c r="K22" s="81">
        <f t="shared" si="1"/>
        <v>10.755537492517677</v>
      </c>
      <c r="L22" s="81">
        <f t="shared" si="2"/>
        <v>11.124462507482326</v>
      </c>
      <c r="M22" s="81" t="str">
        <f t="shared" si="4"/>
        <v>OK</v>
      </c>
      <c r="N22" s="117">
        <f t="shared" si="3"/>
        <v>1</v>
      </c>
      <c r="O22" s="81">
        <f t="shared" si="5"/>
        <v>-9.9999999999997868E-3</v>
      </c>
      <c r="P22" s="81">
        <f>IF(G22="","",ABS(O22-Components!$C$2)/Components!$D$2)</f>
        <v>418.12015607034238</v>
      </c>
      <c r="Q22" s="81">
        <f>IF(G22="","",ABS(O22-Components!$C$3)/Components!$D$3)</f>
        <v>293.26169373870653</v>
      </c>
      <c r="R22" s="81">
        <f>IF(G22="","",ABS(O22-Components!$C$4)/Components!$D$4)</f>
        <v>71.776190819988912</v>
      </c>
      <c r="S22" s="81">
        <f>IF(G22="","",ABS(O22-Components!$C$5)/Components!$D$5)</f>
        <v>181.60050059882028</v>
      </c>
      <c r="T22" s="81">
        <f>IF(G22="","",ABS(O22-Components!$C$6)/Components!$D$6)</f>
        <v>42.190751761573459</v>
      </c>
      <c r="U22" s="81">
        <f>IF(G22="","",ABS(O22-Components!$C$7)/Components!$D$7)</f>
        <v>55.05280862281132</v>
      </c>
      <c r="V22" s="81" t="str">
        <f>IF(G22="","",IF(M22="OK","NONE",INDEX({"S1","S2","W1","W2","N1","N2"},MATCH(MIN(P22:U22),P22:U22,0))))</f>
        <v>NONE</v>
      </c>
      <c r="W22" s="117">
        <f t="shared" si="6"/>
        <v>1</v>
      </c>
      <c r="X22" s="107"/>
    </row>
    <row r="23" spans="1:24">
      <c r="A23" s="115">
        <v>21</v>
      </c>
      <c r="B23" s="116">
        <v>1</v>
      </c>
      <c r="C23" s="81" t="s">
        <v>128</v>
      </c>
      <c r="D23" s="109" t="s">
        <v>238</v>
      </c>
      <c r="E23" s="81" t="s">
        <v>239</v>
      </c>
      <c r="F23" s="52">
        <v>9.99</v>
      </c>
      <c r="G23" s="52">
        <f t="shared" si="0"/>
        <v>10.96</v>
      </c>
      <c r="H23" s="110"/>
      <c r="I23" s="81">
        <f>VLOOKUP(C23,Recipes!$A$2:$N$4,10,FALSE())</f>
        <v>10.940000000000001</v>
      </c>
      <c r="J23" s="81">
        <f>VLOOKUP(C23,Recipes!$A$2:$N$4,12,FALSE())</f>
        <v>5.2703573566378441E-2</v>
      </c>
      <c r="K23" s="81">
        <f t="shared" si="1"/>
        <v>10.755537492517677</v>
      </c>
      <c r="L23" s="81">
        <f t="shared" si="2"/>
        <v>11.124462507482326</v>
      </c>
      <c r="M23" s="81" t="str">
        <f t="shared" si="4"/>
        <v>OK</v>
      </c>
      <c r="N23" s="117">
        <f t="shared" si="3"/>
        <v>1</v>
      </c>
      <c r="O23" s="81">
        <f t="shared" si="5"/>
        <v>-1.9999999999999574E-2</v>
      </c>
      <c r="P23" s="81">
        <f>IF(G23="","",ABS(O23-Components!$C$2)/Components!$D$2)</f>
        <v>419.63325675575976</v>
      </c>
      <c r="Q23" s="81">
        <f>IF(G23="","",ABS(O23-Components!$C$3)/Components!$D$3)</f>
        <v>293.98651255664697</v>
      </c>
      <c r="R23" s="81">
        <f>IF(G23="","",ABS(O23-Components!$C$4)/Components!$D$4)</f>
        <v>72.491568137131637</v>
      </c>
      <c r="S23" s="81">
        <f>IF(G23="","",ABS(O23-Components!$C$5)/Components!$D$5)</f>
        <v>181.9976441341727</v>
      </c>
      <c r="T23" s="81">
        <f>IF(G23="","",ABS(O23-Components!$C$6)/Components!$D$6)</f>
        <v>42.552697015461703</v>
      </c>
      <c r="U23" s="81">
        <f>IF(G23="","",ABS(O23-Components!$C$7)/Components!$D$7)</f>
        <v>55.450493250474288</v>
      </c>
      <c r="V23" s="81" t="str">
        <f>IF(G23="","",IF(M23="OK","NONE",INDEX({"S1","S2","W1","W2","N1","N2"},MATCH(MIN(P23:U23),P23:U23,0))))</f>
        <v>NONE</v>
      </c>
      <c r="W23" s="117">
        <f t="shared" si="6"/>
        <v>1</v>
      </c>
      <c r="X23" s="107"/>
    </row>
    <row r="24" spans="1:24">
      <c r="A24" s="115">
        <v>22</v>
      </c>
      <c r="B24" s="116">
        <v>1</v>
      </c>
      <c r="C24" s="81" t="s">
        <v>128</v>
      </c>
      <c r="D24" s="109" t="s">
        <v>238</v>
      </c>
      <c r="E24" s="81" t="s">
        <v>239</v>
      </c>
      <c r="F24" s="52">
        <v>9.9</v>
      </c>
      <c r="G24" s="52">
        <f t="shared" si="0"/>
        <v>10.870000000000001</v>
      </c>
      <c r="H24" s="110"/>
      <c r="I24" s="81">
        <f>VLOOKUP(C24,Recipes!$A$2:$N$4,10,FALSE())</f>
        <v>10.940000000000001</v>
      </c>
      <c r="J24" s="81">
        <f>VLOOKUP(C24,Recipes!$A$2:$N$4,12,FALSE())</f>
        <v>5.2703573566378441E-2</v>
      </c>
      <c r="K24" s="81">
        <f t="shared" si="1"/>
        <v>10.755537492517677</v>
      </c>
      <c r="L24" s="81">
        <f t="shared" si="2"/>
        <v>11.124462507482326</v>
      </c>
      <c r="M24" s="81" t="str">
        <f t="shared" si="4"/>
        <v>OK</v>
      </c>
      <c r="N24" s="117">
        <f t="shared" si="3"/>
        <v>1</v>
      </c>
      <c r="O24" s="81">
        <f t="shared" si="5"/>
        <v>7.0000000000000284E-2</v>
      </c>
      <c r="P24" s="81">
        <f>IF(G24="","",ABS(O24-Components!$C$2)/Components!$D$2)</f>
        <v>406.01535058700313</v>
      </c>
      <c r="Q24" s="81">
        <f>IF(G24="","",ABS(O24-Components!$C$3)/Components!$D$3)</f>
        <v>287.46314319518291</v>
      </c>
      <c r="R24" s="81">
        <f>IF(G24="","",ABS(O24-Components!$C$4)/Components!$D$4)</f>
        <v>66.05317228284693</v>
      </c>
      <c r="S24" s="81">
        <f>IF(G24="","",ABS(O24-Components!$C$5)/Components!$D$5)</f>
        <v>178.42335231600086</v>
      </c>
      <c r="T24" s="81">
        <f>IF(G24="","",ABS(O24-Components!$C$6)/Components!$D$6)</f>
        <v>39.295189730467477</v>
      </c>
      <c r="U24" s="81">
        <f>IF(G24="","",ABS(O24-Components!$C$7)/Components!$D$7)</f>
        <v>51.871331601507507</v>
      </c>
      <c r="V24" s="81" t="str">
        <f>IF(G24="","",IF(M24="OK","NONE",INDEX({"S1","S2","W1","W2","N1","N2"},MATCH(MIN(P24:U24),P24:U24,0))))</f>
        <v>NONE</v>
      </c>
      <c r="W24" s="117">
        <f t="shared" si="6"/>
        <v>1</v>
      </c>
      <c r="X24" s="107"/>
    </row>
    <row r="25" spans="1:24">
      <c r="A25" s="115">
        <v>23</v>
      </c>
      <c r="B25" s="116">
        <v>1</v>
      </c>
      <c r="C25" s="81" t="s">
        <v>128</v>
      </c>
      <c r="D25" s="109" t="s">
        <v>238</v>
      </c>
      <c r="E25" s="81" t="s">
        <v>239</v>
      </c>
      <c r="F25" s="52">
        <v>9.9700000000000006</v>
      </c>
      <c r="G25" s="52">
        <f t="shared" si="0"/>
        <v>10.940000000000001</v>
      </c>
      <c r="H25" s="110"/>
      <c r="I25" s="81">
        <f>VLOOKUP(C25,Recipes!$A$2:$N$4,10,FALSE())</f>
        <v>10.940000000000001</v>
      </c>
      <c r="J25" s="81">
        <f>VLOOKUP(C25,Recipes!$A$2:$N$4,12,FALSE())</f>
        <v>5.2703573566378441E-2</v>
      </c>
      <c r="K25" s="81">
        <f t="shared" si="1"/>
        <v>10.755537492517677</v>
      </c>
      <c r="L25" s="81">
        <f t="shared" si="2"/>
        <v>11.124462507482326</v>
      </c>
      <c r="M25" s="81" t="str">
        <f t="shared" si="4"/>
        <v>OK</v>
      </c>
      <c r="N25" s="117">
        <f t="shared" si="3"/>
        <v>1</v>
      </c>
      <c r="O25" s="81">
        <f t="shared" si="5"/>
        <v>0</v>
      </c>
      <c r="P25" s="81">
        <f>IF(G25="","",ABS(O25-Components!$C$2)/Components!$D$2)</f>
        <v>416.60705538492499</v>
      </c>
      <c r="Q25" s="81">
        <f>IF(G25="","",ABS(O25-Components!$C$3)/Components!$D$3)</f>
        <v>292.53687492076608</v>
      </c>
      <c r="R25" s="81">
        <f>IF(G25="","",ABS(O25-Components!$C$4)/Components!$D$4)</f>
        <v>71.060813502846173</v>
      </c>
      <c r="S25" s="81">
        <f>IF(G25="","",ABS(O25-Components!$C$5)/Components!$D$5)</f>
        <v>181.20335706346788</v>
      </c>
      <c r="T25" s="81">
        <f>IF(G25="","",ABS(O25-Components!$C$6)/Components!$D$6)</f>
        <v>41.828806507685222</v>
      </c>
      <c r="U25" s="81">
        <f>IF(G25="","",ABS(O25-Components!$C$7)/Components!$D$7)</f>
        <v>54.655123995148351</v>
      </c>
      <c r="V25" s="81" t="str">
        <f>IF(G25="","",IF(M25="OK","NONE",INDEX({"S1","S2","W1","W2","N1","N2"},MATCH(MIN(P25:U25),P25:U25,0))))</f>
        <v>NONE</v>
      </c>
      <c r="W25" s="117">
        <f t="shared" si="6"/>
        <v>1</v>
      </c>
      <c r="X25" s="107"/>
    </row>
    <row r="26" spans="1:24">
      <c r="A26" s="115">
        <v>24</v>
      </c>
      <c r="B26" s="116">
        <v>1</v>
      </c>
      <c r="C26" s="81" t="s">
        <v>128</v>
      </c>
      <c r="D26" s="109" t="s">
        <v>238</v>
      </c>
      <c r="E26" s="81" t="s">
        <v>239</v>
      </c>
      <c r="F26" s="52">
        <v>10.02</v>
      </c>
      <c r="G26" s="52">
        <f t="shared" si="0"/>
        <v>10.99</v>
      </c>
      <c r="H26" s="110"/>
      <c r="I26" s="81">
        <f>VLOOKUP(C26,Recipes!$A$2:$N$4,10,FALSE())</f>
        <v>10.940000000000001</v>
      </c>
      <c r="J26" s="81">
        <f>VLOOKUP(C26,Recipes!$A$2:$N$4,12,FALSE())</f>
        <v>5.2703573566378441E-2</v>
      </c>
      <c r="K26" s="81">
        <f t="shared" si="1"/>
        <v>10.755537492517677</v>
      </c>
      <c r="L26" s="81">
        <f t="shared" si="2"/>
        <v>11.124462507482326</v>
      </c>
      <c r="M26" s="81" t="str">
        <f t="shared" si="4"/>
        <v>OK</v>
      </c>
      <c r="N26" s="117">
        <f t="shared" si="3"/>
        <v>1</v>
      </c>
      <c r="O26" s="81">
        <f t="shared" si="5"/>
        <v>-4.9999999999998934E-2</v>
      </c>
      <c r="P26" s="81">
        <f>IF(G26="","",ABS(O26-Components!$C$2)/Components!$D$2)</f>
        <v>424.17255881201186</v>
      </c>
      <c r="Q26" s="81">
        <f>IF(G26="","",ABS(O26-Components!$C$3)/Components!$D$3)</f>
        <v>296.16096901046825</v>
      </c>
      <c r="R26" s="81">
        <f>IF(G26="","",ABS(O26-Components!$C$4)/Components!$D$4)</f>
        <v>74.637700088559839</v>
      </c>
      <c r="S26" s="81">
        <f>IF(G26="","",ABS(O26-Components!$C$5)/Components!$D$5)</f>
        <v>183.18907474022996</v>
      </c>
      <c r="T26" s="81">
        <f>IF(G26="","",ABS(O26-Components!$C$6)/Components!$D$6)</f>
        <v>43.638532777126422</v>
      </c>
      <c r="U26" s="81">
        <f>IF(G26="","",ABS(O26-Components!$C$7)/Components!$D$7)</f>
        <v>56.643547133463194</v>
      </c>
      <c r="V26" s="81" t="str">
        <f>IF(G26="","",IF(M26="OK","NONE",INDEX({"S1","S2","W1","W2","N1","N2"},MATCH(MIN(P26:U26),P26:U26,0))))</f>
        <v>NONE</v>
      </c>
      <c r="W26" s="117">
        <f t="shared" si="6"/>
        <v>1</v>
      </c>
      <c r="X26" s="107"/>
    </row>
    <row r="27" spans="1:24">
      <c r="A27" s="115">
        <v>25</v>
      </c>
      <c r="B27" s="116">
        <v>1</v>
      </c>
      <c r="C27" s="81" t="s">
        <v>128</v>
      </c>
      <c r="D27" s="109" t="s">
        <v>238</v>
      </c>
      <c r="E27" s="81" t="s">
        <v>239</v>
      </c>
      <c r="F27" s="52">
        <v>10</v>
      </c>
      <c r="G27" s="52">
        <f t="shared" si="0"/>
        <v>10.97</v>
      </c>
      <c r="H27" s="110"/>
      <c r="I27" s="81">
        <f>VLOOKUP(C27,Recipes!$A$2:$N$4,10,FALSE())</f>
        <v>10.940000000000001</v>
      </c>
      <c r="J27" s="81">
        <f>VLOOKUP(C27,Recipes!$A$2:$N$4,12,FALSE())</f>
        <v>5.2703573566378441E-2</v>
      </c>
      <c r="K27" s="81">
        <f t="shared" si="1"/>
        <v>10.755537492517677</v>
      </c>
      <c r="L27" s="81">
        <f t="shared" si="2"/>
        <v>11.124462507482326</v>
      </c>
      <c r="M27" s="81" t="str">
        <f t="shared" si="4"/>
        <v>OK</v>
      </c>
      <c r="N27" s="117">
        <f t="shared" si="3"/>
        <v>1</v>
      </c>
      <c r="O27" s="81">
        <f t="shared" si="5"/>
        <v>-2.9999999999999361E-2</v>
      </c>
      <c r="P27" s="81">
        <f>IF(G27="","",ABS(O27-Components!$C$2)/Components!$D$2)</f>
        <v>421.14635744117714</v>
      </c>
      <c r="Q27" s="81">
        <f>IF(G27="","",ABS(O27-Components!$C$3)/Components!$D$3)</f>
        <v>294.71133137458736</v>
      </c>
      <c r="R27" s="81">
        <f>IF(G27="","",ABS(O27-Components!$C$4)/Components!$D$4)</f>
        <v>73.206945454274376</v>
      </c>
      <c r="S27" s="81">
        <f>IF(G27="","",ABS(O27-Components!$C$5)/Components!$D$5)</f>
        <v>182.39478766952513</v>
      </c>
      <c r="T27" s="81">
        <f>IF(G27="","",ABS(O27-Components!$C$6)/Components!$D$6)</f>
        <v>42.91464226934994</v>
      </c>
      <c r="U27" s="81">
        <f>IF(G27="","",ABS(O27-Components!$C$7)/Components!$D$7)</f>
        <v>55.848177878137257</v>
      </c>
      <c r="V27" s="81" t="str">
        <f>IF(G27="","",IF(M27="OK","NONE",INDEX({"S1","S2","W1","W2","N1","N2"},MATCH(MIN(P27:U27),P27:U27,0))))</f>
        <v>NONE</v>
      </c>
      <c r="W27" s="117">
        <f t="shared" si="6"/>
        <v>1</v>
      </c>
      <c r="X27" s="107"/>
    </row>
    <row r="28" spans="1:24">
      <c r="A28" s="115">
        <v>26</v>
      </c>
      <c r="B28" s="116">
        <v>1</v>
      </c>
      <c r="C28" s="81" t="s">
        <v>128</v>
      </c>
      <c r="D28" s="109" t="s">
        <v>238</v>
      </c>
      <c r="E28" s="81" t="s">
        <v>239</v>
      </c>
      <c r="F28" s="52">
        <v>9.93</v>
      </c>
      <c r="G28" s="52">
        <f t="shared" si="0"/>
        <v>10.9</v>
      </c>
      <c r="H28" s="110"/>
      <c r="I28" s="81">
        <f>VLOOKUP(C28,Recipes!$A$2:$N$4,10,FALSE())</f>
        <v>10.940000000000001</v>
      </c>
      <c r="J28" s="81">
        <f>VLOOKUP(C28,Recipes!$A$2:$N$4,12,FALSE())</f>
        <v>5.2703573566378441E-2</v>
      </c>
      <c r="K28" s="81">
        <f t="shared" si="1"/>
        <v>10.755537492517677</v>
      </c>
      <c r="L28" s="81">
        <f t="shared" si="2"/>
        <v>11.124462507482326</v>
      </c>
      <c r="M28" s="81" t="str">
        <f t="shared" si="4"/>
        <v>OK</v>
      </c>
      <c r="N28" s="117">
        <f t="shared" si="3"/>
        <v>1</v>
      </c>
      <c r="O28" s="81">
        <f t="shared" si="5"/>
        <v>4.0000000000000924E-2</v>
      </c>
      <c r="P28" s="81">
        <f>IF(G28="","",ABS(O28-Components!$C$2)/Components!$D$2)</f>
        <v>410.55465264325522</v>
      </c>
      <c r="Q28" s="81">
        <f>IF(G28="","",ABS(O28-Components!$C$3)/Components!$D$3)</f>
        <v>289.63759964900419</v>
      </c>
      <c r="R28" s="81">
        <f>IF(G28="","",ABS(O28-Components!$C$4)/Components!$D$4)</f>
        <v>68.199304234275118</v>
      </c>
      <c r="S28" s="81">
        <f>IF(G28="","",ABS(O28-Components!$C$5)/Components!$D$5)</f>
        <v>179.61478292205811</v>
      </c>
      <c r="T28" s="81">
        <f>IF(G28="","",ABS(O28-Components!$C$6)/Components!$D$6)</f>
        <v>40.381025492132196</v>
      </c>
      <c r="U28" s="81">
        <f>IF(G28="","",ABS(O28-Components!$C$7)/Components!$D$7)</f>
        <v>53.064385484496412</v>
      </c>
      <c r="V28" s="81" t="str">
        <f>IF(G28="","",IF(M28="OK","NONE",INDEX({"S1","S2","W1","W2","N1","N2"},MATCH(MIN(P28:U28),P28:U28,0))))</f>
        <v>NONE</v>
      </c>
      <c r="W28" s="117">
        <f t="shared" si="6"/>
        <v>1</v>
      </c>
      <c r="X28" s="107"/>
    </row>
    <row r="29" spans="1:24">
      <c r="A29" s="115">
        <v>27</v>
      </c>
      <c r="B29" s="116">
        <v>1</v>
      </c>
      <c r="C29" s="81" t="s">
        <v>128</v>
      </c>
      <c r="D29" s="109" t="s">
        <v>238</v>
      </c>
      <c r="E29" s="81" t="s">
        <v>239</v>
      </c>
      <c r="F29" s="52">
        <v>9.9700000000000006</v>
      </c>
      <c r="G29" s="52">
        <f t="shared" si="0"/>
        <v>10.940000000000001</v>
      </c>
      <c r="H29" s="110"/>
      <c r="I29" s="81">
        <f>VLOOKUP(C29,Recipes!$A$2:$N$4,10,FALSE())</f>
        <v>10.940000000000001</v>
      </c>
      <c r="J29" s="81">
        <f>VLOOKUP(C29,Recipes!$A$2:$N$4,12,FALSE())</f>
        <v>5.2703573566378441E-2</v>
      </c>
      <c r="K29" s="81">
        <f t="shared" si="1"/>
        <v>10.755537492517677</v>
      </c>
      <c r="L29" s="81">
        <f t="shared" si="2"/>
        <v>11.124462507482326</v>
      </c>
      <c r="M29" s="81" t="str">
        <f t="shared" si="4"/>
        <v>OK</v>
      </c>
      <c r="N29" s="117">
        <f t="shared" si="3"/>
        <v>1</v>
      </c>
      <c r="O29" s="81">
        <f t="shared" si="5"/>
        <v>0</v>
      </c>
      <c r="P29" s="81">
        <f>IF(G29="","",ABS(O29-Components!$C$2)/Components!$D$2)</f>
        <v>416.60705538492499</v>
      </c>
      <c r="Q29" s="81">
        <f>IF(G29="","",ABS(O29-Components!$C$3)/Components!$D$3)</f>
        <v>292.53687492076608</v>
      </c>
      <c r="R29" s="81">
        <f>IF(G29="","",ABS(O29-Components!$C$4)/Components!$D$4)</f>
        <v>71.060813502846173</v>
      </c>
      <c r="S29" s="81">
        <f>IF(G29="","",ABS(O29-Components!$C$5)/Components!$D$5)</f>
        <v>181.20335706346788</v>
      </c>
      <c r="T29" s="81">
        <f>IF(G29="","",ABS(O29-Components!$C$6)/Components!$D$6)</f>
        <v>41.828806507685222</v>
      </c>
      <c r="U29" s="81">
        <f>IF(G29="","",ABS(O29-Components!$C$7)/Components!$D$7)</f>
        <v>54.655123995148351</v>
      </c>
      <c r="V29" s="81" t="str">
        <f>IF(G29="","",IF(M29="OK","NONE",INDEX({"S1","S2","W1","W2","N1","N2"},MATCH(MIN(P29:U29),P29:U29,0))))</f>
        <v>NONE</v>
      </c>
      <c r="W29" s="117">
        <f t="shared" si="6"/>
        <v>1</v>
      </c>
      <c r="X29" s="107"/>
    </row>
    <row r="30" spans="1:24">
      <c r="A30" s="115">
        <v>28</v>
      </c>
      <c r="B30" s="116">
        <v>1</v>
      </c>
      <c r="C30" s="81" t="s">
        <v>128</v>
      </c>
      <c r="D30" s="109" t="s">
        <v>238</v>
      </c>
      <c r="E30" s="81" t="s">
        <v>239</v>
      </c>
      <c r="F30" s="52">
        <v>9.94</v>
      </c>
      <c r="G30" s="52">
        <f t="shared" si="0"/>
        <v>10.91</v>
      </c>
      <c r="H30" s="110"/>
      <c r="I30" s="81">
        <f>VLOOKUP(C30,Recipes!$A$2:$N$4,10,FALSE())</f>
        <v>10.940000000000001</v>
      </c>
      <c r="J30" s="81">
        <f>VLOOKUP(C30,Recipes!$A$2:$N$4,12,FALSE())</f>
        <v>5.2703573566378441E-2</v>
      </c>
      <c r="K30" s="81">
        <f t="shared" si="1"/>
        <v>10.755537492517677</v>
      </c>
      <c r="L30" s="81">
        <f t="shared" si="2"/>
        <v>11.124462507482326</v>
      </c>
      <c r="M30" s="81" t="str">
        <f t="shared" si="4"/>
        <v>OK</v>
      </c>
      <c r="N30" s="117">
        <f t="shared" si="3"/>
        <v>1</v>
      </c>
      <c r="O30" s="81">
        <f t="shared" si="5"/>
        <v>3.0000000000001137E-2</v>
      </c>
      <c r="P30" s="81">
        <f>IF(G30="","",ABS(O30-Components!$C$2)/Components!$D$2)</f>
        <v>412.06775332867261</v>
      </c>
      <c r="Q30" s="81">
        <f>IF(G30="","",ABS(O30-Components!$C$3)/Components!$D$3)</f>
        <v>290.36241846694463</v>
      </c>
      <c r="R30" s="81">
        <f>IF(G30="","",ABS(O30-Components!$C$4)/Components!$D$4)</f>
        <v>68.914681551417857</v>
      </c>
      <c r="S30" s="81">
        <f>IF(G30="","",ABS(O30-Components!$C$5)/Components!$D$5)</f>
        <v>180.01192645741054</v>
      </c>
      <c r="T30" s="81">
        <f>IF(G30="","",ABS(O30-Components!$C$6)/Components!$D$6)</f>
        <v>40.74297074602044</v>
      </c>
      <c r="U30" s="81">
        <f>IF(G30="","",ABS(O30-Components!$C$7)/Components!$D$7)</f>
        <v>53.462070112159381</v>
      </c>
      <c r="V30" s="81" t="str">
        <f>IF(G30="","",IF(M30="OK","NONE",INDEX({"S1","S2","W1","W2","N1","N2"},MATCH(MIN(P30:U30),P30:U30,0))))</f>
        <v>NONE</v>
      </c>
      <c r="W30" s="117">
        <f t="shared" si="6"/>
        <v>1</v>
      </c>
      <c r="X30" s="107"/>
    </row>
    <row r="31" spans="1:24">
      <c r="A31" s="115">
        <v>29</v>
      </c>
      <c r="B31" s="116">
        <v>1</v>
      </c>
      <c r="C31" s="81" t="s">
        <v>128</v>
      </c>
      <c r="D31" s="109" t="s">
        <v>238</v>
      </c>
      <c r="E31" s="81" t="s">
        <v>239</v>
      </c>
      <c r="F31" s="52">
        <v>9.99</v>
      </c>
      <c r="G31" s="52">
        <f t="shared" si="0"/>
        <v>10.96</v>
      </c>
      <c r="H31" s="110"/>
      <c r="I31" s="81">
        <f>VLOOKUP(C31,Recipes!$A$2:$N$4,10,FALSE())</f>
        <v>10.940000000000001</v>
      </c>
      <c r="J31" s="81">
        <f>VLOOKUP(C31,Recipes!$A$2:$N$4,12,FALSE())</f>
        <v>5.2703573566378441E-2</v>
      </c>
      <c r="K31" s="81">
        <f t="shared" si="1"/>
        <v>10.755537492517677</v>
      </c>
      <c r="L31" s="81">
        <f t="shared" si="2"/>
        <v>11.124462507482326</v>
      </c>
      <c r="M31" s="81" t="str">
        <f t="shared" si="4"/>
        <v>OK</v>
      </c>
      <c r="N31" s="117">
        <f t="shared" si="3"/>
        <v>1</v>
      </c>
      <c r="O31" s="81">
        <f t="shared" si="5"/>
        <v>-1.9999999999999574E-2</v>
      </c>
      <c r="P31" s="81">
        <f>IF(G31="","",ABS(O31-Components!$C$2)/Components!$D$2)</f>
        <v>419.63325675575976</v>
      </c>
      <c r="Q31" s="81">
        <f>IF(G31="","",ABS(O31-Components!$C$3)/Components!$D$3)</f>
        <v>293.98651255664697</v>
      </c>
      <c r="R31" s="81">
        <f>IF(G31="","",ABS(O31-Components!$C$4)/Components!$D$4)</f>
        <v>72.491568137131637</v>
      </c>
      <c r="S31" s="81">
        <f>IF(G31="","",ABS(O31-Components!$C$5)/Components!$D$5)</f>
        <v>181.9976441341727</v>
      </c>
      <c r="T31" s="81">
        <f>IF(G31="","",ABS(O31-Components!$C$6)/Components!$D$6)</f>
        <v>42.552697015461703</v>
      </c>
      <c r="U31" s="81">
        <f>IF(G31="","",ABS(O31-Components!$C$7)/Components!$D$7)</f>
        <v>55.450493250474288</v>
      </c>
      <c r="V31" s="81" t="str">
        <f>IF(G31="","",IF(M31="OK","NONE",INDEX({"S1","S2","W1","W2","N1","N2"},MATCH(MIN(P31:U31),P31:U31,0))))</f>
        <v>NONE</v>
      </c>
      <c r="W31" s="117">
        <f t="shared" si="6"/>
        <v>1</v>
      </c>
      <c r="X31" s="107"/>
    </row>
    <row r="32" spans="1:24">
      <c r="A32" s="115">
        <v>30</v>
      </c>
      <c r="B32" s="116">
        <v>1</v>
      </c>
      <c r="C32" s="81" t="s">
        <v>128</v>
      </c>
      <c r="D32" s="109" t="s">
        <v>238</v>
      </c>
      <c r="E32" s="81" t="s">
        <v>239</v>
      </c>
      <c r="F32" s="61">
        <v>9.48</v>
      </c>
      <c r="G32" s="52">
        <f t="shared" si="0"/>
        <v>10.450000000000001</v>
      </c>
      <c r="H32" s="110"/>
      <c r="I32" s="81">
        <f>VLOOKUP(C32,Recipes!$A$2:$N$4,10,FALSE())</f>
        <v>10.940000000000001</v>
      </c>
      <c r="J32" s="81">
        <f>VLOOKUP(C32,Recipes!$A$2:$N$4,12,FALSE())</f>
        <v>5.2703573566378441E-2</v>
      </c>
      <c r="K32" s="81">
        <f t="shared" si="1"/>
        <v>10.755537492517677</v>
      </c>
      <c r="L32" s="81">
        <f t="shared" si="2"/>
        <v>11.124462507482326</v>
      </c>
      <c r="M32" s="81" t="str">
        <f t="shared" si="4"/>
        <v>NG</v>
      </c>
      <c r="N32" s="122">
        <f t="shared" si="3"/>
        <v>0</v>
      </c>
      <c r="O32" s="81">
        <f t="shared" si="5"/>
        <v>0.49000000000000021</v>
      </c>
      <c r="P32" s="81">
        <f>IF(G32="","",ABS(O32-Components!$C$2)/Components!$D$2)</f>
        <v>342.46512179947212</v>
      </c>
      <c r="Q32" s="81">
        <f>IF(G32="","",ABS(O32-Components!$C$3)/Components!$D$3)</f>
        <v>257.02075284168393</v>
      </c>
      <c r="R32" s="81">
        <f>IF(G32="","",ABS(O32-Components!$C$4)/Components!$D$4)</f>
        <v>36.007324962851555</v>
      </c>
      <c r="S32" s="81">
        <f>IF(G32="","",ABS(O32-Components!$C$5)/Components!$D$5)</f>
        <v>161.74332383119889</v>
      </c>
      <c r="T32" s="81">
        <f>IF(G32="","",ABS(O32-Components!$C$6)/Components!$D$6)</f>
        <v>24.093489067161102</v>
      </c>
      <c r="U32" s="81">
        <f>IF(G32="","",ABS(O32-Components!$C$7)/Components!$D$7)</f>
        <v>35.168577239662469</v>
      </c>
      <c r="V32" s="81" t="str">
        <f>IF(G32="","",IF(M32="OK","NONE",INDEX({"S1","S2","W1","W2","N1","N2"},MATCH(MIN(P32:U32),P32:U32,0))))</f>
        <v>N1</v>
      </c>
      <c r="W32" s="122">
        <f t="shared" si="6"/>
        <v>0</v>
      </c>
      <c r="X32" s="107"/>
    </row>
    <row r="33" spans="1:24">
      <c r="A33" s="115">
        <v>31</v>
      </c>
      <c r="B33" s="116">
        <v>2</v>
      </c>
      <c r="C33" s="81" t="s">
        <v>128</v>
      </c>
      <c r="D33" s="111" t="s">
        <v>240</v>
      </c>
      <c r="E33" s="81" t="s">
        <v>102</v>
      </c>
      <c r="F33" s="52">
        <v>5.91</v>
      </c>
      <c r="G33" s="52">
        <f t="shared" si="0"/>
        <v>6.88</v>
      </c>
      <c r="H33" s="110"/>
      <c r="I33" s="81">
        <f>VLOOKUP(C33,Recipes!$A$2:$N$4,10,FALSE())</f>
        <v>10.940000000000001</v>
      </c>
      <c r="J33" s="81">
        <f>VLOOKUP(C33,Recipes!$A$2:$N$4,12,FALSE())</f>
        <v>5.2703573566378441E-2</v>
      </c>
      <c r="K33" s="81">
        <f t="shared" si="1"/>
        <v>10.755537492517677</v>
      </c>
      <c r="L33" s="81">
        <f t="shared" si="2"/>
        <v>11.124462507482326</v>
      </c>
      <c r="M33" s="81" t="str">
        <f t="shared" si="4"/>
        <v>NG</v>
      </c>
      <c r="N33" s="117">
        <f t="shared" si="3"/>
        <v>1</v>
      </c>
      <c r="O33" s="81">
        <f t="shared" si="5"/>
        <v>4.0600000000000014</v>
      </c>
      <c r="P33" s="81">
        <f>IF(G33="","",ABS(O33-Components!$C$2)/Components!$D$2)</f>
        <v>197.71182289454165</v>
      </c>
      <c r="Q33" s="81">
        <f>IF(G33="","",ABS(O33-Components!$C$3)/Components!$D$3)</f>
        <v>1.7395651630572131</v>
      </c>
      <c r="R33" s="81">
        <f>IF(G33="","",ABS(O33-Components!$C$4)/Components!$D$4)</f>
        <v>219.3823772571092</v>
      </c>
      <c r="S33" s="81">
        <f>IF(G33="","",ABS(O33-Components!$C$5)/Components!$D$5)</f>
        <v>19.963081710382131</v>
      </c>
      <c r="T33" s="81">
        <f>IF(G33="","",ABS(O33-Components!$C$6)/Components!$D$6)</f>
        <v>105.1209665709432</v>
      </c>
      <c r="U33" s="81">
        <f>IF(G33="","",ABS(O33-Components!$C$7)/Components!$D$7)</f>
        <v>106.8048348360204</v>
      </c>
      <c r="V33" s="81" t="str">
        <f>IF(G33="","",IF(M33="OK","NONE",INDEX({"S1","S2","W1","W2","N1","N2"},MATCH(MIN(P33:U33),P33:U33,0))))</f>
        <v>S2</v>
      </c>
      <c r="W33" s="117">
        <f t="shared" si="6"/>
        <v>1</v>
      </c>
      <c r="X33" s="107"/>
    </row>
    <row r="34" spans="1:24">
      <c r="A34" s="115">
        <v>32</v>
      </c>
      <c r="B34" s="116">
        <v>2</v>
      </c>
      <c r="C34" s="81" t="s">
        <v>128</v>
      </c>
      <c r="D34" s="111" t="s">
        <v>240</v>
      </c>
      <c r="E34" s="81" t="s">
        <v>102</v>
      </c>
      <c r="F34" s="52">
        <v>5.93</v>
      </c>
      <c r="G34" s="52">
        <f t="shared" si="0"/>
        <v>6.8999999999999995</v>
      </c>
      <c r="H34" s="110"/>
      <c r="I34" s="81">
        <f>VLOOKUP(C34,Recipes!$A$2:$N$4,10,FALSE())</f>
        <v>10.940000000000001</v>
      </c>
      <c r="J34" s="81">
        <f>VLOOKUP(C34,Recipes!$A$2:$N$4,12,FALSE())</f>
        <v>5.2703573566378441E-2</v>
      </c>
      <c r="K34" s="81">
        <f t="shared" si="1"/>
        <v>10.755537492517677</v>
      </c>
      <c r="L34" s="81">
        <f t="shared" si="2"/>
        <v>11.124462507482326</v>
      </c>
      <c r="M34" s="81" t="str">
        <f t="shared" si="4"/>
        <v>NG</v>
      </c>
      <c r="N34" s="117">
        <f t="shared" si="3"/>
        <v>1</v>
      </c>
      <c r="O34" s="81">
        <f t="shared" si="5"/>
        <v>4.0400000000000018</v>
      </c>
      <c r="P34" s="81">
        <f>IF(G34="","",ABS(O34-Components!$C$2)/Components!$D$2)</f>
        <v>194.68562152370691</v>
      </c>
      <c r="Q34" s="81">
        <f>IF(G34="","",ABS(O34-Components!$C$3)/Components!$D$3)</f>
        <v>0.28992752717634168</v>
      </c>
      <c r="R34" s="81">
        <f>IF(G34="","",ABS(O34-Components!$C$4)/Components!$D$4)</f>
        <v>217.95162262282375</v>
      </c>
      <c r="S34" s="81">
        <f>IF(G34="","",ABS(O34-Components!$C$5)/Components!$D$5)</f>
        <v>20.757368781086971</v>
      </c>
      <c r="T34" s="81">
        <f>IF(G34="","",ABS(O34-Components!$C$6)/Components!$D$6)</f>
        <v>104.39707606316672</v>
      </c>
      <c r="U34" s="81">
        <f>IF(G34="","",ABS(O34-Components!$C$7)/Components!$D$7)</f>
        <v>106.00946558069447</v>
      </c>
      <c r="V34" s="81" t="str">
        <f>IF(G34="","",IF(M34="OK","NONE",INDEX({"S1","S2","W1","W2","N1","N2"},MATCH(MIN(P34:U34),P34:U34,0))))</f>
        <v>S2</v>
      </c>
      <c r="W34" s="117">
        <f t="shared" si="6"/>
        <v>1</v>
      </c>
      <c r="X34" s="107"/>
    </row>
    <row r="35" spans="1:24">
      <c r="A35" s="115">
        <v>33</v>
      </c>
      <c r="B35" s="116">
        <v>2</v>
      </c>
      <c r="C35" s="81" t="s">
        <v>128</v>
      </c>
      <c r="D35" s="111" t="s">
        <v>240</v>
      </c>
      <c r="E35" s="81" t="s">
        <v>102</v>
      </c>
      <c r="F35" s="52">
        <v>5.86</v>
      </c>
      <c r="G35" s="52">
        <f t="shared" si="0"/>
        <v>6.83</v>
      </c>
      <c r="H35" s="110"/>
      <c r="I35" s="81">
        <f>VLOOKUP(C35,Recipes!$A$2:$N$4,10,FALSE())</f>
        <v>10.940000000000001</v>
      </c>
      <c r="J35" s="81">
        <f>VLOOKUP(C35,Recipes!$A$2:$N$4,12,FALSE())</f>
        <v>5.2703573566378441E-2</v>
      </c>
      <c r="K35" s="81">
        <f t="shared" si="1"/>
        <v>10.755537492517677</v>
      </c>
      <c r="L35" s="81">
        <f t="shared" si="2"/>
        <v>11.124462507482326</v>
      </c>
      <c r="M35" s="81" t="str">
        <f t="shared" si="4"/>
        <v>NG</v>
      </c>
      <c r="N35" s="117">
        <f t="shared" si="3"/>
        <v>1</v>
      </c>
      <c r="O35" s="81">
        <f t="shared" si="5"/>
        <v>4.1100000000000012</v>
      </c>
      <c r="P35" s="81">
        <f>IF(G35="","",ABS(O35-Components!$C$2)/Components!$D$2)</f>
        <v>205.27732632162866</v>
      </c>
      <c r="Q35" s="81">
        <f>IF(G35="","",ABS(O35-Components!$C$3)/Components!$D$3)</f>
        <v>5.3636592527594562</v>
      </c>
      <c r="R35" s="81">
        <f>IF(G35="","",ABS(O35-Components!$C$4)/Components!$D$4)</f>
        <v>222.95926384282293</v>
      </c>
      <c r="S35" s="81">
        <f>IF(G35="","",ABS(O35-Components!$C$5)/Components!$D$5)</f>
        <v>17.977364033619999</v>
      </c>
      <c r="T35" s="81">
        <f>IF(G35="","",ABS(O35-Components!$C$6)/Components!$D$6)</f>
        <v>106.93069284038442</v>
      </c>
      <c r="U35" s="81">
        <f>IF(G35="","",ABS(O35-Components!$C$7)/Components!$D$7)</f>
        <v>108.79325797433529</v>
      </c>
      <c r="V35" s="81" t="str">
        <f>IF(G35="","",IF(M35="OK","NONE",INDEX({"S1","S2","W1","W2","N1","N2"},MATCH(MIN(P35:U35),P35:U35,0))))</f>
        <v>S2</v>
      </c>
      <c r="W35" s="117">
        <f t="shared" si="6"/>
        <v>1</v>
      </c>
      <c r="X35" s="107"/>
    </row>
    <row r="36" spans="1:24">
      <c r="A36" s="115">
        <v>34</v>
      </c>
      <c r="B36" s="116">
        <v>2</v>
      </c>
      <c r="C36" s="81" t="s">
        <v>128</v>
      </c>
      <c r="D36" s="111" t="s">
        <v>240</v>
      </c>
      <c r="E36" s="81" t="s">
        <v>102</v>
      </c>
      <c r="F36" s="52">
        <v>5.94</v>
      </c>
      <c r="G36" s="52">
        <f t="shared" si="0"/>
        <v>6.91</v>
      </c>
      <c r="H36" s="110"/>
      <c r="I36" s="81">
        <f>VLOOKUP(C36,Recipes!$A$2:$N$4,10,FALSE())</f>
        <v>10.940000000000001</v>
      </c>
      <c r="J36" s="81">
        <f>VLOOKUP(C36,Recipes!$A$2:$N$4,12,FALSE())</f>
        <v>5.2703573566378441E-2</v>
      </c>
      <c r="K36" s="81">
        <f t="shared" si="1"/>
        <v>10.755537492517677</v>
      </c>
      <c r="L36" s="81">
        <f t="shared" si="2"/>
        <v>11.124462507482326</v>
      </c>
      <c r="M36" s="81" t="str">
        <f t="shared" si="4"/>
        <v>NG</v>
      </c>
      <c r="N36" s="117">
        <f t="shared" si="3"/>
        <v>1</v>
      </c>
      <c r="O36" s="81">
        <f t="shared" si="5"/>
        <v>4.0300000000000011</v>
      </c>
      <c r="P36" s="81">
        <f>IF(G36="","",ABS(O36-Components!$C$2)/Components!$D$2)</f>
        <v>193.17252083828942</v>
      </c>
      <c r="Q36" s="81">
        <f>IF(G36="","",ABS(O36-Components!$C$3)/Components!$D$3)</f>
        <v>0.43489129076415844</v>
      </c>
      <c r="R36" s="81">
        <f>IF(G36="","",ABS(O36-Components!$C$4)/Components!$D$4)</f>
        <v>217.23624530568094</v>
      </c>
      <c r="S36" s="81">
        <f>IF(G36="","",ABS(O36-Components!$C$5)/Components!$D$5)</f>
        <v>21.154512316439423</v>
      </c>
      <c r="T36" s="81">
        <f>IF(G36="","",ABS(O36-Components!$C$6)/Components!$D$6)</f>
        <v>104.03513080927844</v>
      </c>
      <c r="U36" s="81">
        <f>IF(G36="","",ABS(O36-Components!$C$7)/Components!$D$7)</f>
        <v>105.61178095303147</v>
      </c>
      <c r="V36" s="81" t="str">
        <f>IF(G36="","",IF(M36="OK","NONE",INDEX({"S1","S2","W1","W2","N1","N2"},MATCH(MIN(P36:U36),P36:U36,0))))</f>
        <v>S2</v>
      </c>
      <c r="W36" s="117">
        <f t="shared" si="6"/>
        <v>1</v>
      </c>
      <c r="X36" s="107"/>
    </row>
    <row r="37" spans="1:24">
      <c r="A37" s="115">
        <v>35</v>
      </c>
      <c r="B37" s="116">
        <v>2</v>
      </c>
      <c r="C37" s="81" t="s">
        <v>128</v>
      </c>
      <c r="D37" s="111" t="s">
        <v>240</v>
      </c>
      <c r="E37" s="81" t="s">
        <v>102</v>
      </c>
      <c r="F37" s="52">
        <v>5.9</v>
      </c>
      <c r="G37" s="52">
        <f t="shared" si="0"/>
        <v>6.87</v>
      </c>
      <c r="H37" s="110"/>
      <c r="I37" s="81">
        <f>VLOOKUP(C37,Recipes!$A$2:$N$4,10,FALSE())</f>
        <v>10.940000000000001</v>
      </c>
      <c r="J37" s="81">
        <f>VLOOKUP(C37,Recipes!$A$2:$N$4,12,FALSE())</f>
        <v>5.2703573566378441E-2</v>
      </c>
      <c r="K37" s="81">
        <f t="shared" si="1"/>
        <v>10.755537492517677</v>
      </c>
      <c r="L37" s="81">
        <f t="shared" si="2"/>
        <v>11.124462507482326</v>
      </c>
      <c r="M37" s="81" t="str">
        <f t="shared" si="4"/>
        <v>NG</v>
      </c>
      <c r="N37" s="117">
        <f t="shared" si="3"/>
        <v>1</v>
      </c>
      <c r="O37" s="81">
        <f t="shared" si="5"/>
        <v>4.0700000000000012</v>
      </c>
      <c r="P37" s="81">
        <f>IF(G37="","",ABS(O37-Components!$C$2)/Components!$D$2)</f>
        <v>199.22492357995904</v>
      </c>
      <c r="Q37" s="81">
        <f>IF(G37="","",ABS(O37-Components!$C$3)/Components!$D$3)</f>
        <v>2.4643839809976491</v>
      </c>
      <c r="R37" s="81">
        <f>IF(G37="","",ABS(O37-Components!$C$4)/Components!$D$4)</f>
        <v>220.09775457425192</v>
      </c>
      <c r="S37" s="81">
        <f>IF(G37="","",ABS(O37-Components!$C$5)/Components!$D$5)</f>
        <v>19.565938175029711</v>
      </c>
      <c r="T37" s="81">
        <f>IF(G37="","",ABS(O37-Components!$C$6)/Components!$D$6)</f>
        <v>105.48291182483143</v>
      </c>
      <c r="U37" s="81">
        <f>IF(G37="","",ABS(O37-Components!$C$7)/Components!$D$7)</f>
        <v>107.20251946368337</v>
      </c>
      <c r="V37" s="81" t="str">
        <f>IF(G37="","",IF(M37="OK","NONE",INDEX({"S1","S2","W1","W2","N1","N2"},MATCH(MIN(P37:U37),P37:U37,0))))</f>
        <v>S2</v>
      </c>
      <c r="W37" s="117">
        <f t="shared" si="6"/>
        <v>1</v>
      </c>
      <c r="X37" s="107"/>
    </row>
    <row r="38" spans="1:24">
      <c r="A38" s="115">
        <v>36</v>
      </c>
      <c r="B38" s="116">
        <v>2</v>
      </c>
      <c r="C38" s="81" t="s">
        <v>128</v>
      </c>
      <c r="D38" s="111" t="s">
        <v>240</v>
      </c>
      <c r="E38" s="81" t="s">
        <v>102</v>
      </c>
      <c r="F38" s="52">
        <v>5.82</v>
      </c>
      <c r="G38" s="52">
        <f t="shared" si="0"/>
        <v>6.79</v>
      </c>
      <c r="H38" s="110"/>
      <c r="I38" s="81">
        <f>VLOOKUP(C38,Recipes!$A$2:$N$4,10,FALSE())</f>
        <v>10.940000000000001</v>
      </c>
      <c r="J38" s="81">
        <f>VLOOKUP(C38,Recipes!$A$2:$N$4,12,FALSE())</f>
        <v>5.2703573566378441E-2</v>
      </c>
      <c r="K38" s="81">
        <f t="shared" si="1"/>
        <v>10.755537492517677</v>
      </c>
      <c r="L38" s="81">
        <f t="shared" si="2"/>
        <v>11.124462507482326</v>
      </c>
      <c r="M38" s="81" t="str">
        <f t="shared" si="4"/>
        <v>NG</v>
      </c>
      <c r="N38" s="117">
        <f t="shared" si="3"/>
        <v>1</v>
      </c>
      <c r="O38" s="81">
        <f t="shared" si="5"/>
        <v>4.1500000000000012</v>
      </c>
      <c r="P38" s="81">
        <f>IF(G38="","",ABS(O38-Components!$C$2)/Components!$D$2)</f>
        <v>211.32972906329829</v>
      </c>
      <c r="Q38" s="81">
        <f>IF(G38="","",ABS(O38-Components!$C$3)/Components!$D$3)</f>
        <v>8.2629345245212633</v>
      </c>
      <c r="R38" s="81">
        <f>IF(G38="","",ABS(O38-Components!$C$4)/Components!$D$4)</f>
        <v>225.82077311139392</v>
      </c>
      <c r="S38" s="81">
        <f>IF(G38="","",ABS(O38-Components!$C$5)/Components!$D$5)</f>
        <v>16.388789892210287</v>
      </c>
      <c r="T38" s="81">
        <f>IF(G38="","",ABS(O38-Components!$C$6)/Components!$D$6)</f>
        <v>108.37847385593741</v>
      </c>
      <c r="U38" s="81">
        <f>IF(G38="","",ABS(O38-Components!$C$7)/Components!$D$7)</f>
        <v>110.38399648498719</v>
      </c>
      <c r="V38" s="81" t="str">
        <f>IF(G38="","",IF(M38="OK","NONE",INDEX({"S1","S2","W1","W2","N1","N2"},MATCH(MIN(P38:U38),P38:U38,0))))</f>
        <v>S2</v>
      </c>
      <c r="W38" s="117">
        <f t="shared" si="6"/>
        <v>1</v>
      </c>
      <c r="X38" s="107"/>
    </row>
    <row r="39" spans="1:24">
      <c r="A39" s="115">
        <v>37</v>
      </c>
      <c r="B39" s="116">
        <v>2</v>
      </c>
      <c r="C39" s="81" t="s">
        <v>128</v>
      </c>
      <c r="D39" s="111" t="s">
        <v>240</v>
      </c>
      <c r="E39" s="81" t="s">
        <v>102</v>
      </c>
      <c r="F39" s="52">
        <v>5.87</v>
      </c>
      <c r="G39" s="52">
        <f t="shared" si="0"/>
        <v>6.84</v>
      </c>
      <c r="H39" s="110"/>
      <c r="I39" s="81">
        <f>VLOOKUP(C39,Recipes!$A$2:$N$4,10,FALSE())</f>
        <v>10.940000000000001</v>
      </c>
      <c r="J39" s="81">
        <f>VLOOKUP(C39,Recipes!$A$2:$N$4,12,FALSE())</f>
        <v>5.2703573566378441E-2</v>
      </c>
      <c r="K39" s="81">
        <f t="shared" si="1"/>
        <v>10.755537492517677</v>
      </c>
      <c r="L39" s="81">
        <f t="shared" si="2"/>
        <v>11.124462507482326</v>
      </c>
      <c r="M39" s="81" t="str">
        <f t="shared" si="4"/>
        <v>NG</v>
      </c>
      <c r="N39" s="117">
        <f t="shared" si="3"/>
        <v>1</v>
      </c>
      <c r="O39" s="81">
        <f t="shared" si="5"/>
        <v>4.1000000000000014</v>
      </c>
      <c r="P39" s="81">
        <f>IF(G39="","",ABS(O39-Components!$C$2)/Components!$D$2)</f>
        <v>203.76422563621128</v>
      </c>
      <c r="Q39" s="81">
        <f>IF(G39="","",ABS(O39-Components!$C$3)/Components!$D$3)</f>
        <v>4.6388404348190209</v>
      </c>
      <c r="R39" s="81">
        <f>IF(G39="","",ABS(O39-Components!$C$4)/Components!$D$4)</f>
        <v>222.24388652568018</v>
      </c>
      <c r="S39" s="81">
        <f>IF(G39="","",ABS(O39-Components!$C$5)/Components!$D$5)</f>
        <v>18.374507568972419</v>
      </c>
      <c r="T39" s="81">
        <f>IF(G39="","",ABS(O39-Components!$C$6)/Components!$D$6)</f>
        <v>106.56874758649619</v>
      </c>
      <c r="U39" s="81">
        <f>IF(G39="","",ABS(O39-Components!$C$7)/Components!$D$7)</f>
        <v>108.39557334667232</v>
      </c>
      <c r="V39" s="81" t="str">
        <f>IF(G39="","",IF(M39="OK","NONE",INDEX({"S1","S2","W1","W2","N1","N2"},MATCH(MIN(P39:U39),P39:U39,0))))</f>
        <v>S2</v>
      </c>
      <c r="W39" s="117">
        <f t="shared" si="6"/>
        <v>1</v>
      </c>
      <c r="X39" s="107"/>
    </row>
    <row r="40" spans="1:24">
      <c r="A40" s="115">
        <v>38</v>
      </c>
      <c r="B40" s="116">
        <v>2</v>
      </c>
      <c r="C40" s="81" t="s">
        <v>128</v>
      </c>
      <c r="D40" s="111" t="s">
        <v>240</v>
      </c>
      <c r="E40" s="81" t="s">
        <v>102</v>
      </c>
      <c r="F40" s="52">
        <v>5.89</v>
      </c>
      <c r="G40" s="52">
        <f t="shared" si="0"/>
        <v>6.8599999999999994</v>
      </c>
      <c r="H40" s="110"/>
      <c r="I40" s="81">
        <f>VLOOKUP(C40,Recipes!$A$2:$N$4,10,FALSE())</f>
        <v>10.940000000000001</v>
      </c>
      <c r="J40" s="81">
        <f>VLOOKUP(C40,Recipes!$A$2:$N$4,12,FALSE())</f>
        <v>5.2703573566378441E-2</v>
      </c>
      <c r="K40" s="81">
        <f t="shared" si="1"/>
        <v>10.755537492517677</v>
      </c>
      <c r="L40" s="81">
        <f t="shared" si="2"/>
        <v>11.124462507482326</v>
      </c>
      <c r="M40" s="81" t="str">
        <f t="shared" si="4"/>
        <v>NG</v>
      </c>
      <c r="N40" s="117">
        <f t="shared" si="3"/>
        <v>1</v>
      </c>
      <c r="O40" s="81">
        <f t="shared" si="5"/>
        <v>4.0800000000000018</v>
      </c>
      <c r="P40" s="81">
        <f>IF(G40="","",ABS(O40-Components!$C$2)/Components!$D$2)</f>
        <v>200.73802426537654</v>
      </c>
      <c r="Q40" s="81">
        <f>IF(G40="","",ABS(O40-Components!$C$3)/Components!$D$3)</f>
        <v>3.1892027989381488</v>
      </c>
      <c r="R40" s="81">
        <f>IF(G40="","",ABS(O40-Components!$C$4)/Components!$D$4)</f>
        <v>220.81313189139473</v>
      </c>
      <c r="S40" s="81">
        <f>IF(G40="","",ABS(O40-Components!$C$5)/Components!$D$5)</f>
        <v>19.168794639677255</v>
      </c>
      <c r="T40" s="81">
        <f>IF(G40="","",ABS(O40-Components!$C$6)/Components!$D$6)</f>
        <v>105.84485707871971</v>
      </c>
      <c r="U40" s="81">
        <f>IF(G40="","",ABS(O40-Components!$C$7)/Components!$D$7)</f>
        <v>107.60020409134638</v>
      </c>
      <c r="V40" s="81" t="str">
        <f>IF(G40="","",IF(M40="OK","NONE",INDEX({"S1","S2","W1","W2","N1","N2"},MATCH(MIN(P40:U40),P40:U40,0))))</f>
        <v>S2</v>
      </c>
      <c r="W40" s="117">
        <f t="shared" si="6"/>
        <v>1</v>
      </c>
      <c r="X40" s="107"/>
    </row>
    <row r="41" spans="1:24">
      <c r="A41" s="115">
        <v>39</v>
      </c>
      <c r="B41" s="116">
        <v>2</v>
      </c>
      <c r="C41" s="81" t="s">
        <v>128</v>
      </c>
      <c r="D41" s="111" t="s">
        <v>240</v>
      </c>
      <c r="E41" s="81" t="s">
        <v>102</v>
      </c>
      <c r="F41" s="52">
        <v>5.91</v>
      </c>
      <c r="G41" s="52">
        <f t="shared" si="0"/>
        <v>6.88</v>
      </c>
      <c r="H41" s="110"/>
      <c r="I41" s="81">
        <f>VLOOKUP(C41,Recipes!$A$2:$N$4,10,FALSE())</f>
        <v>10.940000000000001</v>
      </c>
      <c r="J41" s="81">
        <f>VLOOKUP(C41,Recipes!$A$2:$N$4,12,FALSE())</f>
        <v>5.2703573566378441E-2</v>
      </c>
      <c r="K41" s="81">
        <f t="shared" si="1"/>
        <v>10.755537492517677</v>
      </c>
      <c r="L41" s="81">
        <f t="shared" si="2"/>
        <v>11.124462507482326</v>
      </c>
      <c r="M41" s="81" t="str">
        <f t="shared" si="4"/>
        <v>NG</v>
      </c>
      <c r="N41" s="117">
        <f t="shared" si="3"/>
        <v>1</v>
      </c>
      <c r="O41" s="81">
        <f t="shared" si="5"/>
        <v>4.0600000000000014</v>
      </c>
      <c r="P41" s="81">
        <f>IF(G41="","",ABS(O41-Components!$C$2)/Components!$D$2)</f>
        <v>197.71182289454165</v>
      </c>
      <c r="Q41" s="81">
        <f>IF(G41="","",ABS(O41-Components!$C$3)/Components!$D$3)</f>
        <v>1.7395651630572131</v>
      </c>
      <c r="R41" s="81">
        <f>IF(G41="","",ABS(O41-Components!$C$4)/Components!$D$4)</f>
        <v>219.3823772571092</v>
      </c>
      <c r="S41" s="81">
        <f>IF(G41="","",ABS(O41-Components!$C$5)/Components!$D$5)</f>
        <v>19.963081710382131</v>
      </c>
      <c r="T41" s="81">
        <f>IF(G41="","",ABS(O41-Components!$C$6)/Components!$D$6)</f>
        <v>105.1209665709432</v>
      </c>
      <c r="U41" s="81">
        <f>IF(G41="","",ABS(O41-Components!$C$7)/Components!$D$7)</f>
        <v>106.8048348360204</v>
      </c>
      <c r="V41" s="81" t="str">
        <f>IF(G41="","",IF(M41="OK","NONE",INDEX({"S1","S2","W1","W2","N1","N2"},MATCH(MIN(P41:U41),P41:U41,0))))</f>
        <v>S2</v>
      </c>
      <c r="W41" s="117">
        <f t="shared" si="6"/>
        <v>1</v>
      </c>
      <c r="X41" s="107"/>
    </row>
    <row r="42" spans="1:24">
      <c r="A42" s="115">
        <v>40</v>
      </c>
      <c r="B42" s="116">
        <v>2</v>
      </c>
      <c r="C42" s="81" t="s">
        <v>128</v>
      </c>
      <c r="D42" s="111" t="s">
        <v>240</v>
      </c>
      <c r="E42" s="81" t="s">
        <v>102</v>
      </c>
      <c r="F42" s="52">
        <v>5.94</v>
      </c>
      <c r="G42" s="52">
        <f t="shared" si="0"/>
        <v>6.91</v>
      </c>
      <c r="H42" s="110"/>
      <c r="I42" s="81">
        <f>VLOOKUP(C42,Recipes!$A$2:$N$4,10,FALSE())</f>
        <v>10.940000000000001</v>
      </c>
      <c r="J42" s="81">
        <f>VLOOKUP(C42,Recipes!$A$2:$N$4,12,FALSE())</f>
        <v>5.2703573566378441E-2</v>
      </c>
      <c r="K42" s="81">
        <f t="shared" si="1"/>
        <v>10.755537492517677</v>
      </c>
      <c r="L42" s="81">
        <f t="shared" si="2"/>
        <v>11.124462507482326</v>
      </c>
      <c r="M42" s="81" t="str">
        <f t="shared" si="4"/>
        <v>NG</v>
      </c>
      <c r="N42" s="117">
        <f t="shared" si="3"/>
        <v>1</v>
      </c>
      <c r="O42" s="81">
        <f t="shared" si="5"/>
        <v>4.0300000000000011</v>
      </c>
      <c r="P42" s="81">
        <f>IF(G42="","",ABS(O42-Components!$C$2)/Components!$D$2)</f>
        <v>193.17252083828942</v>
      </c>
      <c r="Q42" s="81">
        <f>IF(G42="","",ABS(O42-Components!$C$3)/Components!$D$3)</f>
        <v>0.43489129076415844</v>
      </c>
      <c r="R42" s="81">
        <f>IF(G42="","",ABS(O42-Components!$C$4)/Components!$D$4)</f>
        <v>217.23624530568094</v>
      </c>
      <c r="S42" s="81">
        <f>IF(G42="","",ABS(O42-Components!$C$5)/Components!$D$5)</f>
        <v>21.154512316439423</v>
      </c>
      <c r="T42" s="81">
        <f>IF(G42="","",ABS(O42-Components!$C$6)/Components!$D$6)</f>
        <v>104.03513080927844</v>
      </c>
      <c r="U42" s="81">
        <f>IF(G42="","",ABS(O42-Components!$C$7)/Components!$D$7)</f>
        <v>105.61178095303147</v>
      </c>
      <c r="V42" s="81" t="str">
        <f>IF(G42="","",IF(M42="OK","NONE",INDEX({"S1","S2","W1","W2","N1","N2"},MATCH(MIN(P42:U42),P42:U42,0))))</f>
        <v>S2</v>
      </c>
      <c r="W42" s="117">
        <f t="shared" si="6"/>
        <v>1</v>
      </c>
      <c r="X42" s="107"/>
    </row>
    <row r="43" spans="1:24">
      <c r="A43" s="115">
        <v>41</v>
      </c>
      <c r="B43" s="116">
        <v>2</v>
      </c>
      <c r="C43" s="81" t="s">
        <v>128</v>
      </c>
      <c r="D43" s="111" t="s">
        <v>240</v>
      </c>
      <c r="E43" s="81" t="s">
        <v>102</v>
      </c>
      <c r="F43" s="52">
        <v>5.91</v>
      </c>
      <c r="G43" s="52">
        <f t="shared" si="0"/>
        <v>6.88</v>
      </c>
      <c r="H43" s="110"/>
      <c r="I43" s="81">
        <f>VLOOKUP(C43,Recipes!$A$2:$N$4,10,FALSE())</f>
        <v>10.940000000000001</v>
      </c>
      <c r="J43" s="81">
        <f>VLOOKUP(C43,Recipes!$A$2:$N$4,12,FALSE())</f>
        <v>5.2703573566378441E-2</v>
      </c>
      <c r="K43" s="81">
        <f t="shared" si="1"/>
        <v>10.755537492517677</v>
      </c>
      <c r="L43" s="81">
        <f t="shared" si="2"/>
        <v>11.124462507482326</v>
      </c>
      <c r="M43" s="81" t="str">
        <f t="shared" si="4"/>
        <v>NG</v>
      </c>
      <c r="N43" s="117">
        <f t="shared" si="3"/>
        <v>1</v>
      </c>
      <c r="O43" s="81">
        <f t="shared" si="5"/>
        <v>4.0600000000000014</v>
      </c>
      <c r="P43" s="81">
        <f>IF(G43="","",ABS(O43-Components!$C$2)/Components!$D$2)</f>
        <v>197.71182289454165</v>
      </c>
      <c r="Q43" s="81">
        <f>IF(G43="","",ABS(O43-Components!$C$3)/Components!$D$3)</f>
        <v>1.7395651630572131</v>
      </c>
      <c r="R43" s="81">
        <f>IF(G43="","",ABS(O43-Components!$C$4)/Components!$D$4)</f>
        <v>219.3823772571092</v>
      </c>
      <c r="S43" s="81">
        <f>IF(G43="","",ABS(O43-Components!$C$5)/Components!$D$5)</f>
        <v>19.963081710382131</v>
      </c>
      <c r="T43" s="81">
        <f>IF(G43="","",ABS(O43-Components!$C$6)/Components!$D$6)</f>
        <v>105.1209665709432</v>
      </c>
      <c r="U43" s="81">
        <f>IF(G43="","",ABS(O43-Components!$C$7)/Components!$D$7)</f>
        <v>106.8048348360204</v>
      </c>
      <c r="V43" s="81" t="str">
        <f>IF(G43="","",IF(M43="OK","NONE",INDEX({"S1","S2","W1","W2","N1","N2"},MATCH(MIN(P43:U43),P43:U43,0))))</f>
        <v>S2</v>
      </c>
      <c r="W43" s="117">
        <f t="shared" si="6"/>
        <v>1</v>
      </c>
      <c r="X43" s="107"/>
    </row>
    <row r="44" spans="1:24">
      <c r="A44" s="115">
        <v>42</v>
      </c>
      <c r="B44" s="116">
        <v>2</v>
      </c>
      <c r="C44" s="81" t="s">
        <v>128</v>
      </c>
      <c r="D44" s="111" t="s">
        <v>240</v>
      </c>
      <c r="E44" s="81" t="s">
        <v>102</v>
      </c>
      <c r="F44" s="52">
        <v>5.96</v>
      </c>
      <c r="G44" s="52">
        <f t="shared" si="0"/>
        <v>6.93</v>
      </c>
      <c r="H44" s="110"/>
      <c r="I44" s="81">
        <f>VLOOKUP(C44,Recipes!$A$2:$N$4,10,FALSE())</f>
        <v>10.940000000000001</v>
      </c>
      <c r="J44" s="81">
        <f>VLOOKUP(C44,Recipes!$A$2:$N$4,12,FALSE())</f>
        <v>5.2703573566378441E-2</v>
      </c>
      <c r="K44" s="81">
        <f t="shared" si="1"/>
        <v>10.755537492517677</v>
      </c>
      <c r="L44" s="81">
        <f t="shared" si="2"/>
        <v>11.124462507482326</v>
      </c>
      <c r="M44" s="81" t="str">
        <f t="shared" si="4"/>
        <v>NG</v>
      </c>
      <c r="N44" s="117">
        <f t="shared" si="3"/>
        <v>1</v>
      </c>
      <c r="O44" s="81">
        <f t="shared" si="5"/>
        <v>4.0100000000000016</v>
      </c>
      <c r="P44" s="81">
        <f>IF(G44="","",ABS(O44-Components!$C$2)/Components!$D$2)</f>
        <v>190.14631946745467</v>
      </c>
      <c r="Q44" s="81">
        <f>IF(G44="","",ABS(O44-Components!$C$3)/Components!$D$3)</f>
        <v>1.88452892664503</v>
      </c>
      <c r="R44" s="81">
        <f>IF(G44="","",ABS(O44-Components!$C$4)/Components!$D$4)</f>
        <v>215.80549067139549</v>
      </c>
      <c r="S44" s="81">
        <f>IF(G44="","",ABS(O44-Components!$C$5)/Components!$D$5)</f>
        <v>21.948799387144263</v>
      </c>
      <c r="T44" s="81">
        <f>IF(G44="","",ABS(O44-Components!$C$6)/Components!$D$6)</f>
        <v>103.31124030150197</v>
      </c>
      <c r="U44" s="81">
        <f>IF(G44="","",ABS(O44-Components!$C$7)/Components!$D$7)</f>
        <v>104.81641169770553</v>
      </c>
      <c r="V44" s="81" t="str">
        <f>IF(G44="","",IF(M44="OK","NONE",INDEX({"S1","S2","W1","W2","N1","N2"},MATCH(MIN(P44:U44),P44:U44,0))))</f>
        <v>S2</v>
      </c>
      <c r="W44" s="117">
        <f t="shared" si="6"/>
        <v>1</v>
      </c>
      <c r="X44" s="107"/>
    </row>
    <row r="45" spans="1:24">
      <c r="A45" s="115">
        <v>43</v>
      </c>
      <c r="B45" s="116">
        <v>2</v>
      </c>
      <c r="C45" s="81" t="s">
        <v>128</v>
      </c>
      <c r="D45" s="111" t="s">
        <v>240</v>
      </c>
      <c r="E45" s="81" t="s">
        <v>102</v>
      </c>
      <c r="F45" s="52">
        <v>5.98</v>
      </c>
      <c r="G45" s="52">
        <f t="shared" si="0"/>
        <v>6.95</v>
      </c>
      <c r="H45" s="110"/>
      <c r="I45" s="81">
        <f>VLOOKUP(C45,Recipes!$A$2:$N$4,10,FALSE())</f>
        <v>10.940000000000001</v>
      </c>
      <c r="J45" s="81">
        <f>VLOOKUP(C45,Recipes!$A$2:$N$4,12,FALSE())</f>
        <v>5.2703573566378441E-2</v>
      </c>
      <c r="K45" s="81">
        <f t="shared" si="1"/>
        <v>10.755537492517677</v>
      </c>
      <c r="L45" s="81">
        <f t="shared" si="2"/>
        <v>11.124462507482326</v>
      </c>
      <c r="M45" s="81" t="str">
        <f t="shared" si="4"/>
        <v>NG</v>
      </c>
      <c r="N45" s="117">
        <f t="shared" si="3"/>
        <v>1</v>
      </c>
      <c r="O45" s="81">
        <f t="shared" si="5"/>
        <v>3.9900000000000011</v>
      </c>
      <c r="P45" s="81">
        <f>IF(G45="","",ABS(O45-Components!$C$2)/Components!$D$2)</f>
        <v>187.12011809661979</v>
      </c>
      <c r="Q45" s="81">
        <f>IF(G45="","",ABS(O45-Components!$C$3)/Components!$D$3)</f>
        <v>3.334166562525966</v>
      </c>
      <c r="R45" s="81">
        <f>IF(G45="","",ABS(O45-Components!$C$4)/Components!$D$4)</f>
        <v>214.37473603710995</v>
      </c>
      <c r="S45" s="81">
        <f>IF(G45="","",ABS(O45-Components!$C$5)/Components!$D$5)</f>
        <v>22.743086457849135</v>
      </c>
      <c r="T45" s="81">
        <f>IF(G45="","",ABS(O45-Components!$C$6)/Components!$D$6)</f>
        <v>102.58734979372545</v>
      </c>
      <c r="U45" s="81">
        <f>IF(G45="","",ABS(O45-Components!$C$7)/Components!$D$7)</f>
        <v>104.02104244237955</v>
      </c>
      <c r="V45" s="81" t="str">
        <f>IF(G45="","",IF(M45="OK","NONE",INDEX({"S1","S2","W1","W2","N1","N2"},MATCH(MIN(P45:U45),P45:U45,0))))</f>
        <v>S2</v>
      </c>
      <c r="W45" s="117">
        <f t="shared" si="6"/>
        <v>1</v>
      </c>
      <c r="X45" s="107"/>
    </row>
    <row r="46" spans="1:24">
      <c r="A46" s="115">
        <v>44</v>
      </c>
      <c r="B46" s="116">
        <v>2</v>
      </c>
      <c r="C46" s="81" t="s">
        <v>128</v>
      </c>
      <c r="D46" s="111" t="s">
        <v>240</v>
      </c>
      <c r="E46" s="81" t="s">
        <v>102</v>
      </c>
      <c r="F46" s="52">
        <v>5.94</v>
      </c>
      <c r="G46" s="52">
        <f t="shared" si="0"/>
        <v>6.91</v>
      </c>
      <c r="H46" s="110"/>
      <c r="I46" s="81">
        <f>VLOOKUP(C46,Recipes!$A$2:$N$4,10,FALSE())</f>
        <v>10.940000000000001</v>
      </c>
      <c r="J46" s="81">
        <f>VLOOKUP(C46,Recipes!$A$2:$N$4,12,FALSE())</f>
        <v>5.2703573566378441E-2</v>
      </c>
      <c r="K46" s="81">
        <f t="shared" si="1"/>
        <v>10.755537492517677</v>
      </c>
      <c r="L46" s="81">
        <f t="shared" si="2"/>
        <v>11.124462507482326</v>
      </c>
      <c r="M46" s="81" t="str">
        <f t="shared" si="4"/>
        <v>NG</v>
      </c>
      <c r="N46" s="117">
        <f t="shared" si="3"/>
        <v>1</v>
      </c>
      <c r="O46" s="81">
        <f t="shared" si="5"/>
        <v>4.0300000000000011</v>
      </c>
      <c r="P46" s="81">
        <f>IF(G46="","",ABS(O46-Components!$C$2)/Components!$D$2)</f>
        <v>193.17252083828942</v>
      </c>
      <c r="Q46" s="81">
        <f>IF(G46="","",ABS(O46-Components!$C$3)/Components!$D$3)</f>
        <v>0.43489129076415844</v>
      </c>
      <c r="R46" s="81">
        <f>IF(G46="","",ABS(O46-Components!$C$4)/Components!$D$4)</f>
        <v>217.23624530568094</v>
      </c>
      <c r="S46" s="81">
        <f>IF(G46="","",ABS(O46-Components!$C$5)/Components!$D$5)</f>
        <v>21.154512316439423</v>
      </c>
      <c r="T46" s="81">
        <f>IF(G46="","",ABS(O46-Components!$C$6)/Components!$D$6)</f>
        <v>104.03513080927844</v>
      </c>
      <c r="U46" s="81">
        <f>IF(G46="","",ABS(O46-Components!$C$7)/Components!$D$7)</f>
        <v>105.61178095303147</v>
      </c>
      <c r="V46" s="81" t="str">
        <f>IF(G46="","",IF(M46="OK","NONE",INDEX({"S1","S2","W1","W2","N1","N2"},MATCH(MIN(P46:U46),P46:U46,0))))</f>
        <v>S2</v>
      </c>
      <c r="W46" s="117">
        <f t="shared" si="6"/>
        <v>1</v>
      </c>
      <c r="X46" s="107"/>
    </row>
    <row r="47" spans="1:24">
      <c r="A47" s="115">
        <v>45</v>
      </c>
      <c r="B47" s="116">
        <v>2</v>
      </c>
      <c r="C47" s="81" t="s">
        <v>128</v>
      </c>
      <c r="D47" s="111" t="s">
        <v>240</v>
      </c>
      <c r="E47" s="81" t="s">
        <v>102</v>
      </c>
      <c r="F47" s="52">
        <v>5.87</v>
      </c>
      <c r="G47" s="52">
        <f t="shared" si="0"/>
        <v>6.84</v>
      </c>
      <c r="H47" s="110"/>
      <c r="I47" s="81">
        <f>VLOOKUP(C47,Recipes!$A$2:$N$4,10,FALSE())</f>
        <v>10.940000000000001</v>
      </c>
      <c r="J47" s="81">
        <f>VLOOKUP(C47,Recipes!$A$2:$N$4,12,FALSE())</f>
        <v>5.2703573566378441E-2</v>
      </c>
      <c r="K47" s="81">
        <f t="shared" si="1"/>
        <v>10.755537492517677</v>
      </c>
      <c r="L47" s="81">
        <f t="shared" si="2"/>
        <v>11.124462507482326</v>
      </c>
      <c r="M47" s="81" t="str">
        <f t="shared" si="4"/>
        <v>NG</v>
      </c>
      <c r="N47" s="117">
        <f t="shared" si="3"/>
        <v>1</v>
      </c>
      <c r="O47" s="81">
        <f t="shared" si="5"/>
        <v>4.1000000000000014</v>
      </c>
      <c r="P47" s="81">
        <f>IF(G47="","",ABS(O47-Components!$C$2)/Components!$D$2)</f>
        <v>203.76422563621128</v>
      </c>
      <c r="Q47" s="81">
        <f>IF(G47="","",ABS(O47-Components!$C$3)/Components!$D$3)</f>
        <v>4.6388404348190209</v>
      </c>
      <c r="R47" s="81">
        <f>IF(G47="","",ABS(O47-Components!$C$4)/Components!$D$4)</f>
        <v>222.24388652568018</v>
      </c>
      <c r="S47" s="81">
        <f>IF(G47="","",ABS(O47-Components!$C$5)/Components!$D$5)</f>
        <v>18.374507568972419</v>
      </c>
      <c r="T47" s="81">
        <f>IF(G47="","",ABS(O47-Components!$C$6)/Components!$D$6)</f>
        <v>106.56874758649619</v>
      </c>
      <c r="U47" s="81">
        <f>IF(G47="","",ABS(O47-Components!$C$7)/Components!$D$7)</f>
        <v>108.39557334667232</v>
      </c>
      <c r="V47" s="81" t="str">
        <f>IF(G47="","",IF(M47="OK","NONE",INDEX({"S1","S2","W1","W2","N1","N2"},MATCH(MIN(P47:U47),P47:U47,0))))</f>
        <v>S2</v>
      </c>
      <c r="W47" s="117">
        <f t="shared" si="6"/>
        <v>1</v>
      </c>
      <c r="X47" s="107"/>
    </row>
    <row r="48" spans="1:24">
      <c r="A48" s="115">
        <v>46</v>
      </c>
      <c r="B48" s="116">
        <v>2</v>
      </c>
      <c r="C48" s="81" t="s">
        <v>128</v>
      </c>
      <c r="D48" s="111" t="s">
        <v>240</v>
      </c>
      <c r="E48" s="81" t="s">
        <v>102</v>
      </c>
      <c r="F48" s="52">
        <v>5.95</v>
      </c>
      <c r="G48" s="52">
        <f t="shared" si="0"/>
        <v>6.92</v>
      </c>
      <c r="H48" s="110"/>
      <c r="I48" s="81">
        <f>VLOOKUP(C48,Recipes!$A$2:$N$4,10,FALSE())</f>
        <v>10.940000000000001</v>
      </c>
      <c r="J48" s="81">
        <f>VLOOKUP(C48,Recipes!$A$2:$N$4,12,FALSE())</f>
        <v>5.2703573566378441E-2</v>
      </c>
      <c r="K48" s="81">
        <f t="shared" si="1"/>
        <v>10.755537492517677</v>
      </c>
      <c r="L48" s="81">
        <f t="shared" si="2"/>
        <v>11.124462507482326</v>
      </c>
      <c r="M48" s="81" t="str">
        <f t="shared" si="4"/>
        <v>NG</v>
      </c>
      <c r="N48" s="117">
        <f t="shared" si="3"/>
        <v>1</v>
      </c>
      <c r="O48" s="81">
        <f t="shared" si="5"/>
        <v>4.0200000000000014</v>
      </c>
      <c r="P48" s="81">
        <f>IF(G48="","",ABS(O48-Components!$C$2)/Components!$D$2)</f>
        <v>191.65942015287203</v>
      </c>
      <c r="Q48" s="81">
        <f>IF(G48="","",ABS(O48-Components!$C$3)/Components!$D$3)</f>
        <v>1.1597101087045942</v>
      </c>
      <c r="R48" s="81">
        <f>IF(G48="","",ABS(O48-Components!$C$4)/Components!$D$4)</f>
        <v>216.52086798853821</v>
      </c>
      <c r="S48" s="81">
        <f>IF(G48="","",ABS(O48-Components!$C$5)/Components!$D$5)</f>
        <v>21.551655851791843</v>
      </c>
      <c r="T48" s="81">
        <f>IF(G48="","",ABS(O48-Components!$C$6)/Components!$D$6)</f>
        <v>103.67318555539021</v>
      </c>
      <c r="U48" s="81">
        <f>IF(G48="","",ABS(O48-Components!$C$7)/Components!$D$7)</f>
        <v>105.2140963253685</v>
      </c>
      <c r="V48" s="81" t="str">
        <f>IF(G48="","",IF(M48="OK","NONE",INDEX({"S1","S2","W1","W2","N1","N2"},MATCH(MIN(P48:U48),P48:U48,0))))</f>
        <v>S2</v>
      </c>
      <c r="W48" s="117">
        <f t="shared" si="6"/>
        <v>1</v>
      </c>
      <c r="X48" s="107"/>
    </row>
    <row r="49" spans="1:24">
      <c r="A49" s="115">
        <v>47</v>
      </c>
      <c r="B49" s="116">
        <v>2</v>
      </c>
      <c r="C49" s="81" t="s">
        <v>128</v>
      </c>
      <c r="D49" s="111" t="s">
        <v>240</v>
      </c>
      <c r="E49" s="81" t="s">
        <v>102</v>
      </c>
      <c r="F49" s="52">
        <v>5.89</v>
      </c>
      <c r="G49" s="52">
        <f t="shared" si="0"/>
        <v>6.8599999999999994</v>
      </c>
      <c r="H49" s="110"/>
      <c r="I49" s="81">
        <f>VLOOKUP(C49,Recipes!$A$2:$N$4,10,FALSE())</f>
        <v>10.940000000000001</v>
      </c>
      <c r="J49" s="81">
        <f>VLOOKUP(C49,Recipes!$A$2:$N$4,12,FALSE())</f>
        <v>5.2703573566378441E-2</v>
      </c>
      <c r="K49" s="81">
        <f t="shared" si="1"/>
        <v>10.755537492517677</v>
      </c>
      <c r="L49" s="81">
        <f t="shared" si="2"/>
        <v>11.124462507482326</v>
      </c>
      <c r="M49" s="81" t="str">
        <f t="shared" si="4"/>
        <v>NG</v>
      </c>
      <c r="N49" s="117">
        <f t="shared" si="3"/>
        <v>1</v>
      </c>
      <c r="O49" s="81">
        <f t="shared" si="5"/>
        <v>4.0800000000000018</v>
      </c>
      <c r="P49" s="81">
        <f>IF(G49="","",ABS(O49-Components!$C$2)/Components!$D$2)</f>
        <v>200.73802426537654</v>
      </c>
      <c r="Q49" s="81">
        <f>IF(G49="","",ABS(O49-Components!$C$3)/Components!$D$3)</f>
        <v>3.1892027989381488</v>
      </c>
      <c r="R49" s="81">
        <f>IF(G49="","",ABS(O49-Components!$C$4)/Components!$D$4)</f>
        <v>220.81313189139473</v>
      </c>
      <c r="S49" s="81">
        <f>IF(G49="","",ABS(O49-Components!$C$5)/Components!$D$5)</f>
        <v>19.168794639677255</v>
      </c>
      <c r="T49" s="81">
        <f>IF(G49="","",ABS(O49-Components!$C$6)/Components!$D$6)</f>
        <v>105.84485707871971</v>
      </c>
      <c r="U49" s="81">
        <f>IF(G49="","",ABS(O49-Components!$C$7)/Components!$D$7)</f>
        <v>107.60020409134638</v>
      </c>
      <c r="V49" s="81" t="str">
        <f>IF(G49="","",IF(M49="OK","NONE",INDEX({"S1","S2","W1","W2","N1","N2"},MATCH(MIN(P49:U49),P49:U49,0))))</f>
        <v>S2</v>
      </c>
      <c r="W49" s="117">
        <f t="shared" si="6"/>
        <v>1</v>
      </c>
      <c r="X49" s="107"/>
    </row>
    <row r="50" spans="1:24">
      <c r="A50" s="115">
        <v>48</v>
      </c>
      <c r="B50" s="116">
        <v>2</v>
      </c>
      <c r="C50" s="81" t="s">
        <v>128</v>
      </c>
      <c r="D50" s="111" t="s">
        <v>240</v>
      </c>
      <c r="E50" s="81" t="s">
        <v>102</v>
      </c>
      <c r="F50" s="52">
        <v>5.88</v>
      </c>
      <c r="G50" s="52">
        <f t="shared" si="0"/>
        <v>6.85</v>
      </c>
      <c r="H50" s="110"/>
      <c r="I50" s="81">
        <f>VLOOKUP(C50,Recipes!$A$2:$N$4,10,FALSE())</f>
        <v>10.940000000000001</v>
      </c>
      <c r="J50" s="81">
        <f>VLOOKUP(C50,Recipes!$A$2:$N$4,12,FALSE())</f>
        <v>5.2703573566378441E-2</v>
      </c>
      <c r="K50" s="81">
        <f t="shared" si="1"/>
        <v>10.755537492517677</v>
      </c>
      <c r="L50" s="81">
        <f t="shared" si="2"/>
        <v>11.124462507482326</v>
      </c>
      <c r="M50" s="81" t="str">
        <f t="shared" si="4"/>
        <v>NG</v>
      </c>
      <c r="N50" s="117">
        <f t="shared" si="3"/>
        <v>1</v>
      </c>
      <c r="O50" s="81">
        <f t="shared" si="5"/>
        <v>4.0900000000000016</v>
      </c>
      <c r="P50" s="81">
        <f>IF(G50="","",ABS(O50-Components!$C$2)/Components!$D$2)</f>
        <v>202.25112495079392</v>
      </c>
      <c r="Q50" s="81">
        <f>IF(G50="","",ABS(O50-Components!$C$3)/Components!$D$3)</f>
        <v>3.9140216168785846</v>
      </c>
      <c r="R50" s="81">
        <f>IF(G50="","",ABS(O50-Components!$C$4)/Components!$D$4)</f>
        <v>221.52850920853746</v>
      </c>
      <c r="S50" s="81">
        <f>IF(G50="","",ABS(O50-Components!$C$5)/Components!$D$5)</f>
        <v>18.771651104324839</v>
      </c>
      <c r="T50" s="81">
        <f>IF(G50="","",ABS(O50-Components!$C$6)/Components!$D$6)</f>
        <v>106.20680233260795</v>
      </c>
      <c r="U50" s="81">
        <f>IF(G50="","",ABS(O50-Components!$C$7)/Components!$D$7)</f>
        <v>107.99788871900935</v>
      </c>
      <c r="V50" s="81" t="str">
        <f>IF(G50="","",IF(M50="OK","NONE",INDEX({"S1","S2","W1","W2","N1","N2"},MATCH(MIN(P50:U50),P50:U50,0))))</f>
        <v>S2</v>
      </c>
      <c r="W50" s="117">
        <f t="shared" si="6"/>
        <v>1</v>
      </c>
      <c r="X50" s="107"/>
    </row>
    <row r="51" spans="1:24">
      <c r="A51" s="115">
        <v>49</v>
      </c>
      <c r="B51" s="116">
        <v>2</v>
      </c>
      <c r="C51" s="81" t="s">
        <v>128</v>
      </c>
      <c r="D51" s="111" t="s">
        <v>240</v>
      </c>
      <c r="E51" s="81" t="s">
        <v>102</v>
      </c>
      <c r="F51" s="52">
        <v>5.94</v>
      </c>
      <c r="G51" s="52">
        <f t="shared" si="0"/>
        <v>6.91</v>
      </c>
      <c r="H51" s="110"/>
      <c r="I51" s="81">
        <f>VLOOKUP(C51,Recipes!$A$2:$N$4,10,FALSE())</f>
        <v>10.940000000000001</v>
      </c>
      <c r="J51" s="81">
        <f>VLOOKUP(C51,Recipes!$A$2:$N$4,12,FALSE())</f>
        <v>5.2703573566378441E-2</v>
      </c>
      <c r="K51" s="81">
        <f t="shared" si="1"/>
        <v>10.755537492517677</v>
      </c>
      <c r="L51" s="81">
        <f t="shared" si="2"/>
        <v>11.124462507482326</v>
      </c>
      <c r="M51" s="81" t="str">
        <f t="shared" si="4"/>
        <v>NG</v>
      </c>
      <c r="N51" s="117">
        <f t="shared" si="3"/>
        <v>1</v>
      </c>
      <c r="O51" s="81">
        <f t="shared" si="5"/>
        <v>4.0300000000000011</v>
      </c>
      <c r="P51" s="81">
        <f>IF(G51="","",ABS(O51-Components!$C$2)/Components!$D$2)</f>
        <v>193.17252083828942</v>
      </c>
      <c r="Q51" s="81">
        <f>IF(G51="","",ABS(O51-Components!$C$3)/Components!$D$3)</f>
        <v>0.43489129076415844</v>
      </c>
      <c r="R51" s="81">
        <f>IF(G51="","",ABS(O51-Components!$C$4)/Components!$D$4)</f>
        <v>217.23624530568094</v>
      </c>
      <c r="S51" s="81">
        <f>IF(G51="","",ABS(O51-Components!$C$5)/Components!$D$5)</f>
        <v>21.154512316439423</v>
      </c>
      <c r="T51" s="81">
        <f>IF(G51="","",ABS(O51-Components!$C$6)/Components!$D$6)</f>
        <v>104.03513080927844</v>
      </c>
      <c r="U51" s="81">
        <f>IF(G51="","",ABS(O51-Components!$C$7)/Components!$D$7)</f>
        <v>105.61178095303147</v>
      </c>
      <c r="V51" s="81" t="str">
        <f>IF(G51="","",IF(M51="OK","NONE",INDEX({"S1","S2","W1","W2","N1","N2"},MATCH(MIN(P51:U51),P51:U51,0))))</f>
        <v>S2</v>
      </c>
      <c r="W51" s="117">
        <f t="shared" si="6"/>
        <v>1</v>
      </c>
      <c r="X51" s="107"/>
    </row>
    <row r="52" spans="1:24">
      <c r="A52" s="115">
        <v>50</v>
      </c>
      <c r="B52" s="116">
        <v>2</v>
      </c>
      <c r="C52" s="81" t="s">
        <v>128</v>
      </c>
      <c r="D52" s="111" t="s">
        <v>240</v>
      </c>
      <c r="E52" s="81" t="s">
        <v>102</v>
      </c>
      <c r="F52" s="52">
        <v>5.93</v>
      </c>
      <c r="G52" s="52">
        <f t="shared" si="0"/>
        <v>6.8999999999999995</v>
      </c>
      <c r="H52" s="110"/>
      <c r="I52" s="81">
        <f>VLOOKUP(C52,Recipes!$A$2:$N$4,10,FALSE())</f>
        <v>10.940000000000001</v>
      </c>
      <c r="J52" s="81">
        <f>VLOOKUP(C52,Recipes!$A$2:$N$4,12,FALSE())</f>
        <v>5.2703573566378441E-2</v>
      </c>
      <c r="K52" s="81">
        <f t="shared" si="1"/>
        <v>10.755537492517677</v>
      </c>
      <c r="L52" s="81">
        <f t="shared" si="2"/>
        <v>11.124462507482326</v>
      </c>
      <c r="M52" s="81" t="str">
        <f t="shared" si="4"/>
        <v>NG</v>
      </c>
      <c r="N52" s="117">
        <f t="shared" si="3"/>
        <v>1</v>
      </c>
      <c r="O52" s="81">
        <f t="shared" si="5"/>
        <v>4.0400000000000018</v>
      </c>
      <c r="P52" s="81">
        <f>IF(G52="","",ABS(O52-Components!$C$2)/Components!$D$2)</f>
        <v>194.68562152370691</v>
      </c>
      <c r="Q52" s="81">
        <f>IF(G52="","",ABS(O52-Components!$C$3)/Components!$D$3)</f>
        <v>0.28992752717634168</v>
      </c>
      <c r="R52" s="81">
        <f>IF(G52="","",ABS(O52-Components!$C$4)/Components!$D$4)</f>
        <v>217.95162262282375</v>
      </c>
      <c r="S52" s="81">
        <f>IF(G52="","",ABS(O52-Components!$C$5)/Components!$D$5)</f>
        <v>20.757368781086971</v>
      </c>
      <c r="T52" s="81">
        <f>IF(G52="","",ABS(O52-Components!$C$6)/Components!$D$6)</f>
        <v>104.39707606316672</v>
      </c>
      <c r="U52" s="81">
        <f>IF(G52="","",ABS(O52-Components!$C$7)/Components!$D$7)</f>
        <v>106.00946558069447</v>
      </c>
      <c r="V52" s="81" t="str">
        <f>IF(G52="","",IF(M52="OK","NONE",INDEX({"S1","S2","W1","W2","N1","N2"},MATCH(MIN(P52:U52),P52:U52,0))))</f>
        <v>S2</v>
      </c>
      <c r="W52" s="117">
        <f t="shared" si="6"/>
        <v>1</v>
      </c>
      <c r="X52" s="107"/>
    </row>
    <row r="53" spans="1:24">
      <c r="A53" s="115">
        <v>51</v>
      </c>
      <c r="B53" s="116">
        <v>2</v>
      </c>
      <c r="C53" s="81" t="s">
        <v>128</v>
      </c>
      <c r="D53" s="111" t="s">
        <v>240</v>
      </c>
      <c r="E53" s="81" t="s">
        <v>102</v>
      </c>
      <c r="F53" s="52">
        <v>5.99</v>
      </c>
      <c r="G53" s="52">
        <f t="shared" si="0"/>
        <v>6.96</v>
      </c>
      <c r="H53" s="110"/>
      <c r="I53" s="81">
        <f>VLOOKUP(C53,Recipes!$A$2:$N$4,10,FALSE())</f>
        <v>10.940000000000001</v>
      </c>
      <c r="J53" s="81">
        <f>VLOOKUP(C53,Recipes!$A$2:$N$4,12,FALSE())</f>
        <v>5.2703573566378441E-2</v>
      </c>
      <c r="K53" s="81">
        <f t="shared" si="1"/>
        <v>10.755537492517677</v>
      </c>
      <c r="L53" s="81">
        <f t="shared" si="2"/>
        <v>11.124462507482326</v>
      </c>
      <c r="M53" s="81" t="str">
        <f t="shared" si="4"/>
        <v>NG</v>
      </c>
      <c r="N53" s="117">
        <f t="shared" si="3"/>
        <v>1</v>
      </c>
      <c r="O53" s="81">
        <f t="shared" si="5"/>
        <v>3.9800000000000013</v>
      </c>
      <c r="P53" s="81">
        <f>IF(G53="","",ABS(O53-Components!$C$2)/Components!$D$2)</f>
        <v>185.60701741120241</v>
      </c>
      <c r="Q53" s="81">
        <f>IF(G53="","",ABS(O53-Components!$C$3)/Components!$D$3)</f>
        <v>4.0589853804664013</v>
      </c>
      <c r="R53" s="81">
        <f>IF(G53="","",ABS(O53-Components!$C$4)/Components!$D$4)</f>
        <v>213.65935871996723</v>
      </c>
      <c r="S53" s="81">
        <f>IF(G53="","",ABS(O53-Components!$C$5)/Components!$D$5)</f>
        <v>23.140229993201554</v>
      </c>
      <c r="T53" s="81">
        <f>IF(G53="","",ABS(O53-Components!$C$6)/Components!$D$6)</f>
        <v>102.22540453983721</v>
      </c>
      <c r="U53" s="81">
        <f>IF(G53="","",ABS(O53-Components!$C$7)/Components!$D$7)</f>
        <v>103.62335781471658</v>
      </c>
      <c r="V53" s="81" t="str">
        <f>IF(G53="","",IF(M53="OK","NONE",INDEX({"S1","S2","W1","W2","N1","N2"},MATCH(MIN(P53:U53),P53:U53,0))))</f>
        <v>S2</v>
      </c>
      <c r="W53" s="117">
        <f t="shared" si="6"/>
        <v>1</v>
      </c>
      <c r="X53" s="107"/>
    </row>
    <row r="54" spans="1:24">
      <c r="A54" s="115">
        <v>52</v>
      </c>
      <c r="B54" s="116">
        <v>2</v>
      </c>
      <c r="C54" s="81" t="s">
        <v>128</v>
      </c>
      <c r="D54" s="111" t="s">
        <v>240</v>
      </c>
      <c r="E54" s="81" t="s">
        <v>102</v>
      </c>
      <c r="F54" s="52">
        <v>5.92</v>
      </c>
      <c r="G54" s="52">
        <f t="shared" si="0"/>
        <v>6.89</v>
      </c>
      <c r="H54" s="110"/>
      <c r="I54" s="81">
        <f>VLOOKUP(C54,Recipes!$A$2:$N$4,10,FALSE())</f>
        <v>10.940000000000001</v>
      </c>
      <c r="J54" s="81">
        <f>VLOOKUP(C54,Recipes!$A$2:$N$4,12,FALSE())</f>
        <v>5.2703573566378441E-2</v>
      </c>
      <c r="K54" s="81">
        <f t="shared" si="1"/>
        <v>10.755537492517677</v>
      </c>
      <c r="L54" s="81">
        <f t="shared" si="2"/>
        <v>11.124462507482326</v>
      </c>
      <c r="M54" s="81" t="str">
        <f t="shared" si="4"/>
        <v>NG</v>
      </c>
      <c r="N54" s="117">
        <f t="shared" si="3"/>
        <v>1</v>
      </c>
      <c r="O54" s="81">
        <f t="shared" si="5"/>
        <v>4.0500000000000016</v>
      </c>
      <c r="P54" s="81">
        <f>IF(G54="","",ABS(O54-Components!$C$2)/Components!$D$2)</f>
        <v>196.1987222091243</v>
      </c>
      <c r="Q54" s="81">
        <f>IF(G54="","",ABS(O54-Components!$C$3)/Components!$D$3)</f>
        <v>1.0147463451167775</v>
      </c>
      <c r="R54" s="81">
        <f>IF(G54="","",ABS(O54-Components!$C$4)/Components!$D$4)</f>
        <v>218.66699993996647</v>
      </c>
      <c r="S54" s="81">
        <f>IF(G54="","",ABS(O54-Components!$C$5)/Components!$D$5)</f>
        <v>20.360225245734551</v>
      </c>
      <c r="T54" s="81">
        <f>IF(G54="","",ABS(O54-Components!$C$6)/Components!$D$6)</f>
        <v>104.75902131705496</v>
      </c>
      <c r="U54" s="81">
        <f>IF(G54="","",ABS(O54-Components!$C$7)/Components!$D$7)</f>
        <v>106.40715020835744</v>
      </c>
      <c r="V54" s="81" t="str">
        <f>IF(G54="","",IF(M54="OK","NONE",INDEX({"S1","S2","W1","W2","N1","N2"},MATCH(MIN(P54:U54),P54:U54,0))))</f>
        <v>S2</v>
      </c>
      <c r="W54" s="117">
        <f t="shared" si="6"/>
        <v>1</v>
      </c>
      <c r="X54" s="107"/>
    </row>
    <row r="55" spans="1:24">
      <c r="A55" s="115">
        <v>53</v>
      </c>
      <c r="B55" s="116">
        <v>2</v>
      </c>
      <c r="C55" s="81" t="s">
        <v>128</v>
      </c>
      <c r="D55" s="111" t="s">
        <v>240</v>
      </c>
      <c r="E55" s="81" t="s">
        <v>102</v>
      </c>
      <c r="F55" s="52">
        <v>5.78</v>
      </c>
      <c r="G55" s="52">
        <f t="shared" si="0"/>
        <v>6.75</v>
      </c>
      <c r="H55" s="110"/>
      <c r="I55" s="81">
        <f>VLOOKUP(C55,Recipes!$A$2:$N$4,10,FALSE())</f>
        <v>10.940000000000001</v>
      </c>
      <c r="J55" s="81">
        <f>VLOOKUP(C55,Recipes!$A$2:$N$4,12,FALSE())</f>
        <v>5.2703573566378441E-2</v>
      </c>
      <c r="K55" s="81">
        <f t="shared" si="1"/>
        <v>10.755537492517677</v>
      </c>
      <c r="L55" s="81">
        <f t="shared" si="2"/>
        <v>11.124462507482326</v>
      </c>
      <c r="M55" s="81" t="str">
        <f t="shared" si="4"/>
        <v>NG</v>
      </c>
      <c r="N55" s="117">
        <f t="shared" si="3"/>
        <v>1</v>
      </c>
      <c r="O55" s="81">
        <f t="shared" si="5"/>
        <v>4.1900000000000013</v>
      </c>
      <c r="P55" s="81">
        <f>IF(G55="","",ABS(O55-Components!$C$2)/Components!$D$2)</f>
        <v>217.38213180496791</v>
      </c>
      <c r="Q55" s="81">
        <f>IF(G55="","",ABS(O55-Components!$C$3)/Components!$D$3)</f>
        <v>11.16220979628307</v>
      </c>
      <c r="R55" s="81">
        <f>IF(G55="","",ABS(O55-Components!$C$4)/Components!$D$4)</f>
        <v>228.6822823799649</v>
      </c>
      <c r="S55" s="81">
        <f>IF(G55="","",ABS(O55-Components!$C$5)/Components!$D$5)</f>
        <v>14.800215750800573</v>
      </c>
      <c r="T55" s="81">
        <f>IF(G55="","",ABS(O55-Components!$C$6)/Components!$D$6)</f>
        <v>109.82625487149041</v>
      </c>
      <c r="U55" s="81">
        <f>IF(G55="","",ABS(O55-Components!$C$7)/Components!$D$7)</f>
        <v>111.97473499563911</v>
      </c>
      <c r="V55" s="81" t="str">
        <f>IF(G55="","",IF(M55="OK","NONE",INDEX({"S1","S2","W1","W2","N1","N2"},MATCH(MIN(P55:U55),P55:U55,0))))</f>
        <v>S2</v>
      </c>
      <c r="W55" s="117">
        <f t="shared" si="6"/>
        <v>1</v>
      </c>
      <c r="X55" s="107"/>
    </row>
    <row r="56" spans="1:24">
      <c r="A56" s="115">
        <v>54</v>
      </c>
      <c r="B56" s="116">
        <v>2</v>
      </c>
      <c r="C56" s="81" t="s">
        <v>128</v>
      </c>
      <c r="D56" s="111" t="s">
        <v>240</v>
      </c>
      <c r="E56" s="81" t="s">
        <v>102</v>
      </c>
      <c r="F56" s="52">
        <v>5.95</v>
      </c>
      <c r="G56" s="52">
        <f t="shared" si="0"/>
        <v>6.92</v>
      </c>
      <c r="H56" s="110"/>
      <c r="I56" s="81">
        <f>VLOOKUP(C56,Recipes!$A$2:$N$4,10,FALSE())</f>
        <v>10.940000000000001</v>
      </c>
      <c r="J56" s="81">
        <f>VLOOKUP(C56,Recipes!$A$2:$N$4,12,FALSE())</f>
        <v>5.2703573566378441E-2</v>
      </c>
      <c r="K56" s="81">
        <f t="shared" si="1"/>
        <v>10.755537492517677</v>
      </c>
      <c r="L56" s="81">
        <f t="shared" si="2"/>
        <v>11.124462507482326</v>
      </c>
      <c r="M56" s="81" t="str">
        <f t="shared" si="4"/>
        <v>NG</v>
      </c>
      <c r="N56" s="117">
        <f t="shared" si="3"/>
        <v>1</v>
      </c>
      <c r="O56" s="81">
        <f t="shared" si="5"/>
        <v>4.0200000000000014</v>
      </c>
      <c r="P56" s="81">
        <f>IF(G56="","",ABS(O56-Components!$C$2)/Components!$D$2)</f>
        <v>191.65942015287203</v>
      </c>
      <c r="Q56" s="81">
        <f>IF(G56="","",ABS(O56-Components!$C$3)/Components!$D$3)</f>
        <v>1.1597101087045942</v>
      </c>
      <c r="R56" s="81">
        <f>IF(G56="","",ABS(O56-Components!$C$4)/Components!$D$4)</f>
        <v>216.52086798853821</v>
      </c>
      <c r="S56" s="81">
        <f>IF(G56="","",ABS(O56-Components!$C$5)/Components!$D$5)</f>
        <v>21.551655851791843</v>
      </c>
      <c r="T56" s="81">
        <f>IF(G56="","",ABS(O56-Components!$C$6)/Components!$D$6)</f>
        <v>103.67318555539021</v>
      </c>
      <c r="U56" s="81">
        <f>IF(G56="","",ABS(O56-Components!$C$7)/Components!$D$7)</f>
        <v>105.2140963253685</v>
      </c>
      <c r="V56" s="81" t="str">
        <f>IF(G56="","",IF(M56="OK","NONE",INDEX({"S1","S2","W1","W2","N1","N2"},MATCH(MIN(P56:U56),P56:U56,0))))</f>
        <v>S2</v>
      </c>
      <c r="W56" s="117">
        <f t="shared" si="6"/>
        <v>1</v>
      </c>
      <c r="X56" s="107"/>
    </row>
    <row r="57" spans="1:24">
      <c r="A57" s="115">
        <v>55</v>
      </c>
      <c r="B57" s="116">
        <v>2</v>
      </c>
      <c r="C57" s="81" t="s">
        <v>128</v>
      </c>
      <c r="D57" s="111" t="s">
        <v>240</v>
      </c>
      <c r="E57" s="81" t="s">
        <v>102</v>
      </c>
      <c r="F57" s="52">
        <v>5.92</v>
      </c>
      <c r="G57" s="52">
        <f t="shared" si="0"/>
        <v>6.89</v>
      </c>
      <c r="H57" s="110"/>
      <c r="I57" s="81">
        <f>VLOOKUP(C57,Recipes!$A$2:$N$4,10,FALSE())</f>
        <v>10.940000000000001</v>
      </c>
      <c r="J57" s="81">
        <f>VLOOKUP(C57,Recipes!$A$2:$N$4,12,FALSE())</f>
        <v>5.2703573566378441E-2</v>
      </c>
      <c r="K57" s="81">
        <f t="shared" si="1"/>
        <v>10.755537492517677</v>
      </c>
      <c r="L57" s="81">
        <f t="shared" si="2"/>
        <v>11.124462507482326</v>
      </c>
      <c r="M57" s="81" t="str">
        <f t="shared" si="4"/>
        <v>NG</v>
      </c>
      <c r="N57" s="117">
        <f t="shared" si="3"/>
        <v>1</v>
      </c>
      <c r="O57" s="81">
        <f t="shared" si="5"/>
        <v>4.0500000000000016</v>
      </c>
      <c r="P57" s="81">
        <f>IF(G57="","",ABS(O57-Components!$C$2)/Components!$D$2)</f>
        <v>196.1987222091243</v>
      </c>
      <c r="Q57" s="81">
        <f>IF(G57="","",ABS(O57-Components!$C$3)/Components!$D$3)</f>
        <v>1.0147463451167775</v>
      </c>
      <c r="R57" s="81">
        <f>IF(G57="","",ABS(O57-Components!$C$4)/Components!$D$4)</f>
        <v>218.66699993996647</v>
      </c>
      <c r="S57" s="81">
        <f>IF(G57="","",ABS(O57-Components!$C$5)/Components!$D$5)</f>
        <v>20.360225245734551</v>
      </c>
      <c r="T57" s="81">
        <f>IF(G57="","",ABS(O57-Components!$C$6)/Components!$D$6)</f>
        <v>104.75902131705496</v>
      </c>
      <c r="U57" s="81">
        <f>IF(G57="","",ABS(O57-Components!$C$7)/Components!$D$7)</f>
        <v>106.40715020835744</v>
      </c>
      <c r="V57" s="81" t="str">
        <f>IF(G57="","",IF(M57="OK","NONE",INDEX({"S1","S2","W1","W2","N1","N2"},MATCH(MIN(P57:U57),P57:U57,0))))</f>
        <v>S2</v>
      </c>
      <c r="W57" s="117">
        <f t="shared" si="6"/>
        <v>1</v>
      </c>
      <c r="X57" s="107"/>
    </row>
    <row r="58" spans="1:24">
      <c r="A58" s="115">
        <v>56</v>
      </c>
      <c r="B58" s="116">
        <v>2</v>
      </c>
      <c r="C58" s="81" t="s">
        <v>128</v>
      </c>
      <c r="D58" s="111" t="s">
        <v>240</v>
      </c>
      <c r="E58" s="81" t="s">
        <v>102</v>
      </c>
      <c r="F58" s="52">
        <v>5.94</v>
      </c>
      <c r="G58" s="52">
        <f t="shared" si="0"/>
        <v>6.91</v>
      </c>
      <c r="H58" s="110"/>
      <c r="I58" s="81">
        <f>VLOOKUP(C58,Recipes!$A$2:$N$4,10,FALSE())</f>
        <v>10.940000000000001</v>
      </c>
      <c r="J58" s="81">
        <f>VLOOKUP(C58,Recipes!$A$2:$N$4,12,FALSE())</f>
        <v>5.2703573566378441E-2</v>
      </c>
      <c r="K58" s="81">
        <f t="shared" si="1"/>
        <v>10.755537492517677</v>
      </c>
      <c r="L58" s="81">
        <f t="shared" si="2"/>
        <v>11.124462507482326</v>
      </c>
      <c r="M58" s="81" t="str">
        <f t="shared" si="4"/>
        <v>NG</v>
      </c>
      <c r="N58" s="117">
        <f t="shared" si="3"/>
        <v>1</v>
      </c>
      <c r="O58" s="81">
        <f t="shared" si="5"/>
        <v>4.0300000000000011</v>
      </c>
      <c r="P58" s="81">
        <f>IF(G58="","",ABS(O58-Components!$C$2)/Components!$D$2)</f>
        <v>193.17252083828942</v>
      </c>
      <c r="Q58" s="81">
        <f>IF(G58="","",ABS(O58-Components!$C$3)/Components!$D$3)</f>
        <v>0.43489129076415844</v>
      </c>
      <c r="R58" s="81">
        <f>IF(G58="","",ABS(O58-Components!$C$4)/Components!$D$4)</f>
        <v>217.23624530568094</v>
      </c>
      <c r="S58" s="81">
        <f>IF(G58="","",ABS(O58-Components!$C$5)/Components!$D$5)</f>
        <v>21.154512316439423</v>
      </c>
      <c r="T58" s="81">
        <f>IF(G58="","",ABS(O58-Components!$C$6)/Components!$D$6)</f>
        <v>104.03513080927844</v>
      </c>
      <c r="U58" s="81">
        <f>IF(G58="","",ABS(O58-Components!$C$7)/Components!$D$7)</f>
        <v>105.61178095303147</v>
      </c>
      <c r="V58" s="81" t="str">
        <f>IF(G58="","",IF(M58="OK","NONE",INDEX({"S1","S2","W1","W2","N1","N2"},MATCH(MIN(P58:U58),P58:U58,0))))</f>
        <v>S2</v>
      </c>
      <c r="W58" s="117">
        <f t="shared" si="6"/>
        <v>1</v>
      </c>
      <c r="X58" s="107"/>
    </row>
    <row r="59" spans="1:24">
      <c r="A59" s="115">
        <v>57</v>
      </c>
      <c r="B59" s="116">
        <v>2</v>
      </c>
      <c r="C59" s="81" t="s">
        <v>128</v>
      </c>
      <c r="D59" s="111" t="s">
        <v>240</v>
      </c>
      <c r="E59" s="81" t="s">
        <v>102</v>
      </c>
      <c r="F59" s="52">
        <v>5.9</v>
      </c>
      <c r="G59" s="52">
        <f t="shared" si="0"/>
        <v>6.87</v>
      </c>
      <c r="H59" s="110"/>
      <c r="I59" s="81">
        <f>VLOOKUP(C59,Recipes!$A$2:$N$4,10,FALSE())</f>
        <v>10.940000000000001</v>
      </c>
      <c r="J59" s="81">
        <f>VLOOKUP(C59,Recipes!$A$2:$N$4,12,FALSE())</f>
        <v>5.2703573566378441E-2</v>
      </c>
      <c r="K59" s="81">
        <f t="shared" si="1"/>
        <v>10.755537492517677</v>
      </c>
      <c r="L59" s="81">
        <f t="shared" si="2"/>
        <v>11.124462507482326</v>
      </c>
      <c r="M59" s="81" t="str">
        <f t="shared" si="4"/>
        <v>NG</v>
      </c>
      <c r="N59" s="117">
        <f t="shared" si="3"/>
        <v>1</v>
      </c>
      <c r="O59" s="81">
        <f t="shared" si="5"/>
        <v>4.0700000000000012</v>
      </c>
      <c r="P59" s="81">
        <f>IF(G59="","",ABS(O59-Components!$C$2)/Components!$D$2)</f>
        <v>199.22492357995904</v>
      </c>
      <c r="Q59" s="81">
        <f>IF(G59="","",ABS(O59-Components!$C$3)/Components!$D$3)</f>
        <v>2.4643839809976491</v>
      </c>
      <c r="R59" s="81">
        <f>IF(G59="","",ABS(O59-Components!$C$4)/Components!$D$4)</f>
        <v>220.09775457425192</v>
      </c>
      <c r="S59" s="81">
        <f>IF(G59="","",ABS(O59-Components!$C$5)/Components!$D$5)</f>
        <v>19.565938175029711</v>
      </c>
      <c r="T59" s="81">
        <f>IF(G59="","",ABS(O59-Components!$C$6)/Components!$D$6)</f>
        <v>105.48291182483143</v>
      </c>
      <c r="U59" s="81">
        <f>IF(G59="","",ABS(O59-Components!$C$7)/Components!$D$7)</f>
        <v>107.20251946368337</v>
      </c>
      <c r="V59" s="81" t="str">
        <f>IF(G59="","",IF(M59="OK","NONE",INDEX({"S1","S2","W1","W2","N1","N2"},MATCH(MIN(P59:U59),P59:U59,0))))</f>
        <v>S2</v>
      </c>
      <c r="W59" s="117">
        <f t="shared" si="6"/>
        <v>1</v>
      </c>
      <c r="X59" s="107"/>
    </row>
    <row r="60" spans="1:24">
      <c r="A60" s="115">
        <v>58</v>
      </c>
      <c r="B60" s="116">
        <v>2</v>
      </c>
      <c r="C60" s="81" t="s">
        <v>128</v>
      </c>
      <c r="D60" s="111" t="s">
        <v>240</v>
      </c>
      <c r="E60" s="81" t="s">
        <v>102</v>
      </c>
      <c r="F60" s="52">
        <v>5.92</v>
      </c>
      <c r="G60" s="52">
        <f t="shared" si="0"/>
        <v>6.89</v>
      </c>
      <c r="H60" s="110"/>
      <c r="I60" s="81">
        <f>VLOOKUP(C60,Recipes!$A$2:$N$4,10,FALSE())</f>
        <v>10.940000000000001</v>
      </c>
      <c r="J60" s="81">
        <f>VLOOKUP(C60,Recipes!$A$2:$N$4,12,FALSE())</f>
        <v>5.2703573566378441E-2</v>
      </c>
      <c r="K60" s="81">
        <f t="shared" si="1"/>
        <v>10.755537492517677</v>
      </c>
      <c r="L60" s="81">
        <f t="shared" si="2"/>
        <v>11.124462507482326</v>
      </c>
      <c r="M60" s="81" t="str">
        <f t="shared" si="4"/>
        <v>NG</v>
      </c>
      <c r="N60" s="117">
        <f t="shared" si="3"/>
        <v>1</v>
      </c>
      <c r="O60" s="81">
        <f t="shared" si="5"/>
        <v>4.0500000000000016</v>
      </c>
      <c r="P60" s="81">
        <f>IF(G60="","",ABS(O60-Components!$C$2)/Components!$D$2)</f>
        <v>196.1987222091243</v>
      </c>
      <c r="Q60" s="81">
        <f>IF(G60="","",ABS(O60-Components!$C$3)/Components!$D$3)</f>
        <v>1.0147463451167775</v>
      </c>
      <c r="R60" s="81">
        <f>IF(G60="","",ABS(O60-Components!$C$4)/Components!$D$4)</f>
        <v>218.66699993996647</v>
      </c>
      <c r="S60" s="81">
        <f>IF(G60="","",ABS(O60-Components!$C$5)/Components!$D$5)</f>
        <v>20.360225245734551</v>
      </c>
      <c r="T60" s="81">
        <f>IF(G60="","",ABS(O60-Components!$C$6)/Components!$D$6)</f>
        <v>104.75902131705496</v>
      </c>
      <c r="U60" s="81">
        <f>IF(G60="","",ABS(O60-Components!$C$7)/Components!$D$7)</f>
        <v>106.40715020835744</v>
      </c>
      <c r="V60" s="81" t="str">
        <f>IF(G60="","",IF(M60="OK","NONE",INDEX({"S1","S2","W1","W2","N1","N2"},MATCH(MIN(P60:U60),P60:U60,0))))</f>
        <v>S2</v>
      </c>
      <c r="W60" s="117">
        <f t="shared" si="6"/>
        <v>1</v>
      </c>
      <c r="X60" s="107"/>
    </row>
    <row r="61" spans="1:24">
      <c r="A61" s="115">
        <v>59</v>
      </c>
      <c r="B61" s="116">
        <v>2</v>
      </c>
      <c r="C61" s="81" t="s">
        <v>128</v>
      </c>
      <c r="D61" s="111" t="s">
        <v>240</v>
      </c>
      <c r="E61" s="81" t="s">
        <v>102</v>
      </c>
      <c r="F61" s="52">
        <v>5.4</v>
      </c>
      <c r="G61" s="52">
        <f t="shared" si="0"/>
        <v>6.37</v>
      </c>
      <c r="H61" s="110"/>
      <c r="I61" s="81">
        <f>VLOOKUP(C61,Recipes!$A$2:$N$4,10,FALSE())</f>
        <v>10.940000000000001</v>
      </c>
      <c r="J61" s="81">
        <f>VLOOKUP(C61,Recipes!$A$2:$N$4,12,FALSE())</f>
        <v>5.2703573566378441E-2</v>
      </c>
      <c r="K61" s="81">
        <f t="shared" si="1"/>
        <v>10.755537492517677</v>
      </c>
      <c r="L61" s="81">
        <f t="shared" si="2"/>
        <v>11.124462507482326</v>
      </c>
      <c r="M61" s="81" t="str">
        <f t="shared" si="4"/>
        <v>NG</v>
      </c>
      <c r="N61" s="117">
        <f t="shared" si="3"/>
        <v>1</v>
      </c>
      <c r="O61" s="81">
        <f t="shared" si="5"/>
        <v>4.5700000000000012</v>
      </c>
      <c r="P61" s="81">
        <f>IF(G61="","",ABS(O61-Components!$C$2)/Components!$D$2)</f>
        <v>274.87995785082927</v>
      </c>
      <c r="Q61" s="81">
        <f>IF(G61="","",ABS(O61-Components!$C$3)/Components!$D$3)</f>
        <v>38.705324878020207</v>
      </c>
      <c r="R61" s="81">
        <f>IF(G61="","",ABS(O61-Components!$C$4)/Components!$D$4)</f>
        <v>255.86662043138929</v>
      </c>
      <c r="S61" s="81">
        <f>IF(G61="","",ABS(O61-Components!$C$5)/Components!$D$5)</f>
        <v>0.29123859259167773</v>
      </c>
      <c r="T61" s="81">
        <f>IF(G61="","",ABS(O61-Components!$C$6)/Components!$D$6)</f>
        <v>123.5801745192438</v>
      </c>
      <c r="U61" s="81">
        <f>IF(G61="","",ABS(O61-Components!$C$7)/Components!$D$7)</f>
        <v>127.08675084683223</v>
      </c>
      <c r="V61" s="81" t="str">
        <f>IF(G61="","",IF(M61="OK","NONE",INDEX({"S1","S2","W1","W2","N1","N2"},MATCH(MIN(P61:U61),P61:U61,0))))</f>
        <v>W2</v>
      </c>
      <c r="W61" s="122">
        <f t="shared" si="6"/>
        <v>0</v>
      </c>
      <c r="X61" s="107"/>
    </row>
    <row r="62" spans="1:24">
      <c r="A62" s="115">
        <v>60</v>
      </c>
      <c r="B62" s="116">
        <v>2</v>
      </c>
      <c r="C62" s="81" t="s">
        <v>128</v>
      </c>
      <c r="D62" s="111" t="s">
        <v>240</v>
      </c>
      <c r="E62" s="81" t="s">
        <v>102</v>
      </c>
      <c r="F62" s="52">
        <v>5.8</v>
      </c>
      <c r="G62" s="52">
        <f t="shared" si="0"/>
        <v>6.77</v>
      </c>
      <c r="H62" s="110"/>
      <c r="I62" s="81">
        <f>VLOOKUP(C62,Recipes!$A$2:$N$4,10,FALSE())</f>
        <v>10.940000000000001</v>
      </c>
      <c r="J62" s="81">
        <f>VLOOKUP(C62,Recipes!$A$2:$N$4,12,FALSE())</f>
        <v>5.2703573566378441E-2</v>
      </c>
      <c r="K62" s="81">
        <f t="shared" si="1"/>
        <v>10.755537492517677</v>
      </c>
      <c r="L62" s="81">
        <f t="shared" si="2"/>
        <v>11.124462507482326</v>
      </c>
      <c r="M62" s="81" t="str">
        <f t="shared" si="4"/>
        <v>NG</v>
      </c>
      <c r="N62" s="117">
        <f t="shared" si="3"/>
        <v>1</v>
      </c>
      <c r="O62" s="81">
        <f t="shared" si="5"/>
        <v>4.1700000000000017</v>
      </c>
      <c r="P62" s="81">
        <f>IF(G62="","",ABS(O62-Components!$C$2)/Components!$D$2)</f>
        <v>214.35593043413317</v>
      </c>
      <c r="Q62" s="81">
        <f>IF(G62="","",ABS(O62-Components!$C$3)/Components!$D$3)</f>
        <v>9.7125721604021997</v>
      </c>
      <c r="R62" s="81">
        <f>IF(G62="","",ABS(O62-Components!$C$4)/Components!$D$4)</f>
        <v>227.25152774567945</v>
      </c>
      <c r="S62" s="81">
        <f>IF(G62="","",ABS(O62-Components!$C$5)/Components!$D$5)</f>
        <v>15.594502821505412</v>
      </c>
      <c r="T62" s="81">
        <f>IF(G62="","",ABS(O62-Components!$C$6)/Components!$D$6)</f>
        <v>109.10236436371393</v>
      </c>
      <c r="U62" s="81">
        <f>IF(G62="","",ABS(O62-Components!$C$7)/Components!$D$7)</f>
        <v>111.17936574031317</v>
      </c>
      <c r="V62" s="81" t="str">
        <f>IF(G62="","",IF(M62="OK","NONE",INDEX({"S1","S2","W1","W2","N1","N2"},MATCH(MIN(P62:U62),P62:U62,0))))</f>
        <v>S2</v>
      </c>
      <c r="W62" s="117">
        <f t="shared" si="6"/>
        <v>1</v>
      </c>
      <c r="X62" s="107"/>
    </row>
    <row r="63" spans="1:24">
      <c r="A63" s="115">
        <v>61</v>
      </c>
      <c r="B63" s="116">
        <v>3</v>
      </c>
      <c r="C63" s="81" t="s">
        <v>128</v>
      </c>
      <c r="D63" s="111" t="s">
        <v>240</v>
      </c>
      <c r="E63" s="81" t="s">
        <v>106</v>
      </c>
      <c r="F63" s="52">
        <v>5.4</v>
      </c>
      <c r="G63" s="52">
        <f t="shared" si="0"/>
        <v>6.37</v>
      </c>
      <c r="H63" s="110"/>
      <c r="I63" s="81">
        <f>VLOOKUP(C63,Recipes!$A$2:$N$4,10,FALSE())</f>
        <v>10.940000000000001</v>
      </c>
      <c r="J63" s="81">
        <f>VLOOKUP(C63,Recipes!$A$2:$N$4,12,FALSE())</f>
        <v>5.2703573566378441E-2</v>
      </c>
      <c r="K63" s="81">
        <f t="shared" si="1"/>
        <v>10.755537492517677</v>
      </c>
      <c r="L63" s="81">
        <f t="shared" si="2"/>
        <v>11.124462507482326</v>
      </c>
      <c r="M63" s="81" t="str">
        <f t="shared" si="4"/>
        <v>NG</v>
      </c>
      <c r="N63" s="117">
        <f t="shared" si="3"/>
        <v>1</v>
      </c>
      <c r="O63" s="81">
        <f t="shared" si="5"/>
        <v>4.5700000000000012</v>
      </c>
      <c r="P63" s="81">
        <f>IF(G63="","",ABS(O63-Components!$C$2)/Components!$D$2)</f>
        <v>274.87995785082927</v>
      </c>
      <c r="Q63" s="81">
        <f>IF(G63="","",ABS(O63-Components!$C$3)/Components!$D$3)</f>
        <v>38.705324878020207</v>
      </c>
      <c r="R63" s="81">
        <f>IF(G63="","",ABS(O63-Components!$C$4)/Components!$D$4)</f>
        <v>255.86662043138929</v>
      </c>
      <c r="S63" s="81">
        <f>IF(G63="","",ABS(O63-Components!$C$5)/Components!$D$5)</f>
        <v>0.29123859259167773</v>
      </c>
      <c r="T63" s="81">
        <f>IF(G63="","",ABS(O63-Components!$C$6)/Components!$D$6)</f>
        <v>123.5801745192438</v>
      </c>
      <c r="U63" s="81">
        <f>IF(G63="","",ABS(O63-Components!$C$7)/Components!$D$7)</f>
        <v>127.08675084683223</v>
      </c>
      <c r="V63" s="81" t="str">
        <f>IF(G63="","",IF(M63="OK","NONE",INDEX({"S1","S2","W1","W2","N1","N2"},MATCH(MIN(P63:U63),P63:U63,0))))</f>
        <v>W2</v>
      </c>
      <c r="W63" s="117">
        <f t="shared" si="6"/>
        <v>1</v>
      </c>
      <c r="X63" s="107"/>
    </row>
    <row r="64" spans="1:24">
      <c r="A64" s="115">
        <v>62</v>
      </c>
      <c r="B64" s="116">
        <v>3</v>
      </c>
      <c r="C64" s="81" t="s">
        <v>128</v>
      </c>
      <c r="D64" s="111" t="s">
        <v>240</v>
      </c>
      <c r="E64" s="81" t="s">
        <v>106</v>
      </c>
      <c r="F64" s="52">
        <v>5.45</v>
      </c>
      <c r="G64" s="52">
        <f t="shared" si="0"/>
        <v>6.42</v>
      </c>
      <c r="H64" s="110"/>
      <c r="I64" s="81">
        <f>VLOOKUP(C64,Recipes!$A$2:$N$4,10,FALSE())</f>
        <v>10.940000000000001</v>
      </c>
      <c r="J64" s="81">
        <f>VLOOKUP(C64,Recipes!$A$2:$N$4,12,FALSE())</f>
        <v>5.2703573566378441E-2</v>
      </c>
      <c r="K64" s="81">
        <f t="shared" si="1"/>
        <v>10.755537492517677</v>
      </c>
      <c r="L64" s="81">
        <f t="shared" si="2"/>
        <v>11.124462507482326</v>
      </c>
      <c r="M64" s="81" t="str">
        <f t="shared" si="4"/>
        <v>NG</v>
      </c>
      <c r="N64" s="117">
        <f t="shared" si="3"/>
        <v>1</v>
      </c>
      <c r="O64" s="81">
        <f t="shared" si="5"/>
        <v>4.5200000000000014</v>
      </c>
      <c r="P64" s="81">
        <f>IF(G64="","",ABS(O64-Components!$C$2)/Components!$D$2)</f>
        <v>267.31445442374229</v>
      </c>
      <c r="Q64" s="81">
        <f>IF(G64="","",ABS(O64-Components!$C$3)/Components!$D$3)</f>
        <v>35.081230788317967</v>
      </c>
      <c r="R64" s="81">
        <f>IF(G64="","",ABS(O64-Components!$C$4)/Components!$D$4)</f>
        <v>252.28973384567556</v>
      </c>
      <c r="S64" s="81">
        <f>IF(G64="","",ABS(O64-Components!$C$5)/Components!$D$5)</f>
        <v>1.694479084170454</v>
      </c>
      <c r="T64" s="81">
        <f>IF(G64="","",ABS(O64-Components!$C$6)/Components!$D$6)</f>
        <v>121.77044824980257</v>
      </c>
      <c r="U64" s="81">
        <f>IF(G64="","",ABS(O64-Components!$C$7)/Components!$D$7)</f>
        <v>125.09832770851735</v>
      </c>
      <c r="V64" s="81" t="str">
        <f>IF(G64="","",IF(M64="OK","NONE",INDEX({"S1","S2","W1","W2","N1","N2"},MATCH(MIN(P64:U64),P64:U64,0))))</f>
        <v>W2</v>
      </c>
      <c r="W64" s="117">
        <f t="shared" si="6"/>
        <v>1</v>
      </c>
      <c r="X64" s="107"/>
    </row>
    <row r="65" spans="1:24">
      <c r="A65" s="115">
        <v>63</v>
      </c>
      <c r="B65" s="116">
        <v>3</v>
      </c>
      <c r="C65" s="81" t="s">
        <v>128</v>
      </c>
      <c r="D65" s="111" t="s">
        <v>240</v>
      </c>
      <c r="E65" s="81" t="s">
        <v>106</v>
      </c>
      <c r="F65" s="52">
        <v>5.42</v>
      </c>
      <c r="G65" s="52">
        <f t="shared" si="0"/>
        <v>6.39</v>
      </c>
      <c r="H65" s="110"/>
      <c r="I65" s="81">
        <f>VLOOKUP(C65,Recipes!$A$2:$N$4,10,FALSE())</f>
        <v>10.940000000000001</v>
      </c>
      <c r="J65" s="81">
        <f>VLOOKUP(C65,Recipes!$A$2:$N$4,12,FALSE())</f>
        <v>5.2703573566378441E-2</v>
      </c>
      <c r="K65" s="81">
        <f t="shared" si="1"/>
        <v>10.755537492517677</v>
      </c>
      <c r="L65" s="81">
        <f t="shared" si="2"/>
        <v>11.124462507482326</v>
      </c>
      <c r="M65" s="81" t="str">
        <f t="shared" si="4"/>
        <v>NG</v>
      </c>
      <c r="N65" s="117">
        <f t="shared" si="3"/>
        <v>1</v>
      </c>
      <c r="O65" s="81">
        <f t="shared" si="5"/>
        <v>4.5500000000000016</v>
      </c>
      <c r="P65" s="81">
        <f>IF(G65="","",ABS(O65-Components!$C$2)/Components!$D$2)</f>
        <v>271.85375647999456</v>
      </c>
      <c r="Q65" s="81">
        <f>IF(G65="","",ABS(O65-Components!$C$3)/Components!$D$3)</f>
        <v>37.255687242139338</v>
      </c>
      <c r="R65" s="81">
        <f>IF(G65="","",ABS(O65-Components!$C$4)/Components!$D$4)</f>
        <v>254.43586579710382</v>
      </c>
      <c r="S65" s="81">
        <f>IF(G65="","",ABS(O65-Components!$C$5)/Components!$D$5)</f>
        <v>0.50304847811316089</v>
      </c>
      <c r="T65" s="81">
        <f>IF(G65="","",ABS(O65-Components!$C$6)/Components!$D$6)</f>
        <v>122.85628401146732</v>
      </c>
      <c r="U65" s="81">
        <f>IF(G65="","",ABS(O65-Components!$C$7)/Components!$D$7)</f>
        <v>126.29138159150629</v>
      </c>
      <c r="V65" s="81" t="str">
        <f>IF(G65="","",IF(M65="OK","NONE",INDEX({"S1","S2","W1","W2","N1","N2"},MATCH(MIN(P65:U65),P65:U65,0))))</f>
        <v>W2</v>
      </c>
      <c r="W65" s="117">
        <f t="shared" si="6"/>
        <v>1</v>
      </c>
      <c r="X65" s="107"/>
    </row>
    <row r="66" spans="1:24">
      <c r="A66" s="115">
        <v>64</v>
      </c>
      <c r="B66" s="116">
        <v>3</v>
      </c>
      <c r="C66" s="81" t="s">
        <v>128</v>
      </c>
      <c r="D66" s="111" t="s">
        <v>240</v>
      </c>
      <c r="E66" s="81" t="s">
        <v>106</v>
      </c>
      <c r="F66" s="52">
        <v>5.42</v>
      </c>
      <c r="G66" s="52">
        <f t="shared" si="0"/>
        <v>6.39</v>
      </c>
      <c r="H66" s="110"/>
      <c r="I66" s="81">
        <f>VLOOKUP(C66,Recipes!$A$2:$N$4,10,FALSE())</f>
        <v>10.940000000000001</v>
      </c>
      <c r="J66" s="81">
        <f>VLOOKUP(C66,Recipes!$A$2:$N$4,12,FALSE())</f>
        <v>5.2703573566378441E-2</v>
      </c>
      <c r="K66" s="81">
        <f t="shared" si="1"/>
        <v>10.755537492517677</v>
      </c>
      <c r="L66" s="81">
        <f t="shared" si="2"/>
        <v>11.124462507482326</v>
      </c>
      <c r="M66" s="81" t="str">
        <f t="shared" si="4"/>
        <v>NG</v>
      </c>
      <c r="N66" s="117">
        <f t="shared" si="3"/>
        <v>1</v>
      </c>
      <c r="O66" s="81">
        <f t="shared" si="5"/>
        <v>4.5500000000000016</v>
      </c>
      <c r="P66" s="81">
        <f>IF(G66="","",ABS(O66-Components!$C$2)/Components!$D$2)</f>
        <v>271.85375647999456</v>
      </c>
      <c r="Q66" s="81">
        <f>IF(G66="","",ABS(O66-Components!$C$3)/Components!$D$3)</f>
        <v>37.255687242139338</v>
      </c>
      <c r="R66" s="81">
        <f>IF(G66="","",ABS(O66-Components!$C$4)/Components!$D$4)</f>
        <v>254.43586579710382</v>
      </c>
      <c r="S66" s="81">
        <f>IF(G66="","",ABS(O66-Components!$C$5)/Components!$D$5)</f>
        <v>0.50304847811316089</v>
      </c>
      <c r="T66" s="81">
        <f>IF(G66="","",ABS(O66-Components!$C$6)/Components!$D$6)</f>
        <v>122.85628401146732</v>
      </c>
      <c r="U66" s="81">
        <f>IF(G66="","",ABS(O66-Components!$C$7)/Components!$D$7)</f>
        <v>126.29138159150629</v>
      </c>
      <c r="V66" s="81" t="str">
        <f>IF(G66="","",IF(M66="OK","NONE",INDEX({"S1","S2","W1","W2","N1","N2"},MATCH(MIN(P66:U66),P66:U66,0))))</f>
        <v>W2</v>
      </c>
      <c r="W66" s="117">
        <f t="shared" si="6"/>
        <v>1</v>
      </c>
      <c r="X66" s="107"/>
    </row>
    <row r="67" spans="1:24">
      <c r="A67" s="115">
        <v>65</v>
      </c>
      <c r="B67" s="116">
        <v>3</v>
      </c>
      <c r="C67" s="81" t="s">
        <v>128</v>
      </c>
      <c r="D67" s="111" t="s">
        <v>240</v>
      </c>
      <c r="E67" s="81" t="s">
        <v>106</v>
      </c>
      <c r="F67" s="52">
        <v>5.42</v>
      </c>
      <c r="G67" s="52">
        <f t="shared" ref="G67:G130" si="7">0.97+F67</f>
        <v>6.39</v>
      </c>
      <c r="H67" s="110"/>
      <c r="I67" s="81">
        <f>VLOOKUP(C67,Recipes!$A$2:$N$4,10,FALSE())</f>
        <v>10.940000000000001</v>
      </c>
      <c r="J67" s="81">
        <f>VLOOKUP(C67,Recipes!$A$2:$N$4,12,FALSE())</f>
        <v>5.2703573566378441E-2</v>
      </c>
      <c r="K67" s="81">
        <f t="shared" ref="K67:K130" si="8">I67-3.5*J67</f>
        <v>10.755537492517677</v>
      </c>
      <c r="L67" s="81">
        <f t="shared" ref="L67:L130" si="9">I67+3.5*J67</f>
        <v>11.124462507482326</v>
      </c>
      <c r="M67" s="81" t="str">
        <f t="shared" si="4"/>
        <v>NG</v>
      </c>
      <c r="N67" s="117">
        <f t="shared" ref="N67:N130" si="10">IF(M67="","",IF(M67=D67,1,0))</f>
        <v>1</v>
      </c>
      <c r="O67" s="81">
        <f t="shared" si="5"/>
        <v>4.5500000000000016</v>
      </c>
      <c r="P67" s="81">
        <f>IF(G67="","",ABS(O67-Components!$C$2)/Components!$D$2)</f>
        <v>271.85375647999456</v>
      </c>
      <c r="Q67" s="81">
        <f>IF(G67="","",ABS(O67-Components!$C$3)/Components!$D$3)</f>
        <v>37.255687242139338</v>
      </c>
      <c r="R67" s="81">
        <f>IF(G67="","",ABS(O67-Components!$C$4)/Components!$D$4)</f>
        <v>254.43586579710382</v>
      </c>
      <c r="S67" s="81">
        <f>IF(G67="","",ABS(O67-Components!$C$5)/Components!$D$5)</f>
        <v>0.50304847811316089</v>
      </c>
      <c r="T67" s="81">
        <f>IF(G67="","",ABS(O67-Components!$C$6)/Components!$D$6)</f>
        <v>122.85628401146732</v>
      </c>
      <c r="U67" s="81">
        <f>IF(G67="","",ABS(O67-Components!$C$7)/Components!$D$7)</f>
        <v>126.29138159150629</v>
      </c>
      <c r="V67" s="81" t="str">
        <f>IF(G67="","",IF(M67="OK","NONE",INDEX({"S1","S2","W1","W2","N1","N2"},MATCH(MIN(P67:U67),P67:U67,0))))</f>
        <v>W2</v>
      </c>
      <c r="W67" s="117">
        <f t="shared" si="6"/>
        <v>1</v>
      </c>
      <c r="X67" s="107"/>
    </row>
    <row r="68" spans="1:24">
      <c r="A68" s="115">
        <v>66</v>
      </c>
      <c r="B68" s="116">
        <v>3</v>
      </c>
      <c r="C68" s="81" t="s">
        <v>128</v>
      </c>
      <c r="D68" s="111" t="s">
        <v>240</v>
      </c>
      <c r="E68" s="81" t="s">
        <v>106</v>
      </c>
      <c r="F68" s="52">
        <v>5.42</v>
      </c>
      <c r="G68" s="52">
        <f t="shared" si="7"/>
        <v>6.39</v>
      </c>
      <c r="H68" s="110"/>
      <c r="I68" s="81">
        <f>VLOOKUP(C68,Recipes!$A$2:$N$4,10,FALSE())</f>
        <v>10.940000000000001</v>
      </c>
      <c r="J68" s="81">
        <f>VLOOKUP(C68,Recipes!$A$2:$N$4,12,FALSE())</f>
        <v>5.2703573566378441E-2</v>
      </c>
      <c r="K68" s="81">
        <f t="shared" si="8"/>
        <v>10.755537492517677</v>
      </c>
      <c r="L68" s="81">
        <f t="shared" si="9"/>
        <v>11.124462507482326</v>
      </c>
      <c r="M68" s="81" t="str">
        <f t="shared" ref="M68:M131" si="11">IF(G68="","",IF(AND(G68&gt;=K68,G68&lt;=L68),"OK","NG"))</f>
        <v>NG</v>
      </c>
      <c r="N68" s="117">
        <f t="shared" si="10"/>
        <v>1</v>
      </c>
      <c r="O68" s="81">
        <f t="shared" ref="O68:O131" si="12">IF(G68="","",I68-G68)</f>
        <v>4.5500000000000016</v>
      </c>
      <c r="P68" s="81">
        <f>IF(G68="","",ABS(O68-Components!$C$2)/Components!$D$2)</f>
        <v>271.85375647999456</v>
      </c>
      <c r="Q68" s="81">
        <f>IF(G68="","",ABS(O68-Components!$C$3)/Components!$D$3)</f>
        <v>37.255687242139338</v>
      </c>
      <c r="R68" s="81">
        <f>IF(G68="","",ABS(O68-Components!$C$4)/Components!$D$4)</f>
        <v>254.43586579710382</v>
      </c>
      <c r="S68" s="81">
        <f>IF(G68="","",ABS(O68-Components!$C$5)/Components!$D$5)</f>
        <v>0.50304847811316089</v>
      </c>
      <c r="T68" s="81">
        <f>IF(G68="","",ABS(O68-Components!$C$6)/Components!$D$6)</f>
        <v>122.85628401146732</v>
      </c>
      <c r="U68" s="81">
        <f>IF(G68="","",ABS(O68-Components!$C$7)/Components!$D$7)</f>
        <v>126.29138159150629</v>
      </c>
      <c r="V68" s="81" t="str">
        <f>IF(G68="","",IF(M68="OK","NONE",INDEX({"S1","S2","W1","W2","N1","N2"},MATCH(MIN(P68:U68),P68:U68,0))))</f>
        <v>W2</v>
      </c>
      <c r="W68" s="117">
        <f t="shared" ref="W68:W131" si="13">IF(G68="","",IF(V68=E68,1,0))</f>
        <v>1</v>
      </c>
      <c r="X68" s="107"/>
    </row>
    <row r="69" spans="1:24">
      <c r="A69" s="115">
        <v>67</v>
      </c>
      <c r="B69" s="116">
        <v>3</v>
      </c>
      <c r="C69" s="81" t="s">
        <v>128</v>
      </c>
      <c r="D69" s="111" t="s">
        <v>240</v>
      </c>
      <c r="E69" s="81" t="s">
        <v>106</v>
      </c>
      <c r="F69" s="52">
        <v>5.45</v>
      </c>
      <c r="G69" s="52">
        <f t="shared" si="7"/>
        <v>6.42</v>
      </c>
      <c r="H69" s="110"/>
      <c r="I69" s="81">
        <f>VLOOKUP(C69,Recipes!$A$2:$N$4,10,FALSE())</f>
        <v>10.940000000000001</v>
      </c>
      <c r="J69" s="81">
        <f>VLOOKUP(C69,Recipes!$A$2:$N$4,12,FALSE())</f>
        <v>5.2703573566378441E-2</v>
      </c>
      <c r="K69" s="81">
        <f t="shared" si="8"/>
        <v>10.755537492517677</v>
      </c>
      <c r="L69" s="81">
        <f t="shared" si="9"/>
        <v>11.124462507482326</v>
      </c>
      <c r="M69" s="81" t="str">
        <f t="shared" si="11"/>
        <v>NG</v>
      </c>
      <c r="N69" s="117">
        <f t="shared" si="10"/>
        <v>1</v>
      </c>
      <c r="O69" s="81">
        <f t="shared" si="12"/>
        <v>4.5200000000000014</v>
      </c>
      <c r="P69" s="81">
        <f>IF(G69="","",ABS(O69-Components!$C$2)/Components!$D$2)</f>
        <v>267.31445442374229</v>
      </c>
      <c r="Q69" s="81">
        <f>IF(G69="","",ABS(O69-Components!$C$3)/Components!$D$3)</f>
        <v>35.081230788317967</v>
      </c>
      <c r="R69" s="81">
        <f>IF(G69="","",ABS(O69-Components!$C$4)/Components!$D$4)</f>
        <v>252.28973384567556</v>
      </c>
      <c r="S69" s="81">
        <f>IF(G69="","",ABS(O69-Components!$C$5)/Components!$D$5)</f>
        <v>1.694479084170454</v>
      </c>
      <c r="T69" s="81">
        <f>IF(G69="","",ABS(O69-Components!$C$6)/Components!$D$6)</f>
        <v>121.77044824980257</v>
      </c>
      <c r="U69" s="81">
        <f>IF(G69="","",ABS(O69-Components!$C$7)/Components!$D$7)</f>
        <v>125.09832770851735</v>
      </c>
      <c r="V69" s="81" t="str">
        <f>IF(G69="","",IF(M69="OK","NONE",INDEX({"S1","S2","W1","W2","N1","N2"},MATCH(MIN(P69:U69),P69:U69,0))))</f>
        <v>W2</v>
      </c>
      <c r="W69" s="117">
        <f t="shared" si="13"/>
        <v>1</v>
      </c>
      <c r="X69" s="107"/>
    </row>
    <row r="70" spans="1:24">
      <c r="A70" s="115">
        <v>68</v>
      </c>
      <c r="B70" s="116">
        <v>3</v>
      </c>
      <c r="C70" s="81" t="s">
        <v>128</v>
      </c>
      <c r="D70" s="111" t="s">
        <v>240</v>
      </c>
      <c r="E70" s="81" t="s">
        <v>106</v>
      </c>
      <c r="F70" s="52">
        <v>5.41</v>
      </c>
      <c r="G70" s="52">
        <f t="shared" si="7"/>
        <v>6.38</v>
      </c>
      <c r="H70" s="110"/>
      <c r="I70" s="81">
        <f>VLOOKUP(C70,Recipes!$A$2:$N$4,10,FALSE())</f>
        <v>10.940000000000001</v>
      </c>
      <c r="J70" s="81">
        <f>VLOOKUP(C70,Recipes!$A$2:$N$4,12,FALSE())</f>
        <v>5.2703573566378441E-2</v>
      </c>
      <c r="K70" s="81">
        <f t="shared" si="8"/>
        <v>10.755537492517677</v>
      </c>
      <c r="L70" s="81">
        <f t="shared" si="9"/>
        <v>11.124462507482326</v>
      </c>
      <c r="M70" s="81" t="str">
        <f t="shared" si="11"/>
        <v>NG</v>
      </c>
      <c r="N70" s="117">
        <f t="shared" si="10"/>
        <v>1</v>
      </c>
      <c r="O70" s="81">
        <f t="shared" si="12"/>
        <v>4.5600000000000014</v>
      </c>
      <c r="P70" s="81">
        <f>IF(G70="","",ABS(O70-Components!$C$2)/Components!$D$2)</f>
        <v>273.36685716541194</v>
      </c>
      <c r="Q70" s="81">
        <f>IF(G70="","",ABS(O70-Components!$C$3)/Components!$D$3)</f>
        <v>37.980506060079776</v>
      </c>
      <c r="R70" s="81">
        <f>IF(G70="","",ABS(O70-Components!$C$4)/Components!$D$4)</f>
        <v>255.15124311424654</v>
      </c>
      <c r="S70" s="81">
        <f>IF(G70="","",ABS(O70-Components!$C$5)/Components!$D$5)</f>
        <v>0.10590494276074157</v>
      </c>
      <c r="T70" s="81">
        <f>IF(G70="","",ABS(O70-Components!$C$6)/Components!$D$6)</f>
        <v>123.21822926535556</v>
      </c>
      <c r="U70" s="81">
        <f>IF(G70="","",ABS(O70-Components!$C$7)/Components!$D$7)</f>
        <v>126.68906621916926</v>
      </c>
      <c r="V70" s="81" t="str">
        <f>IF(G70="","",IF(M70="OK","NONE",INDEX({"S1","S2","W1","W2","N1","N2"},MATCH(MIN(P70:U70),P70:U70,0))))</f>
        <v>W2</v>
      </c>
      <c r="W70" s="117">
        <f t="shared" si="13"/>
        <v>1</v>
      </c>
      <c r="X70" s="107"/>
    </row>
    <row r="71" spans="1:24">
      <c r="A71" s="115">
        <v>69</v>
      </c>
      <c r="B71" s="116">
        <v>3</v>
      </c>
      <c r="C71" s="81" t="s">
        <v>128</v>
      </c>
      <c r="D71" s="111" t="s">
        <v>240</v>
      </c>
      <c r="E71" s="81" t="s">
        <v>106</v>
      </c>
      <c r="F71" s="52">
        <v>5.38</v>
      </c>
      <c r="G71" s="52">
        <f t="shared" si="7"/>
        <v>6.35</v>
      </c>
      <c r="H71" s="110"/>
      <c r="I71" s="81">
        <f>VLOOKUP(C71,Recipes!$A$2:$N$4,10,FALSE())</f>
        <v>10.940000000000001</v>
      </c>
      <c r="J71" s="81">
        <f>VLOOKUP(C71,Recipes!$A$2:$N$4,12,FALSE())</f>
        <v>5.2703573566378441E-2</v>
      </c>
      <c r="K71" s="81">
        <f t="shared" si="8"/>
        <v>10.755537492517677</v>
      </c>
      <c r="L71" s="81">
        <f t="shared" si="9"/>
        <v>11.124462507482326</v>
      </c>
      <c r="M71" s="81" t="str">
        <f t="shared" si="11"/>
        <v>NG</v>
      </c>
      <c r="N71" s="117">
        <f t="shared" si="10"/>
        <v>1</v>
      </c>
      <c r="O71" s="81">
        <f t="shared" si="12"/>
        <v>4.5900000000000016</v>
      </c>
      <c r="P71" s="81">
        <f>IF(G71="","",ABS(O71-Components!$C$2)/Components!$D$2)</f>
        <v>277.90615922166415</v>
      </c>
      <c r="Q71" s="81">
        <f>IF(G71="","",ABS(O71-Components!$C$3)/Components!$D$3)</f>
        <v>40.154962513901147</v>
      </c>
      <c r="R71" s="81">
        <f>IF(G71="","",ABS(O71-Components!$C$4)/Components!$D$4)</f>
        <v>257.29737506567483</v>
      </c>
      <c r="S71" s="81">
        <f>IF(G71="","",ABS(O71-Components!$C$5)/Components!$D$5)</f>
        <v>1.0855256632965518</v>
      </c>
      <c r="T71" s="81">
        <f>IF(G71="","",ABS(O71-Components!$C$6)/Components!$D$6)</f>
        <v>124.3040650270203</v>
      </c>
      <c r="U71" s="81">
        <f>IF(G71="","",ABS(O71-Components!$C$7)/Components!$D$7)</f>
        <v>127.8821201021582</v>
      </c>
      <c r="V71" s="81" t="str">
        <f>IF(G71="","",IF(M71="OK","NONE",INDEX({"S1","S2","W1","W2","N1","N2"},MATCH(MIN(P71:U71),P71:U71,0))))</f>
        <v>W2</v>
      </c>
      <c r="W71" s="117">
        <f t="shared" si="13"/>
        <v>1</v>
      </c>
      <c r="X71" s="107"/>
    </row>
    <row r="72" spans="1:24">
      <c r="A72" s="115">
        <v>70</v>
      </c>
      <c r="B72" s="116">
        <v>3</v>
      </c>
      <c r="C72" s="81" t="s">
        <v>128</v>
      </c>
      <c r="D72" s="111" t="s">
        <v>240</v>
      </c>
      <c r="E72" s="81" t="s">
        <v>106</v>
      </c>
      <c r="F72" s="52">
        <v>5.37</v>
      </c>
      <c r="G72" s="52">
        <f t="shared" si="7"/>
        <v>6.34</v>
      </c>
      <c r="H72" s="110"/>
      <c r="I72" s="81">
        <f>VLOOKUP(C72,Recipes!$A$2:$N$4,10,FALSE())</f>
        <v>10.940000000000001</v>
      </c>
      <c r="J72" s="81">
        <f>VLOOKUP(C72,Recipes!$A$2:$N$4,12,FALSE())</f>
        <v>5.2703573566378441E-2</v>
      </c>
      <c r="K72" s="81">
        <f t="shared" si="8"/>
        <v>10.755537492517677</v>
      </c>
      <c r="L72" s="81">
        <f t="shared" si="9"/>
        <v>11.124462507482326</v>
      </c>
      <c r="M72" s="81" t="str">
        <f t="shared" si="11"/>
        <v>NG</v>
      </c>
      <c r="N72" s="117">
        <f t="shared" si="10"/>
        <v>1</v>
      </c>
      <c r="O72" s="81">
        <f t="shared" si="12"/>
        <v>4.6000000000000014</v>
      </c>
      <c r="P72" s="81">
        <f>IF(G72="","",ABS(O72-Components!$C$2)/Components!$D$2)</f>
        <v>279.41925990708154</v>
      </c>
      <c r="Q72" s="81">
        <f>IF(G72="","",ABS(O72-Components!$C$3)/Components!$D$3)</f>
        <v>40.879781331841578</v>
      </c>
      <c r="R72" s="81">
        <f>IF(G72="","",ABS(O72-Components!$C$4)/Components!$D$4)</f>
        <v>258.01275238281755</v>
      </c>
      <c r="S72" s="81">
        <f>IF(G72="","",ABS(O72-Components!$C$5)/Components!$D$5)</f>
        <v>1.4826691986489711</v>
      </c>
      <c r="T72" s="81">
        <f>IF(G72="","",ABS(O72-Components!$C$6)/Components!$D$6)</f>
        <v>124.66601028090855</v>
      </c>
      <c r="U72" s="81">
        <f>IF(G72="","",ABS(O72-Components!$C$7)/Components!$D$7)</f>
        <v>128.27980472982117</v>
      </c>
      <c r="V72" s="81" t="str">
        <f>IF(G72="","",IF(M72="OK","NONE",INDEX({"S1","S2","W1","W2","N1","N2"},MATCH(MIN(P72:U72),P72:U72,0))))</f>
        <v>W2</v>
      </c>
      <c r="W72" s="117">
        <f t="shared" si="13"/>
        <v>1</v>
      </c>
      <c r="X72" s="107"/>
    </row>
    <row r="73" spans="1:24">
      <c r="A73" s="115">
        <v>71</v>
      </c>
      <c r="B73" s="116">
        <v>3</v>
      </c>
      <c r="C73" s="81" t="s">
        <v>128</v>
      </c>
      <c r="D73" s="111" t="s">
        <v>240</v>
      </c>
      <c r="E73" s="81" t="s">
        <v>106</v>
      </c>
      <c r="F73" s="52">
        <v>5.36</v>
      </c>
      <c r="G73" s="52">
        <f t="shared" si="7"/>
        <v>6.33</v>
      </c>
      <c r="H73" s="110"/>
      <c r="I73" s="81">
        <f>VLOOKUP(C73,Recipes!$A$2:$N$4,10,FALSE())</f>
        <v>10.940000000000001</v>
      </c>
      <c r="J73" s="81">
        <f>VLOOKUP(C73,Recipes!$A$2:$N$4,12,FALSE())</f>
        <v>5.2703573566378441E-2</v>
      </c>
      <c r="K73" s="81">
        <f t="shared" si="8"/>
        <v>10.755537492517677</v>
      </c>
      <c r="L73" s="81">
        <f t="shared" si="9"/>
        <v>11.124462507482326</v>
      </c>
      <c r="M73" s="81" t="str">
        <f t="shared" si="11"/>
        <v>NG</v>
      </c>
      <c r="N73" s="117">
        <f t="shared" si="10"/>
        <v>1</v>
      </c>
      <c r="O73" s="81">
        <f t="shared" si="12"/>
        <v>4.6100000000000012</v>
      </c>
      <c r="P73" s="81">
        <f>IF(G73="","",ABS(O73-Components!$C$2)/Components!$D$2)</f>
        <v>280.93236059249892</v>
      </c>
      <c r="Q73" s="81">
        <f>IF(G73="","",ABS(O73-Components!$C$3)/Components!$D$3)</f>
        <v>41.604600149782016</v>
      </c>
      <c r="R73" s="81">
        <f>IF(G73="","",ABS(O73-Components!$C$4)/Components!$D$4)</f>
        <v>258.72812969996028</v>
      </c>
      <c r="S73" s="81">
        <f>IF(G73="","",ABS(O73-Components!$C$5)/Components!$D$5)</f>
        <v>1.8798127340013904</v>
      </c>
      <c r="T73" s="81">
        <f>IF(G73="","",ABS(O73-Components!$C$6)/Components!$D$6)</f>
        <v>125.02795553479679</v>
      </c>
      <c r="U73" s="81">
        <f>IF(G73="","",ABS(O73-Components!$C$7)/Components!$D$7)</f>
        <v>128.67748935748415</v>
      </c>
      <c r="V73" s="81" t="str">
        <f>IF(G73="","",IF(M73="OK","NONE",INDEX({"S1","S2","W1","W2","N1","N2"},MATCH(MIN(P73:U73),P73:U73,0))))</f>
        <v>W2</v>
      </c>
      <c r="W73" s="117">
        <f t="shared" si="13"/>
        <v>1</v>
      </c>
      <c r="X73" s="107"/>
    </row>
    <row r="74" spans="1:24">
      <c r="A74" s="115">
        <v>72</v>
      </c>
      <c r="B74" s="116">
        <v>3</v>
      </c>
      <c r="C74" s="81" t="s">
        <v>128</v>
      </c>
      <c r="D74" s="111" t="s">
        <v>240</v>
      </c>
      <c r="E74" s="81" t="s">
        <v>106</v>
      </c>
      <c r="F74" s="52">
        <v>5.41</v>
      </c>
      <c r="G74" s="52">
        <f t="shared" si="7"/>
        <v>6.38</v>
      </c>
      <c r="H74" s="110"/>
      <c r="I74" s="81">
        <f>VLOOKUP(C74,Recipes!$A$2:$N$4,10,FALSE())</f>
        <v>10.940000000000001</v>
      </c>
      <c r="J74" s="81">
        <f>VLOOKUP(C74,Recipes!$A$2:$N$4,12,FALSE())</f>
        <v>5.2703573566378441E-2</v>
      </c>
      <c r="K74" s="81">
        <f t="shared" si="8"/>
        <v>10.755537492517677</v>
      </c>
      <c r="L74" s="81">
        <f t="shared" si="9"/>
        <v>11.124462507482326</v>
      </c>
      <c r="M74" s="81" t="str">
        <f t="shared" si="11"/>
        <v>NG</v>
      </c>
      <c r="N74" s="117">
        <f t="shared" si="10"/>
        <v>1</v>
      </c>
      <c r="O74" s="81">
        <f t="shared" si="12"/>
        <v>4.5600000000000014</v>
      </c>
      <c r="P74" s="81">
        <f>IF(G74="","",ABS(O74-Components!$C$2)/Components!$D$2)</f>
        <v>273.36685716541194</v>
      </c>
      <c r="Q74" s="81">
        <f>IF(G74="","",ABS(O74-Components!$C$3)/Components!$D$3)</f>
        <v>37.980506060079776</v>
      </c>
      <c r="R74" s="81">
        <f>IF(G74="","",ABS(O74-Components!$C$4)/Components!$D$4)</f>
        <v>255.15124311424654</v>
      </c>
      <c r="S74" s="81">
        <f>IF(G74="","",ABS(O74-Components!$C$5)/Components!$D$5)</f>
        <v>0.10590494276074157</v>
      </c>
      <c r="T74" s="81">
        <f>IF(G74="","",ABS(O74-Components!$C$6)/Components!$D$6)</f>
        <v>123.21822926535556</v>
      </c>
      <c r="U74" s="81">
        <f>IF(G74="","",ABS(O74-Components!$C$7)/Components!$D$7)</f>
        <v>126.68906621916926</v>
      </c>
      <c r="V74" s="81" t="str">
        <f>IF(G74="","",IF(M74="OK","NONE",INDEX({"S1","S2","W1","W2","N1","N2"},MATCH(MIN(P74:U74),P74:U74,0))))</f>
        <v>W2</v>
      </c>
      <c r="W74" s="117">
        <f t="shared" si="13"/>
        <v>1</v>
      </c>
      <c r="X74" s="107"/>
    </row>
    <row r="75" spans="1:24">
      <c r="A75" s="115">
        <v>73</v>
      </c>
      <c r="B75" s="116">
        <v>3</v>
      </c>
      <c r="C75" s="81" t="s">
        <v>128</v>
      </c>
      <c r="D75" s="111" t="s">
        <v>240</v>
      </c>
      <c r="E75" s="81" t="s">
        <v>106</v>
      </c>
      <c r="F75" s="52">
        <v>5.37</v>
      </c>
      <c r="G75" s="52">
        <f t="shared" si="7"/>
        <v>6.34</v>
      </c>
      <c r="H75" s="110"/>
      <c r="I75" s="81">
        <f>VLOOKUP(C75,Recipes!$A$2:$N$4,10,FALSE())</f>
        <v>10.940000000000001</v>
      </c>
      <c r="J75" s="81">
        <f>VLOOKUP(C75,Recipes!$A$2:$N$4,12,FALSE())</f>
        <v>5.2703573566378441E-2</v>
      </c>
      <c r="K75" s="81">
        <f t="shared" si="8"/>
        <v>10.755537492517677</v>
      </c>
      <c r="L75" s="81">
        <f t="shared" si="9"/>
        <v>11.124462507482326</v>
      </c>
      <c r="M75" s="81" t="str">
        <f t="shared" si="11"/>
        <v>NG</v>
      </c>
      <c r="N75" s="117">
        <f t="shared" si="10"/>
        <v>1</v>
      </c>
      <c r="O75" s="81">
        <f t="shared" si="12"/>
        <v>4.6000000000000014</v>
      </c>
      <c r="P75" s="81">
        <f>IF(G75="","",ABS(O75-Components!$C$2)/Components!$D$2)</f>
        <v>279.41925990708154</v>
      </c>
      <c r="Q75" s="81">
        <f>IF(G75="","",ABS(O75-Components!$C$3)/Components!$D$3)</f>
        <v>40.879781331841578</v>
      </c>
      <c r="R75" s="81">
        <f>IF(G75="","",ABS(O75-Components!$C$4)/Components!$D$4)</f>
        <v>258.01275238281755</v>
      </c>
      <c r="S75" s="81">
        <f>IF(G75="","",ABS(O75-Components!$C$5)/Components!$D$5)</f>
        <v>1.4826691986489711</v>
      </c>
      <c r="T75" s="81">
        <f>IF(G75="","",ABS(O75-Components!$C$6)/Components!$D$6)</f>
        <v>124.66601028090855</v>
      </c>
      <c r="U75" s="81">
        <f>IF(G75="","",ABS(O75-Components!$C$7)/Components!$D$7)</f>
        <v>128.27980472982117</v>
      </c>
      <c r="V75" s="81" t="str">
        <f>IF(G75="","",IF(M75="OK","NONE",INDEX({"S1","S2","W1","W2","N1","N2"},MATCH(MIN(P75:U75),P75:U75,0))))</f>
        <v>W2</v>
      </c>
      <c r="W75" s="117">
        <f t="shared" si="13"/>
        <v>1</v>
      </c>
      <c r="X75" s="107"/>
    </row>
    <row r="76" spans="1:24">
      <c r="A76" s="115">
        <v>74</v>
      </c>
      <c r="B76" s="116">
        <v>3</v>
      </c>
      <c r="C76" s="81" t="s">
        <v>128</v>
      </c>
      <c r="D76" s="111" t="s">
        <v>240</v>
      </c>
      <c r="E76" s="81" t="s">
        <v>106</v>
      </c>
      <c r="F76" s="52">
        <v>5.36</v>
      </c>
      <c r="G76" s="52">
        <f t="shared" si="7"/>
        <v>6.33</v>
      </c>
      <c r="H76" s="110"/>
      <c r="I76" s="81">
        <f>VLOOKUP(C76,Recipes!$A$2:$N$4,10,FALSE())</f>
        <v>10.940000000000001</v>
      </c>
      <c r="J76" s="81">
        <f>VLOOKUP(C76,Recipes!$A$2:$N$4,12,FALSE())</f>
        <v>5.2703573566378441E-2</v>
      </c>
      <c r="K76" s="81">
        <f t="shared" si="8"/>
        <v>10.755537492517677</v>
      </c>
      <c r="L76" s="81">
        <f t="shared" si="9"/>
        <v>11.124462507482326</v>
      </c>
      <c r="M76" s="81" t="str">
        <f t="shared" si="11"/>
        <v>NG</v>
      </c>
      <c r="N76" s="117">
        <f t="shared" si="10"/>
        <v>1</v>
      </c>
      <c r="O76" s="81">
        <f t="shared" si="12"/>
        <v>4.6100000000000012</v>
      </c>
      <c r="P76" s="81">
        <f>IF(G76="","",ABS(O76-Components!$C$2)/Components!$D$2)</f>
        <v>280.93236059249892</v>
      </c>
      <c r="Q76" s="81">
        <f>IF(G76="","",ABS(O76-Components!$C$3)/Components!$D$3)</f>
        <v>41.604600149782016</v>
      </c>
      <c r="R76" s="81">
        <f>IF(G76="","",ABS(O76-Components!$C$4)/Components!$D$4)</f>
        <v>258.72812969996028</v>
      </c>
      <c r="S76" s="81">
        <f>IF(G76="","",ABS(O76-Components!$C$5)/Components!$D$5)</f>
        <v>1.8798127340013904</v>
      </c>
      <c r="T76" s="81">
        <f>IF(G76="","",ABS(O76-Components!$C$6)/Components!$D$6)</f>
        <v>125.02795553479679</v>
      </c>
      <c r="U76" s="81">
        <f>IF(G76="","",ABS(O76-Components!$C$7)/Components!$D$7)</f>
        <v>128.67748935748415</v>
      </c>
      <c r="V76" s="81" t="str">
        <f>IF(G76="","",IF(M76="OK","NONE",INDEX({"S1","S2","W1","W2","N1","N2"},MATCH(MIN(P76:U76),P76:U76,0))))</f>
        <v>W2</v>
      </c>
      <c r="W76" s="117">
        <f t="shared" si="13"/>
        <v>1</v>
      </c>
      <c r="X76" s="107"/>
    </row>
    <row r="77" spans="1:24">
      <c r="A77" s="115">
        <v>75</v>
      </c>
      <c r="B77" s="116">
        <v>3</v>
      </c>
      <c r="C77" s="81" t="s">
        <v>128</v>
      </c>
      <c r="D77" s="111" t="s">
        <v>240</v>
      </c>
      <c r="E77" s="81" t="s">
        <v>106</v>
      </c>
      <c r="F77" s="52">
        <v>5.38</v>
      </c>
      <c r="G77" s="52">
        <f t="shared" si="7"/>
        <v>6.35</v>
      </c>
      <c r="H77" s="110"/>
      <c r="I77" s="81">
        <f>VLOOKUP(C77,Recipes!$A$2:$N$4,10,FALSE())</f>
        <v>10.940000000000001</v>
      </c>
      <c r="J77" s="81">
        <f>VLOOKUP(C77,Recipes!$A$2:$N$4,12,FALSE())</f>
        <v>5.2703573566378441E-2</v>
      </c>
      <c r="K77" s="81">
        <f t="shared" si="8"/>
        <v>10.755537492517677</v>
      </c>
      <c r="L77" s="81">
        <f t="shared" si="9"/>
        <v>11.124462507482326</v>
      </c>
      <c r="M77" s="81" t="str">
        <f t="shared" si="11"/>
        <v>NG</v>
      </c>
      <c r="N77" s="117">
        <f t="shared" si="10"/>
        <v>1</v>
      </c>
      <c r="O77" s="81">
        <f t="shared" si="12"/>
        <v>4.5900000000000016</v>
      </c>
      <c r="P77" s="81">
        <f>IF(G77="","",ABS(O77-Components!$C$2)/Components!$D$2)</f>
        <v>277.90615922166415</v>
      </c>
      <c r="Q77" s="81">
        <f>IF(G77="","",ABS(O77-Components!$C$3)/Components!$D$3)</f>
        <v>40.154962513901147</v>
      </c>
      <c r="R77" s="81">
        <f>IF(G77="","",ABS(O77-Components!$C$4)/Components!$D$4)</f>
        <v>257.29737506567483</v>
      </c>
      <c r="S77" s="81">
        <f>IF(G77="","",ABS(O77-Components!$C$5)/Components!$D$5)</f>
        <v>1.0855256632965518</v>
      </c>
      <c r="T77" s="81">
        <f>IF(G77="","",ABS(O77-Components!$C$6)/Components!$D$6)</f>
        <v>124.3040650270203</v>
      </c>
      <c r="U77" s="81">
        <f>IF(G77="","",ABS(O77-Components!$C$7)/Components!$D$7)</f>
        <v>127.8821201021582</v>
      </c>
      <c r="V77" s="81" t="str">
        <f>IF(G77="","",IF(M77="OK","NONE",INDEX({"S1","S2","W1","W2","N1","N2"},MATCH(MIN(P77:U77),P77:U77,0))))</f>
        <v>W2</v>
      </c>
      <c r="W77" s="117">
        <f t="shared" si="13"/>
        <v>1</v>
      </c>
      <c r="X77" s="107"/>
    </row>
    <row r="78" spans="1:24">
      <c r="A78" s="115">
        <v>76</v>
      </c>
      <c r="B78" s="116">
        <v>3</v>
      </c>
      <c r="C78" s="81" t="s">
        <v>128</v>
      </c>
      <c r="D78" s="111" t="s">
        <v>240</v>
      </c>
      <c r="E78" s="81" t="s">
        <v>106</v>
      </c>
      <c r="F78" s="52">
        <v>5.38</v>
      </c>
      <c r="G78" s="52">
        <f t="shared" si="7"/>
        <v>6.35</v>
      </c>
      <c r="H78" s="110"/>
      <c r="I78" s="81">
        <f>VLOOKUP(C78,Recipes!$A$2:$N$4,10,FALSE())</f>
        <v>10.940000000000001</v>
      </c>
      <c r="J78" s="81">
        <f>VLOOKUP(C78,Recipes!$A$2:$N$4,12,FALSE())</f>
        <v>5.2703573566378441E-2</v>
      </c>
      <c r="K78" s="81">
        <f t="shared" si="8"/>
        <v>10.755537492517677</v>
      </c>
      <c r="L78" s="81">
        <f t="shared" si="9"/>
        <v>11.124462507482326</v>
      </c>
      <c r="M78" s="81" t="str">
        <f t="shared" si="11"/>
        <v>NG</v>
      </c>
      <c r="N78" s="117">
        <f t="shared" si="10"/>
        <v>1</v>
      </c>
      <c r="O78" s="81">
        <f t="shared" si="12"/>
        <v>4.5900000000000016</v>
      </c>
      <c r="P78" s="81">
        <f>IF(G78="","",ABS(O78-Components!$C$2)/Components!$D$2)</f>
        <v>277.90615922166415</v>
      </c>
      <c r="Q78" s="81">
        <f>IF(G78="","",ABS(O78-Components!$C$3)/Components!$D$3)</f>
        <v>40.154962513901147</v>
      </c>
      <c r="R78" s="81">
        <f>IF(G78="","",ABS(O78-Components!$C$4)/Components!$D$4)</f>
        <v>257.29737506567483</v>
      </c>
      <c r="S78" s="81">
        <f>IF(G78="","",ABS(O78-Components!$C$5)/Components!$D$5)</f>
        <v>1.0855256632965518</v>
      </c>
      <c r="T78" s="81">
        <f>IF(G78="","",ABS(O78-Components!$C$6)/Components!$D$6)</f>
        <v>124.3040650270203</v>
      </c>
      <c r="U78" s="81">
        <f>IF(G78="","",ABS(O78-Components!$C$7)/Components!$D$7)</f>
        <v>127.8821201021582</v>
      </c>
      <c r="V78" s="81" t="str">
        <f>IF(G78="","",IF(M78="OK","NONE",INDEX({"S1","S2","W1","W2","N1","N2"},MATCH(MIN(P78:U78),P78:U78,0))))</f>
        <v>W2</v>
      </c>
      <c r="W78" s="117">
        <f t="shared" si="13"/>
        <v>1</v>
      </c>
      <c r="X78" s="107"/>
    </row>
    <row r="79" spans="1:24">
      <c r="A79" s="115">
        <v>77</v>
      </c>
      <c r="B79" s="116">
        <v>3</v>
      </c>
      <c r="C79" s="81" t="s">
        <v>128</v>
      </c>
      <c r="D79" s="111" t="s">
        <v>240</v>
      </c>
      <c r="E79" s="81" t="s">
        <v>106</v>
      </c>
      <c r="F79" s="52">
        <v>5.42</v>
      </c>
      <c r="G79" s="52">
        <f t="shared" si="7"/>
        <v>6.39</v>
      </c>
      <c r="H79" s="110"/>
      <c r="I79" s="81">
        <f>VLOOKUP(C79,Recipes!$A$2:$N$4,10,FALSE())</f>
        <v>10.940000000000001</v>
      </c>
      <c r="J79" s="81">
        <f>VLOOKUP(C79,Recipes!$A$2:$N$4,12,FALSE())</f>
        <v>5.2703573566378441E-2</v>
      </c>
      <c r="K79" s="81">
        <f t="shared" si="8"/>
        <v>10.755537492517677</v>
      </c>
      <c r="L79" s="81">
        <f t="shared" si="9"/>
        <v>11.124462507482326</v>
      </c>
      <c r="M79" s="81" t="str">
        <f t="shared" si="11"/>
        <v>NG</v>
      </c>
      <c r="N79" s="117">
        <f t="shared" si="10"/>
        <v>1</v>
      </c>
      <c r="O79" s="81">
        <f t="shared" si="12"/>
        <v>4.5500000000000016</v>
      </c>
      <c r="P79" s="81">
        <f>IF(G79="","",ABS(O79-Components!$C$2)/Components!$D$2)</f>
        <v>271.85375647999456</v>
      </c>
      <c r="Q79" s="81">
        <f>IF(G79="","",ABS(O79-Components!$C$3)/Components!$D$3)</f>
        <v>37.255687242139338</v>
      </c>
      <c r="R79" s="81">
        <f>IF(G79="","",ABS(O79-Components!$C$4)/Components!$D$4)</f>
        <v>254.43586579710382</v>
      </c>
      <c r="S79" s="81">
        <f>IF(G79="","",ABS(O79-Components!$C$5)/Components!$D$5)</f>
        <v>0.50304847811316089</v>
      </c>
      <c r="T79" s="81">
        <f>IF(G79="","",ABS(O79-Components!$C$6)/Components!$D$6)</f>
        <v>122.85628401146732</v>
      </c>
      <c r="U79" s="81">
        <f>IF(G79="","",ABS(O79-Components!$C$7)/Components!$D$7)</f>
        <v>126.29138159150629</v>
      </c>
      <c r="V79" s="81" t="str">
        <f>IF(G79="","",IF(M79="OK","NONE",INDEX({"S1","S2","W1","W2","N1","N2"},MATCH(MIN(P79:U79),P79:U79,0))))</f>
        <v>W2</v>
      </c>
      <c r="W79" s="117">
        <f t="shared" si="13"/>
        <v>1</v>
      </c>
      <c r="X79" s="107"/>
    </row>
    <row r="80" spans="1:24">
      <c r="A80" s="115">
        <v>78</v>
      </c>
      <c r="B80" s="116">
        <v>3</v>
      </c>
      <c r="C80" s="81" t="s">
        <v>128</v>
      </c>
      <c r="D80" s="111" t="s">
        <v>240</v>
      </c>
      <c r="E80" s="81" t="s">
        <v>106</v>
      </c>
      <c r="F80" s="52">
        <v>5.39</v>
      </c>
      <c r="G80" s="52">
        <f t="shared" si="7"/>
        <v>6.3599999999999994</v>
      </c>
      <c r="H80" s="110"/>
      <c r="I80" s="81">
        <f>VLOOKUP(C80,Recipes!$A$2:$N$4,10,FALSE())</f>
        <v>10.940000000000001</v>
      </c>
      <c r="J80" s="81">
        <f>VLOOKUP(C80,Recipes!$A$2:$N$4,12,FALSE())</f>
        <v>5.2703573566378441E-2</v>
      </c>
      <c r="K80" s="81">
        <f t="shared" si="8"/>
        <v>10.755537492517677</v>
      </c>
      <c r="L80" s="81">
        <f t="shared" si="9"/>
        <v>11.124462507482326</v>
      </c>
      <c r="M80" s="81" t="str">
        <f t="shared" si="11"/>
        <v>NG</v>
      </c>
      <c r="N80" s="117">
        <f t="shared" si="10"/>
        <v>1</v>
      </c>
      <c r="O80" s="81">
        <f t="shared" si="12"/>
        <v>4.5800000000000018</v>
      </c>
      <c r="P80" s="81">
        <f>IF(G80="","",ABS(O80-Components!$C$2)/Components!$D$2)</f>
        <v>276.39305853624677</v>
      </c>
      <c r="Q80" s="81">
        <f>IF(G80="","",ABS(O80-Components!$C$3)/Components!$D$3)</f>
        <v>39.430143695960709</v>
      </c>
      <c r="R80" s="81">
        <f>IF(G80="","",ABS(O80-Components!$C$4)/Components!$D$4)</f>
        <v>256.5819977485321</v>
      </c>
      <c r="S80" s="81">
        <f>IF(G80="","",ABS(O80-Components!$C$5)/Components!$D$5)</f>
        <v>0.68838212794413234</v>
      </c>
      <c r="T80" s="81">
        <f>IF(G80="","",ABS(O80-Components!$C$6)/Components!$D$6)</f>
        <v>123.94211977313206</v>
      </c>
      <c r="U80" s="81">
        <f>IF(G80="","",ABS(O80-Components!$C$7)/Components!$D$7)</f>
        <v>127.48443547449523</v>
      </c>
      <c r="V80" s="81" t="str">
        <f>IF(G80="","",IF(M80="OK","NONE",INDEX({"S1","S2","W1","W2","N1","N2"},MATCH(MIN(P80:U80),P80:U80,0))))</f>
        <v>W2</v>
      </c>
      <c r="W80" s="117">
        <f t="shared" si="13"/>
        <v>1</v>
      </c>
      <c r="X80" s="107"/>
    </row>
    <row r="81" spans="1:24">
      <c r="A81" s="115">
        <v>79</v>
      </c>
      <c r="B81" s="116">
        <v>3</v>
      </c>
      <c r="C81" s="81" t="s">
        <v>128</v>
      </c>
      <c r="D81" s="111" t="s">
        <v>240</v>
      </c>
      <c r="E81" s="81" t="s">
        <v>106</v>
      </c>
      <c r="F81" s="52">
        <v>5.41</v>
      </c>
      <c r="G81" s="52">
        <f t="shared" si="7"/>
        <v>6.38</v>
      </c>
      <c r="H81" s="110"/>
      <c r="I81" s="81">
        <f>VLOOKUP(C81,Recipes!$A$2:$N$4,10,FALSE())</f>
        <v>10.940000000000001</v>
      </c>
      <c r="J81" s="81">
        <f>VLOOKUP(C81,Recipes!$A$2:$N$4,12,FALSE())</f>
        <v>5.2703573566378441E-2</v>
      </c>
      <c r="K81" s="81">
        <f t="shared" si="8"/>
        <v>10.755537492517677</v>
      </c>
      <c r="L81" s="81">
        <f t="shared" si="9"/>
        <v>11.124462507482326</v>
      </c>
      <c r="M81" s="81" t="str">
        <f t="shared" si="11"/>
        <v>NG</v>
      </c>
      <c r="N81" s="117">
        <f t="shared" si="10"/>
        <v>1</v>
      </c>
      <c r="O81" s="81">
        <f t="shared" si="12"/>
        <v>4.5600000000000014</v>
      </c>
      <c r="P81" s="81">
        <f>IF(G81="","",ABS(O81-Components!$C$2)/Components!$D$2)</f>
        <v>273.36685716541194</v>
      </c>
      <c r="Q81" s="81">
        <f>IF(G81="","",ABS(O81-Components!$C$3)/Components!$D$3)</f>
        <v>37.980506060079776</v>
      </c>
      <c r="R81" s="81">
        <f>IF(G81="","",ABS(O81-Components!$C$4)/Components!$D$4)</f>
        <v>255.15124311424654</v>
      </c>
      <c r="S81" s="81">
        <f>IF(G81="","",ABS(O81-Components!$C$5)/Components!$D$5)</f>
        <v>0.10590494276074157</v>
      </c>
      <c r="T81" s="81">
        <f>IF(G81="","",ABS(O81-Components!$C$6)/Components!$D$6)</f>
        <v>123.21822926535556</v>
      </c>
      <c r="U81" s="81">
        <f>IF(G81="","",ABS(O81-Components!$C$7)/Components!$D$7)</f>
        <v>126.68906621916926</v>
      </c>
      <c r="V81" s="81" t="str">
        <f>IF(G81="","",IF(M81="OK","NONE",INDEX({"S1","S2","W1","W2","N1","N2"},MATCH(MIN(P81:U81),P81:U81,0))))</f>
        <v>W2</v>
      </c>
      <c r="W81" s="117">
        <f t="shared" si="13"/>
        <v>1</v>
      </c>
      <c r="X81" s="107"/>
    </row>
    <row r="82" spans="1:24">
      <c r="A82" s="115">
        <v>80</v>
      </c>
      <c r="B82" s="116">
        <v>3</v>
      </c>
      <c r="C82" s="81" t="s">
        <v>128</v>
      </c>
      <c r="D82" s="111" t="s">
        <v>240</v>
      </c>
      <c r="E82" s="81" t="s">
        <v>106</v>
      </c>
      <c r="F82" s="52">
        <v>5.32</v>
      </c>
      <c r="G82" s="52">
        <f t="shared" si="7"/>
        <v>6.29</v>
      </c>
      <c r="H82" s="110"/>
      <c r="I82" s="81">
        <f>VLOOKUP(C82,Recipes!$A$2:$N$4,10,FALSE())</f>
        <v>10.940000000000001</v>
      </c>
      <c r="J82" s="81">
        <f>VLOOKUP(C82,Recipes!$A$2:$N$4,12,FALSE())</f>
        <v>5.2703573566378441E-2</v>
      </c>
      <c r="K82" s="81">
        <f t="shared" si="8"/>
        <v>10.755537492517677</v>
      </c>
      <c r="L82" s="81">
        <f t="shared" si="9"/>
        <v>11.124462507482326</v>
      </c>
      <c r="M82" s="81" t="str">
        <f t="shared" si="11"/>
        <v>NG</v>
      </c>
      <c r="N82" s="117">
        <f t="shared" si="10"/>
        <v>1</v>
      </c>
      <c r="O82" s="81">
        <f t="shared" si="12"/>
        <v>4.6500000000000012</v>
      </c>
      <c r="P82" s="81">
        <f>IF(G82="","",ABS(O82-Components!$C$2)/Components!$D$2)</f>
        <v>286.98476333416852</v>
      </c>
      <c r="Q82" s="81">
        <f>IF(G82="","",ABS(O82-Components!$C$3)/Components!$D$3)</f>
        <v>44.503875421543825</v>
      </c>
      <c r="R82" s="81">
        <f>IF(G82="","",ABS(O82-Components!$C$4)/Components!$D$4)</f>
        <v>261.58963896853129</v>
      </c>
      <c r="S82" s="81">
        <f>IF(G82="","",ABS(O82-Components!$C$5)/Components!$D$5)</f>
        <v>3.4683868754111029</v>
      </c>
      <c r="T82" s="81">
        <f>IF(G82="","",ABS(O82-Components!$C$6)/Components!$D$6)</f>
        <v>126.47573655034978</v>
      </c>
      <c r="U82" s="81">
        <f>IF(G82="","",ABS(O82-Components!$C$7)/Components!$D$7)</f>
        <v>130.26822786813605</v>
      </c>
      <c r="V82" s="81" t="str">
        <f>IF(G82="","",IF(M82="OK","NONE",INDEX({"S1","S2","W1","W2","N1","N2"},MATCH(MIN(P82:U82),P82:U82,0))))</f>
        <v>W2</v>
      </c>
      <c r="W82" s="117">
        <f t="shared" si="13"/>
        <v>1</v>
      </c>
      <c r="X82" s="107"/>
    </row>
    <row r="83" spans="1:24">
      <c r="A83" s="115">
        <v>81</v>
      </c>
      <c r="B83" s="116">
        <v>3</v>
      </c>
      <c r="C83" s="81" t="s">
        <v>128</v>
      </c>
      <c r="D83" s="111" t="s">
        <v>240</v>
      </c>
      <c r="E83" s="81" t="s">
        <v>106</v>
      </c>
      <c r="F83" s="52">
        <v>5.36</v>
      </c>
      <c r="G83" s="52">
        <f t="shared" si="7"/>
        <v>6.33</v>
      </c>
      <c r="H83" s="110"/>
      <c r="I83" s="81">
        <f>VLOOKUP(C83,Recipes!$A$2:$N$4,10,FALSE())</f>
        <v>10.940000000000001</v>
      </c>
      <c r="J83" s="81">
        <f>VLOOKUP(C83,Recipes!$A$2:$N$4,12,FALSE())</f>
        <v>5.2703573566378441E-2</v>
      </c>
      <c r="K83" s="81">
        <f t="shared" si="8"/>
        <v>10.755537492517677</v>
      </c>
      <c r="L83" s="81">
        <f t="shared" si="9"/>
        <v>11.124462507482326</v>
      </c>
      <c r="M83" s="81" t="str">
        <f t="shared" si="11"/>
        <v>NG</v>
      </c>
      <c r="N83" s="117">
        <f t="shared" si="10"/>
        <v>1</v>
      </c>
      <c r="O83" s="81">
        <f t="shared" si="12"/>
        <v>4.6100000000000012</v>
      </c>
      <c r="P83" s="81">
        <f>IF(G83="","",ABS(O83-Components!$C$2)/Components!$D$2)</f>
        <v>280.93236059249892</v>
      </c>
      <c r="Q83" s="81">
        <f>IF(G83="","",ABS(O83-Components!$C$3)/Components!$D$3)</f>
        <v>41.604600149782016</v>
      </c>
      <c r="R83" s="81">
        <f>IF(G83="","",ABS(O83-Components!$C$4)/Components!$D$4)</f>
        <v>258.72812969996028</v>
      </c>
      <c r="S83" s="81">
        <f>IF(G83="","",ABS(O83-Components!$C$5)/Components!$D$5)</f>
        <v>1.8798127340013904</v>
      </c>
      <c r="T83" s="81">
        <f>IF(G83="","",ABS(O83-Components!$C$6)/Components!$D$6)</f>
        <v>125.02795553479679</v>
      </c>
      <c r="U83" s="81">
        <f>IF(G83="","",ABS(O83-Components!$C$7)/Components!$D$7)</f>
        <v>128.67748935748415</v>
      </c>
      <c r="V83" s="81" t="str">
        <f>IF(G83="","",IF(M83="OK","NONE",INDEX({"S1","S2","W1","W2","N1","N2"},MATCH(MIN(P83:U83),P83:U83,0))))</f>
        <v>W2</v>
      </c>
      <c r="W83" s="117">
        <f t="shared" si="13"/>
        <v>1</v>
      </c>
      <c r="X83" s="107"/>
    </row>
    <row r="84" spans="1:24">
      <c r="A84" s="115">
        <v>82</v>
      </c>
      <c r="B84" s="116">
        <v>3</v>
      </c>
      <c r="C84" s="81" t="s">
        <v>128</v>
      </c>
      <c r="D84" s="111" t="s">
        <v>240</v>
      </c>
      <c r="E84" s="81" t="s">
        <v>106</v>
      </c>
      <c r="F84" s="52">
        <v>5.42</v>
      </c>
      <c r="G84" s="52">
        <f t="shared" si="7"/>
        <v>6.39</v>
      </c>
      <c r="H84" s="110"/>
      <c r="I84" s="81">
        <f>VLOOKUP(C84,Recipes!$A$2:$N$4,10,FALSE())</f>
        <v>10.940000000000001</v>
      </c>
      <c r="J84" s="81">
        <f>VLOOKUP(C84,Recipes!$A$2:$N$4,12,FALSE())</f>
        <v>5.2703573566378441E-2</v>
      </c>
      <c r="K84" s="81">
        <f t="shared" si="8"/>
        <v>10.755537492517677</v>
      </c>
      <c r="L84" s="81">
        <f t="shared" si="9"/>
        <v>11.124462507482326</v>
      </c>
      <c r="M84" s="81" t="str">
        <f t="shared" si="11"/>
        <v>NG</v>
      </c>
      <c r="N84" s="117">
        <f t="shared" si="10"/>
        <v>1</v>
      </c>
      <c r="O84" s="81">
        <f t="shared" si="12"/>
        <v>4.5500000000000016</v>
      </c>
      <c r="P84" s="81">
        <f>IF(G84="","",ABS(O84-Components!$C$2)/Components!$D$2)</f>
        <v>271.85375647999456</v>
      </c>
      <c r="Q84" s="81">
        <f>IF(G84="","",ABS(O84-Components!$C$3)/Components!$D$3)</f>
        <v>37.255687242139338</v>
      </c>
      <c r="R84" s="81">
        <f>IF(G84="","",ABS(O84-Components!$C$4)/Components!$D$4)</f>
        <v>254.43586579710382</v>
      </c>
      <c r="S84" s="81">
        <f>IF(G84="","",ABS(O84-Components!$C$5)/Components!$D$5)</f>
        <v>0.50304847811316089</v>
      </c>
      <c r="T84" s="81">
        <f>IF(G84="","",ABS(O84-Components!$C$6)/Components!$D$6)</f>
        <v>122.85628401146732</v>
      </c>
      <c r="U84" s="81">
        <f>IF(G84="","",ABS(O84-Components!$C$7)/Components!$D$7)</f>
        <v>126.29138159150629</v>
      </c>
      <c r="V84" s="81" t="str">
        <f>IF(G84="","",IF(M84="OK","NONE",INDEX({"S1","S2","W1","W2","N1","N2"},MATCH(MIN(P84:U84),P84:U84,0))))</f>
        <v>W2</v>
      </c>
      <c r="W84" s="117">
        <f t="shared" si="13"/>
        <v>1</v>
      </c>
      <c r="X84" s="107"/>
    </row>
    <row r="85" spans="1:24">
      <c r="A85" s="115">
        <v>83</v>
      </c>
      <c r="B85" s="116">
        <v>3</v>
      </c>
      <c r="C85" s="81" t="s">
        <v>128</v>
      </c>
      <c r="D85" s="111" t="s">
        <v>240</v>
      </c>
      <c r="E85" s="81" t="s">
        <v>106</v>
      </c>
      <c r="F85" s="52">
        <v>5.37</v>
      </c>
      <c r="G85" s="52">
        <f t="shared" si="7"/>
        <v>6.34</v>
      </c>
      <c r="H85" s="110"/>
      <c r="I85" s="81">
        <f>VLOOKUP(C85,Recipes!$A$2:$N$4,10,FALSE())</f>
        <v>10.940000000000001</v>
      </c>
      <c r="J85" s="81">
        <f>VLOOKUP(C85,Recipes!$A$2:$N$4,12,FALSE())</f>
        <v>5.2703573566378441E-2</v>
      </c>
      <c r="K85" s="81">
        <f t="shared" si="8"/>
        <v>10.755537492517677</v>
      </c>
      <c r="L85" s="81">
        <f t="shared" si="9"/>
        <v>11.124462507482326</v>
      </c>
      <c r="M85" s="81" t="str">
        <f t="shared" si="11"/>
        <v>NG</v>
      </c>
      <c r="N85" s="117">
        <f t="shared" si="10"/>
        <v>1</v>
      </c>
      <c r="O85" s="81">
        <f t="shared" si="12"/>
        <v>4.6000000000000014</v>
      </c>
      <c r="P85" s="81">
        <f>IF(G85="","",ABS(O85-Components!$C$2)/Components!$D$2)</f>
        <v>279.41925990708154</v>
      </c>
      <c r="Q85" s="81">
        <f>IF(G85="","",ABS(O85-Components!$C$3)/Components!$D$3)</f>
        <v>40.879781331841578</v>
      </c>
      <c r="R85" s="81">
        <f>IF(G85="","",ABS(O85-Components!$C$4)/Components!$D$4)</f>
        <v>258.01275238281755</v>
      </c>
      <c r="S85" s="81">
        <f>IF(G85="","",ABS(O85-Components!$C$5)/Components!$D$5)</f>
        <v>1.4826691986489711</v>
      </c>
      <c r="T85" s="81">
        <f>IF(G85="","",ABS(O85-Components!$C$6)/Components!$D$6)</f>
        <v>124.66601028090855</v>
      </c>
      <c r="U85" s="81">
        <f>IF(G85="","",ABS(O85-Components!$C$7)/Components!$D$7)</f>
        <v>128.27980472982117</v>
      </c>
      <c r="V85" s="81" t="str">
        <f>IF(G85="","",IF(M85="OK","NONE",INDEX({"S1","S2","W1","W2","N1","N2"},MATCH(MIN(P85:U85),P85:U85,0))))</f>
        <v>W2</v>
      </c>
      <c r="W85" s="117">
        <f t="shared" si="13"/>
        <v>1</v>
      </c>
      <c r="X85" s="107"/>
    </row>
    <row r="86" spans="1:24">
      <c r="A86" s="115">
        <v>84</v>
      </c>
      <c r="B86" s="116">
        <v>3</v>
      </c>
      <c r="C86" s="81" t="s">
        <v>128</v>
      </c>
      <c r="D86" s="111" t="s">
        <v>240</v>
      </c>
      <c r="E86" s="81" t="s">
        <v>106</v>
      </c>
      <c r="F86" s="52">
        <v>5.4</v>
      </c>
      <c r="G86" s="52">
        <f t="shared" si="7"/>
        <v>6.37</v>
      </c>
      <c r="H86" s="110"/>
      <c r="I86" s="81">
        <f>VLOOKUP(C86,Recipes!$A$2:$N$4,10,FALSE())</f>
        <v>10.940000000000001</v>
      </c>
      <c r="J86" s="81">
        <f>VLOOKUP(C86,Recipes!$A$2:$N$4,12,FALSE())</f>
        <v>5.2703573566378441E-2</v>
      </c>
      <c r="K86" s="81">
        <f t="shared" si="8"/>
        <v>10.755537492517677</v>
      </c>
      <c r="L86" s="81">
        <f t="shared" si="9"/>
        <v>11.124462507482326</v>
      </c>
      <c r="M86" s="81" t="str">
        <f t="shared" si="11"/>
        <v>NG</v>
      </c>
      <c r="N86" s="117">
        <f t="shared" si="10"/>
        <v>1</v>
      </c>
      <c r="O86" s="81">
        <f t="shared" si="12"/>
        <v>4.5700000000000012</v>
      </c>
      <c r="P86" s="81">
        <f>IF(G86="","",ABS(O86-Components!$C$2)/Components!$D$2)</f>
        <v>274.87995785082927</v>
      </c>
      <c r="Q86" s="81">
        <f>IF(G86="","",ABS(O86-Components!$C$3)/Components!$D$3)</f>
        <v>38.705324878020207</v>
      </c>
      <c r="R86" s="81">
        <f>IF(G86="","",ABS(O86-Components!$C$4)/Components!$D$4)</f>
        <v>255.86662043138929</v>
      </c>
      <c r="S86" s="81">
        <f>IF(G86="","",ABS(O86-Components!$C$5)/Components!$D$5)</f>
        <v>0.29123859259167773</v>
      </c>
      <c r="T86" s="81">
        <f>IF(G86="","",ABS(O86-Components!$C$6)/Components!$D$6)</f>
        <v>123.5801745192438</v>
      </c>
      <c r="U86" s="81">
        <f>IF(G86="","",ABS(O86-Components!$C$7)/Components!$D$7)</f>
        <v>127.08675084683223</v>
      </c>
      <c r="V86" s="81" t="str">
        <f>IF(G86="","",IF(M86="OK","NONE",INDEX({"S1","S2","W1","W2","N1","N2"},MATCH(MIN(P86:U86),P86:U86,0))))</f>
        <v>W2</v>
      </c>
      <c r="W86" s="117">
        <f t="shared" si="13"/>
        <v>1</v>
      </c>
      <c r="X86" s="107"/>
    </row>
    <row r="87" spans="1:24">
      <c r="A87" s="115">
        <v>85</v>
      </c>
      <c r="B87" s="116">
        <v>3</v>
      </c>
      <c r="C87" s="81" t="s">
        <v>128</v>
      </c>
      <c r="D87" s="111" t="s">
        <v>240</v>
      </c>
      <c r="E87" s="81" t="s">
        <v>106</v>
      </c>
      <c r="F87" s="52">
        <v>5.35</v>
      </c>
      <c r="G87" s="52">
        <f t="shared" si="7"/>
        <v>6.3199999999999994</v>
      </c>
      <c r="H87" s="110"/>
      <c r="I87" s="81">
        <f>VLOOKUP(C87,Recipes!$A$2:$N$4,10,FALSE())</f>
        <v>10.940000000000001</v>
      </c>
      <c r="J87" s="81">
        <f>VLOOKUP(C87,Recipes!$A$2:$N$4,12,FALSE())</f>
        <v>5.2703573566378441E-2</v>
      </c>
      <c r="K87" s="81">
        <f t="shared" si="8"/>
        <v>10.755537492517677</v>
      </c>
      <c r="L87" s="81">
        <f t="shared" si="9"/>
        <v>11.124462507482326</v>
      </c>
      <c r="M87" s="81" t="str">
        <f t="shared" si="11"/>
        <v>NG</v>
      </c>
      <c r="N87" s="117">
        <f t="shared" si="10"/>
        <v>1</v>
      </c>
      <c r="O87" s="81">
        <f t="shared" si="12"/>
        <v>4.6200000000000019</v>
      </c>
      <c r="P87" s="81">
        <f>IF(G87="","",ABS(O87-Components!$C$2)/Components!$D$2)</f>
        <v>282.44546127791642</v>
      </c>
      <c r="Q87" s="81">
        <f>IF(G87="","",ABS(O87-Components!$C$3)/Components!$D$3)</f>
        <v>42.329418967722518</v>
      </c>
      <c r="R87" s="81">
        <f>IF(G87="","",ABS(O87-Components!$C$4)/Components!$D$4)</f>
        <v>259.44350701710306</v>
      </c>
      <c r="S87" s="81">
        <f>IF(G87="","",ABS(O87-Components!$C$5)/Components!$D$5)</f>
        <v>2.2769562693538448</v>
      </c>
      <c r="T87" s="81">
        <f>IF(G87="","",ABS(O87-Components!$C$6)/Components!$D$6)</f>
        <v>125.38990078868505</v>
      </c>
      <c r="U87" s="81">
        <f>IF(G87="","",ABS(O87-Components!$C$7)/Components!$D$7)</f>
        <v>129.07517398514713</v>
      </c>
      <c r="V87" s="81" t="str">
        <f>IF(G87="","",IF(M87="OK","NONE",INDEX({"S1","S2","W1","W2","N1","N2"},MATCH(MIN(P87:U87),P87:U87,0))))</f>
        <v>W2</v>
      </c>
      <c r="W87" s="117">
        <f t="shared" si="13"/>
        <v>1</v>
      </c>
      <c r="X87" s="107"/>
    </row>
    <row r="88" spans="1:24">
      <c r="A88" s="115">
        <v>86</v>
      </c>
      <c r="B88" s="116">
        <v>3</v>
      </c>
      <c r="C88" s="81" t="s">
        <v>128</v>
      </c>
      <c r="D88" s="111" t="s">
        <v>240</v>
      </c>
      <c r="E88" s="81" t="s">
        <v>106</v>
      </c>
      <c r="F88" s="52">
        <v>5.38</v>
      </c>
      <c r="G88" s="52">
        <f t="shared" si="7"/>
        <v>6.35</v>
      </c>
      <c r="H88" s="110"/>
      <c r="I88" s="81">
        <f>VLOOKUP(C88,Recipes!$A$2:$N$4,10,FALSE())</f>
        <v>10.940000000000001</v>
      </c>
      <c r="J88" s="81">
        <f>VLOOKUP(C88,Recipes!$A$2:$N$4,12,FALSE())</f>
        <v>5.2703573566378441E-2</v>
      </c>
      <c r="K88" s="81">
        <f t="shared" si="8"/>
        <v>10.755537492517677</v>
      </c>
      <c r="L88" s="81">
        <f t="shared" si="9"/>
        <v>11.124462507482326</v>
      </c>
      <c r="M88" s="81" t="str">
        <f t="shared" si="11"/>
        <v>NG</v>
      </c>
      <c r="N88" s="117">
        <f t="shared" si="10"/>
        <v>1</v>
      </c>
      <c r="O88" s="81">
        <f t="shared" si="12"/>
        <v>4.5900000000000016</v>
      </c>
      <c r="P88" s="81">
        <f>IF(G88="","",ABS(O88-Components!$C$2)/Components!$D$2)</f>
        <v>277.90615922166415</v>
      </c>
      <c r="Q88" s="81">
        <f>IF(G88="","",ABS(O88-Components!$C$3)/Components!$D$3)</f>
        <v>40.154962513901147</v>
      </c>
      <c r="R88" s="81">
        <f>IF(G88="","",ABS(O88-Components!$C$4)/Components!$D$4)</f>
        <v>257.29737506567483</v>
      </c>
      <c r="S88" s="81">
        <f>IF(G88="","",ABS(O88-Components!$C$5)/Components!$D$5)</f>
        <v>1.0855256632965518</v>
      </c>
      <c r="T88" s="81">
        <f>IF(G88="","",ABS(O88-Components!$C$6)/Components!$D$6)</f>
        <v>124.3040650270203</v>
      </c>
      <c r="U88" s="81">
        <f>IF(G88="","",ABS(O88-Components!$C$7)/Components!$D$7)</f>
        <v>127.8821201021582</v>
      </c>
      <c r="V88" s="81" t="str">
        <f>IF(G88="","",IF(M88="OK","NONE",INDEX({"S1","S2","W1","W2","N1","N2"},MATCH(MIN(P88:U88),P88:U88,0))))</f>
        <v>W2</v>
      </c>
      <c r="W88" s="117">
        <f t="shared" si="13"/>
        <v>1</v>
      </c>
      <c r="X88" s="107"/>
    </row>
    <row r="89" spans="1:24">
      <c r="A89" s="115">
        <v>87</v>
      </c>
      <c r="B89" s="116">
        <v>3</v>
      </c>
      <c r="C89" s="81" t="s">
        <v>128</v>
      </c>
      <c r="D89" s="111" t="s">
        <v>240</v>
      </c>
      <c r="E89" s="81" t="s">
        <v>106</v>
      </c>
      <c r="F89" s="52">
        <v>5.34</v>
      </c>
      <c r="G89" s="52">
        <f t="shared" si="7"/>
        <v>6.31</v>
      </c>
      <c r="H89" s="110"/>
      <c r="I89" s="81">
        <f>VLOOKUP(C89,Recipes!$A$2:$N$4,10,FALSE())</f>
        <v>10.940000000000001</v>
      </c>
      <c r="J89" s="81">
        <f>VLOOKUP(C89,Recipes!$A$2:$N$4,12,FALSE())</f>
        <v>5.2703573566378441E-2</v>
      </c>
      <c r="K89" s="81">
        <f t="shared" si="8"/>
        <v>10.755537492517677</v>
      </c>
      <c r="L89" s="81">
        <f t="shared" si="9"/>
        <v>11.124462507482326</v>
      </c>
      <c r="M89" s="81" t="str">
        <f t="shared" si="11"/>
        <v>NG</v>
      </c>
      <c r="N89" s="117">
        <f t="shared" si="10"/>
        <v>1</v>
      </c>
      <c r="O89" s="81">
        <f t="shared" si="12"/>
        <v>4.6300000000000017</v>
      </c>
      <c r="P89" s="81">
        <f>IF(G89="","",ABS(O89-Components!$C$2)/Components!$D$2)</f>
        <v>283.95856196333381</v>
      </c>
      <c r="Q89" s="81">
        <f>IF(G89="","",ABS(O89-Components!$C$3)/Components!$D$3)</f>
        <v>43.054237785662949</v>
      </c>
      <c r="R89" s="81">
        <f>IF(G89="","",ABS(O89-Components!$C$4)/Components!$D$4)</f>
        <v>260.15888433424578</v>
      </c>
      <c r="S89" s="81">
        <f>IF(G89="","",ABS(O89-Components!$C$5)/Components!$D$5)</f>
        <v>2.6740998047062643</v>
      </c>
      <c r="T89" s="81">
        <f>IF(G89="","",ABS(O89-Components!$C$6)/Components!$D$6)</f>
        <v>125.75184604257329</v>
      </c>
      <c r="U89" s="81">
        <f>IF(G89="","",ABS(O89-Components!$C$7)/Components!$D$7)</f>
        <v>129.47285861281011</v>
      </c>
      <c r="V89" s="81" t="str">
        <f>IF(G89="","",IF(M89="OK","NONE",INDEX({"S1","S2","W1","W2","N1","N2"},MATCH(MIN(P89:U89),P89:U89,0))))</f>
        <v>W2</v>
      </c>
      <c r="W89" s="117">
        <f t="shared" si="13"/>
        <v>1</v>
      </c>
      <c r="X89" s="107"/>
    </row>
    <row r="90" spans="1:24">
      <c r="A90" s="115">
        <v>88</v>
      </c>
      <c r="B90" s="116">
        <v>3</v>
      </c>
      <c r="C90" s="81" t="s">
        <v>128</v>
      </c>
      <c r="D90" s="111" t="s">
        <v>240</v>
      </c>
      <c r="E90" s="81" t="s">
        <v>106</v>
      </c>
      <c r="F90" s="52">
        <v>5.42</v>
      </c>
      <c r="G90" s="52">
        <f t="shared" si="7"/>
        <v>6.39</v>
      </c>
      <c r="H90" s="110"/>
      <c r="I90" s="81">
        <f>VLOOKUP(C90,Recipes!$A$2:$N$4,10,FALSE())</f>
        <v>10.940000000000001</v>
      </c>
      <c r="J90" s="81">
        <f>VLOOKUP(C90,Recipes!$A$2:$N$4,12,FALSE())</f>
        <v>5.2703573566378441E-2</v>
      </c>
      <c r="K90" s="81">
        <f t="shared" si="8"/>
        <v>10.755537492517677</v>
      </c>
      <c r="L90" s="81">
        <f t="shared" si="9"/>
        <v>11.124462507482326</v>
      </c>
      <c r="M90" s="81" t="str">
        <f t="shared" si="11"/>
        <v>NG</v>
      </c>
      <c r="N90" s="117">
        <f t="shared" si="10"/>
        <v>1</v>
      </c>
      <c r="O90" s="81">
        <f t="shared" si="12"/>
        <v>4.5500000000000016</v>
      </c>
      <c r="P90" s="81">
        <f>IF(G90="","",ABS(O90-Components!$C$2)/Components!$D$2)</f>
        <v>271.85375647999456</v>
      </c>
      <c r="Q90" s="81">
        <f>IF(G90="","",ABS(O90-Components!$C$3)/Components!$D$3)</f>
        <v>37.255687242139338</v>
      </c>
      <c r="R90" s="81">
        <f>IF(G90="","",ABS(O90-Components!$C$4)/Components!$D$4)</f>
        <v>254.43586579710382</v>
      </c>
      <c r="S90" s="81">
        <f>IF(G90="","",ABS(O90-Components!$C$5)/Components!$D$5)</f>
        <v>0.50304847811316089</v>
      </c>
      <c r="T90" s="81">
        <f>IF(G90="","",ABS(O90-Components!$C$6)/Components!$D$6)</f>
        <v>122.85628401146732</v>
      </c>
      <c r="U90" s="81">
        <f>IF(G90="","",ABS(O90-Components!$C$7)/Components!$D$7)</f>
        <v>126.29138159150629</v>
      </c>
      <c r="V90" s="81" t="str">
        <f>IF(G90="","",IF(M90="OK","NONE",INDEX({"S1","S2","W1","W2","N1","N2"},MATCH(MIN(P90:U90),P90:U90,0))))</f>
        <v>W2</v>
      </c>
      <c r="W90" s="117">
        <f t="shared" si="13"/>
        <v>1</v>
      </c>
      <c r="X90" s="107"/>
    </row>
    <row r="91" spans="1:24">
      <c r="A91" s="115">
        <v>89</v>
      </c>
      <c r="B91" s="116">
        <v>3</v>
      </c>
      <c r="C91" s="81" t="s">
        <v>128</v>
      </c>
      <c r="D91" s="111" t="s">
        <v>240</v>
      </c>
      <c r="E91" s="81" t="s">
        <v>106</v>
      </c>
      <c r="F91" s="52">
        <v>5.4</v>
      </c>
      <c r="G91" s="52">
        <f t="shared" si="7"/>
        <v>6.37</v>
      </c>
      <c r="H91" s="110"/>
      <c r="I91" s="81">
        <f>VLOOKUP(C91,Recipes!$A$2:$N$4,10,FALSE())</f>
        <v>10.940000000000001</v>
      </c>
      <c r="J91" s="81">
        <f>VLOOKUP(C91,Recipes!$A$2:$N$4,12,FALSE())</f>
        <v>5.2703573566378441E-2</v>
      </c>
      <c r="K91" s="81">
        <f t="shared" si="8"/>
        <v>10.755537492517677</v>
      </c>
      <c r="L91" s="81">
        <f t="shared" si="9"/>
        <v>11.124462507482326</v>
      </c>
      <c r="M91" s="81" t="str">
        <f t="shared" si="11"/>
        <v>NG</v>
      </c>
      <c r="N91" s="117">
        <f t="shared" si="10"/>
        <v>1</v>
      </c>
      <c r="O91" s="81">
        <f t="shared" si="12"/>
        <v>4.5700000000000012</v>
      </c>
      <c r="P91" s="81">
        <f>IF(G91="","",ABS(O91-Components!$C$2)/Components!$D$2)</f>
        <v>274.87995785082927</v>
      </c>
      <c r="Q91" s="81">
        <f>IF(G91="","",ABS(O91-Components!$C$3)/Components!$D$3)</f>
        <v>38.705324878020207</v>
      </c>
      <c r="R91" s="81">
        <f>IF(G91="","",ABS(O91-Components!$C$4)/Components!$D$4)</f>
        <v>255.86662043138929</v>
      </c>
      <c r="S91" s="81">
        <f>IF(G91="","",ABS(O91-Components!$C$5)/Components!$D$5)</f>
        <v>0.29123859259167773</v>
      </c>
      <c r="T91" s="81">
        <f>IF(G91="","",ABS(O91-Components!$C$6)/Components!$D$6)</f>
        <v>123.5801745192438</v>
      </c>
      <c r="U91" s="81">
        <f>IF(G91="","",ABS(O91-Components!$C$7)/Components!$D$7)</f>
        <v>127.08675084683223</v>
      </c>
      <c r="V91" s="81" t="str">
        <f>IF(G91="","",IF(M91="OK","NONE",INDEX({"S1","S2","W1","W2","N1","N2"},MATCH(MIN(P91:U91),P91:U91,0))))</f>
        <v>W2</v>
      </c>
      <c r="W91" s="117">
        <f t="shared" si="13"/>
        <v>1</v>
      </c>
      <c r="X91" s="107"/>
    </row>
    <row r="92" spans="1:24">
      <c r="A92" s="115">
        <v>90</v>
      </c>
      <c r="B92" s="116">
        <v>3</v>
      </c>
      <c r="C92" s="81" t="s">
        <v>128</v>
      </c>
      <c r="D92" s="111" t="s">
        <v>240</v>
      </c>
      <c r="E92" s="81" t="s">
        <v>106</v>
      </c>
      <c r="F92" s="52">
        <v>5.42</v>
      </c>
      <c r="G92" s="52">
        <f t="shared" si="7"/>
        <v>6.39</v>
      </c>
      <c r="H92" s="110"/>
      <c r="I92" s="81">
        <f>VLOOKUP(C92,Recipes!$A$2:$N$4,10,FALSE())</f>
        <v>10.940000000000001</v>
      </c>
      <c r="J92" s="81">
        <f>VLOOKUP(C92,Recipes!$A$2:$N$4,12,FALSE())</f>
        <v>5.2703573566378441E-2</v>
      </c>
      <c r="K92" s="81">
        <f t="shared" si="8"/>
        <v>10.755537492517677</v>
      </c>
      <c r="L92" s="81">
        <f t="shared" si="9"/>
        <v>11.124462507482326</v>
      </c>
      <c r="M92" s="81" t="str">
        <f t="shared" si="11"/>
        <v>NG</v>
      </c>
      <c r="N92" s="117">
        <f t="shared" si="10"/>
        <v>1</v>
      </c>
      <c r="O92" s="81">
        <f t="shared" si="12"/>
        <v>4.5500000000000016</v>
      </c>
      <c r="P92" s="81">
        <f>IF(G92="","",ABS(O92-Components!$C$2)/Components!$D$2)</f>
        <v>271.85375647999456</v>
      </c>
      <c r="Q92" s="81">
        <f>IF(G92="","",ABS(O92-Components!$C$3)/Components!$D$3)</f>
        <v>37.255687242139338</v>
      </c>
      <c r="R92" s="81">
        <f>IF(G92="","",ABS(O92-Components!$C$4)/Components!$D$4)</f>
        <v>254.43586579710382</v>
      </c>
      <c r="S92" s="81">
        <f>IF(G92="","",ABS(O92-Components!$C$5)/Components!$D$5)</f>
        <v>0.50304847811316089</v>
      </c>
      <c r="T92" s="81">
        <f>IF(G92="","",ABS(O92-Components!$C$6)/Components!$D$6)</f>
        <v>122.85628401146732</v>
      </c>
      <c r="U92" s="81">
        <f>IF(G92="","",ABS(O92-Components!$C$7)/Components!$D$7)</f>
        <v>126.29138159150629</v>
      </c>
      <c r="V92" s="81" t="str">
        <f>IF(G92="","",IF(M92="OK","NONE",INDEX({"S1","S2","W1","W2","N1","N2"},MATCH(MIN(P92:U92),P92:U92,0))))</f>
        <v>W2</v>
      </c>
      <c r="W92" s="117">
        <f t="shared" si="13"/>
        <v>1</v>
      </c>
      <c r="X92" s="107"/>
    </row>
    <row r="93" spans="1:24">
      <c r="A93" s="115">
        <v>91</v>
      </c>
      <c r="B93" s="116">
        <v>4</v>
      </c>
      <c r="C93" s="81" t="s">
        <v>128</v>
      </c>
      <c r="D93" s="111" t="s">
        <v>240</v>
      </c>
      <c r="E93" s="81" t="s">
        <v>110</v>
      </c>
      <c r="F93" s="52">
        <v>8.61</v>
      </c>
      <c r="G93" s="52">
        <f t="shared" si="7"/>
        <v>9.58</v>
      </c>
      <c r="H93" s="110"/>
      <c r="I93" s="81">
        <f>VLOOKUP(C93,Recipes!$A$2:$N$4,10,FALSE())</f>
        <v>10.940000000000001</v>
      </c>
      <c r="J93" s="81">
        <f>VLOOKUP(C93,Recipes!$A$2:$N$4,12,FALSE())</f>
        <v>5.2703573566378441E-2</v>
      </c>
      <c r="K93" s="81">
        <f t="shared" si="8"/>
        <v>10.755537492517677</v>
      </c>
      <c r="L93" s="81">
        <f t="shared" si="9"/>
        <v>11.124462507482326</v>
      </c>
      <c r="M93" s="81" t="str">
        <f t="shared" si="11"/>
        <v>NG</v>
      </c>
      <c r="N93" s="117">
        <f t="shared" si="10"/>
        <v>1</v>
      </c>
      <c r="O93" s="81">
        <f t="shared" si="12"/>
        <v>1.3600000000000012</v>
      </c>
      <c r="P93" s="81">
        <f>IF(G93="","",ABS(O93-Components!$C$2)/Components!$D$2)</f>
        <v>210.82536216815774</v>
      </c>
      <c r="Q93" s="81">
        <f>IF(G93="","",ABS(O93-Components!$C$3)/Components!$D$3)</f>
        <v>193.96151568086464</v>
      </c>
      <c r="R93" s="81">
        <f>IF(G93="","",ABS(O93-Components!$C$4)/Components!$D$4)</f>
        <v>26.230501628567506</v>
      </c>
      <c r="S93" s="81">
        <f>IF(G93="","",ABS(O93-Components!$C$5)/Components!$D$5)</f>
        <v>127.19183625553764</v>
      </c>
      <c r="T93" s="81">
        <f>IF(G93="","",ABS(O93-Components!$C$6)/Components!$D$6)</f>
        <v>7.395748021116443</v>
      </c>
      <c r="U93" s="81">
        <f>IF(G93="","",ABS(O93-Components!$C$7)/Components!$D$7)</f>
        <v>0.57001463298342292</v>
      </c>
      <c r="V93" s="81" t="str">
        <f>IF(G93="","",IF(M93="OK","NONE",INDEX({"S1","S2","W1","W2","N1","N2"},MATCH(MIN(P93:U93),P93:U93,0))))</f>
        <v>N2</v>
      </c>
      <c r="W93" s="117">
        <f t="shared" si="13"/>
        <v>1</v>
      </c>
      <c r="X93" s="107"/>
    </row>
    <row r="94" spans="1:24">
      <c r="A94" s="115">
        <v>92</v>
      </c>
      <c r="B94" s="116">
        <v>4</v>
      </c>
      <c r="C94" s="81" t="s">
        <v>128</v>
      </c>
      <c r="D94" s="111" t="s">
        <v>240</v>
      </c>
      <c r="E94" s="81" t="s">
        <v>110</v>
      </c>
      <c r="F94" s="52">
        <v>8.6199999999999992</v>
      </c>
      <c r="G94" s="52">
        <f t="shared" si="7"/>
        <v>9.59</v>
      </c>
      <c r="H94" s="110"/>
      <c r="I94" s="81">
        <f>VLOOKUP(C94,Recipes!$A$2:$N$4,10,FALSE())</f>
        <v>10.940000000000001</v>
      </c>
      <c r="J94" s="81">
        <f>VLOOKUP(C94,Recipes!$A$2:$N$4,12,FALSE())</f>
        <v>5.2703573566378441E-2</v>
      </c>
      <c r="K94" s="81">
        <f t="shared" si="8"/>
        <v>10.755537492517677</v>
      </c>
      <c r="L94" s="81">
        <f t="shared" si="9"/>
        <v>11.124462507482326</v>
      </c>
      <c r="M94" s="81" t="str">
        <f t="shared" si="11"/>
        <v>NG</v>
      </c>
      <c r="N94" s="117">
        <f t="shared" si="10"/>
        <v>1</v>
      </c>
      <c r="O94" s="81">
        <f t="shared" si="12"/>
        <v>1.3500000000000014</v>
      </c>
      <c r="P94" s="81">
        <f>IF(G94="","",ABS(O94-Components!$C$2)/Components!$D$2)</f>
        <v>212.33846285357509</v>
      </c>
      <c r="Q94" s="81">
        <f>IF(G94="","",ABS(O94-Components!$C$3)/Components!$D$3)</f>
        <v>194.68633449880505</v>
      </c>
      <c r="R94" s="81">
        <f>IF(G94="","",ABS(O94-Components!$C$4)/Components!$D$4)</f>
        <v>25.515124311424774</v>
      </c>
      <c r="S94" s="81">
        <f>IF(G94="","",ABS(O94-Components!$C$5)/Components!$D$5)</f>
        <v>127.58897979089005</v>
      </c>
      <c r="T94" s="81">
        <f>IF(G94="","",ABS(O94-Components!$C$6)/Components!$D$6)</f>
        <v>7.0338027672282033</v>
      </c>
      <c r="U94" s="81">
        <f>IF(G94="","",ABS(O94-Components!$C$7)/Components!$D$7)</f>
        <v>0.96769926064639156</v>
      </c>
      <c r="V94" s="81" t="str">
        <f>IF(G94="","",IF(M94="OK","NONE",INDEX({"S1","S2","W1","W2","N1","N2"},MATCH(MIN(P94:U94),P94:U94,0))))</f>
        <v>N2</v>
      </c>
      <c r="W94" s="117">
        <f t="shared" si="13"/>
        <v>1</v>
      </c>
      <c r="X94" s="107"/>
    </row>
    <row r="95" spans="1:24">
      <c r="A95" s="115">
        <v>93</v>
      </c>
      <c r="B95" s="116">
        <v>4</v>
      </c>
      <c r="C95" s="81" t="s">
        <v>128</v>
      </c>
      <c r="D95" s="111" t="s">
        <v>240</v>
      </c>
      <c r="E95" s="81" t="s">
        <v>110</v>
      </c>
      <c r="F95" s="52">
        <v>8.6300000000000008</v>
      </c>
      <c r="G95" s="52">
        <f t="shared" si="7"/>
        <v>9.6000000000000014</v>
      </c>
      <c r="H95" s="110"/>
      <c r="I95" s="81">
        <f>VLOOKUP(C95,Recipes!$A$2:$N$4,10,FALSE())</f>
        <v>10.940000000000001</v>
      </c>
      <c r="J95" s="81">
        <f>VLOOKUP(C95,Recipes!$A$2:$N$4,12,FALSE())</f>
        <v>5.2703573566378441E-2</v>
      </c>
      <c r="K95" s="81">
        <f t="shared" si="8"/>
        <v>10.755537492517677</v>
      </c>
      <c r="L95" s="81">
        <f t="shared" si="9"/>
        <v>11.124462507482326</v>
      </c>
      <c r="M95" s="81" t="str">
        <f t="shared" si="11"/>
        <v>NG</v>
      </c>
      <c r="N95" s="117">
        <f t="shared" si="10"/>
        <v>1</v>
      </c>
      <c r="O95" s="81">
        <f t="shared" si="12"/>
        <v>1.3399999999999999</v>
      </c>
      <c r="P95" s="81">
        <f>IF(G95="","",ABS(O95-Components!$C$2)/Components!$D$2)</f>
        <v>213.85156353899274</v>
      </c>
      <c r="Q95" s="81">
        <f>IF(G95="","",ABS(O95-Components!$C$3)/Components!$D$3)</f>
        <v>195.41115331674561</v>
      </c>
      <c r="R95" s="81">
        <f>IF(G95="","",ABS(O95-Components!$C$4)/Components!$D$4)</f>
        <v>24.799746994281914</v>
      </c>
      <c r="S95" s="81">
        <f>IF(G95="","",ABS(O95-Components!$C$5)/Components!$D$5)</f>
        <v>127.98612332624255</v>
      </c>
      <c r="T95" s="81">
        <f>IF(G95="","",ABS(O95-Components!$C$6)/Components!$D$6)</f>
        <v>6.6718575133398996</v>
      </c>
      <c r="U95" s="81">
        <f>IF(G95="","",ABS(O95-Components!$C$7)/Components!$D$7)</f>
        <v>1.3653838883094307</v>
      </c>
      <c r="V95" s="81" t="str">
        <f>IF(G95="","",IF(M95="OK","NONE",INDEX({"S1","S2","W1","W2","N1","N2"},MATCH(MIN(P95:U95),P95:U95,0))))</f>
        <v>N2</v>
      </c>
      <c r="W95" s="117">
        <f t="shared" si="13"/>
        <v>1</v>
      </c>
      <c r="X95" s="107"/>
    </row>
    <row r="96" spans="1:24">
      <c r="A96" s="115">
        <v>94</v>
      </c>
      <c r="B96" s="116">
        <v>4</v>
      </c>
      <c r="C96" s="81" t="s">
        <v>128</v>
      </c>
      <c r="D96" s="111" t="s">
        <v>240</v>
      </c>
      <c r="E96" s="81" t="s">
        <v>110</v>
      </c>
      <c r="F96" s="52">
        <v>8.6199999999999992</v>
      </c>
      <c r="G96" s="52">
        <f t="shared" si="7"/>
        <v>9.59</v>
      </c>
      <c r="H96" s="110"/>
      <c r="I96" s="81">
        <f>VLOOKUP(C96,Recipes!$A$2:$N$4,10,FALSE())</f>
        <v>10.940000000000001</v>
      </c>
      <c r="J96" s="81">
        <f>VLOOKUP(C96,Recipes!$A$2:$N$4,12,FALSE())</f>
        <v>5.2703573566378441E-2</v>
      </c>
      <c r="K96" s="81">
        <f t="shared" si="8"/>
        <v>10.755537492517677</v>
      </c>
      <c r="L96" s="81">
        <f t="shared" si="9"/>
        <v>11.124462507482326</v>
      </c>
      <c r="M96" s="81" t="str">
        <f t="shared" si="11"/>
        <v>NG</v>
      </c>
      <c r="N96" s="117">
        <f t="shared" si="10"/>
        <v>1</v>
      </c>
      <c r="O96" s="81">
        <f t="shared" si="12"/>
        <v>1.3500000000000014</v>
      </c>
      <c r="P96" s="81">
        <f>IF(G96="","",ABS(O96-Components!$C$2)/Components!$D$2)</f>
        <v>212.33846285357509</v>
      </c>
      <c r="Q96" s="81">
        <f>IF(G96="","",ABS(O96-Components!$C$3)/Components!$D$3)</f>
        <v>194.68633449880505</v>
      </c>
      <c r="R96" s="81">
        <f>IF(G96="","",ABS(O96-Components!$C$4)/Components!$D$4)</f>
        <v>25.515124311424774</v>
      </c>
      <c r="S96" s="81">
        <f>IF(G96="","",ABS(O96-Components!$C$5)/Components!$D$5)</f>
        <v>127.58897979089005</v>
      </c>
      <c r="T96" s="81">
        <f>IF(G96="","",ABS(O96-Components!$C$6)/Components!$D$6)</f>
        <v>7.0338027672282033</v>
      </c>
      <c r="U96" s="81">
        <f>IF(G96="","",ABS(O96-Components!$C$7)/Components!$D$7)</f>
        <v>0.96769926064639156</v>
      </c>
      <c r="V96" s="81" t="str">
        <f>IF(G96="","",IF(M96="OK","NONE",INDEX({"S1","S2","W1","W2","N1","N2"},MATCH(MIN(P96:U96),P96:U96,0))))</f>
        <v>N2</v>
      </c>
      <c r="W96" s="117">
        <f t="shared" si="13"/>
        <v>1</v>
      </c>
      <c r="X96" s="107"/>
    </row>
    <row r="97" spans="1:24">
      <c r="A97" s="115">
        <v>95</v>
      </c>
      <c r="B97" s="116">
        <v>4</v>
      </c>
      <c r="C97" s="81" t="s">
        <v>128</v>
      </c>
      <c r="D97" s="111" t="s">
        <v>240</v>
      </c>
      <c r="E97" s="81" t="s">
        <v>110</v>
      </c>
      <c r="F97" s="52">
        <v>8.5399999999999991</v>
      </c>
      <c r="G97" s="52">
        <f t="shared" si="7"/>
        <v>9.51</v>
      </c>
      <c r="H97" s="110"/>
      <c r="I97" s="81">
        <f>VLOOKUP(C97,Recipes!$A$2:$N$4,10,FALSE())</f>
        <v>10.940000000000001</v>
      </c>
      <c r="J97" s="81">
        <f>VLOOKUP(C97,Recipes!$A$2:$N$4,12,FALSE())</f>
        <v>5.2703573566378441E-2</v>
      </c>
      <c r="K97" s="81">
        <f t="shared" si="8"/>
        <v>10.755537492517677</v>
      </c>
      <c r="L97" s="81">
        <f t="shared" si="9"/>
        <v>11.124462507482326</v>
      </c>
      <c r="M97" s="81" t="str">
        <f t="shared" si="11"/>
        <v>NG</v>
      </c>
      <c r="N97" s="117">
        <f t="shared" si="10"/>
        <v>1</v>
      </c>
      <c r="O97" s="81">
        <f t="shared" si="12"/>
        <v>1.4300000000000015</v>
      </c>
      <c r="P97" s="81">
        <f>IF(G97="","",ABS(O97-Components!$C$2)/Components!$D$2)</f>
        <v>200.23365737023585</v>
      </c>
      <c r="Q97" s="81">
        <f>IF(G97="","",ABS(O97-Components!$C$3)/Components!$D$3)</f>
        <v>188.88778395528144</v>
      </c>
      <c r="R97" s="81">
        <f>IF(G97="","",ABS(O97-Components!$C$4)/Components!$D$4)</f>
        <v>31.238142848566753</v>
      </c>
      <c r="S97" s="81">
        <f>IF(G97="","",ABS(O97-Components!$C$5)/Components!$D$5)</f>
        <v>124.41183150807063</v>
      </c>
      <c r="T97" s="81">
        <f>IF(G97="","",ABS(O97-Components!$C$6)/Components!$D$6)</f>
        <v>9.9293647983341842</v>
      </c>
      <c r="U97" s="81">
        <f>IF(G97="","",ABS(O97-Components!$C$7)/Components!$D$7)</f>
        <v>2.213777760657428</v>
      </c>
      <c r="V97" s="81" t="str">
        <f>IF(G97="","",IF(M97="OK","NONE",INDEX({"S1","S2","W1","W2","N1","N2"},MATCH(MIN(P97:U97),P97:U97,0))))</f>
        <v>N2</v>
      </c>
      <c r="W97" s="117">
        <f t="shared" si="13"/>
        <v>1</v>
      </c>
      <c r="X97" s="107"/>
    </row>
    <row r="98" spans="1:24">
      <c r="A98" s="115">
        <v>96</v>
      </c>
      <c r="B98" s="116">
        <v>4</v>
      </c>
      <c r="C98" s="81" t="s">
        <v>128</v>
      </c>
      <c r="D98" s="111" t="s">
        <v>240</v>
      </c>
      <c r="E98" s="81" t="s">
        <v>110</v>
      </c>
      <c r="F98" s="52">
        <v>8.48</v>
      </c>
      <c r="G98" s="52">
        <f t="shared" si="7"/>
        <v>9.4500000000000011</v>
      </c>
      <c r="H98" s="110"/>
      <c r="I98" s="81">
        <f>VLOOKUP(C98,Recipes!$A$2:$N$4,10,FALSE())</f>
        <v>10.940000000000001</v>
      </c>
      <c r="J98" s="81">
        <f>VLOOKUP(C98,Recipes!$A$2:$N$4,12,FALSE())</f>
        <v>5.2703573566378441E-2</v>
      </c>
      <c r="K98" s="81">
        <f t="shared" si="8"/>
        <v>10.755537492517677</v>
      </c>
      <c r="L98" s="81">
        <f t="shared" si="9"/>
        <v>11.124462507482326</v>
      </c>
      <c r="M98" s="81" t="str">
        <f t="shared" si="11"/>
        <v>NG</v>
      </c>
      <c r="N98" s="117">
        <f t="shared" si="10"/>
        <v>1</v>
      </c>
      <c r="O98" s="81">
        <f t="shared" si="12"/>
        <v>1.4900000000000002</v>
      </c>
      <c r="P98" s="81">
        <f>IF(G98="","",ABS(O98-Components!$C$2)/Components!$D$2)</f>
        <v>191.15505325773162</v>
      </c>
      <c r="Q98" s="81">
        <f>IF(G98="","",ABS(O98-Components!$C$3)/Components!$D$3)</f>
        <v>184.53887104763882</v>
      </c>
      <c r="R98" s="81">
        <f>IF(G98="","",ABS(O98-Components!$C$4)/Components!$D$4)</f>
        <v>35.530406751423143</v>
      </c>
      <c r="S98" s="81">
        <f>IF(G98="","",ABS(O98-Components!$C$5)/Components!$D$5)</f>
        <v>122.02897029595611</v>
      </c>
      <c r="T98" s="81">
        <f>IF(G98="","",ABS(O98-Components!$C$6)/Components!$D$6)</f>
        <v>12.101036321663621</v>
      </c>
      <c r="U98" s="81">
        <f>IF(G98="","",ABS(O98-Components!$C$7)/Components!$D$7)</f>
        <v>4.5998855266352399</v>
      </c>
      <c r="V98" s="81" t="str">
        <f>IF(G98="","",IF(M98="OK","NONE",INDEX({"S1","S2","W1","W2","N1","N2"},MATCH(MIN(P98:U98),P98:U98,0))))</f>
        <v>N2</v>
      </c>
      <c r="W98" s="117">
        <f t="shared" si="13"/>
        <v>1</v>
      </c>
      <c r="X98" s="107"/>
    </row>
    <row r="99" spans="1:24">
      <c r="A99" s="115">
        <v>97</v>
      </c>
      <c r="B99" s="116">
        <v>4</v>
      </c>
      <c r="C99" s="81" t="s">
        <v>128</v>
      </c>
      <c r="D99" s="111" t="s">
        <v>240</v>
      </c>
      <c r="E99" s="81" t="s">
        <v>110</v>
      </c>
      <c r="F99" s="52">
        <v>8.6</v>
      </c>
      <c r="G99" s="52">
        <f t="shared" si="7"/>
        <v>9.57</v>
      </c>
      <c r="H99" s="110"/>
      <c r="I99" s="81">
        <f>VLOOKUP(C99,Recipes!$A$2:$N$4,10,FALSE())</f>
        <v>10.940000000000001</v>
      </c>
      <c r="J99" s="81">
        <f>VLOOKUP(C99,Recipes!$A$2:$N$4,12,FALSE())</f>
        <v>5.2703573566378441E-2</v>
      </c>
      <c r="K99" s="81">
        <f t="shared" si="8"/>
        <v>10.755537492517677</v>
      </c>
      <c r="L99" s="81">
        <f t="shared" si="9"/>
        <v>11.124462507482326</v>
      </c>
      <c r="M99" s="81" t="str">
        <f t="shared" si="11"/>
        <v>NG</v>
      </c>
      <c r="N99" s="117">
        <f t="shared" si="10"/>
        <v>1</v>
      </c>
      <c r="O99" s="81">
        <f t="shared" si="12"/>
        <v>1.370000000000001</v>
      </c>
      <c r="P99" s="81">
        <f>IF(G99="","",ABS(O99-Components!$C$2)/Components!$D$2)</f>
        <v>209.31226148274035</v>
      </c>
      <c r="Q99" s="81">
        <f>IF(G99="","",ABS(O99-Components!$C$3)/Components!$D$3)</f>
        <v>193.23669686292419</v>
      </c>
      <c r="R99" s="81">
        <f>IF(G99="","",ABS(O99-Components!$C$4)/Components!$D$4)</f>
        <v>26.945878945710238</v>
      </c>
      <c r="S99" s="81">
        <f>IF(G99="","",ABS(O99-Components!$C$5)/Components!$D$5)</f>
        <v>126.79469272018522</v>
      </c>
      <c r="T99" s="81">
        <f>IF(G99="","",ABS(O99-Components!$C$6)/Components!$D$6)</f>
        <v>7.7576932750046828</v>
      </c>
      <c r="U99" s="81">
        <f>IF(G99="","",ABS(O99-Components!$C$7)/Components!$D$7)</f>
        <v>0.17233000532045431</v>
      </c>
      <c r="V99" s="81" t="str">
        <f>IF(G99="","",IF(M99="OK","NONE",INDEX({"S1","S2","W1","W2","N1","N2"},MATCH(MIN(P99:U99),P99:U99,0))))</f>
        <v>N2</v>
      </c>
      <c r="W99" s="117">
        <f t="shared" si="13"/>
        <v>1</v>
      </c>
      <c r="X99" s="107"/>
    </row>
    <row r="100" spans="1:24">
      <c r="A100" s="115">
        <v>98</v>
      </c>
      <c r="B100" s="116">
        <v>4</v>
      </c>
      <c r="C100" s="81" t="s">
        <v>128</v>
      </c>
      <c r="D100" s="111" t="s">
        <v>240</v>
      </c>
      <c r="E100" s="81" t="s">
        <v>110</v>
      </c>
      <c r="F100" s="52">
        <v>8.6300000000000008</v>
      </c>
      <c r="G100" s="52">
        <f t="shared" si="7"/>
        <v>9.6000000000000014</v>
      </c>
      <c r="H100" s="110"/>
      <c r="I100" s="81">
        <f>VLOOKUP(C100,Recipes!$A$2:$N$4,10,FALSE())</f>
        <v>10.940000000000001</v>
      </c>
      <c r="J100" s="81">
        <f>VLOOKUP(C100,Recipes!$A$2:$N$4,12,FALSE())</f>
        <v>5.2703573566378441E-2</v>
      </c>
      <c r="K100" s="81">
        <f t="shared" si="8"/>
        <v>10.755537492517677</v>
      </c>
      <c r="L100" s="81">
        <f t="shared" si="9"/>
        <v>11.124462507482326</v>
      </c>
      <c r="M100" s="81" t="str">
        <f t="shared" si="11"/>
        <v>NG</v>
      </c>
      <c r="N100" s="117">
        <f t="shared" si="10"/>
        <v>1</v>
      </c>
      <c r="O100" s="81">
        <f t="shared" si="12"/>
        <v>1.3399999999999999</v>
      </c>
      <c r="P100" s="81">
        <f>IF(G100="","",ABS(O100-Components!$C$2)/Components!$D$2)</f>
        <v>213.85156353899274</v>
      </c>
      <c r="Q100" s="81">
        <f>IF(G100="","",ABS(O100-Components!$C$3)/Components!$D$3)</f>
        <v>195.41115331674561</v>
      </c>
      <c r="R100" s="81">
        <f>IF(G100="","",ABS(O100-Components!$C$4)/Components!$D$4)</f>
        <v>24.799746994281914</v>
      </c>
      <c r="S100" s="81">
        <f>IF(G100="","",ABS(O100-Components!$C$5)/Components!$D$5)</f>
        <v>127.98612332624255</v>
      </c>
      <c r="T100" s="81">
        <f>IF(G100="","",ABS(O100-Components!$C$6)/Components!$D$6)</f>
        <v>6.6718575133398996</v>
      </c>
      <c r="U100" s="81">
        <f>IF(G100="","",ABS(O100-Components!$C$7)/Components!$D$7)</f>
        <v>1.3653838883094307</v>
      </c>
      <c r="V100" s="81" t="str">
        <f>IF(G100="","",IF(M100="OK","NONE",INDEX({"S1","S2","W1","W2","N1","N2"},MATCH(MIN(P100:U100),P100:U100,0))))</f>
        <v>N2</v>
      </c>
      <c r="W100" s="117">
        <f t="shared" si="13"/>
        <v>1</v>
      </c>
      <c r="X100" s="107"/>
    </row>
    <row r="101" spans="1:24">
      <c r="A101" s="115">
        <v>99</v>
      </c>
      <c r="B101" s="116">
        <v>4</v>
      </c>
      <c r="C101" s="81" t="s">
        <v>128</v>
      </c>
      <c r="D101" s="111" t="s">
        <v>240</v>
      </c>
      <c r="E101" s="81" t="s">
        <v>110</v>
      </c>
      <c r="F101" s="52">
        <v>8.6</v>
      </c>
      <c r="G101" s="52">
        <f t="shared" si="7"/>
        <v>9.57</v>
      </c>
      <c r="H101" s="110"/>
      <c r="I101" s="81">
        <f>VLOOKUP(C101,Recipes!$A$2:$N$4,10,FALSE())</f>
        <v>10.940000000000001</v>
      </c>
      <c r="J101" s="81">
        <f>VLOOKUP(C101,Recipes!$A$2:$N$4,12,FALSE())</f>
        <v>5.2703573566378441E-2</v>
      </c>
      <c r="K101" s="81">
        <f t="shared" si="8"/>
        <v>10.755537492517677</v>
      </c>
      <c r="L101" s="81">
        <f t="shared" si="9"/>
        <v>11.124462507482326</v>
      </c>
      <c r="M101" s="81" t="str">
        <f t="shared" si="11"/>
        <v>NG</v>
      </c>
      <c r="N101" s="117">
        <f t="shared" si="10"/>
        <v>1</v>
      </c>
      <c r="O101" s="81">
        <f t="shared" si="12"/>
        <v>1.370000000000001</v>
      </c>
      <c r="P101" s="81">
        <f>IF(G101="","",ABS(O101-Components!$C$2)/Components!$D$2)</f>
        <v>209.31226148274035</v>
      </c>
      <c r="Q101" s="81">
        <f>IF(G101="","",ABS(O101-Components!$C$3)/Components!$D$3)</f>
        <v>193.23669686292419</v>
      </c>
      <c r="R101" s="81">
        <f>IF(G101="","",ABS(O101-Components!$C$4)/Components!$D$4)</f>
        <v>26.945878945710238</v>
      </c>
      <c r="S101" s="81">
        <f>IF(G101="","",ABS(O101-Components!$C$5)/Components!$D$5)</f>
        <v>126.79469272018522</v>
      </c>
      <c r="T101" s="81">
        <f>IF(G101="","",ABS(O101-Components!$C$6)/Components!$D$6)</f>
        <v>7.7576932750046828</v>
      </c>
      <c r="U101" s="81">
        <f>IF(G101="","",ABS(O101-Components!$C$7)/Components!$D$7)</f>
        <v>0.17233000532045431</v>
      </c>
      <c r="V101" s="81" t="str">
        <f>IF(G101="","",IF(M101="OK","NONE",INDEX({"S1","S2","W1","W2","N1","N2"},MATCH(MIN(P101:U101),P101:U101,0))))</f>
        <v>N2</v>
      </c>
      <c r="W101" s="117">
        <f t="shared" si="13"/>
        <v>1</v>
      </c>
      <c r="X101" s="107"/>
    </row>
    <row r="102" spans="1:24">
      <c r="A102" s="115">
        <v>100</v>
      </c>
      <c r="B102" s="116">
        <v>4</v>
      </c>
      <c r="C102" s="81" t="s">
        <v>128</v>
      </c>
      <c r="D102" s="111" t="s">
        <v>240</v>
      </c>
      <c r="E102" s="81" t="s">
        <v>110</v>
      </c>
      <c r="F102" s="52">
        <v>8.6199999999999992</v>
      </c>
      <c r="G102" s="52">
        <f t="shared" si="7"/>
        <v>9.59</v>
      </c>
      <c r="H102" s="110"/>
      <c r="I102" s="81">
        <f>VLOOKUP(C102,Recipes!$A$2:$N$4,10,FALSE())</f>
        <v>10.940000000000001</v>
      </c>
      <c r="J102" s="81">
        <f>VLOOKUP(C102,Recipes!$A$2:$N$4,12,FALSE())</f>
        <v>5.2703573566378441E-2</v>
      </c>
      <c r="K102" s="81">
        <f t="shared" si="8"/>
        <v>10.755537492517677</v>
      </c>
      <c r="L102" s="81">
        <f t="shared" si="9"/>
        <v>11.124462507482326</v>
      </c>
      <c r="M102" s="81" t="str">
        <f t="shared" si="11"/>
        <v>NG</v>
      </c>
      <c r="N102" s="117">
        <f t="shared" si="10"/>
        <v>1</v>
      </c>
      <c r="O102" s="81">
        <f t="shared" si="12"/>
        <v>1.3500000000000014</v>
      </c>
      <c r="P102" s="81">
        <f>IF(G102="","",ABS(O102-Components!$C$2)/Components!$D$2)</f>
        <v>212.33846285357509</v>
      </c>
      <c r="Q102" s="81">
        <f>IF(G102="","",ABS(O102-Components!$C$3)/Components!$D$3)</f>
        <v>194.68633449880505</v>
      </c>
      <c r="R102" s="81">
        <f>IF(G102="","",ABS(O102-Components!$C$4)/Components!$D$4)</f>
        <v>25.515124311424774</v>
      </c>
      <c r="S102" s="81">
        <f>IF(G102="","",ABS(O102-Components!$C$5)/Components!$D$5)</f>
        <v>127.58897979089005</v>
      </c>
      <c r="T102" s="81">
        <f>IF(G102="","",ABS(O102-Components!$C$6)/Components!$D$6)</f>
        <v>7.0338027672282033</v>
      </c>
      <c r="U102" s="81">
        <f>IF(G102="","",ABS(O102-Components!$C$7)/Components!$D$7)</f>
        <v>0.96769926064639156</v>
      </c>
      <c r="V102" s="81" t="str">
        <f>IF(G102="","",IF(M102="OK","NONE",INDEX({"S1","S2","W1","W2","N1","N2"},MATCH(MIN(P102:U102),P102:U102,0))))</f>
        <v>N2</v>
      </c>
      <c r="W102" s="117">
        <f t="shared" si="13"/>
        <v>1</v>
      </c>
      <c r="X102" s="107"/>
    </row>
    <row r="103" spans="1:24">
      <c r="A103" s="115">
        <v>101</v>
      </c>
      <c r="B103" s="116">
        <v>4</v>
      </c>
      <c r="C103" s="81" t="s">
        <v>128</v>
      </c>
      <c r="D103" s="111" t="s">
        <v>240</v>
      </c>
      <c r="E103" s="81" t="s">
        <v>110</v>
      </c>
      <c r="F103" s="52">
        <v>8.6</v>
      </c>
      <c r="G103" s="52">
        <f t="shared" si="7"/>
        <v>9.57</v>
      </c>
      <c r="H103" s="110"/>
      <c r="I103" s="81">
        <f>VLOOKUP(C103,Recipes!$A$2:$N$4,10,FALSE())</f>
        <v>10.940000000000001</v>
      </c>
      <c r="J103" s="81">
        <f>VLOOKUP(C103,Recipes!$A$2:$N$4,12,FALSE())</f>
        <v>5.2703573566378441E-2</v>
      </c>
      <c r="K103" s="81">
        <f t="shared" si="8"/>
        <v>10.755537492517677</v>
      </c>
      <c r="L103" s="81">
        <f t="shared" si="9"/>
        <v>11.124462507482326</v>
      </c>
      <c r="M103" s="81" t="str">
        <f t="shared" si="11"/>
        <v>NG</v>
      </c>
      <c r="N103" s="117">
        <f t="shared" si="10"/>
        <v>1</v>
      </c>
      <c r="O103" s="81">
        <f t="shared" si="12"/>
        <v>1.370000000000001</v>
      </c>
      <c r="P103" s="81">
        <f>IF(G103="","",ABS(O103-Components!$C$2)/Components!$D$2)</f>
        <v>209.31226148274035</v>
      </c>
      <c r="Q103" s="81">
        <f>IF(G103="","",ABS(O103-Components!$C$3)/Components!$D$3)</f>
        <v>193.23669686292419</v>
      </c>
      <c r="R103" s="81">
        <f>IF(G103="","",ABS(O103-Components!$C$4)/Components!$D$4)</f>
        <v>26.945878945710238</v>
      </c>
      <c r="S103" s="81">
        <f>IF(G103="","",ABS(O103-Components!$C$5)/Components!$D$5)</f>
        <v>126.79469272018522</v>
      </c>
      <c r="T103" s="81">
        <f>IF(G103="","",ABS(O103-Components!$C$6)/Components!$D$6)</f>
        <v>7.7576932750046828</v>
      </c>
      <c r="U103" s="81">
        <f>IF(G103="","",ABS(O103-Components!$C$7)/Components!$D$7)</f>
        <v>0.17233000532045431</v>
      </c>
      <c r="V103" s="81" t="str">
        <f>IF(G103="","",IF(M103="OK","NONE",INDEX({"S1","S2","W1","W2","N1","N2"},MATCH(MIN(P103:U103),P103:U103,0))))</f>
        <v>N2</v>
      </c>
      <c r="W103" s="117">
        <f t="shared" si="13"/>
        <v>1</v>
      </c>
      <c r="X103" s="107"/>
    </row>
    <row r="104" spans="1:24">
      <c r="A104" s="115">
        <v>102</v>
      </c>
      <c r="B104" s="116">
        <v>4</v>
      </c>
      <c r="C104" s="81" t="s">
        <v>128</v>
      </c>
      <c r="D104" s="111" t="s">
        <v>240</v>
      </c>
      <c r="E104" s="81" t="s">
        <v>110</v>
      </c>
      <c r="F104" s="52">
        <v>8.5399999999999991</v>
      </c>
      <c r="G104" s="52">
        <f t="shared" si="7"/>
        <v>9.51</v>
      </c>
      <c r="H104" s="110"/>
      <c r="I104" s="81">
        <f>VLOOKUP(C104,Recipes!$A$2:$N$4,10,FALSE())</f>
        <v>10.940000000000001</v>
      </c>
      <c r="J104" s="81">
        <f>VLOOKUP(C104,Recipes!$A$2:$N$4,12,FALSE())</f>
        <v>5.2703573566378441E-2</v>
      </c>
      <c r="K104" s="81">
        <f t="shared" si="8"/>
        <v>10.755537492517677</v>
      </c>
      <c r="L104" s="81">
        <f t="shared" si="9"/>
        <v>11.124462507482326</v>
      </c>
      <c r="M104" s="81" t="str">
        <f t="shared" si="11"/>
        <v>NG</v>
      </c>
      <c r="N104" s="117">
        <f t="shared" si="10"/>
        <v>1</v>
      </c>
      <c r="O104" s="81">
        <f t="shared" si="12"/>
        <v>1.4300000000000015</v>
      </c>
      <c r="P104" s="81">
        <f>IF(G104="","",ABS(O104-Components!$C$2)/Components!$D$2)</f>
        <v>200.23365737023585</v>
      </c>
      <c r="Q104" s="81">
        <f>IF(G104="","",ABS(O104-Components!$C$3)/Components!$D$3)</f>
        <v>188.88778395528144</v>
      </c>
      <c r="R104" s="81">
        <f>IF(G104="","",ABS(O104-Components!$C$4)/Components!$D$4)</f>
        <v>31.238142848566753</v>
      </c>
      <c r="S104" s="81">
        <f>IF(G104="","",ABS(O104-Components!$C$5)/Components!$D$5)</f>
        <v>124.41183150807063</v>
      </c>
      <c r="T104" s="81">
        <f>IF(G104="","",ABS(O104-Components!$C$6)/Components!$D$6)</f>
        <v>9.9293647983341842</v>
      </c>
      <c r="U104" s="81">
        <f>IF(G104="","",ABS(O104-Components!$C$7)/Components!$D$7)</f>
        <v>2.213777760657428</v>
      </c>
      <c r="V104" s="81" t="str">
        <f>IF(G104="","",IF(M104="OK","NONE",INDEX({"S1","S2","W1","W2","N1","N2"},MATCH(MIN(P104:U104),P104:U104,0))))</f>
        <v>N2</v>
      </c>
      <c r="W104" s="117">
        <f t="shared" si="13"/>
        <v>1</v>
      </c>
      <c r="X104" s="107"/>
    </row>
    <row r="105" spans="1:24">
      <c r="A105" s="115">
        <v>103</v>
      </c>
      <c r="B105" s="116">
        <v>4</v>
      </c>
      <c r="C105" s="81" t="s">
        <v>128</v>
      </c>
      <c r="D105" s="111" t="s">
        <v>240</v>
      </c>
      <c r="E105" s="81" t="s">
        <v>110</v>
      </c>
      <c r="F105" s="52">
        <v>8.64</v>
      </c>
      <c r="G105" s="52">
        <f t="shared" si="7"/>
        <v>9.6100000000000012</v>
      </c>
      <c r="H105" s="110"/>
      <c r="I105" s="81">
        <f>VLOOKUP(C105,Recipes!$A$2:$N$4,10,FALSE())</f>
        <v>10.940000000000001</v>
      </c>
      <c r="J105" s="81">
        <f>VLOOKUP(C105,Recipes!$A$2:$N$4,12,FALSE())</f>
        <v>5.2703573566378441E-2</v>
      </c>
      <c r="K105" s="81">
        <f t="shared" si="8"/>
        <v>10.755537492517677</v>
      </c>
      <c r="L105" s="81">
        <f t="shared" si="9"/>
        <v>11.124462507482326</v>
      </c>
      <c r="M105" s="81" t="str">
        <f t="shared" si="11"/>
        <v>NG</v>
      </c>
      <c r="N105" s="117">
        <f t="shared" si="10"/>
        <v>1</v>
      </c>
      <c r="O105" s="81">
        <f t="shared" si="12"/>
        <v>1.33</v>
      </c>
      <c r="P105" s="81">
        <f>IF(G105="","",ABS(O105-Components!$C$2)/Components!$D$2)</f>
        <v>215.36466422441012</v>
      </c>
      <c r="Q105" s="81">
        <f>IF(G105="","",ABS(O105-Components!$C$3)/Components!$D$3)</f>
        <v>196.13597213468606</v>
      </c>
      <c r="R105" s="81">
        <f>IF(G105="","",ABS(O105-Components!$C$4)/Components!$D$4)</f>
        <v>24.084369677139183</v>
      </c>
      <c r="S105" s="81">
        <f>IF(G105="","",ABS(O105-Components!$C$5)/Components!$D$5)</f>
        <v>128.38326686159496</v>
      </c>
      <c r="T105" s="81">
        <f>IF(G105="","",ABS(O105-Components!$C$6)/Components!$D$6)</f>
        <v>6.3099122594516599</v>
      </c>
      <c r="U105" s="81">
        <f>IF(G105="","",ABS(O105-Components!$C$7)/Components!$D$7)</f>
        <v>1.7630685159723993</v>
      </c>
      <c r="V105" s="81" t="str">
        <f>IF(G105="","",IF(M105="OK","NONE",INDEX({"S1","S2","W1","W2","N1","N2"},MATCH(MIN(P105:U105),P105:U105,0))))</f>
        <v>N2</v>
      </c>
      <c r="W105" s="117">
        <f t="shared" si="13"/>
        <v>1</v>
      </c>
      <c r="X105" s="107"/>
    </row>
    <row r="106" spans="1:24">
      <c r="A106" s="115">
        <v>104</v>
      </c>
      <c r="B106" s="116">
        <v>4</v>
      </c>
      <c r="C106" s="81" t="s">
        <v>128</v>
      </c>
      <c r="D106" s="111" t="s">
        <v>240</v>
      </c>
      <c r="E106" s="81" t="s">
        <v>110</v>
      </c>
      <c r="F106" s="52">
        <v>8.6</v>
      </c>
      <c r="G106" s="52">
        <f t="shared" si="7"/>
        <v>9.57</v>
      </c>
      <c r="H106" s="110"/>
      <c r="I106" s="81">
        <f>VLOOKUP(C106,Recipes!$A$2:$N$4,10,FALSE())</f>
        <v>10.940000000000001</v>
      </c>
      <c r="J106" s="81">
        <f>VLOOKUP(C106,Recipes!$A$2:$N$4,12,FALSE())</f>
        <v>5.2703573566378441E-2</v>
      </c>
      <c r="K106" s="81">
        <f t="shared" si="8"/>
        <v>10.755537492517677</v>
      </c>
      <c r="L106" s="81">
        <f t="shared" si="9"/>
        <v>11.124462507482326</v>
      </c>
      <c r="M106" s="81" t="str">
        <f t="shared" si="11"/>
        <v>NG</v>
      </c>
      <c r="N106" s="117">
        <f t="shared" si="10"/>
        <v>1</v>
      </c>
      <c r="O106" s="81">
        <f t="shared" si="12"/>
        <v>1.370000000000001</v>
      </c>
      <c r="P106" s="81">
        <f>IF(G106="","",ABS(O106-Components!$C$2)/Components!$D$2)</f>
        <v>209.31226148274035</v>
      </c>
      <c r="Q106" s="81">
        <f>IF(G106="","",ABS(O106-Components!$C$3)/Components!$D$3)</f>
        <v>193.23669686292419</v>
      </c>
      <c r="R106" s="81">
        <f>IF(G106="","",ABS(O106-Components!$C$4)/Components!$D$4)</f>
        <v>26.945878945710238</v>
      </c>
      <c r="S106" s="81">
        <f>IF(G106="","",ABS(O106-Components!$C$5)/Components!$D$5)</f>
        <v>126.79469272018522</v>
      </c>
      <c r="T106" s="81">
        <f>IF(G106="","",ABS(O106-Components!$C$6)/Components!$D$6)</f>
        <v>7.7576932750046828</v>
      </c>
      <c r="U106" s="81">
        <f>IF(G106="","",ABS(O106-Components!$C$7)/Components!$D$7)</f>
        <v>0.17233000532045431</v>
      </c>
      <c r="V106" s="81" t="str">
        <f>IF(G106="","",IF(M106="OK","NONE",INDEX({"S1","S2","W1","W2","N1","N2"},MATCH(MIN(P106:U106),P106:U106,0))))</f>
        <v>N2</v>
      </c>
      <c r="W106" s="117">
        <f t="shared" si="13"/>
        <v>1</v>
      </c>
      <c r="X106" s="107"/>
    </row>
    <row r="107" spans="1:24">
      <c r="A107" s="115">
        <v>105</v>
      </c>
      <c r="B107" s="116">
        <v>4</v>
      </c>
      <c r="C107" s="81" t="s">
        <v>128</v>
      </c>
      <c r="D107" s="111" t="s">
        <v>240</v>
      </c>
      <c r="E107" s="81" t="s">
        <v>110</v>
      </c>
      <c r="F107" s="52">
        <v>8.59</v>
      </c>
      <c r="G107" s="52">
        <f t="shared" si="7"/>
        <v>9.56</v>
      </c>
      <c r="H107" s="110"/>
      <c r="I107" s="81">
        <f>VLOOKUP(C107,Recipes!$A$2:$N$4,10,FALSE())</f>
        <v>10.940000000000001</v>
      </c>
      <c r="J107" s="81">
        <f>VLOOKUP(C107,Recipes!$A$2:$N$4,12,FALSE())</f>
        <v>5.2703573566378441E-2</v>
      </c>
      <c r="K107" s="81">
        <f t="shared" si="8"/>
        <v>10.755537492517677</v>
      </c>
      <c r="L107" s="81">
        <f t="shared" si="9"/>
        <v>11.124462507482326</v>
      </c>
      <c r="M107" s="81" t="str">
        <f t="shared" si="11"/>
        <v>NG</v>
      </c>
      <c r="N107" s="117">
        <f t="shared" si="10"/>
        <v>1</v>
      </c>
      <c r="O107" s="81">
        <f t="shared" si="12"/>
        <v>1.3800000000000008</v>
      </c>
      <c r="P107" s="81">
        <f>IF(G107="","",ABS(O107-Components!$C$2)/Components!$D$2)</f>
        <v>207.799160797323</v>
      </c>
      <c r="Q107" s="81">
        <f>IF(G107="","",ABS(O107-Components!$C$3)/Components!$D$3)</f>
        <v>192.51187804498375</v>
      </c>
      <c r="R107" s="81">
        <f>IF(G107="","",ABS(O107-Components!$C$4)/Components!$D$4)</f>
        <v>27.661256262852969</v>
      </c>
      <c r="S107" s="81">
        <f>IF(G107="","",ABS(O107-Components!$C$5)/Components!$D$5)</f>
        <v>126.3975491848328</v>
      </c>
      <c r="T107" s="81">
        <f>IF(G107="","",ABS(O107-Components!$C$6)/Components!$D$6)</f>
        <v>8.1196385288929225</v>
      </c>
      <c r="U107" s="81">
        <f>IF(G107="","",ABS(O107-Components!$C$7)/Components!$D$7)</f>
        <v>0.2253546223425143</v>
      </c>
      <c r="V107" s="81" t="str">
        <f>IF(G107="","",IF(M107="OK","NONE",INDEX({"S1","S2","W1","W2","N1","N2"},MATCH(MIN(P107:U107),P107:U107,0))))</f>
        <v>N2</v>
      </c>
      <c r="W107" s="117">
        <f t="shared" si="13"/>
        <v>1</v>
      </c>
      <c r="X107" s="107"/>
    </row>
    <row r="108" spans="1:24">
      <c r="A108" s="115">
        <v>106</v>
      </c>
      <c r="B108" s="116">
        <v>4</v>
      </c>
      <c r="C108" s="81" t="s">
        <v>128</v>
      </c>
      <c r="D108" s="111" t="s">
        <v>240</v>
      </c>
      <c r="E108" s="81" t="s">
        <v>110</v>
      </c>
      <c r="F108" s="52">
        <v>8.57</v>
      </c>
      <c r="G108" s="52">
        <f t="shared" si="7"/>
        <v>9.5400000000000009</v>
      </c>
      <c r="H108" s="110"/>
      <c r="I108" s="81">
        <f>VLOOKUP(C108,Recipes!$A$2:$N$4,10,FALSE())</f>
        <v>10.940000000000001</v>
      </c>
      <c r="J108" s="81">
        <f>VLOOKUP(C108,Recipes!$A$2:$N$4,12,FALSE())</f>
        <v>5.2703573566378441E-2</v>
      </c>
      <c r="K108" s="81">
        <f t="shared" si="8"/>
        <v>10.755537492517677</v>
      </c>
      <c r="L108" s="81">
        <f t="shared" si="9"/>
        <v>11.124462507482326</v>
      </c>
      <c r="M108" s="81" t="str">
        <f t="shared" si="11"/>
        <v>NG</v>
      </c>
      <c r="N108" s="117">
        <f t="shared" si="10"/>
        <v>1</v>
      </c>
      <c r="O108" s="81">
        <f t="shared" si="12"/>
        <v>1.4000000000000004</v>
      </c>
      <c r="P108" s="81">
        <f>IF(G108="","",ABS(O108-Components!$C$2)/Components!$D$2)</f>
        <v>204.77295942648823</v>
      </c>
      <c r="Q108" s="81">
        <f>IF(G108="","",ABS(O108-Components!$C$3)/Components!$D$3)</f>
        <v>191.06224040910288</v>
      </c>
      <c r="R108" s="81">
        <f>IF(G108="","",ABS(O108-Components!$C$4)/Components!$D$4)</f>
        <v>29.092010897138433</v>
      </c>
      <c r="S108" s="81">
        <f>IF(G108="","",ABS(O108-Components!$C$5)/Components!$D$5)</f>
        <v>125.60326211412796</v>
      </c>
      <c r="T108" s="81">
        <f>IF(G108="","",ABS(O108-Components!$C$6)/Components!$D$6)</f>
        <v>8.8435290366694002</v>
      </c>
      <c r="U108" s="81">
        <f>IF(G108="","",ABS(O108-Components!$C$7)/Components!$D$7)</f>
        <v>1.0207238776684515</v>
      </c>
      <c r="V108" s="81" t="str">
        <f>IF(G108="","",IF(M108="OK","NONE",INDEX({"S1","S2","W1","W2","N1","N2"},MATCH(MIN(P108:U108),P108:U108,0))))</f>
        <v>N2</v>
      </c>
      <c r="W108" s="117">
        <f t="shared" si="13"/>
        <v>1</v>
      </c>
      <c r="X108" s="107"/>
    </row>
    <row r="109" spans="1:24">
      <c r="A109" s="115">
        <v>107</v>
      </c>
      <c r="B109" s="116">
        <v>4</v>
      </c>
      <c r="C109" s="81" t="s">
        <v>128</v>
      </c>
      <c r="D109" s="111" t="s">
        <v>240</v>
      </c>
      <c r="E109" s="81" t="s">
        <v>110</v>
      </c>
      <c r="F109" s="52">
        <v>8.61</v>
      </c>
      <c r="G109" s="52">
        <f t="shared" si="7"/>
        <v>9.58</v>
      </c>
      <c r="H109" s="110"/>
      <c r="I109" s="81">
        <f>VLOOKUP(C109,Recipes!$A$2:$N$4,10,FALSE())</f>
        <v>10.940000000000001</v>
      </c>
      <c r="J109" s="81">
        <f>VLOOKUP(C109,Recipes!$A$2:$N$4,12,FALSE())</f>
        <v>5.2703573566378441E-2</v>
      </c>
      <c r="K109" s="81">
        <f t="shared" si="8"/>
        <v>10.755537492517677</v>
      </c>
      <c r="L109" s="81">
        <f t="shared" si="9"/>
        <v>11.124462507482326</v>
      </c>
      <c r="M109" s="81" t="str">
        <f t="shared" si="11"/>
        <v>NG</v>
      </c>
      <c r="N109" s="117">
        <f t="shared" si="10"/>
        <v>1</v>
      </c>
      <c r="O109" s="81">
        <f t="shared" si="12"/>
        <v>1.3600000000000012</v>
      </c>
      <c r="P109" s="81">
        <f>IF(G109="","",ABS(O109-Components!$C$2)/Components!$D$2)</f>
        <v>210.82536216815774</v>
      </c>
      <c r="Q109" s="81">
        <f>IF(G109="","",ABS(O109-Components!$C$3)/Components!$D$3)</f>
        <v>193.96151568086464</v>
      </c>
      <c r="R109" s="81">
        <f>IF(G109="","",ABS(O109-Components!$C$4)/Components!$D$4)</f>
        <v>26.230501628567506</v>
      </c>
      <c r="S109" s="81">
        <f>IF(G109="","",ABS(O109-Components!$C$5)/Components!$D$5)</f>
        <v>127.19183625553764</v>
      </c>
      <c r="T109" s="81">
        <f>IF(G109="","",ABS(O109-Components!$C$6)/Components!$D$6)</f>
        <v>7.395748021116443</v>
      </c>
      <c r="U109" s="81">
        <f>IF(G109="","",ABS(O109-Components!$C$7)/Components!$D$7)</f>
        <v>0.57001463298342292</v>
      </c>
      <c r="V109" s="81" t="str">
        <f>IF(G109="","",IF(M109="OK","NONE",INDEX({"S1","S2","W1","W2","N1","N2"},MATCH(MIN(P109:U109),P109:U109,0))))</f>
        <v>N2</v>
      </c>
      <c r="W109" s="117">
        <f t="shared" si="13"/>
        <v>1</v>
      </c>
      <c r="X109" s="107"/>
    </row>
    <row r="110" spans="1:24">
      <c r="A110" s="115">
        <v>108</v>
      </c>
      <c r="B110" s="116">
        <v>4</v>
      </c>
      <c r="C110" s="81" t="s">
        <v>128</v>
      </c>
      <c r="D110" s="111" t="s">
        <v>240</v>
      </c>
      <c r="E110" s="81" t="s">
        <v>110</v>
      </c>
      <c r="F110" s="52">
        <v>8.59</v>
      </c>
      <c r="G110" s="52">
        <f t="shared" si="7"/>
        <v>9.56</v>
      </c>
      <c r="H110" s="110"/>
      <c r="I110" s="81">
        <f>VLOOKUP(C110,Recipes!$A$2:$N$4,10,FALSE())</f>
        <v>10.940000000000001</v>
      </c>
      <c r="J110" s="81">
        <f>VLOOKUP(C110,Recipes!$A$2:$N$4,12,FALSE())</f>
        <v>5.2703573566378441E-2</v>
      </c>
      <c r="K110" s="81">
        <f t="shared" si="8"/>
        <v>10.755537492517677</v>
      </c>
      <c r="L110" s="81">
        <f t="shared" si="9"/>
        <v>11.124462507482326</v>
      </c>
      <c r="M110" s="81" t="str">
        <f t="shared" si="11"/>
        <v>NG</v>
      </c>
      <c r="N110" s="117">
        <f t="shared" si="10"/>
        <v>1</v>
      </c>
      <c r="O110" s="81">
        <f t="shared" si="12"/>
        <v>1.3800000000000008</v>
      </c>
      <c r="P110" s="81">
        <f>IF(G110="","",ABS(O110-Components!$C$2)/Components!$D$2)</f>
        <v>207.799160797323</v>
      </c>
      <c r="Q110" s="81">
        <f>IF(G110="","",ABS(O110-Components!$C$3)/Components!$D$3)</f>
        <v>192.51187804498375</v>
      </c>
      <c r="R110" s="81">
        <f>IF(G110="","",ABS(O110-Components!$C$4)/Components!$D$4)</f>
        <v>27.661256262852969</v>
      </c>
      <c r="S110" s="81">
        <f>IF(G110="","",ABS(O110-Components!$C$5)/Components!$D$5)</f>
        <v>126.3975491848328</v>
      </c>
      <c r="T110" s="81">
        <f>IF(G110="","",ABS(O110-Components!$C$6)/Components!$D$6)</f>
        <v>8.1196385288929225</v>
      </c>
      <c r="U110" s="81">
        <f>IF(G110="","",ABS(O110-Components!$C$7)/Components!$D$7)</f>
        <v>0.2253546223425143</v>
      </c>
      <c r="V110" s="81" t="str">
        <f>IF(G110="","",IF(M110="OK","NONE",INDEX({"S1","S2","W1","W2","N1","N2"},MATCH(MIN(P110:U110),P110:U110,0))))</f>
        <v>N2</v>
      </c>
      <c r="W110" s="117">
        <f t="shared" si="13"/>
        <v>1</v>
      </c>
      <c r="X110" s="107"/>
    </row>
    <row r="111" spans="1:24">
      <c r="A111" s="115">
        <v>109</v>
      </c>
      <c r="B111" s="116">
        <v>4</v>
      </c>
      <c r="C111" s="81" t="s">
        <v>128</v>
      </c>
      <c r="D111" s="111" t="s">
        <v>240</v>
      </c>
      <c r="E111" s="81" t="s">
        <v>110</v>
      </c>
      <c r="F111" s="52">
        <v>8.5</v>
      </c>
      <c r="G111" s="52">
        <f t="shared" si="7"/>
        <v>9.4700000000000006</v>
      </c>
      <c r="H111" s="110"/>
      <c r="I111" s="81">
        <f>VLOOKUP(C111,Recipes!$A$2:$N$4,10,FALSE())</f>
        <v>10.940000000000001</v>
      </c>
      <c r="J111" s="81">
        <f>VLOOKUP(C111,Recipes!$A$2:$N$4,12,FALSE())</f>
        <v>5.2703573566378441E-2</v>
      </c>
      <c r="K111" s="81">
        <f t="shared" si="8"/>
        <v>10.755537492517677</v>
      </c>
      <c r="L111" s="81">
        <f t="shared" si="9"/>
        <v>11.124462507482326</v>
      </c>
      <c r="M111" s="81" t="str">
        <f t="shared" si="11"/>
        <v>NG</v>
      </c>
      <c r="N111" s="117">
        <f t="shared" si="10"/>
        <v>1</v>
      </c>
      <c r="O111" s="81">
        <f t="shared" si="12"/>
        <v>1.4700000000000006</v>
      </c>
      <c r="P111" s="81">
        <f>IF(G111="","",ABS(O111-Components!$C$2)/Components!$D$2)</f>
        <v>194.18125462856636</v>
      </c>
      <c r="Q111" s="81">
        <f>IF(G111="","",ABS(O111-Components!$C$3)/Components!$D$3)</f>
        <v>185.98850868351971</v>
      </c>
      <c r="R111" s="81">
        <f>IF(G111="","",ABS(O111-Components!$C$4)/Components!$D$4)</f>
        <v>34.09965211713768</v>
      </c>
      <c r="S111" s="81">
        <f>IF(G111="","",ABS(O111-Components!$C$5)/Components!$D$5)</f>
        <v>122.82325736666095</v>
      </c>
      <c r="T111" s="81">
        <f>IF(G111="","",ABS(O111-Components!$C$6)/Components!$D$6)</f>
        <v>11.377145813887141</v>
      </c>
      <c r="U111" s="81">
        <f>IF(G111="","",ABS(O111-Components!$C$7)/Components!$D$7)</f>
        <v>3.8045162713093026</v>
      </c>
      <c r="V111" s="81" t="str">
        <f>IF(G111="","",IF(M111="OK","NONE",INDEX({"S1","S2","W1","W2","N1","N2"},MATCH(MIN(P111:U111),P111:U111,0))))</f>
        <v>N2</v>
      </c>
      <c r="W111" s="117">
        <f t="shared" si="13"/>
        <v>1</v>
      </c>
      <c r="X111" s="107"/>
    </row>
    <row r="112" spans="1:24">
      <c r="A112" s="115">
        <v>110</v>
      </c>
      <c r="B112" s="116">
        <v>4</v>
      </c>
      <c r="C112" s="81" t="s">
        <v>128</v>
      </c>
      <c r="D112" s="111" t="s">
        <v>240</v>
      </c>
      <c r="E112" s="81" t="s">
        <v>110</v>
      </c>
      <c r="F112" s="52">
        <v>8.6199999999999992</v>
      </c>
      <c r="G112" s="52">
        <f t="shared" si="7"/>
        <v>9.59</v>
      </c>
      <c r="H112" s="110"/>
      <c r="I112" s="81">
        <f>VLOOKUP(C112,Recipes!$A$2:$N$4,10,FALSE())</f>
        <v>10.940000000000001</v>
      </c>
      <c r="J112" s="81">
        <f>VLOOKUP(C112,Recipes!$A$2:$N$4,12,FALSE())</f>
        <v>5.2703573566378441E-2</v>
      </c>
      <c r="K112" s="81">
        <f t="shared" si="8"/>
        <v>10.755537492517677</v>
      </c>
      <c r="L112" s="81">
        <f t="shared" si="9"/>
        <v>11.124462507482326</v>
      </c>
      <c r="M112" s="81" t="str">
        <f t="shared" si="11"/>
        <v>NG</v>
      </c>
      <c r="N112" s="117">
        <f t="shared" si="10"/>
        <v>1</v>
      </c>
      <c r="O112" s="81">
        <f t="shared" si="12"/>
        <v>1.3500000000000014</v>
      </c>
      <c r="P112" s="81">
        <f>IF(G112="","",ABS(O112-Components!$C$2)/Components!$D$2)</f>
        <v>212.33846285357509</v>
      </c>
      <c r="Q112" s="81">
        <f>IF(G112="","",ABS(O112-Components!$C$3)/Components!$D$3)</f>
        <v>194.68633449880505</v>
      </c>
      <c r="R112" s="81">
        <f>IF(G112="","",ABS(O112-Components!$C$4)/Components!$D$4)</f>
        <v>25.515124311424774</v>
      </c>
      <c r="S112" s="81">
        <f>IF(G112="","",ABS(O112-Components!$C$5)/Components!$D$5)</f>
        <v>127.58897979089005</v>
      </c>
      <c r="T112" s="81">
        <f>IF(G112="","",ABS(O112-Components!$C$6)/Components!$D$6)</f>
        <v>7.0338027672282033</v>
      </c>
      <c r="U112" s="81">
        <f>IF(G112="","",ABS(O112-Components!$C$7)/Components!$D$7)</f>
        <v>0.96769926064639156</v>
      </c>
      <c r="V112" s="81" t="str">
        <f>IF(G112="","",IF(M112="OK","NONE",INDEX({"S1","S2","W1","W2","N1","N2"},MATCH(MIN(P112:U112),P112:U112,0))))</f>
        <v>N2</v>
      </c>
      <c r="W112" s="117">
        <f t="shared" si="13"/>
        <v>1</v>
      </c>
      <c r="X112" s="107"/>
    </row>
    <row r="113" spans="1:24">
      <c r="A113" s="115">
        <v>111</v>
      </c>
      <c r="B113" s="116">
        <v>4</v>
      </c>
      <c r="C113" s="81" t="s">
        <v>128</v>
      </c>
      <c r="D113" s="111" t="s">
        <v>240</v>
      </c>
      <c r="E113" s="81" t="s">
        <v>110</v>
      </c>
      <c r="F113" s="52">
        <v>8.61</v>
      </c>
      <c r="G113" s="52">
        <f t="shared" si="7"/>
        <v>9.58</v>
      </c>
      <c r="H113" s="110"/>
      <c r="I113" s="81">
        <f>VLOOKUP(C113,Recipes!$A$2:$N$4,10,FALSE())</f>
        <v>10.940000000000001</v>
      </c>
      <c r="J113" s="81">
        <f>VLOOKUP(C113,Recipes!$A$2:$N$4,12,FALSE())</f>
        <v>5.2703573566378441E-2</v>
      </c>
      <c r="K113" s="81">
        <f t="shared" si="8"/>
        <v>10.755537492517677</v>
      </c>
      <c r="L113" s="81">
        <f t="shared" si="9"/>
        <v>11.124462507482326</v>
      </c>
      <c r="M113" s="81" t="str">
        <f t="shared" si="11"/>
        <v>NG</v>
      </c>
      <c r="N113" s="117">
        <f t="shared" si="10"/>
        <v>1</v>
      </c>
      <c r="O113" s="81">
        <f t="shared" si="12"/>
        <v>1.3600000000000012</v>
      </c>
      <c r="P113" s="81">
        <f>IF(G113="","",ABS(O113-Components!$C$2)/Components!$D$2)</f>
        <v>210.82536216815774</v>
      </c>
      <c r="Q113" s="81">
        <f>IF(G113="","",ABS(O113-Components!$C$3)/Components!$D$3)</f>
        <v>193.96151568086464</v>
      </c>
      <c r="R113" s="81">
        <f>IF(G113="","",ABS(O113-Components!$C$4)/Components!$D$4)</f>
        <v>26.230501628567506</v>
      </c>
      <c r="S113" s="81">
        <f>IF(G113="","",ABS(O113-Components!$C$5)/Components!$D$5)</f>
        <v>127.19183625553764</v>
      </c>
      <c r="T113" s="81">
        <f>IF(G113="","",ABS(O113-Components!$C$6)/Components!$D$6)</f>
        <v>7.395748021116443</v>
      </c>
      <c r="U113" s="81">
        <f>IF(G113="","",ABS(O113-Components!$C$7)/Components!$D$7)</f>
        <v>0.57001463298342292</v>
      </c>
      <c r="V113" s="81" t="str">
        <f>IF(G113="","",IF(M113="OK","NONE",INDEX({"S1","S2","W1","W2","N1","N2"},MATCH(MIN(P113:U113),P113:U113,0))))</f>
        <v>N2</v>
      </c>
      <c r="W113" s="117">
        <f t="shared" si="13"/>
        <v>1</v>
      </c>
      <c r="X113" s="107"/>
    </row>
    <row r="114" spans="1:24">
      <c r="A114" s="115">
        <v>112</v>
      </c>
      <c r="B114" s="116">
        <v>4</v>
      </c>
      <c r="C114" s="81" t="s">
        <v>128</v>
      </c>
      <c r="D114" s="111" t="s">
        <v>240</v>
      </c>
      <c r="E114" s="81" t="s">
        <v>110</v>
      </c>
      <c r="F114" s="52">
        <v>8.58</v>
      </c>
      <c r="G114" s="52">
        <f t="shared" si="7"/>
        <v>9.5500000000000007</v>
      </c>
      <c r="H114" s="110"/>
      <c r="I114" s="81">
        <f>VLOOKUP(C114,Recipes!$A$2:$N$4,10,FALSE())</f>
        <v>10.940000000000001</v>
      </c>
      <c r="J114" s="81">
        <f>VLOOKUP(C114,Recipes!$A$2:$N$4,12,FALSE())</f>
        <v>5.2703573566378441E-2</v>
      </c>
      <c r="K114" s="81">
        <f t="shared" si="8"/>
        <v>10.755537492517677</v>
      </c>
      <c r="L114" s="81">
        <f t="shared" si="9"/>
        <v>11.124462507482326</v>
      </c>
      <c r="M114" s="81" t="str">
        <f t="shared" si="11"/>
        <v>NG</v>
      </c>
      <c r="N114" s="117">
        <f t="shared" si="10"/>
        <v>1</v>
      </c>
      <c r="O114" s="81">
        <f t="shared" si="12"/>
        <v>1.3900000000000006</v>
      </c>
      <c r="P114" s="81">
        <f>IF(G114="","",ABS(O114-Components!$C$2)/Components!$D$2)</f>
        <v>206.28606011190561</v>
      </c>
      <c r="Q114" s="81">
        <f>IF(G114="","",ABS(O114-Components!$C$3)/Components!$D$3)</f>
        <v>191.78705922704333</v>
      </c>
      <c r="R114" s="81">
        <f>IF(G114="","",ABS(O114-Components!$C$4)/Components!$D$4)</f>
        <v>28.376633579995701</v>
      </c>
      <c r="S114" s="81">
        <f>IF(G114="","",ABS(O114-Components!$C$5)/Components!$D$5)</f>
        <v>126.00040564948038</v>
      </c>
      <c r="T114" s="81">
        <f>IF(G114="","",ABS(O114-Components!$C$6)/Components!$D$6)</f>
        <v>8.4815837827811613</v>
      </c>
      <c r="U114" s="81">
        <f>IF(G114="","",ABS(O114-Components!$C$7)/Components!$D$7)</f>
        <v>0.62303925000548288</v>
      </c>
      <c r="V114" s="81" t="str">
        <f>IF(G114="","",IF(M114="OK","NONE",INDEX({"S1","S2","W1","W2","N1","N2"},MATCH(MIN(P114:U114),P114:U114,0))))</f>
        <v>N2</v>
      </c>
      <c r="W114" s="117">
        <f t="shared" si="13"/>
        <v>1</v>
      </c>
      <c r="X114" s="107"/>
    </row>
    <row r="115" spans="1:24">
      <c r="A115" s="115">
        <v>113</v>
      </c>
      <c r="B115" s="116">
        <v>4</v>
      </c>
      <c r="C115" s="81" t="s">
        <v>128</v>
      </c>
      <c r="D115" s="111" t="s">
        <v>240</v>
      </c>
      <c r="E115" s="81" t="s">
        <v>110</v>
      </c>
      <c r="F115" s="52">
        <v>8.59</v>
      </c>
      <c r="G115" s="52">
        <f t="shared" si="7"/>
        <v>9.56</v>
      </c>
      <c r="H115" s="110"/>
      <c r="I115" s="81">
        <f>VLOOKUP(C115,Recipes!$A$2:$N$4,10,FALSE())</f>
        <v>10.940000000000001</v>
      </c>
      <c r="J115" s="81">
        <f>VLOOKUP(C115,Recipes!$A$2:$N$4,12,FALSE())</f>
        <v>5.2703573566378441E-2</v>
      </c>
      <c r="K115" s="81">
        <f t="shared" si="8"/>
        <v>10.755537492517677</v>
      </c>
      <c r="L115" s="81">
        <f t="shared" si="9"/>
        <v>11.124462507482326</v>
      </c>
      <c r="M115" s="81" t="str">
        <f t="shared" si="11"/>
        <v>NG</v>
      </c>
      <c r="N115" s="117">
        <f t="shared" si="10"/>
        <v>1</v>
      </c>
      <c r="O115" s="81">
        <f t="shared" si="12"/>
        <v>1.3800000000000008</v>
      </c>
      <c r="P115" s="81">
        <f>IF(G115="","",ABS(O115-Components!$C$2)/Components!$D$2)</f>
        <v>207.799160797323</v>
      </c>
      <c r="Q115" s="81">
        <f>IF(G115="","",ABS(O115-Components!$C$3)/Components!$D$3)</f>
        <v>192.51187804498375</v>
      </c>
      <c r="R115" s="81">
        <f>IF(G115="","",ABS(O115-Components!$C$4)/Components!$D$4)</f>
        <v>27.661256262852969</v>
      </c>
      <c r="S115" s="81">
        <f>IF(G115="","",ABS(O115-Components!$C$5)/Components!$D$5)</f>
        <v>126.3975491848328</v>
      </c>
      <c r="T115" s="81">
        <f>IF(G115="","",ABS(O115-Components!$C$6)/Components!$D$6)</f>
        <v>8.1196385288929225</v>
      </c>
      <c r="U115" s="81">
        <f>IF(G115="","",ABS(O115-Components!$C$7)/Components!$D$7)</f>
        <v>0.2253546223425143</v>
      </c>
      <c r="V115" s="81" t="str">
        <f>IF(G115="","",IF(M115="OK","NONE",INDEX({"S1","S2","W1","W2","N1","N2"},MATCH(MIN(P115:U115),P115:U115,0))))</f>
        <v>N2</v>
      </c>
      <c r="W115" s="117">
        <f t="shared" si="13"/>
        <v>1</v>
      </c>
      <c r="X115" s="107"/>
    </row>
    <row r="116" spans="1:24">
      <c r="A116" s="115">
        <v>114</v>
      </c>
      <c r="B116" s="116">
        <v>4</v>
      </c>
      <c r="C116" s="81" t="s">
        <v>128</v>
      </c>
      <c r="D116" s="111" t="s">
        <v>240</v>
      </c>
      <c r="E116" s="81" t="s">
        <v>110</v>
      </c>
      <c r="F116" s="52">
        <v>8.6300000000000008</v>
      </c>
      <c r="G116" s="52">
        <f t="shared" si="7"/>
        <v>9.6000000000000014</v>
      </c>
      <c r="H116" s="110"/>
      <c r="I116" s="81">
        <f>VLOOKUP(C116,Recipes!$A$2:$N$4,10,FALSE())</f>
        <v>10.940000000000001</v>
      </c>
      <c r="J116" s="81">
        <f>VLOOKUP(C116,Recipes!$A$2:$N$4,12,FALSE())</f>
        <v>5.2703573566378441E-2</v>
      </c>
      <c r="K116" s="81">
        <f t="shared" si="8"/>
        <v>10.755537492517677</v>
      </c>
      <c r="L116" s="81">
        <f t="shared" si="9"/>
        <v>11.124462507482326</v>
      </c>
      <c r="M116" s="81" t="str">
        <f t="shared" si="11"/>
        <v>NG</v>
      </c>
      <c r="N116" s="117">
        <f t="shared" si="10"/>
        <v>1</v>
      </c>
      <c r="O116" s="81">
        <f t="shared" si="12"/>
        <v>1.3399999999999999</v>
      </c>
      <c r="P116" s="81">
        <f>IF(G116="","",ABS(O116-Components!$C$2)/Components!$D$2)</f>
        <v>213.85156353899274</v>
      </c>
      <c r="Q116" s="81">
        <f>IF(G116="","",ABS(O116-Components!$C$3)/Components!$D$3)</f>
        <v>195.41115331674561</v>
      </c>
      <c r="R116" s="81">
        <f>IF(G116="","",ABS(O116-Components!$C$4)/Components!$D$4)</f>
        <v>24.799746994281914</v>
      </c>
      <c r="S116" s="81">
        <f>IF(G116="","",ABS(O116-Components!$C$5)/Components!$D$5)</f>
        <v>127.98612332624255</v>
      </c>
      <c r="T116" s="81">
        <f>IF(G116="","",ABS(O116-Components!$C$6)/Components!$D$6)</f>
        <v>6.6718575133398996</v>
      </c>
      <c r="U116" s="81">
        <f>IF(G116="","",ABS(O116-Components!$C$7)/Components!$D$7)</f>
        <v>1.3653838883094307</v>
      </c>
      <c r="V116" s="81" t="str">
        <f>IF(G116="","",IF(M116="OK","NONE",INDEX({"S1","S2","W1","W2","N1","N2"},MATCH(MIN(P116:U116),P116:U116,0))))</f>
        <v>N2</v>
      </c>
      <c r="W116" s="117">
        <f t="shared" si="13"/>
        <v>1</v>
      </c>
      <c r="X116" s="107"/>
    </row>
    <row r="117" spans="1:24">
      <c r="A117" s="115">
        <v>115</v>
      </c>
      <c r="B117" s="116">
        <v>4</v>
      </c>
      <c r="C117" s="81" t="s">
        <v>128</v>
      </c>
      <c r="D117" s="111" t="s">
        <v>240</v>
      </c>
      <c r="E117" s="81" t="s">
        <v>110</v>
      </c>
      <c r="F117" s="52">
        <v>8.6300000000000008</v>
      </c>
      <c r="G117" s="52">
        <f t="shared" si="7"/>
        <v>9.6000000000000014</v>
      </c>
      <c r="H117" s="110"/>
      <c r="I117" s="81">
        <f>VLOOKUP(C117,Recipes!$A$2:$N$4,10,FALSE())</f>
        <v>10.940000000000001</v>
      </c>
      <c r="J117" s="81">
        <f>VLOOKUP(C117,Recipes!$A$2:$N$4,12,FALSE())</f>
        <v>5.2703573566378441E-2</v>
      </c>
      <c r="K117" s="81">
        <f t="shared" si="8"/>
        <v>10.755537492517677</v>
      </c>
      <c r="L117" s="81">
        <f t="shared" si="9"/>
        <v>11.124462507482326</v>
      </c>
      <c r="M117" s="81" t="str">
        <f t="shared" si="11"/>
        <v>NG</v>
      </c>
      <c r="N117" s="117">
        <f t="shared" si="10"/>
        <v>1</v>
      </c>
      <c r="O117" s="81">
        <f t="shared" si="12"/>
        <v>1.3399999999999999</v>
      </c>
      <c r="P117" s="81">
        <f>IF(G117="","",ABS(O117-Components!$C$2)/Components!$D$2)</f>
        <v>213.85156353899274</v>
      </c>
      <c r="Q117" s="81">
        <f>IF(G117="","",ABS(O117-Components!$C$3)/Components!$D$3)</f>
        <v>195.41115331674561</v>
      </c>
      <c r="R117" s="81">
        <f>IF(G117="","",ABS(O117-Components!$C$4)/Components!$D$4)</f>
        <v>24.799746994281914</v>
      </c>
      <c r="S117" s="81">
        <f>IF(G117="","",ABS(O117-Components!$C$5)/Components!$D$5)</f>
        <v>127.98612332624255</v>
      </c>
      <c r="T117" s="81">
        <f>IF(G117="","",ABS(O117-Components!$C$6)/Components!$D$6)</f>
        <v>6.6718575133398996</v>
      </c>
      <c r="U117" s="81">
        <f>IF(G117="","",ABS(O117-Components!$C$7)/Components!$D$7)</f>
        <v>1.3653838883094307</v>
      </c>
      <c r="V117" s="81" t="str">
        <f>IF(G117="","",IF(M117="OK","NONE",INDEX({"S1","S2","W1","W2","N1","N2"},MATCH(MIN(P117:U117),P117:U117,0))))</f>
        <v>N2</v>
      </c>
      <c r="W117" s="117">
        <f t="shared" si="13"/>
        <v>1</v>
      </c>
      <c r="X117" s="107"/>
    </row>
    <row r="118" spans="1:24">
      <c r="A118" s="115">
        <v>116</v>
      </c>
      <c r="B118" s="116">
        <v>4</v>
      </c>
      <c r="C118" s="81" t="s">
        <v>128</v>
      </c>
      <c r="D118" s="111" t="s">
        <v>240</v>
      </c>
      <c r="E118" s="81" t="s">
        <v>110</v>
      </c>
      <c r="F118" s="52">
        <v>8.59</v>
      </c>
      <c r="G118" s="52">
        <f t="shared" si="7"/>
        <v>9.56</v>
      </c>
      <c r="H118" s="110"/>
      <c r="I118" s="81">
        <f>VLOOKUP(C118,Recipes!$A$2:$N$4,10,FALSE())</f>
        <v>10.940000000000001</v>
      </c>
      <c r="J118" s="81">
        <f>VLOOKUP(C118,Recipes!$A$2:$N$4,12,FALSE())</f>
        <v>5.2703573566378441E-2</v>
      </c>
      <c r="K118" s="81">
        <f t="shared" si="8"/>
        <v>10.755537492517677</v>
      </c>
      <c r="L118" s="81">
        <f t="shared" si="9"/>
        <v>11.124462507482326</v>
      </c>
      <c r="M118" s="81" t="str">
        <f t="shared" si="11"/>
        <v>NG</v>
      </c>
      <c r="N118" s="117">
        <f t="shared" si="10"/>
        <v>1</v>
      </c>
      <c r="O118" s="81">
        <f t="shared" si="12"/>
        <v>1.3800000000000008</v>
      </c>
      <c r="P118" s="81">
        <f>IF(G118="","",ABS(O118-Components!$C$2)/Components!$D$2)</f>
        <v>207.799160797323</v>
      </c>
      <c r="Q118" s="81">
        <f>IF(G118="","",ABS(O118-Components!$C$3)/Components!$D$3)</f>
        <v>192.51187804498375</v>
      </c>
      <c r="R118" s="81">
        <f>IF(G118="","",ABS(O118-Components!$C$4)/Components!$D$4)</f>
        <v>27.661256262852969</v>
      </c>
      <c r="S118" s="81">
        <f>IF(G118="","",ABS(O118-Components!$C$5)/Components!$D$5)</f>
        <v>126.3975491848328</v>
      </c>
      <c r="T118" s="81">
        <f>IF(G118="","",ABS(O118-Components!$C$6)/Components!$D$6)</f>
        <v>8.1196385288929225</v>
      </c>
      <c r="U118" s="81">
        <f>IF(G118="","",ABS(O118-Components!$C$7)/Components!$D$7)</f>
        <v>0.2253546223425143</v>
      </c>
      <c r="V118" s="81" t="str">
        <f>IF(G118="","",IF(M118="OK","NONE",INDEX({"S1","S2","W1","W2","N1","N2"},MATCH(MIN(P118:U118),P118:U118,0))))</f>
        <v>N2</v>
      </c>
      <c r="W118" s="117">
        <f t="shared" si="13"/>
        <v>1</v>
      </c>
      <c r="X118" s="107"/>
    </row>
    <row r="119" spans="1:24">
      <c r="A119" s="115">
        <v>117</v>
      </c>
      <c r="B119" s="116">
        <v>4</v>
      </c>
      <c r="C119" s="81" t="s">
        <v>128</v>
      </c>
      <c r="D119" s="111" t="s">
        <v>240</v>
      </c>
      <c r="E119" s="81" t="s">
        <v>110</v>
      </c>
      <c r="F119" s="52">
        <v>8.56</v>
      </c>
      <c r="G119" s="52">
        <f t="shared" si="7"/>
        <v>9.5300000000000011</v>
      </c>
      <c r="H119" s="110"/>
      <c r="I119" s="81">
        <f>VLOOKUP(C119,Recipes!$A$2:$N$4,10,FALSE())</f>
        <v>10.940000000000001</v>
      </c>
      <c r="J119" s="81">
        <f>VLOOKUP(C119,Recipes!$A$2:$N$4,12,FALSE())</f>
        <v>5.2703573566378441E-2</v>
      </c>
      <c r="K119" s="81">
        <f t="shared" si="8"/>
        <v>10.755537492517677</v>
      </c>
      <c r="L119" s="81">
        <f t="shared" si="9"/>
        <v>11.124462507482326</v>
      </c>
      <c r="M119" s="81" t="str">
        <f t="shared" si="11"/>
        <v>NG</v>
      </c>
      <c r="N119" s="117">
        <f t="shared" si="10"/>
        <v>1</v>
      </c>
      <c r="O119" s="81">
        <f t="shared" si="12"/>
        <v>1.4100000000000001</v>
      </c>
      <c r="P119" s="81">
        <f>IF(G119="","",ABS(O119-Components!$C$2)/Components!$D$2)</f>
        <v>203.25985874107087</v>
      </c>
      <c r="Q119" s="81">
        <f>IF(G119="","",ABS(O119-Components!$C$3)/Components!$D$3)</f>
        <v>190.33742159116244</v>
      </c>
      <c r="R119" s="81">
        <f>IF(G119="","",ABS(O119-Components!$C$4)/Components!$D$4)</f>
        <v>29.807388214281165</v>
      </c>
      <c r="S119" s="81">
        <f>IF(G119="","",ABS(O119-Components!$C$5)/Components!$D$5)</f>
        <v>125.20611857877554</v>
      </c>
      <c r="T119" s="81">
        <f>IF(G119="","",ABS(O119-Components!$C$6)/Components!$D$6)</f>
        <v>9.2054742905576408</v>
      </c>
      <c r="U119" s="81">
        <f>IF(G119="","",ABS(O119-Components!$C$7)/Components!$D$7)</f>
        <v>1.4184085053314202</v>
      </c>
      <c r="V119" s="81" t="str">
        <f>IF(G119="","",IF(M119="OK","NONE",INDEX({"S1","S2","W1","W2","N1","N2"},MATCH(MIN(P119:U119),P119:U119,0))))</f>
        <v>N2</v>
      </c>
      <c r="W119" s="117">
        <f t="shared" si="13"/>
        <v>1</v>
      </c>
      <c r="X119" s="107"/>
    </row>
    <row r="120" spans="1:24">
      <c r="A120" s="115">
        <v>118</v>
      </c>
      <c r="B120" s="116">
        <v>4</v>
      </c>
      <c r="C120" s="81" t="s">
        <v>128</v>
      </c>
      <c r="D120" s="111" t="s">
        <v>240</v>
      </c>
      <c r="E120" s="81" t="s">
        <v>110</v>
      </c>
      <c r="F120" s="52">
        <v>8.58</v>
      </c>
      <c r="G120" s="52">
        <f t="shared" si="7"/>
        <v>9.5500000000000007</v>
      </c>
      <c r="H120" s="110"/>
      <c r="I120" s="81">
        <f>VLOOKUP(C120,Recipes!$A$2:$N$4,10,FALSE())</f>
        <v>10.940000000000001</v>
      </c>
      <c r="J120" s="81">
        <f>VLOOKUP(C120,Recipes!$A$2:$N$4,12,FALSE())</f>
        <v>5.2703573566378441E-2</v>
      </c>
      <c r="K120" s="81">
        <f t="shared" si="8"/>
        <v>10.755537492517677</v>
      </c>
      <c r="L120" s="81">
        <f t="shared" si="9"/>
        <v>11.124462507482326</v>
      </c>
      <c r="M120" s="81" t="str">
        <f t="shared" si="11"/>
        <v>NG</v>
      </c>
      <c r="N120" s="117">
        <f t="shared" si="10"/>
        <v>1</v>
      </c>
      <c r="O120" s="81">
        <f t="shared" si="12"/>
        <v>1.3900000000000006</v>
      </c>
      <c r="P120" s="81">
        <f>IF(G120="","",ABS(O120-Components!$C$2)/Components!$D$2)</f>
        <v>206.28606011190561</v>
      </c>
      <c r="Q120" s="81">
        <f>IF(G120="","",ABS(O120-Components!$C$3)/Components!$D$3)</f>
        <v>191.78705922704333</v>
      </c>
      <c r="R120" s="81">
        <f>IF(G120="","",ABS(O120-Components!$C$4)/Components!$D$4)</f>
        <v>28.376633579995701</v>
      </c>
      <c r="S120" s="81">
        <f>IF(G120="","",ABS(O120-Components!$C$5)/Components!$D$5)</f>
        <v>126.00040564948038</v>
      </c>
      <c r="T120" s="81">
        <f>IF(G120="","",ABS(O120-Components!$C$6)/Components!$D$6)</f>
        <v>8.4815837827811613</v>
      </c>
      <c r="U120" s="81">
        <f>IF(G120="","",ABS(O120-Components!$C$7)/Components!$D$7)</f>
        <v>0.62303925000548288</v>
      </c>
      <c r="V120" s="81" t="str">
        <f>IF(G120="","",IF(M120="OK","NONE",INDEX({"S1","S2","W1","W2","N1","N2"},MATCH(MIN(P120:U120),P120:U120,0))))</f>
        <v>N2</v>
      </c>
      <c r="W120" s="117">
        <f t="shared" si="13"/>
        <v>1</v>
      </c>
      <c r="X120" s="107"/>
    </row>
    <row r="121" spans="1:24">
      <c r="A121" s="115">
        <v>119</v>
      </c>
      <c r="B121" s="116">
        <v>4</v>
      </c>
      <c r="C121" s="81" t="s">
        <v>128</v>
      </c>
      <c r="D121" s="111" t="s">
        <v>240</v>
      </c>
      <c r="E121" s="81" t="s">
        <v>110</v>
      </c>
      <c r="F121" s="52">
        <v>8.6300000000000008</v>
      </c>
      <c r="G121" s="52">
        <f t="shared" si="7"/>
        <v>9.6000000000000014</v>
      </c>
      <c r="H121" s="110"/>
      <c r="I121" s="81">
        <f>VLOOKUP(C121,Recipes!$A$2:$N$4,10,FALSE())</f>
        <v>10.940000000000001</v>
      </c>
      <c r="J121" s="81">
        <f>VLOOKUP(C121,Recipes!$A$2:$N$4,12,FALSE())</f>
        <v>5.2703573566378441E-2</v>
      </c>
      <c r="K121" s="81">
        <f t="shared" si="8"/>
        <v>10.755537492517677</v>
      </c>
      <c r="L121" s="81">
        <f t="shared" si="9"/>
        <v>11.124462507482326</v>
      </c>
      <c r="M121" s="81" t="str">
        <f t="shared" si="11"/>
        <v>NG</v>
      </c>
      <c r="N121" s="117">
        <f t="shared" si="10"/>
        <v>1</v>
      </c>
      <c r="O121" s="81">
        <f t="shared" si="12"/>
        <v>1.3399999999999999</v>
      </c>
      <c r="P121" s="81">
        <f>IF(G121="","",ABS(O121-Components!$C$2)/Components!$D$2)</f>
        <v>213.85156353899274</v>
      </c>
      <c r="Q121" s="81">
        <f>IF(G121="","",ABS(O121-Components!$C$3)/Components!$D$3)</f>
        <v>195.41115331674561</v>
      </c>
      <c r="R121" s="81">
        <f>IF(G121="","",ABS(O121-Components!$C$4)/Components!$D$4)</f>
        <v>24.799746994281914</v>
      </c>
      <c r="S121" s="81">
        <f>IF(G121="","",ABS(O121-Components!$C$5)/Components!$D$5)</f>
        <v>127.98612332624255</v>
      </c>
      <c r="T121" s="81">
        <f>IF(G121="","",ABS(O121-Components!$C$6)/Components!$D$6)</f>
        <v>6.6718575133398996</v>
      </c>
      <c r="U121" s="81">
        <f>IF(G121="","",ABS(O121-Components!$C$7)/Components!$D$7)</f>
        <v>1.3653838883094307</v>
      </c>
      <c r="V121" s="81" t="str">
        <f>IF(G121="","",IF(M121="OK","NONE",INDEX({"S1","S2","W1","W2","N1","N2"},MATCH(MIN(P121:U121),P121:U121,0))))</f>
        <v>N2</v>
      </c>
      <c r="W121" s="117">
        <f t="shared" si="13"/>
        <v>1</v>
      </c>
      <c r="X121" s="107"/>
    </row>
    <row r="122" spans="1:24">
      <c r="A122" s="115">
        <v>120</v>
      </c>
      <c r="B122" s="116">
        <v>4</v>
      </c>
      <c r="C122" s="81" t="s">
        <v>128</v>
      </c>
      <c r="D122" s="111" t="s">
        <v>240</v>
      </c>
      <c r="E122" s="81" t="s">
        <v>110</v>
      </c>
      <c r="F122" s="52">
        <v>8.59</v>
      </c>
      <c r="G122" s="52">
        <f t="shared" si="7"/>
        <v>9.56</v>
      </c>
      <c r="H122" s="110"/>
      <c r="I122" s="81">
        <f>VLOOKUP(C122,Recipes!$A$2:$N$4,10,FALSE())</f>
        <v>10.940000000000001</v>
      </c>
      <c r="J122" s="81">
        <f>VLOOKUP(C122,Recipes!$A$2:$N$4,12,FALSE())</f>
        <v>5.2703573566378441E-2</v>
      </c>
      <c r="K122" s="81">
        <f t="shared" si="8"/>
        <v>10.755537492517677</v>
      </c>
      <c r="L122" s="81">
        <f t="shared" si="9"/>
        <v>11.124462507482326</v>
      </c>
      <c r="M122" s="81" t="str">
        <f t="shared" si="11"/>
        <v>NG</v>
      </c>
      <c r="N122" s="117">
        <f t="shared" si="10"/>
        <v>1</v>
      </c>
      <c r="O122" s="81">
        <f t="shared" si="12"/>
        <v>1.3800000000000008</v>
      </c>
      <c r="P122" s="81">
        <f>IF(G122="","",ABS(O122-Components!$C$2)/Components!$D$2)</f>
        <v>207.799160797323</v>
      </c>
      <c r="Q122" s="81">
        <f>IF(G122="","",ABS(O122-Components!$C$3)/Components!$D$3)</f>
        <v>192.51187804498375</v>
      </c>
      <c r="R122" s="81">
        <f>IF(G122="","",ABS(O122-Components!$C$4)/Components!$D$4)</f>
        <v>27.661256262852969</v>
      </c>
      <c r="S122" s="81">
        <f>IF(G122="","",ABS(O122-Components!$C$5)/Components!$D$5)</f>
        <v>126.3975491848328</v>
      </c>
      <c r="T122" s="81">
        <f>IF(G122="","",ABS(O122-Components!$C$6)/Components!$D$6)</f>
        <v>8.1196385288929225</v>
      </c>
      <c r="U122" s="81">
        <f>IF(G122="","",ABS(O122-Components!$C$7)/Components!$D$7)</f>
        <v>0.2253546223425143</v>
      </c>
      <c r="V122" s="81" t="str">
        <f>IF(G122="","",IF(M122="OK","NONE",INDEX({"S1","S2","W1","W2","N1","N2"},MATCH(MIN(P122:U122),P122:U122,0))))</f>
        <v>N2</v>
      </c>
      <c r="W122" s="117">
        <f t="shared" si="13"/>
        <v>1</v>
      </c>
      <c r="X122" s="107"/>
    </row>
    <row r="123" spans="1:24">
      <c r="A123" s="115">
        <v>121</v>
      </c>
      <c r="B123" s="116">
        <v>5</v>
      </c>
      <c r="C123" s="81" t="s">
        <v>130</v>
      </c>
      <c r="D123" s="109" t="s">
        <v>238</v>
      </c>
      <c r="E123" s="81" t="s">
        <v>239</v>
      </c>
      <c r="F123" s="52">
        <v>8.9499999999999993</v>
      </c>
      <c r="G123" s="52">
        <f t="shared" si="7"/>
        <v>9.92</v>
      </c>
      <c r="H123" s="110"/>
      <c r="I123" s="81">
        <v>9.91</v>
      </c>
      <c r="J123" s="81">
        <f>VLOOKUP(C123,Recipes!$A$2:$N$4,12,FALSE())</f>
        <v>5.0137397426368718E-2</v>
      </c>
      <c r="K123" s="81">
        <f t="shared" si="8"/>
        <v>9.7345191090077101</v>
      </c>
      <c r="L123" s="81">
        <f t="shared" si="9"/>
        <v>10.08548089099229</v>
      </c>
      <c r="M123" s="81" t="str">
        <f t="shared" si="11"/>
        <v>OK</v>
      </c>
      <c r="N123" s="117">
        <f t="shared" si="10"/>
        <v>1</v>
      </c>
      <c r="O123" s="81">
        <f t="shared" si="12"/>
        <v>-9.9999999999997868E-3</v>
      </c>
      <c r="P123" s="81">
        <f>IF(G123="","",ABS(O123-Components!$C$2)/Components!$D$2)</f>
        <v>418.12015607034238</v>
      </c>
      <c r="Q123" s="81">
        <f>IF(G123="","",ABS(O123-Components!$C$3)/Components!$D$3)</f>
        <v>293.26169373870653</v>
      </c>
      <c r="R123" s="81">
        <f>IF(G123="","",ABS(O123-Components!$C$4)/Components!$D$4)</f>
        <v>71.776190819988912</v>
      </c>
      <c r="S123" s="81">
        <f>IF(G123="","",ABS(O123-Components!$C$5)/Components!$D$5)</f>
        <v>181.60050059882028</v>
      </c>
      <c r="T123" s="81">
        <f>IF(G123="","",ABS(O123-Components!$C$6)/Components!$D$6)</f>
        <v>42.190751761573459</v>
      </c>
      <c r="U123" s="81">
        <f>IF(G123="","",ABS(O123-Components!$C$7)/Components!$D$7)</f>
        <v>55.05280862281132</v>
      </c>
      <c r="V123" s="81" t="str">
        <f>IF(G123="","",IF(M123="OK","NONE",INDEX({"S1","S2","W1","W2","N1","N2"},MATCH(MIN(P123:U123),P123:U123,0))))</f>
        <v>NONE</v>
      </c>
      <c r="W123" s="117">
        <f t="shared" si="13"/>
        <v>1</v>
      </c>
      <c r="X123" s="107"/>
    </row>
    <row r="124" spans="1:24">
      <c r="A124" s="115">
        <v>122</v>
      </c>
      <c r="B124" s="116">
        <v>5</v>
      </c>
      <c r="C124" s="81" t="s">
        <v>130</v>
      </c>
      <c r="D124" s="109" t="s">
        <v>238</v>
      </c>
      <c r="E124" s="81" t="s">
        <v>239</v>
      </c>
      <c r="F124" s="52">
        <v>8.94</v>
      </c>
      <c r="G124" s="52">
        <f t="shared" si="7"/>
        <v>9.91</v>
      </c>
      <c r="H124" s="110"/>
      <c r="I124" s="81">
        <v>9.91</v>
      </c>
      <c r="J124" s="81">
        <f>VLOOKUP(C124,Recipes!$A$2:$N$4,12,FALSE())</f>
        <v>5.0137397426368718E-2</v>
      </c>
      <c r="K124" s="81">
        <f t="shared" si="8"/>
        <v>9.7345191090077101</v>
      </c>
      <c r="L124" s="81">
        <f t="shared" si="9"/>
        <v>10.08548089099229</v>
      </c>
      <c r="M124" s="81" t="str">
        <f t="shared" si="11"/>
        <v>OK</v>
      </c>
      <c r="N124" s="117">
        <f t="shared" si="10"/>
        <v>1</v>
      </c>
      <c r="O124" s="81">
        <f t="shared" si="12"/>
        <v>0</v>
      </c>
      <c r="P124" s="81">
        <f>IF(G124="","",ABS(O124-Components!$C$2)/Components!$D$2)</f>
        <v>416.60705538492499</v>
      </c>
      <c r="Q124" s="81">
        <f>IF(G124="","",ABS(O124-Components!$C$3)/Components!$D$3)</f>
        <v>292.53687492076608</v>
      </c>
      <c r="R124" s="81">
        <f>IF(G124="","",ABS(O124-Components!$C$4)/Components!$D$4)</f>
        <v>71.060813502846173</v>
      </c>
      <c r="S124" s="81">
        <f>IF(G124="","",ABS(O124-Components!$C$5)/Components!$D$5)</f>
        <v>181.20335706346788</v>
      </c>
      <c r="T124" s="81">
        <f>IF(G124="","",ABS(O124-Components!$C$6)/Components!$D$6)</f>
        <v>41.828806507685222</v>
      </c>
      <c r="U124" s="81">
        <f>IF(G124="","",ABS(O124-Components!$C$7)/Components!$D$7)</f>
        <v>54.655123995148351</v>
      </c>
      <c r="V124" s="81" t="str">
        <f>IF(G124="","",IF(M124="OK","NONE",INDEX({"S1","S2","W1","W2","N1","N2"},MATCH(MIN(P124:U124),P124:U124,0))))</f>
        <v>NONE</v>
      </c>
      <c r="W124" s="117">
        <f t="shared" si="13"/>
        <v>1</v>
      </c>
      <c r="X124" s="107"/>
    </row>
    <row r="125" spans="1:24">
      <c r="A125" s="115">
        <v>123</v>
      </c>
      <c r="B125" s="116">
        <v>5</v>
      </c>
      <c r="C125" s="81" t="s">
        <v>130</v>
      </c>
      <c r="D125" s="109" t="s">
        <v>238</v>
      </c>
      <c r="E125" s="81" t="s">
        <v>239</v>
      </c>
      <c r="F125" s="52">
        <v>8.94</v>
      </c>
      <c r="G125" s="52">
        <f t="shared" si="7"/>
        <v>9.91</v>
      </c>
      <c r="H125" s="110"/>
      <c r="I125" s="81">
        <v>9.91</v>
      </c>
      <c r="J125" s="81">
        <f>VLOOKUP(C125,Recipes!$A$2:$N$4,12,FALSE())</f>
        <v>5.0137397426368718E-2</v>
      </c>
      <c r="K125" s="81">
        <f t="shared" si="8"/>
        <v>9.7345191090077101</v>
      </c>
      <c r="L125" s="81">
        <f t="shared" si="9"/>
        <v>10.08548089099229</v>
      </c>
      <c r="M125" s="81" t="str">
        <f t="shared" si="11"/>
        <v>OK</v>
      </c>
      <c r="N125" s="117">
        <f t="shared" si="10"/>
        <v>1</v>
      </c>
      <c r="O125" s="81">
        <f t="shared" si="12"/>
        <v>0</v>
      </c>
      <c r="P125" s="81">
        <f>IF(G125="","",ABS(O125-Components!$C$2)/Components!$D$2)</f>
        <v>416.60705538492499</v>
      </c>
      <c r="Q125" s="81">
        <f>IF(G125="","",ABS(O125-Components!$C$3)/Components!$D$3)</f>
        <v>292.53687492076608</v>
      </c>
      <c r="R125" s="81">
        <f>IF(G125="","",ABS(O125-Components!$C$4)/Components!$D$4)</f>
        <v>71.060813502846173</v>
      </c>
      <c r="S125" s="81">
        <f>IF(G125="","",ABS(O125-Components!$C$5)/Components!$D$5)</f>
        <v>181.20335706346788</v>
      </c>
      <c r="T125" s="81">
        <f>IF(G125="","",ABS(O125-Components!$C$6)/Components!$D$6)</f>
        <v>41.828806507685222</v>
      </c>
      <c r="U125" s="81">
        <f>IF(G125="","",ABS(O125-Components!$C$7)/Components!$D$7)</f>
        <v>54.655123995148351</v>
      </c>
      <c r="V125" s="81" t="str">
        <f>IF(G125="","",IF(M125="OK","NONE",INDEX({"S1","S2","W1","W2","N1","N2"},MATCH(MIN(P125:U125),P125:U125,0))))</f>
        <v>NONE</v>
      </c>
      <c r="W125" s="117">
        <f t="shared" si="13"/>
        <v>1</v>
      </c>
      <c r="X125" s="107"/>
    </row>
    <row r="126" spans="1:24">
      <c r="A126" s="115">
        <v>124</v>
      </c>
      <c r="B126" s="116">
        <v>5</v>
      </c>
      <c r="C126" s="81" t="s">
        <v>130</v>
      </c>
      <c r="D126" s="109" t="s">
        <v>238</v>
      </c>
      <c r="E126" s="81" t="s">
        <v>239</v>
      </c>
      <c r="F126" s="52">
        <v>8.89</v>
      </c>
      <c r="G126" s="52">
        <f t="shared" si="7"/>
        <v>9.8600000000000012</v>
      </c>
      <c r="H126" s="110"/>
      <c r="I126" s="81">
        <v>9.91</v>
      </c>
      <c r="J126" s="81">
        <f>VLOOKUP(C126,Recipes!$A$2:$N$4,12,FALSE())</f>
        <v>5.0137397426368718E-2</v>
      </c>
      <c r="K126" s="81">
        <f t="shared" si="8"/>
        <v>9.7345191090077101</v>
      </c>
      <c r="L126" s="81">
        <f t="shared" si="9"/>
        <v>10.08548089099229</v>
      </c>
      <c r="M126" s="81" t="str">
        <f t="shared" si="11"/>
        <v>OK</v>
      </c>
      <c r="N126" s="117">
        <f t="shared" si="10"/>
        <v>1</v>
      </c>
      <c r="O126" s="81">
        <f t="shared" si="12"/>
        <v>4.9999999999998934E-2</v>
      </c>
      <c r="P126" s="81">
        <f>IF(G126="","",ABS(O126-Components!$C$2)/Components!$D$2)</f>
        <v>409.04155195783812</v>
      </c>
      <c r="Q126" s="81">
        <f>IF(G126="","",ABS(O126-Components!$C$3)/Components!$D$3)</f>
        <v>288.91278083106391</v>
      </c>
      <c r="R126" s="81">
        <f>IF(G126="","",ABS(O126-Components!$C$4)/Components!$D$4)</f>
        <v>67.483926917132521</v>
      </c>
      <c r="S126" s="81">
        <f>IF(G126="","",ABS(O126-Components!$C$5)/Components!$D$5)</f>
        <v>179.21763938670577</v>
      </c>
      <c r="T126" s="81">
        <f>IF(G126="","",ABS(O126-Components!$C$6)/Components!$D$6)</f>
        <v>40.019080238244022</v>
      </c>
      <c r="U126" s="81">
        <f>IF(G126="","",ABS(O126-Components!$C$7)/Components!$D$7)</f>
        <v>52.666700856833515</v>
      </c>
      <c r="V126" s="81" t="str">
        <f>IF(G126="","",IF(M126="OK","NONE",INDEX({"S1","S2","W1","W2","N1","N2"},MATCH(MIN(P126:U126),P126:U126,0))))</f>
        <v>NONE</v>
      </c>
      <c r="W126" s="117">
        <f t="shared" si="13"/>
        <v>1</v>
      </c>
      <c r="X126" s="107"/>
    </row>
    <row r="127" spans="1:24">
      <c r="A127" s="115">
        <v>125</v>
      </c>
      <c r="B127" s="116">
        <v>5</v>
      </c>
      <c r="C127" s="81" t="s">
        <v>130</v>
      </c>
      <c r="D127" s="109" t="s">
        <v>238</v>
      </c>
      <c r="E127" s="81" t="s">
        <v>239</v>
      </c>
      <c r="F127" s="52">
        <v>8.89</v>
      </c>
      <c r="G127" s="52">
        <f t="shared" si="7"/>
        <v>9.8600000000000012</v>
      </c>
      <c r="H127" s="110"/>
      <c r="I127" s="81">
        <v>9.91</v>
      </c>
      <c r="J127" s="81">
        <f>VLOOKUP(C127,Recipes!$A$2:$N$4,12,FALSE())</f>
        <v>5.0137397426368718E-2</v>
      </c>
      <c r="K127" s="81">
        <f t="shared" si="8"/>
        <v>9.7345191090077101</v>
      </c>
      <c r="L127" s="81">
        <f t="shared" si="9"/>
        <v>10.08548089099229</v>
      </c>
      <c r="M127" s="81" t="str">
        <f t="shared" si="11"/>
        <v>OK</v>
      </c>
      <c r="N127" s="117">
        <f t="shared" si="10"/>
        <v>1</v>
      </c>
      <c r="O127" s="81">
        <f t="shared" si="12"/>
        <v>4.9999999999998934E-2</v>
      </c>
      <c r="P127" s="81">
        <f>IF(G127="","",ABS(O127-Components!$C$2)/Components!$D$2)</f>
        <v>409.04155195783812</v>
      </c>
      <c r="Q127" s="81">
        <f>IF(G127="","",ABS(O127-Components!$C$3)/Components!$D$3)</f>
        <v>288.91278083106391</v>
      </c>
      <c r="R127" s="81">
        <f>IF(G127="","",ABS(O127-Components!$C$4)/Components!$D$4)</f>
        <v>67.483926917132521</v>
      </c>
      <c r="S127" s="81">
        <f>IF(G127="","",ABS(O127-Components!$C$5)/Components!$D$5)</f>
        <v>179.21763938670577</v>
      </c>
      <c r="T127" s="81">
        <f>IF(G127="","",ABS(O127-Components!$C$6)/Components!$D$6)</f>
        <v>40.019080238244022</v>
      </c>
      <c r="U127" s="81">
        <f>IF(G127="","",ABS(O127-Components!$C$7)/Components!$D$7)</f>
        <v>52.666700856833515</v>
      </c>
      <c r="V127" s="81" t="str">
        <f>IF(G127="","",IF(M127="OK","NONE",INDEX({"S1","S2","W1","W2","N1","N2"},MATCH(MIN(P127:U127),P127:U127,0))))</f>
        <v>NONE</v>
      </c>
      <c r="W127" s="117">
        <f t="shared" si="13"/>
        <v>1</v>
      </c>
      <c r="X127" s="107"/>
    </row>
    <row r="128" spans="1:24">
      <c r="A128" s="115">
        <v>126</v>
      </c>
      <c r="B128" s="116">
        <v>5</v>
      </c>
      <c r="C128" s="81" t="s">
        <v>130</v>
      </c>
      <c r="D128" s="109" t="s">
        <v>238</v>
      </c>
      <c r="E128" s="81" t="s">
        <v>239</v>
      </c>
      <c r="F128" s="61">
        <v>8.8800000000000008</v>
      </c>
      <c r="G128" s="52">
        <f t="shared" si="7"/>
        <v>9.8500000000000014</v>
      </c>
      <c r="H128" s="110"/>
      <c r="I128" s="81">
        <v>9.91</v>
      </c>
      <c r="J128" s="81">
        <f>VLOOKUP(C128,Recipes!$A$2:$N$4,12,FALSE())</f>
        <v>5.0137397426368718E-2</v>
      </c>
      <c r="K128" s="81">
        <f t="shared" si="8"/>
        <v>9.7345191090077101</v>
      </c>
      <c r="L128" s="81">
        <f t="shared" si="9"/>
        <v>10.08548089099229</v>
      </c>
      <c r="M128" s="81" t="str">
        <f t="shared" si="11"/>
        <v>OK</v>
      </c>
      <c r="N128" s="117">
        <f t="shared" si="10"/>
        <v>1</v>
      </c>
      <c r="O128" s="81">
        <f t="shared" si="12"/>
        <v>5.9999999999998721E-2</v>
      </c>
      <c r="P128" s="81">
        <f>IF(G128="","",ABS(O128-Components!$C$2)/Components!$D$2)</f>
        <v>407.52845127242074</v>
      </c>
      <c r="Q128" s="81">
        <f>IF(G128="","",ABS(O128-Components!$C$3)/Components!$D$3)</f>
        <v>288.18796201312347</v>
      </c>
      <c r="R128" s="81">
        <f>IF(G128="","",ABS(O128-Components!$C$4)/Components!$D$4)</f>
        <v>66.768549599989782</v>
      </c>
      <c r="S128" s="81">
        <f>IF(G128="","",ABS(O128-Components!$C$5)/Components!$D$5)</f>
        <v>178.82049585135334</v>
      </c>
      <c r="T128" s="81">
        <f>IF(G128="","",ABS(O128-Components!$C$6)/Components!$D$6)</f>
        <v>39.657134984355785</v>
      </c>
      <c r="U128" s="81">
        <f>IF(G128="","",ABS(O128-Components!$C$7)/Components!$D$7)</f>
        <v>52.269016229170546</v>
      </c>
      <c r="V128" s="81" t="str">
        <f>IF(G128="","",IF(M128="OK","NONE",INDEX({"S1","S2","W1","W2","N1","N2"},MATCH(MIN(P128:U128),P128:U128,0))))</f>
        <v>NONE</v>
      </c>
      <c r="W128" s="117">
        <f t="shared" si="13"/>
        <v>1</v>
      </c>
      <c r="X128" s="107"/>
    </row>
    <row r="129" spans="1:24">
      <c r="A129" s="115">
        <v>127</v>
      </c>
      <c r="B129" s="116">
        <v>5</v>
      </c>
      <c r="C129" s="81" t="s">
        <v>130</v>
      </c>
      <c r="D129" s="109" t="s">
        <v>238</v>
      </c>
      <c r="E129" s="81" t="s">
        <v>239</v>
      </c>
      <c r="F129" s="61">
        <v>8.91</v>
      </c>
      <c r="G129" s="52">
        <f t="shared" si="7"/>
        <v>9.8800000000000008</v>
      </c>
      <c r="H129" s="110"/>
      <c r="I129" s="81">
        <v>9.91</v>
      </c>
      <c r="J129" s="81">
        <f>VLOOKUP(C129,Recipes!$A$2:$N$4,12,FALSE())</f>
        <v>5.0137397426368718E-2</v>
      </c>
      <c r="K129" s="81">
        <f t="shared" si="8"/>
        <v>9.7345191090077101</v>
      </c>
      <c r="L129" s="81">
        <f t="shared" si="9"/>
        <v>10.08548089099229</v>
      </c>
      <c r="M129" s="81" t="str">
        <f t="shared" si="11"/>
        <v>OK</v>
      </c>
      <c r="N129" s="117">
        <f t="shared" si="10"/>
        <v>1</v>
      </c>
      <c r="O129" s="81">
        <f t="shared" si="12"/>
        <v>2.9999999999999361E-2</v>
      </c>
      <c r="P129" s="81">
        <f>IF(G129="","",ABS(O129-Components!$C$2)/Components!$D$2)</f>
        <v>412.06775332867289</v>
      </c>
      <c r="Q129" s="81">
        <f>IF(G129="","",ABS(O129-Components!$C$3)/Components!$D$3)</f>
        <v>290.36241846694475</v>
      </c>
      <c r="R129" s="81">
        <f>IF(G129="","",ABS(O129-Components!$C$4)/Components!$D$4)</f>
        <v>68.914681551417985</v>
      </c>
      <c r="S129" s="81">
        <f>IF(G129="","",ABS(O129-Components!$C$5)/Components!$D$5)</f>
        <v>180.0119264574106</v>
      </c>
      <c r="T129" s="81">
        <f>IF(G129="","",ABS(O129-Components!$C$6)/Components!$D$6)</f>
        <v>40.742970746020504</v>
      </c>
      <c r="U129" s="81">
        <f>IF(G129="","",ABS(O129-Components!$C$7)/Components!$D$7)</f>
        <v>53.462070112159452</v>
      </c>
      <c r="V129" s="81" t="str">
        <f>IF(G129="","",IF(M129="OK","NONE",INDEX({"S1","S2","W1","W2","N1","N2"},MATCH(MIN(P129:U129),P129:U129,0))))</f>
        <v>NONE</v>
      </c>
      <c r="W129" s="117">
        <f t="shared" si="13"/>
        <v>1</v>
      </c>
      <c r="X129" s="107"/>
    </row>
    <row r="130" spans="1:24">
      <c r="A130" s="115">
        <v>128</v>
      </c>
      <c r="B130" s="116">
        <v>5</v>
      </c>
      <c r="C130" s="81" t="s">
        <v>130</v>
      </c>
      <c r="D130" s="109" t="s">
        <v>238</v>
      </c>
      <c r="E130" s="81" t="s">
        <v>239</v>
      </c>
      <c r="F130" s="61">
        <v>8.85</v>
      </c>
      <c r="G130" s="52">
        <f t="shared" si="7"/>
        <v>9.82</v>
      </c>
      <c r="H130" s="110"/>
      <c r="I130" s="81">
        <v>9.91</v>
      </c>
      <c r="J130" s="81">
        <f>VLOOKUP(C130,Recipes!$A$2:$N$4,12,FALSE())</f>
        <v>5.0137397426368718E-2</v>
      </c>
      <c r="K130" s="81">
        <f t="shared" si="8"/>
        <v>9.7345191090077101</v>
      </c>
      <c r="L130" s="81">
        <f t="shared" si="9"/>
        <v>10.08548089099229</v>
      </c>
      <c r="M130" s="81" t="str">
        <f t="shared" si="11"/>
        <v>OK</v>
      </c>
      <c r="N130" s="117">
        <f t="shared" si="10"/>
        <v>1</v>
      </c>
      <c r="O130" s="81">
        <f t="shared" si="12"/>
        <v>8.9999999999999858E-2</v>
      </c>
      <c r="P130" s="81">
        <f>IF(G130="","",ABS(O130-Components!$C$2)/Components!$D$2)</f>
        <v>402.98914921616836</v>
      </c>
      <c r="Q130" s="81">
        <f>IF(G130="","",ABS(O130-Components!$C$3)/Components!$D$3)</f>
        <v>286.01350555930202</v>
      </c>
      <c r="R130" s="81">
        <f>IF(G130="","",ABS(O130-Components!$C$4)/Components!$D$4)</f>
        <v>64.622417648561466</v>
      </c>
      <c r="S130" s="81">
        <f>IF(G130="","",ABS(O130-Components!$C$5)/Components!$D$5)</f>
        <v>177.62906524529603</v>
      </c>
      <c r="T130" s="81">
        <f>IF(G130="","",ABS(O130-Components!$C$6)/Components!$D$6)</f>
        <v>38.571299222691003</v>
      </c>
      <c r="U130" s="81">
        <f>IF(G130="","",ABS(O130-Components!$C$7)/Components!$D$7)</f>
        <v>51.075962346181569</v>
      </c>
      <c r="V130" s="81" t="str">
        <f>IF(G130="","",IF(M130="OK","NONE",INDEX({"S1","S2","W1","W2","N1","N2"},MATCH(MIN(P130:U130),P130:U130,0))))</f>
        <v>NONE</v>
      </c>
      <c r="W130" s="117">
        <f t="shared" si="13"/>
        <v>1</v>
      </c>
      <c r="X130" s="107"/>
    </row>
    <row r="131" spans="1:24">
      <c r="A131" s="115">
        <v>129</v>
      </c>
      <c r="B131" s="116">
        <v>5</v>
      </c>
      <c r="C131" s="81" t="s">
        <v>130</v>
      </c>
      <c r="D131" s="109" t="s">
        <v>238</v>
      </c>
      <c r="E131" s="81" t="s">
        <v>239</v>
      </c>
      <c r="F131" s="61">
        <v>8.8800000000000008</v>
      </c>
      <c r="G131" s="52">
        <f t="shared" ref="G131:G194" si="14">0.97+F131</f>
        <v>9.8500000000000014</v>
      </c>
      <c r="H131" s="110"/>
      <c r="I131" s="81">
        <v>9.91</v>
      </c>
      <c r="J131" s="81">
        <f>VLOOKUP(C131,Recipes!$A$2:$N$4,12,FALSE())</f>
        <v>5.0137397426368718E-2</v>
      </c>
      <c r="K131" s="81">
        <f t="shared" ref="K131:K194" si="15">I131-3.5*J131</f>
        <v>9.7345191090077101</v>
      </c>
      <c r="L131" s="81">
        <f t="shared" ref="L131:L194" si="16">I131+3.5*J131</f>
        <v>10.08548089099229</v>
      </c>
      <c r="M131" s="81" t="str">
        <f t="shared" si="11"/>
        <v>OK</v>
      </c>
      <c r="N131" s="117">
        <f t="shared" ref="N131:N194" si="17">IF(M131="","",IF(M131=D131,1,0))</f>
        <v>1</v>
      </c>
      <c r="O131" s="81">
        <f t="shared" si="12"/>
        <v>5.9999999999998721E-2</v>
      </c>
      <c r="P131" s="81">
        <f>IF(G131="","",ABS(O131-Components!$C$2)/Components!$D$2)</f>
        <v>407.52845127242074</v>
      </c>
      <c r="Q131" s="81">
        <f>IF(G131="","",ABS(O131-Components!$C$3)/Components!$D$3)</f>
        <v>288.18796201312347</v>
      </c>
      <c r="R131" s="81">
        <f>IF(G131="","",ABS(O131-Components!$C$4)/Components!$D$4)</f>
        <v>66.768549599989782</v>
      </c>
      <c r="S131" s="81">
        <f>IF(G131="","",ABS(O131-Components!$C$5)/Components!$D$5)</f>
        <v>178.82049585135334</v>
      </c>
      <c r="T131" s="81">
        <f>IF(G131="","",ABS(O131-Components!$C$6)/Components!$D$6)</f>
        <v>39.657134984355785</v>
      </c>
      <c r="U131" s="81">
        <f>IF(G131="","",ABS(O131-Components!$C$7)/Components!$D$7)</f>
        <v>52.269016229170546</v>
      </c>
      <c r="V131" s="81" t="str">
        <f>IF(G131="","",IF(M131="OK","NONE",INDEX({"S1","S2","W1","W2","N1","N2"},MATCH(MIN(P131:U131),P131:U131,0))))</f>
        <v>NONE</v>
      </c>
      <c r="W131" s="117">
        <f t="shared" si="13"/>
        <v>1</v>
      </c>
      <c r="X131" s="107"/>
    </row>
    <row r="132" spans="1:24">
      <c r="A132" s="115">
        <v>130</v>
      </c>
      <c r="B132" s="116">
        <v>5</v>
      </c>
      <c r="C132" s="81" t="s">
        <v>130</v>
      </c>
      <c r="D132" s="109" t="s">
        <v>238</v>
      </c>
      <c r="E132" s="81" t="s">
        <v>239</v>
      </c>
      <c r="F132" s="61">
        <v>8.8699999999999992</v>
      </c>
      <c r="G132" s="52">
        <f t="shared" si="14"/>
        <v>9.84</v>
      </c>
      <c r="H132" s="110"/>
      <c r="I132" s="81">
        <v>9.91</v>
      </c>
      <c r="J132" s="81">
        <f>VLOOKUP(C132,Recipes!$A$2:$N$4,12,FALSE())</f>
        <v>5.0137397426368718E-2</v>
      </c>
      <c r="K132" s="81">
        <f t="shared" si="15"/>
        <v>9.7345191090077101</v>
      </c>
      <c r="L132" s="81">
        <f t="shared" si="16"/>
        <v>10.08548089099229</v>
      </c>
      <c r="M132" s="81" t="str">
        <f t="shared" ref="M132:M195" si="18">IF(G132="","",IF(AND(G132&gt;=K132,G132&lt;=L132),"OK","NG"))</f>
        <v>OK</v>
      </c>
      <c r="N132" s="117">
        <f t="shared" si="17"/>
        <v>1</v>
      </c>
      <c r="O132" s="81">
        <f t="shared" ref="O132:O195" si="19">IF(G132="","",I132-G132)</f>
        <v>7.0000000000000284E-2</v>
      </c>
      <c r="P132" s="81">
        <f>IF(G132="","",ABS(O132-Components!$C$2)/Components!$D$2)</f>
        <v>406.01535058700313</v>
      </c>
      <c r="Q132" s="81">
        <f>IF(G132="","",ABS(O132-Components!$C$3)/Components!$D$3)</f>
        <v>287.46314319518291</v>
      </c>
      <c r="R132" s="81">
        <f>IF(G132="","",ABS(O132-Components!$C$4)/Components!$D$4)</f>
        <v>66.05317228284693</v>
      </c>
      <c r="S132" s="81">
        <f>IF(G132="","",ABS(O132-Components!$C$5)/Components!$D$5)</f>
        <v>178.42335231600086</v>
      </c>
      <c r="T132" s="81">
        <f>IF(G132="","",ABS(O132-Components!$C$6)/Components!$D$6)</f>
        <v>39.295189730467477</v>
      </c>
      <c r="U132" s="81">
        <f>IF(G132="","",ABS(O132-Components!$C$7)/Components!$D$7)</f>
        <v>51.871331601507507</v>
      </c>
      <c r="V132" s="81" t="str">
        <f>IF(G132="","",IF(M132="OK","NONE",INDEX({"S1","S2","W1","W2","N1","N2"},MATCH(MIN(P132:U132),P132:U132,0))))</f>
        <v>NONE</v>
      </c>
      <c r="W132" s="117">
        <f t="shared" ref="W132:W195" si="20">IF(G132="","",IF(V132=E132,1,0))</f>
        <v>1</v>
      </c>
      <c r="X132" s="107"/>
    </row>
    <row r="133" spans="1:24">
      <c r="A133" s="115">
        <v>131</v>
      </c>
      <c r="B133" s="116">
        <v>5</v>
      </c>
      <c r="C133" s="81" t="s">
        <v>130</v>
      </c>
      <c r="D133" s="109" t="s">
        <v>238</v>
      </c>
      <c r="E133" s="81" t="s">
        <v>239</v>
      </c>
      <c r="F133" s="61">
        <v>8.89</v>
      </c>
      <c r="G133" s="52">
        <f t="shared" si="14"/>
        <v>9.8600000000000012</v>
      </c>
      <c r="H133" s="110"/>
      <c r="I133" s="81">
        <v>9.91</v>
      </c>
      <c r="J133" s="81">
        <f>VLOOKUP(C133,Recipes!$A$2:$N$4,12,FALSE())</f>
        <v>5.0137397426368718E-2</v>
      </c>
      <c r="K133" s="81">
        <f t="shared" si="15"/>
        <v>9.7345191090077101</v>
      </c>
      <c r="L133" s="81">
        <f t="shared" si="16"/>
        <v>10.08548089099229</v>
      </c>
      <c r="M133" s="81" t="str">
        <f t="shared" si="18"/>
        <v>OK</v>
      </c>
      <c r="N133" s="117">
        <f t="shared" si="17"/>
        <v>1</v>
      </c>
      <c r="O133" s="81">
        <f t="shared" si="19"/>
        <v>4.9999999999998934E-2</v>
      </c>
      <c r="P133" s="81">
        <f>IF(G133="","",ABS(O133-Components!$C$2)/Components!$D$2)</f>
        <v>409.04155195783812</v>
      </c>
      <c r="Q133" s="81">
        <f>IF(G133="","",ABS(O133-Components!$C$3)/Components!$D$3)</f>
        <v>288.91278083106391</v>
      </c>
      <c r="R133" s="81">
        <f>IF(G133="","",ABS(O133-Components!$C$4)/Components!$D$4)</f>
        <v>67.483926917132521</v>
      </c>
      <c r="S133" s="81">
        <f>IF(G133="","",ABS(O133-Components!$C$5)/Components!$D$5)</f>
        <v>179.21763938670577</v>
      </c>
      <c r="T133" s="81">
        <f>IF(G133="","",ABS(O133-Components!$C$6)/Components!$D$6)</f>
        <v>40.019080238244022</v>
      </c>
      <c r="U133" s="81">
        <f>IF(G133="","",ABS(O133-Components!$C$7)/Components!$D$7)</f>
        <v>52.666700856833515</v>
      </c>
      <c r="V133" s="81" t="str">
        <f>IF(G133="","",IF(M133="OK","NONE",INDEX({"S1","S2","W1","W2","N1","N2"},MATCH(MIN(P133:U133),P133:U133,0))))</f>
        <v>NONE</v>
      </c>
      <c r="W133" s="117">
        <f t="shared" si="20"/>
        <v>1</v>
      </c>
      <c r="X133" s="107"/>
    </row>
    <row r="134" spans="1:24">
      <c r="A134" s="115">
        <v>132</v>
      </c>
      <c r="B134" s="116">
        <v>5</v>
      </c>
      <c r="C134" s="81" t="s">
        <v>130</v>
      </c>
      <c r="D134" s="109" t="s">
        <v>238</v>
      </c>
      <c r="E134" s="81" t="s">
        <v>239</v>
      </c>
      <c r="F134" s="61">
        <v>8.8699999999999992</v>
      </c>
      <c r="G134" s="52">
        <f t="shared" si="14"/>
        <v>9.84</v>
      </c>
      <c r="H134" s="110"/>
      <c r="I134" s="81">
        <v>9.91</v>
      </c>
      <c r="J134" s="81">
        <f>VLOOKUP(C134,Recipes!$A$2:$N$4,12,FALSE())</f>
        <v>5.0137397426368718E-2</v>
      </c>
      <c r="K134" s="81">
        <f t="shared" si="15"/>
        <v>9.7345191090077101</v>
      </c>
      <c r="L134" s="81">
        <f t="shared" si="16"/>
        <v>10.08548089099229</v>
      </c>
      <c r="M134" s="81" t="str">
        <f t="shared" si="18"/>
        <v>OK</v>
      </c>
      <c r="N134" s="117">
        <f t="shared" si="17"/>
        <v>1</v>
      </c>
      <c r="O134" s="81">
        <f t="shared" si="19"/>
        <v>7.0000000000000284E-2</v>
      </c>
      <c r="P134" s="81">
        <f>IF(G134="","",ABS(O134-Components!$C$2)/Components!$D$2)</f>
        <v>406.01535058700313</v>
      </c>
      <c r="Q134" s="81">
        <f>IF(G134="","",ABS(O134-Components!$C$3)/Components!$D$3)</f>
        <v>287.46314319518291</v>
      </c>
      <c r="R134" s="81">
        <f>IF(G134="","",ABS(O134-Components!$C$4)/Components!$D$4)</f>
        <v>66.05317228284693</v>
      </c>
      <c r="S134" s="81">
        <f>IF(G134="","",ABS(O134-Components!$C$5)/Components!$D$5)</f>
        <v>178.42335231600086</v>
      </c>
      <c r="T134" s="81">
        <f>IF(G134="","",ABS(O134-Components!$C$6)/Components!$D$6)</f>
        <v>39.295189730467477</v>
      </c>
      <c r="U134" s="81">
        <f>IF(G134="","",ABS(O134-Components!$C$7)/Components!$D$7)</f>
        <v>51.871331601507507</v>
      </c>
      <c r="V134" s="81" t="str">
        <f>IF(G134="","",IF(M134="OK","NONE",INDEX({"S1","S2","W1","W2","N1","N2"},MATCH(MIN(P134:U134),P134:U134,0))))</f>
        <v>NONE</v>
      </c>
      <c r="W134" s="117">
        <f t="shared" si="20"/>
        <v>1</v>
      </c>
      <c r="X134" s="107"/>
    </row>
    <row r="135" spans="1:24">
      <c r="A135" s="115">
        <v>133</v>
      </c>
      <c r="B135" s="116">
        <v>5</v>
      </c>
      <c r="C135" s="81" t="s">
        <v>130</v>
      </c>
      <c r="D135" s="109" t="s">
        <v>238</v>
      </c>
      <c r="E135" s="81" t="s">
        <v>239</v>
      </c>
      <c r="F135" s="61">
        <v>8.9700000000000006</v>
      </c>
      <c r="G135" s="52">
        <f t="shared" si="14"/>
        <v>9.9400000000000013</v>
      </c>
      <c r="H135" s="110"/>
      <c r="I135" s="81">
        <v>9.91</v>
      </c>
      <c r="J135" s="81">
        <f>VLOOKUP(C135,Recipes!$A$2:$N$4,12,FALSE())</f>
        <v>5.0137397426368718E-2</v>
      </c>
      <c r="K135" s="81">
        <f t="shared" si="15"/>
        <v>9.7345191090077101</v>
      </c>
      <c r="L135" s="81">
        <f t="shared" si="16"/>
        <v>10.08548089099229</v>
      </c>
      <c r="M135" s="81" t="str">
        <f t="shared" si="18"/>
        <v>OK</v>
      </c>
      <c r="N135" s="117">
        <f t="shared" si="17"/>
        <v>1</v>
      </c>
      <c r="O135" s="81">
        <f t="shared" si="19"/>
        <v>-3.0000000000001137E-2</v>
      </c>
      <c r="P135" s="81">
        <f>IF(G135="","",ABS(O135-Components!$C$2)/Components!$D$2)</f>
        <v>421.14635744117737</v>
      </c>
      <c r="Q135" s="81">
        <f>IF(G135="","",ABS(O135-Components!$C$3)/Components!$D$3)</f>
        <v>294.71133137458753</v>
      </c>
      <c r="R135" s="81">
        <f>IF(G135="","",ABS(O135-Components!$C$4)/Components!$D$4)</f>
        <v>73.206945454274504</v>
      </c>
      <c r="S135" s="81">
        <f>IF(G135="","",ABS(O135-Components!$C$5)/Components!$D$5)</f>
        <v>182.39478766952519</v>
      </c>
      <c r="T135" s="81">
        <f>IF(G135="","",ABS(O135-Components!$C$6)/Components!$D$6)</f>
        <v>42.914642269350004</v>
      </c>
      <c r="U135" s="81">
        <f>IF(G135="","",ABS(O135-Components!$C$7)/Components!$D$7)</f>
        <v>55.848177878137328</v>
      </c>
      <c r="V135" s="81" t="str">
        <f>IF(G135="","",IF(M135="OK","NONE",INDEX({"S1","S2","W1","W2","N1","N2"},MATCH(MIN(P135:U135),P135:U135,0))))</f>
        <v>NONE</v>
      </c>
      <c r="W135" s="117">
        <f t="shared" si="20"/>
        <v>1</v>
      </c>
      <c r="X135" s="107"/>
    </row>
    <row r="136" spans="1:24">
      <c r="A136" s="115">
        <v>134</v>
      </c>
      <c r="B136" s="116">
        <v>5</v>
      </c>
      <c r="C136" s="81" t="s">
        <v>130</v>
      </c>
      <c r="D136" s="109" t="s">
        <v>238</v>
      </c>
      <c r="E136" s="81" t="s">
        <v>239</v>
      </c>
      <c r="F136" s="61">
        <v>8.94</v>
      </c>
      <c r="G136" s="52">
        <f t="shared" si="14"/>
        <v>9.91</v>
      </c>
      <c r="H136" s="110"/>
      <c r="I136" s="81">
        <v>9.91</v>
      </c>
      <c r="J136" s="81">
        <f>VLOOKUP(C136,Recipes!$A$2:$N$4,12,FALSE())</f>
        <v>5.0137397426368718E-2</v>
      </c>
      <c r="K136" s="81">
        <f t="shared" si="15"/>
        <v>9.7345191090077101</v>
      </c>
      <c r="L136" s="81">
        <f t="shared" si="16"/>
        <v>10.08548089099229</v>
      </c>
      <c r="M136" s="81" t="str">
        <f t="shared" si="18"/>
        <v>OK</v>
      </c>
      <c r="N136" s="117">
        <f t="shared" si="17"/>
        <v>1</v>
      </c>
      <c r="O136" s="81">
        <f t="shared" si="19"/>
        <v>0</v>
      </c>
      <c r="P136" s="81">
        <f>IF(G136="","",ABS(O136-Components!$C$2)/Components!$D$2)</f>
        <v>416.60705538492499</v>
      </c>
      <c r="Q136" s="81">
        <f>IF(G136="","",ABS(O136-Components!$C$3)/Components!$D$3)</f>
        <v>292.53687492076608</v>
      </c>
      <c r="R136" s="81">
        <f>IF(G136="","",ABS(O136-Components!$C$4)/Components!$D$4)</f>
        <v>71.060813502846173</v>
      </c>
      <c r="S136" s="81">
        <f>IF(G136="","",ABS(O136-Components!$C$5)/Components!$D$5)</f>
        <v>181.20335706346788</v>
      </c>
      <c r="T136" s="81">
        <f>IF(G136="","",ABS(O136-Components!$C$6)/Components!$D$6)</f>
        <v>41.828806507685222</v>
      </c>
      <c r="U136" s="81">
        <f>IF(G136="","",ABS(O136-Components!$C$7)/Components!$D$7)</f>
        <v>54.655123995148351</v>
      </c>
      <c r="V136" s="81" t="str">
        <f>IF(G136="","",IF(M136="OK","NONE",INDEX({"S1","S2","W1","W2","N1","N2"},MATCH(MIN(P136:U136),P136:U136,0))))</f>
        <v>NONE</v>
      </c>
      <c r="W136" s="117">
        <f t="shared" si="20"/>
        <v>1</v>
      </c>
      <c r="X136" s="107"/>
    </row>
    <row r="137" spans="1:24">
      <c r="A137" s="115">
        <v>135</v>
      </c>
      <c r="B137" s="116">
        <v>5</v>
      </c>
      <c r="C137" s="81" t="s">
        <v>130</v>
      </c>
      <c r="D137" s="109" t="s">
        <v>238</v>
      </c>
      <c r="E137" s="81" t="s">
        <v>239</v>
      </c>
      <c r="F137" s="61">
        <v>8.89</v>
      </c>
      <c r="G137" s="52">
        <f t="shared" si="14"/>
        <v>9.8600000000000012</v>
      </c>
      <c r="H137" s="110"/>
      <c r="I137" s="81">
        <v>9.91</v>
      </c>
      <c r="J137" s="81">
        <f>VLOOKUP(C137,Recipes!$A$2:$N$4,12,FALSE())</f>
        <v>5.0137397426368718E-2</v>
      </c>
      <c r="K137" s="81">
        <f t="shared" si="15"/>
        <v>9.7345191090077101</v>
      </c>
      <c r="L137" s="81">
        <f t="shared" si="16"/>
        <v>10.08548089099229</v>
      </c>
      <c r="M137" s="81" t="str">
        <f t="shared" si="18"/>
        <v>OK</v>
      </c>
      <c r="N137" s="117">
        <f t="shared" si="17"/>
        <v>1</v>
      </c>
      <c r="O137" s="81">
        <f t="shared" si="19"/>
        <v>4.9999999999998934E-2</v>
      </c>
      <c r="P137" s="81">
        <f>IF(G137="","",ABS(O137-Components!$C$2)/Components!$D$2)</f>
        <v>409.04155195783812</v>
      </c>
      <c r="Q137" s="81">
        <f>IF(G137="","",ABS(O137-Components!$C$3)/Components!$D$3)</f>
        <v>288.91278083106391</v>
      </c>
      <c r="R137" s="81">
        <f>IF(G137="","",ABS(O137-Components!$C$4)/Components!$D$4)</f>
        <v>67.483926917132521</v>
      </c>
      <c r="S137" s="81">
        <f>IF(G137="","",ABS(O137-Components!$C$5)/Components!$D$5)</f>
        <v>179.21763938670577</v>
      </c>
      <c r="T137" s="81">
        <f>IF(G137="","",ABS(O137-Components!$C$6)/Components!$D$6)</f>
        <v>40.019080238244022</v>
      </c>
      <c r="U137" s="81">
        <f>IF(G137="","",ABS(O137-Components!$C$7)/Components!$D$7)</f>
        <v>52.666700856833515</v>
      </c>
      <c r="V137" s="81" t="str">
        <f>IF(G137="","",IF(M137="OK","NONE",INDEX({"S1","S2","W1","W2","N1","N2"},MATCH(MIN(P137:U137),P137:U137,0))))</f>
        <v>NONE</v>
      </c>
      <c r="W137" s="117">
        <f t="shared" si="20"/>
        <v>1</v>
      </c>
      <c r="X137" s="107"/>
    </row>
    <row r="138" spans="1:24">
      <c r="A138" s="115">
        <v>136</v>
      </c>
      <c r="B138" s="116">
        <v>5</v>
      </c>
      <c r="C138" s="81" t="s">
        <v>130</v>
      </c>
      <c r="D138" s="109" t="s">
        <v>238</v>
      </c>
      <c r="E138" s="81" t="s">
        <v>239</v>
      </c>
      <c r="F138" s="61">
        <v>8.8800000000000008</v>
      </c>
      <c r="G138" s="52">
        <f t="shared" si="14"/>
        <v>9.8500000000000014</v>
      </c>
      <c r="H138" s="110"/>
      <c r="I138" s="81">
        <v>9.91</v>
      </c>
      <c r="J138" s="81">
        <f>VLOOKUP(C138,Recipes!$A$2:$N$4,12,FALSE())</f>
        <v>5.0137397426368718E-2</v>
      </c>
      <c r="K138" s="81">
        <f t="shared" si="15"/>
        <v>9.7345191090077101</v>
      </c>
      <c r="L138" s="81">
        <f t="shared" si="16"/>
        <v>10.08548089099229</v>
      </c>
      <c r="M138" s="81" t="str">
        <f t="shared" si="18"/>
        <v>OK</v>
      </c>
      <c r="N138" s="117">
        <f t="shared" si="17"/>
        <v>1</v>
      </c>
      <c r="O138" s="81">
        <f t="shared" si="19"/>
        <v>5.9999999999998721E-2</v>
      </c>
      <c r="P138" s="81">
        <f>IF(G138="","",ABS(O138-Components!$C$2)/Components!$D$2)</f>
        <v>407.52845127242074</v>
      </c>
      <c r="Q138" s="81">
        <f>IF(G138="","",ABS(O138-Components!$C$3)/Components!$D$3)</f>
        <v>288.18796201312347</v>
      </c>
      <c r="R138" s="81">
        <f>IF(G138="","",ABS(O138-Components!$C$4)/Components!$D$4)</f>
        <v>66.768549599989782</v>
      </c>
      <c r="S138" s="81">
        <f>IF(G138="","",ABS(O138-Components!$C$5)/Components!$D$5)</f>
        <v>178.82049585135334</v>
      </c>
      <c r="T138" s="81">
        <f>IF(G138="","",ABS(O138-Components!$C$6)/Components!$D$6)</f>
        <v>39.657134984355785</v>
      </c>
      <c r="U138" s="81">
        <f>IF(G138="","",ABS(O138-Components!$C$7)/Components!$D$7)</f>
        <v>52.269016229170546</v>
      </c>
      <c r="V138" s="81" t="str">
        <f>IF(G138="","",IF(M138="OK","NONE",INDEX({"S1","S2","W1","W2","N1","N2"},MATCH(MIN(P138:U138),P138:U138,0))))</f>
        <v>NONE</v>
      </c>
      <c r="W138" s="117">
        <f t="shared" si="20"/>
        <v>1</v>
      </c>
      <c r="X138" s="107"/>
    </row>
    <row r="139" spans="1:24">
      <c r="A139" s="115">
        <v>137</v>
      </c>
      <c r="B139" s="116">
        <v>5</v>
      </c>
      <c r="C139" s="81" t="s">
        <v>130</v>
      </c>
      <c r="D139" s="109" t="s">
        <v>238</v>
      </c>
      <c r="E139" s="81" t="s">
        <v>239</v>
      </c>
      <c r="F139" s="61">
        <v>8.93</v>
      </c>
      <c r="G139" s="52">
        <f t="shared" si="14"/>
        <v>9.9</v>
      </c>
      <c r="H139" s="110"/>
      <c r="I139" s="81">
        <v>9.91</v>
      </c>
      <c r="J139" s="81">
        <f>VLOOKUP(C139,Recipes!$A$2:$N$4,12,FALSE())</f>
        <v>5.0137397426368718E-2</v>
      </c>
      <c r="K139" s="81">
        <f t="shared" si="15"/>
        <v>9.7345191090077101</v>
      </c>
      <c r="L139" s="81">
        <f t="shared" si="16"/>
        <v>10.08548089099229</v>
      </c>
      <c r="M139" s="81" t="str">
        <f t="shared" si="18"/>
        <v>OK</v>
      </c>
      <c r="N139" s="117">
        <f t="shared" si="17"/>
        <v>1</v>
      </c>
      <c r="O139" s="81">
        <f t="shared" si="19"/>
        <v>9.9999999999997868E-3</v>
      </c>
      <c r="P139" s="81">
        <f>IF(G139="","",ABS(O139-Components!$C$2)/Components!$D$2)</f>
        <v>415.09395469950761</v>
      </c>
      <c r="Q139" s="81">
        <f>IF(G139="","",ABS(O139-Components!$C$3)/Components!$D$3)</f>
        <v>291.81205610282564</v>
      </c>
      <c r="R139" s="81">
        <f>IF(G139="","",ABS(O139-Components!$C$4)/Components!$D$4)</f>
        <v>70.345436185703448</v>
      </c>
      <c r="S139" s="81">
        <f>IF(G139="","",ABS(O139-Components!$C$5)/Components!$D$5)</f>
        <v>180.80621352811545</v>
      </c>
      <c r="T139" s="81">
        <f>IF(G139="","",ABS(O139-Components!$C$6)/Components!$D$6)</f>
        <v>41.466861253796985</v>
      </c>
      <c r="U139" s="81">
        <f>IF(G139="","",ABS(O139-Components!$C$7)/Components!$D$7)</f>
        <v>54.257439367485389</v>
      </c>
      <c r="V139" s="81" t="str">
        <f>IF(G139="","",IF(M139="OK","NONE",INDEX({"S1","S2","W1","W2","N1","N2"},MATCH(MIN(P139:U139),P139:U139,0))))</f>
        <v>NONE</v>
      </c>
      <c r="W139" s="117">
        <f t="shared" si="20"/>
        <v>1</v>
      </c>
      <c r="X139" s="107"/>
    </row>
    <row r="140" spans="1:24">
      <c r="A140" s="115">
        <v>138</v>
      </c>
      <c r="B140" s="116">
        <v>5</v>
      </c>
      <c r="C140" s="81" t="s">
        <v>130</v>
      </c>
      <c r="D140" s="109" t="s">
        <v>238</v>
      </c>
      <c r="E140" s="81" t="s">
        <v>239</v>
      </c>
      <c r="F140" s="61">
        <v>8.93</v>
      </c>
      <c r="G140" s="52">
        <f t="shared" si="14"/>
        <v>9.9</v>
      </c>
      <c r="H140" s="110"/>
      <c r="I140" s="81">
        <v>9.91</v>
      </c>
      <c r="J140" s="81">
        <f>VLOOKUP(C140,Recipes!$A$2:$N$4,12,FALSE())</f>
        <v>5.0137397426368718E-2</v>
      </c>
      <c r="K140" s="81">
        <f t="shared" si="15"/>
        <v>9.7345191090077101</v>
      </c>
      <c r="L140" s="81">
        <f t="shared" si="16"/>
        <v>10.08548089099229</v>
      </c>
      <c r="M140" s="81" t="str">
        <f t="shared" si="18"/>
        <v>OK</v>
      </c>
      <c r="N140" s="117">
        <f t="shared" si="17"/>
        <v>1</v>
      </c>
      <c r="O140" s="81">
        <f t="shared" si="19"/>
        <v>9.9999999999997868E-3</v>
      </c>
      <c r="P140" s="81">
        <f>IF(G140="","",ABS(O140-Components!$C$2)/Components!$D$2)</f>
        <v>415.09395469950761</v>
      </c>
      <c r="Q140" s="81">
        <f>IF(G140="","",ABS(O140-Components!$C$3)/Components!$D$3)</f>
        <v>291.81205610282564</v>
      </c>
      <c r="R140" s="81">
        <f>IF(G140="","",ABS(O140-Components!$C$4)/Components!$D$4)</f>
        <v>70.345436185703448</v>
      </c>
      <c r="S140" s="81">
        <f>IF(G140="","",ABS(O140-Components!$C$5)/Components!$D$5)</f>
        <v>180.80621352811545</v>
      </c>
      <c r="T140" s="81">
        <f>IF(G140="","",ABS(O140-Components!$C$6)/Components!$D$6)</f>
        <v>41.466861253796985</v>
      </c>
      <c r="U140" s="81">
        <f>IF(G140="","",ABS(O140-Components!$C$7)/Components!$D$7)</f>
        <v>54.257439367485389</v>
      </c>
      <c r="V140" s="81" t="str">
        <f>IF(G140="","",IF(M140="OK","NONE",INDEX({"S1","S2","W1","W2","N1","N2"},MATCH(MIN(P140:U140),P140:U140,0))))</f>
        <v>NONE</v>
      </c>
      <c r="W140" s="117">
        <f t="shared" si="20"/>
        <v>1</v>
      </c>
      <c r="X140" s="107"/>
    </row>
    <row r="141" spans="1:24">
      <c r="A141" s="115">
        <v>139</v>
      </c>
      <c r="B141" s="116">
        <v>5</v>
      </c>
      <c r="C141" s="81" t="s">
        <v>130</v>
      </c>
      <c r="D141" s="109" t="s">
        <v>238</v>
      </c>
      <c r="E141" s="81" t="s">
        <v>239</v>
      </c>
      <c r="F141" s="61">
        <v>8.92</v>
      </c>
      <c r="G141" s="52">
        <f t="shared" si="14"/>
        <v>9.89</v>
      </c>
      <c r="H141" s="110"/>
      <c r="I141" s="81">
        <v>9.91</v>
      </c>
      <c r="J141" s="81">
        <f>VLOOKUP(C141,Recipes!$A$2:$N$4,12,FALSE())</f>
        <v>5.0137397426368718E-2</v>
      </c>
      <c r="K141" s="81">
        <f t="shared" si="15"/>
        <v>9.7345191090077101</v>
      </c>
      <c r="L141" s="81">
        <f t="shared" si="16"/>
        <v>10.08548089099229</v>
      </c>
      <c r="M141" s="81" t="str">
        <f t="shared" si="18"/>
        <v>OK</v>
      </c>
      <c r="N141" s="117">
        <f t="shared" si="17"/>
        <v>1</v>
      </c>
      <c r="O141" s="81">
        <f t="shared" si="19"/>
        <v>1.9999999999999574E-2</v>
      </c>
      <c r="P141" s="81">
        <f>IF(G141="","",ABS(O141-Components!$C$2)/Components!$D$2)</f>
        <v>413.58085401409028</v>
      </c>
      <c r="Q141" s="81">
        <f>IF(G141="","",ABS(O141-Components!$C$3)/Components!$D$3)</f>
        <v>291.08723728488519</v>
      </c>
      <c r="R141" s="81">
        <f>IF(G141="","",ABS(O141-Components!$C$4)/Components!$D$4)</f>
        <v>69.63005886856071</v>
      </c>
      <c r="S141" s="81">
        <f>IF(G141="","",ABS(O141-Components!$C$5)/Components!$D$5)</f>
        <v>180.40906999276302</v>
      </c>
      <c r="T141" s="81">
        <f>IF(G141="","",ABS(O141-Components!$C$6)/Components!$D$6)</f>
        <v>41.104915999908741</v>
      </c>
      <c r="U141" s="81">
        <f>IF(G141="","",ABS(O141-Components!$C$7)/Components!$D$7)</f>
        <v>53.859754739822421</v>
      </c>
      <c r="V141" s="81" t="str">
        <f>IF(G141="","",IF(M141="OK","NONE",INDEX({"S1","S2","W1","W2","N1","N2"},MATCH(MIN(P141:U141),P141:U141,0))))</f>
        <v>NONE</v>
      </c>
      <c r="W141" s="117">
        <f t="shared" si="20"/>
        <v>1</v>
      </c>
      <c r="X141" s="107"/>
    </row>
    <row r="142" spans="1:24">
      <c r="A142" s="115">
        <v>140</v>
      </c>
      <c r="B142" s="116">
        <v>5</v>
      </c>
      <c r="C142" s="81" t="s">
        <v>130</v>
      </c>
      <c r="D142" s="109" t="s">
        <v>238</v>
      </c>
      <c r="E142" s="81" t="s">
        <v>239</v>
      </c>
      <c r="F142" s="61">
        <v>8.8800000000000008</v>
      </c>
      <c r="G142" s="52">
        <f t="shared" si="14"/>
        <v>9.8500000000000014</v>
      </c>
      <c r="H142" s="110"/>
      <c r="I142" s="81">
        <v>9.91</v>
      </c>
      <c r="J142" s="81">
        <f>VLOOKUP(C142,Recipes!$A$2:$N$4,12,FALSE())</f>
        <v>5.0137397426368718E-2</v>
      </c>
      <c r="K142" s="81">
        <f t="shared" si="15"/>
        <v>9.7345191090077101</v>
      </c>
      <c r="L142" s="81">
        <f t="shared" si="16"/>
        <v>10.08548089099229</v>
      </c>
      <c r="M142" s="81" t="str">
        <f t="shared" si="18"/>
        <v>OK</v>
      </c>
      <c r="N142" s="117">
        <f t="shared" si="17"/>
        <v>1</v>
      </c>
      <c r="O142" s="81">
        <f t="shared" si="19"/>
        <v>5.9999999999998721E-2</v>
      </c>
      <c r="P142" s="81">
        <f>IF(G142="","",ABS(O142-Components!$C$2)/Components!$D$2)</f>
        <v>407.52845127242074</v>
      </c>
      <c r="Q142" s="81">
        <f>IF(G142="","",ABS(O142-Components!$C$3)/Components!$D$3)</f>
        <v>288.18796201312347</v>
      </c>
      <c r="R142" s="81">
        <f>IF(G142="","",ABS(O142-Components!$C$4)/Components!$D$4)</f>
        <v>66.768549599989782</v>
      </c>
      <c r="S142" s="81">
        <f>IF(G142="","",ABS(O142-Components!$C$5)/Components!$D$5)</f>
        <v>178.82049585135334</v>
      </c>
      <c r="T142" s="81">
        <f>IF(G142="","",ABS(O142-Components!$C$6)/Components!$D$6)</f>
        <v>39.657134984355785</v>
      </c>
      <c r="U142" s="81">
        <f>IF(G142="","",ABS(O142-Components!$C$7)/Components!$D$7)</f>
        <v>52.269016229170546</v>
      </c>
      <c r="V142" s="81" t="str">
        <f>IF(G142="","",IF(M142="OK","NONE",INDEX({"S1","S2","W1","W2","N1","N2"},MATCH(MIN(P142:U142),P142:U142,0))))</f>
        <v>NONE</v>
      </c>
      <c r="W142" s="117">
        <f t="shared" si="20"/>
        <v>1</v>
      </c>
      <c r="X142" s="107"/>
    </row>
    <row r="143" spans="1:24">
      <c r="A143" s="115">
        <v>141</v>
      </c>
      <c r="B143" s="116">
        <v>5</v>
      </c>
      <c r="C143" s="81" t="s">
        <v>130</v>
      </c>
      <c r="D143" s="109" t="s">
        <v>238</v>
      </c>
      <c r="E143" s="81" t="s">
        <v>239</v>
      </c>
      <c r="F143" s="61">
        <v>8.9</v>
      </c>
      <c r="G143" s="52">
        <f t="shared" si="14"/>
        <v>9.870000000000001</v>
      </c>
      <c r="H143" s="110"/>
      <c r="I143" s="81">
        <v>9.91</v>
      </c>
      <c r="J143" s="81">
        <f>VLOOKUP(C143,Recipes!$A$2:$N$4,12,FALSE())</f>
        <v>5.0137397426368718E-2</v>
      </c>
      <c r="K143" s="81">
        <f t="shared" si="15"/>
        <v>9.7345191090077101</v>
      </c>
      <c r="L143" s="81">
        <f t="shared" si="16"/>
        <v>10.08548089099229</v>
      </c>
      <c r="M143" s="81" t="str">
        <f t="shared" si="18"/>
        <v>OK</v>
      </c>
      <c r="N143" s="117">
        <f t="shared" si="17"/>
        <v>1</v>
      </c>
      <c r="O143" s="81">
        <f t="shared" si="19"/>
        <v>3.9999999999999147E-2</v>
      </c>
      <c r="P143" s="81">
        <f>IF(G143="","",ABS(O143-Components!$C$2)/Components!$D$2)</f>
        <v>410.55465264325551</v>
      </c>
      <c r="Q143" s="81">
        <f>IF(G143="","",ABS(O143-Components!$C$3)/Components!$D$3)</f>
        <v>289.63759964900436</v>
      </c>
      <c r="R143" s="81">
        <f>IF(G143="","",ABS(O143-Components!$C$4)/Components!$D$4)</f>
        <v>68.199304234275246</v>
      </c>
      <c r="S143" s="81">
        <f>IF(G143="","",ABS(O143-Components!$C$5)/Components!$D$5)</f>
        <v>179.6147829220582</v>
      </c>
      <c r="T143" s="81">
        <f>IF(G143="","",ABS(O143-Components!$C$6)/Components!$D$6)</f>
        <v>40.381025492132267</v>
      </c>
      <c r="U143" s="81">
        <f>IF(G143="","",ABS(O143-Components!$C$7)/Components!$D$7)</f>
        <v>53.064385484496484</v>
      </c>
      <c r="V143" s="81" t="str">
        <f>IF(G143="","",IF(M143="OK","NONE",INDEX({"S1","S2","W1","W2","N1","N2"},MATCH(MIN(P143:U143),P143:U143,0))))</f>
        <v>NONE</v>
      </c>
      <c r="W143" s="117">
        <f t="shared" si="20"/>
        <v>1</v>
      </c>
      <c r="X143" s="107"/>
    </row>
    <row r="144" spans="1:24">
      <c r="A144" s="115">
        <v>142</v>
      </c>
      <c r="B144" s="116">
        <v>5</v>
      </c>
      <c r="C144" s="81" t="s">
        <v>130</v>
      </c>
      <c r="D144" s="109" t="s">
        <v>238</v>
      </c>
      <c r="E144" s="81" t="s">
        <v>239</v>
      </c>
      <c r="F144" s="61">
        <v>8.8699999999999992</v>
      </c>
      <c r="G144" s="52">
        <f t="shared" si="14"/>
        <v>9.84</v>
      </c>
      <c r="H144" s="110"/>
      <c r="I144" s="81">
        <v>9.91</v>
      </c>
      <c r="J144" s="81">
        <f>VLOOKUP(C144,Recipes!$A$2:$N$4,12,FALSE())</f>
        <v>5.0137397426368718E-2</v>
      </c>
      <c r="K144" s="81">
        <f t="shared" si="15"/>
        <v>9.7345191090077101</v>
      </c>
      <c r="L144" s="81">
        <f t="shared" si="16"/>
        <v>10.08548089099229</v>
      </c>
      <c r="M144" s="81" t="str">
        <f t="shared" si="18"/>
        <v>OK</v>
      </c>
      <c r="N144" s="117">
        <f t="shared" si="17"/>
        <v>1</v>
      </c>
      <c r="O144" s="81">
        <f t="shared" si="19"/>
        <v>7.0000000000000284E-2</v>
      </c>
      <c r="P144" s="81">
        <f>IF(G144="","",ABS(O144-Components!$C$2)/Components!$D$2)</f>
        <v>406.01535058700313</v>
      </c>
      <c r="Q144" s="81">
        <f>IF(G144="","",ABS(O144-Components!$C$3)/Components!$D$3)</f>
        <v>287.46314319518291</v>
      </c>
      <c r="R144" s="81">
        <f>IF(G144="","",ABS(O144-Components!$C$4)/Components!$D$4)</f>
        <v>66.05317228284693</v>
      </c>
      <c r="S144" s="81">
        <f>IF(G144="","",ABS(O144-Components!$C$5)/Components!$D$5)</f>
        <v>178.42335231600086</v>
      </c>
      <c r="T144" s="81">
        <f>IF(G144="","",ABS(O144-Components!$C$6)/Components!$D$6)</f>
        <v>39.295189730467477</v>
      </c>
      <c r="U144" s="81">
        <f>IF(G144="","",ABS(O144-Components!$C$7)/Components!$D$7)</f>
        <v>51.871331601507507</v>
      </c>
      <c r="V144" s="81" t="str">
        <f>IF(G144="","",IF(M144="OK","NONE",INDEX({"S1","S2","W1","W2","N1","N2"},MATCH(MIN(P144:U144),P144:U144,0))))</f>
        <v>NONE</v>
      </c>
      <c r="W144" s="117">
        <f t="shared" si="20"/>
        <v>1</v>
      </c>
      <c r="X144" s="107"/>
    </row>
    <row r="145" spans="1:24">
      <c r="A145" s="115">
        <v>143</v>
      </c>
      <c r="B145" s="116">
        <v>5</v>
      </c>
      <c r="C145" s="81" t="s">
        <v>130</v>
      </c>
      <c r="D145" s="109" t="s">
        <v>238</v>
      </c>
      <c r="E145" s="81" t="s">
        <v>239</v>
      </c>
      <c r="F145" s="61">
        <v>8.93</v>
      </c>
      <c r="G145" s="52">
        <f t="shared" si="14"/>
        <v>9.9</v>
      </c>
      <c r="H145" s="110"/>
      <c r="I145" s="81">
        <v>9.91</v>
      </c>
      <c r="J145" s="81">
        <f>VLOOKUP(C145,Recipes!$A$2:$N$4,12,FALSE())</f>
        <v>5.0137397426368718E-2</v>
      </c>
      <c r="K145" s="81">
        <f t="shared" si="15"/>
        <v>9.7345191090077101</v>
      </c>
      <c r="L145" s="81">
        <f t="shared" si="16"/>
        <v>10.08548089099229</v>
      </c>
      <c r="M145" s="81" t="str">
        <f t="shared" si="18"/>
        <v>OK</v>
      </c>
      <c r="N145" s="117">
        <f t="shared" si="17"/>
        <v>1</v>
      </c>
      <c r="O145" s="81">
        <f t="shared" si="19"/>
        <v>9.9999999999997868E-3</v>
      </c>
      <c r="P145" s="81">
        <f>IF(G145="","",ABS(O145-Components!$C$2)/Components!$D$2)</f>
        <v>415.09395469950761</v>
      </c>
      <c r="Q145" s="81">
        <f>IF(G145="","",ABS(O145-Components!$C$3)/Components!$D$3)</f>
        <v>291.81205610282564</v>
      </c>
      <c r="R145" s="81">
        <f>IF(G145="","",ABS(O145-Components!$C$4)/Components!$D$4)</f>
        <v>70.345436185703448</v>
      </c>
      <c r="S145" s="81">
        <f>IF(G145="","",ABS(O145-Components!$C$5)/Components!$D$5)</f>
        <v>180.80621352811545</v>
      </c>
      <c r="T145" s="81">
        <f>IF(G145="","",ABS(O145-Components!$C$6)/Components!$D$6)</f>
        <v>41.466861253796985</v>
      </c>
      <c r="U145" s="81">
        <f>IF(G145="","",ABS(O145-Components!$C$7)/Components!$D$7)</f>
        <v>54.257439367485389</v>
      </c>
      <c r="V145" s="81" t="str">
        <f>IF(G145="","",IF(M145="OK","NONE",INDEX({"S1","S2","W1","W2","N1","N2"},MATCH(MIN(P145:U145),P145:U145,0))))</f>
        <v>NONE</v>
      </c>
      <c r="W145" s="117">
        <f t="shared" si="20"/>
        <v>1</v>
      </c>
      <c r="X145" s="107"/>
    </row>
    <row r="146" spans="1:24">
      <c r="A146" s="115">
        <v>144</v>
      </c>
      <c r="B146" s="116">
        <v>5</v>
      </c>
      <c r="C146" s="81" t="s">
        <v>130</v>
      </c>
      <c r="D146" s="109" t="s">
        <v>238</v>
      </c>
      <c r="E146" s="81" t="s">
        <v>239</v>
      </c>
      <c r="F146" s="61">
        <v>8.94</v>
      </c>
      <c r="G146" s="52">
        <f t="shared" si="14"/>
        <v>9.91</v>
      </c>
      <c r="H146" s="110"/>
      <c r="I146" s="81">
        <v>9.91</v>
      </c>
      <c r="J146" s="81">
        <f>VLOOKUP(C146,Recipes!$A$2:$N$4,12,FALSE())</f>
        <v>5.0137397426368718E-2</v>
      </c>
      <c r="K146" s="81">
        <f t="shared" si="15"/>
        <v>9.7345191090077101</v>
      </c>
      <c r="L146" s="81">
        <f t="shared" si="16"/>
        <v>10.08548089099229</v>
      </c>
      <c r="M146" s="81" t="str">
        <f t="shared" si="18"/>
        <v>OK</v>
      </c>
      <c r="N146" s="117">
        <f t="shared" si="17"/>
        <v>1</v>
      </c>
      <c r="O146" s="81">
        <f t="shared" si="19"/>
        <v>0</v>
      </c>
      <c r="P146" s="81">
        <f>IF(G146="","",ABS(O146-Components!$C$2)/Components!$D$2)</f>
        <v>416.60705538492499</v>
      </c>
      <c r="Q146" s="81">
        <f>IF(G146="","",ABS(O146-Components!$C$3)/Components!$D$3)</f>
        <v>292.53687492076608</v>
      </c>
      <c r="R146" s="81">
        <f>IF(G146="","",ABS(O146-Components!$C$4)/Components!$D$4)</f>
        <v>71.060813502846173</v>
      </c>
      <c r="S146" s="81">
        <f>IF(G146="","",ABS(O146-Components!$C$5)/Components!$D$5)</f>
        <v>181.20335706346788</v>
      </c>
      <c r="T146" s="81">
        <f>IF(G146="","",ABS(O146-Components!$C$6)/Components!$D$6)</f>
        <v>41.828806507685222</v>
      </c>
      <c r="U146" s="81">
        <f>IF(G146="","",ABS(O146-Components!$C$7)/Components!$D$7)</f>
        <v>54.655123995148351</v>
      </c>
      <c r="V146" s="81" t="str">
        <f>IF(G146="","",IF(M146="OK","NONE",INDEX({"S1","S2","W1","W2","N1","N2"},MATCH(MIN(P146:U146),P146:U146,0))))</f>
        <v>NONE</v>
      </c>
      <c r="W146" s="117">
        <f t="shared" si="20"/>
        <v>1</v>
      </c>
      <c r="X146" s="107"/>
    </row>
    <row r="147" spans="1:24">
      <c r="A147" s="115">
        <v>145</v>
      </c>
      <c r="B147" s="116">
        <v>5</v>
      </c>
      <c r="C147" s="81" t="s">
        <v>130</v>
      </c>
      <c r="D147" s="109" t="s">
        <v>238</v>
      </c>
      <c r="E147" s="81" t="s">
        <v>239</v>
      </c>
      <c r="F147" s="61">
        <v>8.8800000000000008</v>
      </c>
      <c r="G147" s="52">
        <f t="shared" si="14"/>
        <v>9.8500000000000014</v>
      </c>
      <c r="H147" s="110"/>
      <c r="I147" s="81">
        <v>9.91</v>
      </c>
      <c r="J147" s="81">
        <f>VLOOKUP(C147,Recipes!$A$2:$N$4,12,FALSE())</f>
        <v>5.0137397426368718E-2</v>
      </c>
      <c r="K147" s="81">
        <f t="shared" si="15"/>
        <v>9.7345191090077101</v>
      </c>
      <c r="L147" s="81">
        <f t="shared" si="16"/>
        <v>10.08548089099229</v>
      </c>
      <c r="M147" s="81" t="str">
        <f t="shared" si="18"/>
        <v>OK</v>
      </c>
      <c r="N147" s="117">
        <f t="shared" si="17"/>
        <v>1</v>
      </c>
      <c r="O147" s="81">
        <f t="shared" si="19"/>
        <v>5.9999999999998721E-2</v>
      </c>
      <c r="P147" s="81">
        <f>IF(G147="","",ABS(O147-Components!$C$2)/Components!$D$2)</f>
        <v>407.52845127242074</v>
      </c>
      <c r="Q147" s="81">
        <f>IF(G147="","",ABS(O147-Components!$C$3)/Components!$D$3)</f>
        <v>288.18796201312347</v>
      </c>
      <c r="R147" s="81">
        <f>IF(G147="","",ABS(O147-Components!$C$4)/Components!$D$4)</f>
        <v>66.768549599989782</v>
      </c>
      <c r="S147" s="81">
        <f>IF(G147="","",ABS(O147-Components!$C$5)/Components!$D$5)</f>
        <v>178.82049585135334</v>
      </c>
      <c r="T147" s="81">
        <f>IF(G147="","",ABS(O147-Components!$C$6)/Components!$D$6)</f>
        <v>39.657134984355785</v>
      </c>
      <c r="U147" s="81">
        <f>IF(G147="","",ABS(O147-Components!$C$7)/Components!$D$7)</f>
        <v>52.269016229170546</v>
      </c>
      <c r="V147" s="81" t="str">
        <f>IF(G147="","",IF(M147="OK","NONE",INDEX({"S1","S2","W1","W2","N1","N2"},MATCH(MIN(P147:U147),P147:U147,0))))</f>
        <v>NONE</v>
      </c>
      <c r="W147" s="117">
        <f t="shared" si="20"/>
        <v>1</v>
      </c>
      <c r="X147" s="107"/>
    </row>
    <row r="148" spans="1:24">
      <c r="A148" s="115">
        <v>146</v>
      </c>
      <c r="B148" s="116">
        <v>5</v>
      </c>
      <c r="C148" s="81" t="s">
        <v>130</v>
      </c>
      <c r="D148" s="109" t="s">
        <v>238</v>
      </c>
      <c r="E148" s="81" t="s">
        <v>239</v>
      </c>
      <c r="F148" s="61">
        <v>8.89</v>
      </c>
      <c r="G148" s="52">
        <f t="shared" si="14"/>
        <v>9.8600000000000012</v>
      </c>
      <c r="H148" s="110"/>
      <c r="I148" s="81">
        <v>9.91</v>
      </c>
      <c r="J148" s="81">
        <f>VLOOKUP(C148,Recipes!$A$2:$N$4,12,FALSE())</f>
        <v>5.0137397426368718E-2</v>
      </c>
      <c r="K148" s="81">
        <f t="shared" si="15"/>
        <v>9.7345191090077101</v>
      </c>
      <c r="L148" s="81">
        <f t="shared" si="16"/>
        <v>10.08548089099229</v>
      </c>
      <c r="M148" s="81" t="str">
        <f t="shared" si="18"/>
        <v>OK</v>
      </c>
      <c r="N148" s="117">
        <f t="shared" si="17"/>
        <v>1</v>
      </c>
      <c r="O148" s="81">
        <f t="shared" si="19"/>
        <v>4.9999999999998934E-2</v>
      </c>
      <c r="P148" s="81">
        <f>IF(G148="","",ABS(O148-Components!$C$2)/Components!$D$2)</f>
        <v>409.04155195783812</v>
      </c>
      <c r="Q148" s="81">
        <f>IF(G148="","",ABS(O148-Components!$C$3)/Components!$D$3)</f>
        <v>288.91278083106391</v>
      </c>
      <c r="R148" s="81">
        <f>IF(G148="","",ABS(O148-Components!$C$4)/Components!$D$4)</f>
        <v>67.483926917132521</v>
      </c>
      <c r="S148" s="81">
        <f>IF(G148="","",ABS(O148-Components!$C$5)/Components!$D$5)</f>
        <v>179.21763938670577</v>
      </c>
      <c r="T148" s="81">
        <f>IF(G148="","",ABS(O148-Components!$C$6)/Components!$D$6)</f>
        <v>40.019080238244022</v>
      </c>
      <c r="U148" s="81">
        <f>IF(G148="","",ABS(O148-Components!$C$7)/Components!$D$7)</f>
        <v>52.666700856833515</v>
      </c>
      <c r="V148" s="81" t="str">
        <f>IF(G148="","",IF(M148="OK","NONE",INDEX({"S1","S2","W1","W2","N1","N2"},MATCH(MIN(P148:U148),P148:U148,0))))</f>
        <v>NONE</v>
      </c>
      <c r="W148" s="117">
        <f t="shared" si="20"/>
        <v>1</v>
      </c>
      <c r="X148" s="107"/>
    </row>
    <row r="149" spans="1:24">
      <c r="A149" s="115">
        <v>147</v>
      </c>
      <c r="B149" s="116">
        <v>5</v>
      </c>
      <c r="C149" s="81" t="s">
        <v>130</v>
      </c>
      <c r="D149" s="109" t="s">
        <v>238</v>
      </c>
      <c r="E149" s="81" t="s">
        <v>239</v>
      </c>
      <c r="F149" s="61">
        <v>8.8800000000000008</v>
      </c>
      <c r="G149" s="52">
        <f t="shared" si="14"/>
        <v>9.8500000000000014</v>
      </c>
      <c r="H149" s="110"/>
      <c r="I149" s="81">
        <v>9.91</v>
      </c>
      <c r="J149" s="81">
        <f>VLOOKUP(C149,Recipes!$A$2:$N$4,12,FALSE())</f>
        <v>5.0137397426368718E-2</v>
      </c>
      <c r="K149" s="81">
        <f t="shared" si="15"/>
        <v>9.7345191090077101</v>
      </c>
      <c r="L149" s="81">
        <f t="shared" si="16"/>
        <v>10.08548089099229</v>
      </c>
      <c r="M149" s="81" t="str">
        <f t="shared" si="18"/>
        <v>OK</v>
      </c>
      <c r="N149" s="117">
        <f t="shared" si="17"/>
        <v>1</v>
      </c>
      <c r="O149" s="81">
        <f t="shared" si="19"/>
        <v>5.9999999999998721E-2</v>
      </c>
      <c r="P149" s="81">
        <f>IF(G149="","",ABS(O149-Components!$C$2)/Components!$D$2)</f>
        <v>407.52845127242074</v>
      </c>
      <c r="Q149" s="81">
        <f>IF(G149="","",ABS(O149-Components!$C$3)/Components!$D$3)</f>
        <v>288.18796201312347</v>
      </c>
      <c r="R149" s="81">
        <f>IF(G149="","",ABS(O149-Components!$C$4)/Components!$D$4)</f>
        <v>66.768549599989782</v>
      </c>
      <c r="S149" s="81">
        <f>IF(G149="","",ABS(O149-Components!$C$5)/Components!$D$5)</f>
        <v>178.82049585135334</v>
      </c>
      <c r="T149" s="81">
        <f>IF(G149="","",ABS(O149-Components!$C$6)/Components!$D$6)</f>
        <v>39.657134984355785</v>
      </c>
      <c r="U149" s="81">
        <f>IF(G149="","",ABS(O149-Components!$C$7)/Components!$D$7)</f>
        <v>52.269016229170546</v>
      </c>
      <c r="V149" s="81" t="str">
        <f>IF(G149="","",IF(M149="OK","NONE",INDEX({"S1","S2","W1","W2","N1","N2"},MATCH(MIN(P149:U149),P149:U149,0))))</f>
        <v>NONE</v>
      </c>
      <c r="W149" s="117">
        <f t="shared" si="20"/>
        <v>1</v>
      </c>
      <c r="X149" s="107"/>
    </row>
    <row r="150" spans="1:24">
      <c r="A150" s="115">
        <v>148</v>
      </c>
      <c r="B150" s="116">
        <v>5</v>
      </c>
      <c r="C150" s="81" t="s">
        <v>130</v>
      </c>
      <c r="D150" s="109" t="s">
        <v>238</v>
      </c>
      <c r="E150" s="81" t="s">
        <v>239</v>
      </c>
      <c r="F150" s="61">
        <v>8.7100000000000009</v>
      </c>
      <c r="G150" s="52">
        <f t="shared" si="14"/>
        <v>9.6800000000000015</v>
      </c>
      <c r="H150" s="110"/>
      <c r="I150" s="81">
        <v>9.91</v>
      </c>
      <c r="J150" s="81">
        <f>VLOOKUP(C150,Recipes!$A$2:$N$4,12,FALSE())</f>
        <v>5.0137397426368718E-2</v>
      </c>
      <c r="K150" s="81">
        <f t="shared" si="15"/>
        <v>9.7345191090077101</v>
      </c>
      <c r="L150" s="81">
        <f t="shared" si="16"/>
        <v>10.08548089099229</v>
      </c>
      <c r="M150" s="81" t="str">
        <f t="shared" si="18"/>
        <v>NG</v>
      </c>
      <c r="N150" s="122">
        <f t="shared" si="17"/>
        <v>0</v>
      </c>
      <c r="O150" s="81">
        <f t="shared" si="19"/>
        <v>0.22999999999999865</v>
      </c>
      <c r="P150" s="81">
        <f>IF(G150="","",ABS(O150-Components!$C$2)/Components!$D$2)</f>
        <v>381.80573962032491</v>
      </c>
      <c r="Q150" s="81">
        <f>IF(G150="","",ABS(O150-Components!$C$3)/Components!$D$3)</f>
        <v>275.86604210813579</v>
      </c>
      <c r="R150" s="81">
        <f>IF(G150="","",ABS(O150-Components!$C$4)/Components!$D$4)</f>
        <v>54.607135208563093</v>
      </c>
      <c r="S150" s="81">
        <f>IF(G150="","",ABS(O150-Components!$C$5)/Components!$D$5)</f>
        <v>172.06905575036208</v>
      </c>
      <c r="T150" s="81">
        <f>IF(G150="","",ABS(O150-Components!$C$6)/Components!$D$6)</f>
        <v>33.504065668255585</v>
      </c>
      <c r="U150" s="81">
        <f>IF(G150="","",ABS(O150-Components!$C$7)/Components!$D$7)</f>
        <v>45.508377558899937</v>
      </c>
      <c r="V150" s="81" t="str">
        <f>IF(G150="","",IF(M150="OK","NONE",INDEX({"S1","S2","W1","W2","N1","N2"},MATCH(MIN(P150:U150),P150:U150,0))))</f>
        <v>N1</v>
      </c>
      <c r="W150" s="122">
        <f t="shared" si="20"/>
        <v>0</v>
      </c>
      <c r="X150" s="107"/>
    </row>
    <row r="151" spans="1:24">
      <c r="A151" s="115">
        <v>149</v>
      </c>
      <c r="B151" s="116">
        <v>5</v>
      </c>
      <c r="C151" s="81" t="s">
        <v>130</v>
      </c>
      <c r="D151" s="109" t="s">
        <v>238</v>
      </c>
      <c r="E151" s="81" t="s">
        <v>239</v>
      </c>
      <c r="F151" s="61">
        <v>8.94</v>
      </c>
      <c r="G151" s="52">
        <f t="shared" si="14"/>
        <v>9.91</v>
      </c>
      <c r="H151" s="110"/>
      <c r="I151" s="81">
        <v>9.91</v>
      </c>
      <c r="J151" s="81">
        <f>VLOOKUP(C151,Recipes!$A$2:$N$4,12,FALSE())</f>
        <v>5.0137397426368718E-2</v>
      </c>
      <c r="K151" s="81">
        <f t="shared" si="15"/>
        <v>9.7345191090077101</v>
      </c>
      <c r="L151" s="81">
        <f t="shared" si="16"/>
        <v>10.08548089099229</v>
      </c>
      <c r="M151" s="81" t="str">
        <f t="shared" si="18"/>
        <v>OK</v>
      </c>
      <c r="N151" s="117">
        <f t="shared" si="17"/>
        <v>1</v>
      </c>
      <c r="O151" s="81">
        <f t="shared" si="19"/>
        <v>0</v>
      </c>
      <c r="P151" s="81">
        <f>IF(G151="","",ABS(O151-Components!$C$2)/Components!$D$2)</f>
        <v>416.60705538492499</v>
      </c>
      <c r="Q151" s="81">
        <f>IF(G151="","",ABS(O151-Components!$C$3)/Components!$D$3)</f>
        <v>292.53687492076608</v>
      </c>
      <c r="R151" s="81">
        <f>IF(G151="","",ABS(O151-Components!$C$4)/Components!$D$4)</f>
        <v>71.060813502846173</v>
      </c>
      <c r="S151" s="81">
        <f>IF(G151="","",ABS(O151-Components!$C$5)/Components!$D$5)</f>
        <v>181.20335706346788</v>
      </c>
      <c r="T151" s="81">
        <f>IF(G151="","",ABS(O151-Components!$C$6)/Components!$D$6)</f>
        <v>41.828806507685222</v>
      </c>
      <c r="U151" s="81">
        <f>IF(G151="","",ABS(O151-Components!$C$7)/Components!$D$7)</f>
        <v>54.655123995148351</v>
      </c>
      <c r="V151" s="81" t="str">
        <f>IF(G151="","",IF(M151="OK","NONE",INDEX({"S1","S2","W1","W2","N1","N2"},MATCH(MIN(P151:U151),P151:U151,0))))</f>
        <v>NONE</v>
      </c>
      <c r="W151" s="117">
        <f t="shared" si="20"/>
        <v>1</v>
      </c>
      <c r="X151" s="107"/>
    </row>
    <row r="152" spans="1:24">
      <c r="A152" s="115">
        <v>150</v>
      </c>
      <c r="B152" s="116">
        <v>5</v>
      </c>
      <c r="C152" s="81" t="s">
        <v>130</v>
      </c>
      <c r="D152" s="109" t="s">
        <v>238</v>
      </c>
      <c r="E152" s="81" t="s">
        <v>239</v>
      </c>
      <c r="F152" s="61">
        <v>8.9700000000000006</v>
      </c>
      <c r="G152" s="52">
        <f t="shared" si="14"/>
        <v>9.9400000000000013</v>
      </c>
      <c r="H152" s="110"/>
      <c r="I152" s="81">
        <v>9.91</v>
      </c>
      <c r="J152" s="81">
        <f>VLOOKUP(C152,Recipes!$A$2:$N$4,12,FALSE())</f>
        <v>5.0137397426368718E-2</v>
      </c>
      <c r="K152" s="81">
        <f t="shared" si="15"/>
        <v>9.7345191090077101</v>
      </c>
      <c r="L152" s="81">
        <f t="shared" si="16"/>
        <v>10.08548089099229</v>
      </c>
      <c r="M152" s="81" t="str">
        <f t="shared" si="18"/>
        <v>OK</v>
      </c>
      <c r="N152" s="117">
        <f t="shared" si="17"/>
        <v>1</v>
      </c>
      <c r="O152" s="81">
        <f t="shared" si="19"/>
        <v>-3.0000000000001137E-2</v>
      </c>
      <c r="P152" s="81">
        <f>IF(G152="","",ABS(O152-Components!$C$2)/Components!$D$2)</f>
        <v>421.14635744117737</v>
      </c>
      <c r="Q152" s="81">
        <f>IF(G152="","",ABS(O152-Components!$C$3)/Components!$D$3)</f>
        <v>294.71133137458753</v>
      </c>
      <c r="R152" s="81">
        <f>IF(G152="","",ABS(O152-Components!$C$4)/Components!$D$4)</f>
        <v>73.206945454274504</v>
      </c>
      <c r="S152" s="81">
        <f>IF(G152="","",ABS(O152-Components!$C$5)/Components!$D$5)</f>
        <v>182.39478766952519</v>
      </c>
      <c r="T152" s="81">
        <f>IF(G152="","",ABS(O152-Components!$C$6)/Components!$D$6)</f>
        <v>42.914642269350004</v>
      </c>
      <c r="U152" s="81">
        <f>IF(G152="","",ABS(O152-Components!$C$7)/Components!$D$7)</f>
        <v>55.848177878137328</v>
      </c>
      <c r="V152" s="81" t="str">
        <f>IF(G152="","",IF(M152="OK","NONE",INDEX({"S1","S2","W1","W2","N1","N2"},MATCH(MIN(P152:U152),P152:U152,0))))</f>
        <v>NONE</v>
      </c>
      <c r="W152" s="117">
        <f t="shared" si="20"/>
        <v>1</v>
      </c>
      <c r="X152" s="107"/>
    </row>
    <row r="153" spans="1:24">
      <c r="A153" s="115">
        <v>151</v>
      </c>
      <c r="B153" s="116">
        <v>6</v>
      </c>
      <c r="C153" s="81" t="s">
        <v>130</v>
      </c>
      <c r="D153" s="111" t="s">
        <v>240</v>
      </c>
      <c r="E153" s="81" t="s">
        <v>99</v>
      </c>
      <c r="F153" s="52">
        <v>6.18</v>
      </c>
      <c r="G153" s="52">
        <f t="shared" si="14"/>
        <v>7.1499999999999995</v>
      </c>
      <c r="H153" s="110"/>
      <c r="I153" s="81">
        <v>9.91</v>
      </c>
      <c r="J153" s="81">
        <f>VLOOKUP(C153,Recipes!$A$2:$N$4,12,FALSE())</f>
        <v>5.0137397426368718E-2</v>
      </c>
      <c r="K153" s="81">
        <f t="shared" si="15"/>
        <v>9.7345191090077101</v>
      </c>
      <c r="L153" s="81">
        <f t="shared" si="16"/>
        <v>10.08548089099229</v>
      </c>
      <c r="M153" s="81" t="str">
        <f t="shared" si="18"/>
        <v>NG</v>
      </c>
      <c r="N153" s="117">
        <f t="shared" si="17"/>
        <v>1</v>
      </c>
      <c r="O153" s="81">
        <f t="shared" si="19"/>
        <v>2.7600000000000007</v>
      </c>
      <c r="P153" s="81">
        <f>IF(G153="","",ABS(O153-Components!$C$2)/Components!$D$2)</f>
        <v>1.0087337902788982</v>
      </c>
      <c r="Q153" s="81">
        <f>IF(G153="","",ABS(O153-Components!$C$3)/Components!$D$3)</f>
        <v>92.486881169201496</v>
      </c>
      <c r="R153" s="81">
        <f>IF(G153="","",ABS(O153-Components!$C$4)/Components!$D$4)</f>
        <v>126.38332602855205</v>
      </c>
      <c r="S153" s="81">
        <f>IF(G153="","",ABS(O153-Components!$C$5)/Components!$D$5)</f>
        <v>71.591741306197775</v>
      </c>
      <c r="T153" s="81">
        <f>IF(G153="","",ABS(O153-Components!$C$6)/Components!$D$6)</f>
        <v>58.068083565471035</v>
      </c>
      <c r="U153" s="81">
        <f>IF(G153="","",ABS(O153-Components!$C$7)/Components!$D$7)</f>
        <v>55.105833239833345</v>
      </c>
      <c r="V153" s="81" t="str">
        <f>IF(G153="","",IF(M153="OK","NONE",INDEX({"S1","S2","W1","W2","N1","N2"},MATCH(MIN(P153:U153),P153:U153,0))))</f>
        <v>S1</v>
      </c>
      <c r="W153" s="117">
        <f t="shared" si="20"/>
        <v>1</v>
      </c>
      <c r="X153" s="107"/>
    </row>
    <row r="154" spans="1:24">
      <c r="A154" s="115">
        <v>152</v>
      </c>
      <c r="B154" s="116">
        <v>6</v>
      </c>
      <c r="C154" s="81" t="s">
        <v>130</v>
      </c>
      <c r="D154" s="111" t="s">
        <v>240</v>
      </c>
      <c r="E154" s="81" t="s">
        <v>99</v>
      </c>
      <c r="F154" s="52">
        <v>6.18</v>
      </c>
      <c r="G154" s="52">
        <f t="shared" si="14"/>
        <v>7.1499999999999995</v>
      </c>
      <c r="H154" s="110"/>
      <c r="I154" s="81">
        <v>9.91</v>
      </c>
      <c r="J154" s="81">
        <f>VLOOKUP(C154,Recipes!$A$2:$N$4,12,FALSE())</f>
        <v>5.0137397426368718E-2</v>
      </c>
      <c r="K154" s="81">
        <f t="shared" si="15"/>
        <v>9.7345191090077101</v>
      </c>
      <c r="L154" s="81">
        <f t="shared" si="16"/>
        <v>10.08548089099229</v>
      </c>
      <c r="M154" s="81" t="str">
        <f t="shared" si="18"/>
        <v>NG</v>
      </c>
      <c r="N154" s="117">
        <f t="shared" si="17"/>
        <v>1</v>
      </c>
      <c r="O154" s="81">
        <f t="shared" si="19"/>
        <v>2.7600000000000007</v>
      </c>
      <c r="P154" s="81">
        <f>IF(G154="","",ABS(O154-Components!$C$2)/Components!$D$2)</f>
        <v>1.0087337902788982</v>
      </c>
      <c r="Q154" s="81">
        <f>IF(G154="","",ABS(O154-Components!$C$3)/Components!$D$3)</f>
        <v>92.486881169201496</v>
      </c>
      <c r="R154" s="81">
        <f>IF(G154="","",ABS(O154-Components!$C$4)/Components!$D$4)</f>
        <v>126.38332602855205</v>
      </c>
      <c r="S154" s="81">
        <f>IF(G154="","",ABS(O154-Components!$C$5)/Components!$D$5)</f>
        <v>71.591741306197775</v>
      </c>
      <c r="T154" s="81">
        <f>IF(G154="","",ABS(O154-Components!$C$6)/Components!$D$6)</f>
        <v>58.068083565471035</v>
      </c>
      <c r="U154" s="81">
        <f>IF(G154="","",ABS(O154-Components!$C$7)/Components!$D$7)</f>
        <v>55.105833239833345</v>
      </c>
      <c r="V154" s="81" t="str">
        <f>IF(G154="","",IF(M154="OK","NONE",INDEX({"S1","S2","W1","W2","N1","N2"},MATCH(MIN(P154:U154),P154:U154,0))))</f>
        <v>S1</v>
      </c>
      <c r="W154" s="117">
        <f t="shared" si="20"/>
        <v>1</v>
      </c>
      <c r="X154" s="107"/>
    </row>
    <row r="155" spans="1:24">
      <c r="A155" s="115">
        <v>153</v>
      </c>
      <c r="B155" s="116">
        <v>6</v>
      </c>
      <c r="C155" s="81" t="s">
        <v>130</v>
      </c>
      <c r="D155" s="111" t="s">
        <v>240</v>
      </c>
      <c r="E155" s="81" t="s">
        <v>99</v>
      </c>
      <c r="F155" s="52">
        <v>6.15</v>
      </c>
      <c r="G155" s="52">
        <f t="shared" si="14"/>
        <v>7.12</v>
      </c>
      <c r="H155" s="110"/>
      <c r="I155" s="81">
        <v>9.91</v>
      </c>
      <c r="J155" s="81">
        <f>VLOOKUP(C155,Recipes!$A$2:$N$4,12,FALSE())</f>
        <v>5.0137397426368718E-2</v>
      </c>
      <c r="K155" s="81">
        <f t="shared" si="15"/>
        <v>9.7345191090077101</v>
      </c>
      <c r="L155" s="81">
        <f t="shared" si="16"/>
        <v>10.08548089099229</v>
      </c>
      <c r="M155" s="81" t="str">
        <f t="shared" si="18"/>
        <v>NG</v>
      </c>
      <c r="N155" s="117">
        <f t="shared" si="17"/>
        <v>1</v>
      </c>
      <c r="O155" s="81">
        <f t="shared" si="19"/>
        <v>2.79</v>
      </c>
      <c r="P155" s="81">
        <f>IF(G155="","",ABS(O155-Components!$C$2)/Components!$D$2)</f>
        <v>5.5480358465310164</v>
      </c>
      <c r="Q155" s="81">
        <f>IF(G155="","",ABS(O155-Components!$C$3)/Components!$D$3)</f>
        <v>90.312424715380189</v>
      </c>
      <c r="R155" s="81">
        <f>IF(G155="","",ABS(O155-Components!$C$4)/Components!$D$4)</f>
        <v>128.52945797998024</v>
      </c>
      <c r="S155" s="81">
        <f>IF(G155="","",ABS(O155-Components!$C$5)/Components!$D$5)</f>
        <v>70.400310700140508</v>
      </c>
      <c r="T155" s="81">
        <f>IF(G155="","",ABS(O155-Components!$C$6)/Components!$D$6)</f>
        <v>59.153919327135753</v>
      </c>
      <c r="U155" s="81">
        <f>IF(G155="","",ABS(O155-Components!$C$7)/Components!$D$7)</f>
        <v>56.298887122822251</v>
      </c>
      <c r="V155" s="81" t="str">
        <f>IF(G155="","",IF(M155="OK","NONE",INDEX({"S1","S2","W1","W2","N1","N2"},MATCH(MIN(P155:U155),P155:U155,0))))</f>
        <v>S1</v>
      </c>
      <c r="W155" s="117">
        <f t="shared" si="20"/>
        <v>1</v>
      </c>
      <c r="X155" s="107"/>
    </row>
    <row r="156" spans="1:24">
      <c r="A156" s="115">
        <v>154</v>
      </c>
      <c r="B156" s="116">
        <v>6</v>
      </c>
      <c r="C156" s="81" t="s">
        <v>130</v>
      </c>
      <c r="D156" s="111" t="s">
        <v>240</v>
      </c>
      <c r="E156" s="81" t="s">
        <v>99</v>
      </c>
      <c r="F156" s="52">
        <v>6.12</v>
      </c>
      <c r="G156" s="52">
        <f t="shared" si="14"/>
        <v>7.09</v>
      </c>
      <c r="H156" s="110"/>
      <c r="I156" s="81">
        <v>9.91</v>
      </c>
      <c r="J156" s="81">
        <f>VLOOKUP(C156,Recipes!$A$2:$N$4,12,FALSE())</f>
        <v>5.0137397426368718E-2</v>
      </c>
      <c r="K156" s="81">
        <f t="shared" si="15"/>
        <v>9.7345191090077101</v>
      </c>
      <c r="L156" s="81">
        <f t="shared" si="16"/>
        <v>10.08548089099229</v>
      </c>
      <c r="M156" s="81" t="str">
        <f t="shared" si="18"/>
        <v>NG</v>
      </c>
      <c r="N156" s="117">
        <f t="shared" si="17"/>
        <v>1</v>
      </c>
      <c r="O156" s="81">
        <f t="shared" si="19"/>
        <v>2.8200000000000003</v>
      </c>
      <c r="P156" s="81">
        <f>IF(G156="","",ABS(O156-Components!$C$2)/Components!$D$2)</f>
        <v>10.08733790278327</v>
      </c>
      <c r="Q156" s="81">
        <f>IF(G156="","",ABS(O156-Components!$C$3)/Components!$D$3)</f>
        <v>88.137968261558811</v>
      </c>
      <c r="R156" s="81">
        <f>IF(G156="","",ABS(O156-Components!$C$4)/Components!$D$4)</f>
        <v>130.6755899314085</v>
      </c>
      <c r="S156" s="81">
        <f>IF(G156="","",ABS(O156-Components!$C$5)/Components!$D$5)</f>
        <v>69.208880094083213</v>
      </c>
      <c r="T156" s="81">
        <f>IF(G156="","",ABS(O156-Components!$C$6)/Components!$D$6)</f>
        <v>60.2397550888005</v>
      </c>
      <c r="U156" s="81">
        <f>IF(G156="","",ABS(O156-Components!$C$7)/Components!$D$7)</f>
        <v>57.491941005811192</v>
      </c>
      <c r="V156" s="81" t="str">
        <f>IF(G156="","",IF(M156="OK","NONE",INDEX({"S1","S2","W1","W2","N1","N2"},MATCH(MIN(P156:U156),P156:U156,0))))</f>
        <v>S1</v>
      </c>
      <c r="W156" s="117">
        <f t="shared" si="20"/>
        <v>1</v>
      </c>
      <c r="X156" s="107"/>
    </row>
    <row r="157" spans="1:24">
      <c r="A157" s="115">
        <v>155</v>
      </c>
      <c r="B157" s="116">
        <v>6</v>
      </c>
      <c r="C157" s="61" t="s">
        <v>130</v>
      </c>
      <c r="D157" s="61" t="s">
        <v>240</v>
      </c>
      <c r="E157" s="61" t="s">
        <v>99</v>
      </c>
      <c r="F157" s="61">
        <v>6.16</v>
      </c>
      <c r="G157" s="52">
        <f t="shared" si="14"/>
        <v>7.13</v>
      </c>
      <c r="H157" s="110"/>
      <c r="I157" s="81">
        <v>9.91</v>
      </c>
      <c r="J157" s="81">
        <f>VLOOKUP(C157,Recipes!$A$2:$N$4,12,FALSE())</f>
        <v>5.0137397426368718E-2</v>
      </c>
      <c r="K157" s="81">
        <f t="shared" si="15"/>
        <v>9.7345191090077101</v>
      </c>
      <c r="L157" s="81">
        <f t="shared" si="16"/>
        <v>10.08548089099229</v>
      </c>
      <c r="M157" s="81" t="str">
        <f t="shared" si="18"/>
        <v>NG</v>
      </c>
      <c r="N157" s="117">
        <f t="shared" si="17"/>
        <v>1</v>
      </c>
      <c r="O157" s="81">
        <f t="shared" si="19"/>
        <v>2.7800000000000002</v>
      </c>
      <c r="P157" s="81">
        <f>IF(G157="","",ABS(O157-Components!$C$2)/Components!$D$2)</f>
        <v>4.0349351611136441</v>
      </c>
      <c r="Q157" s="81">
        <f>IF(G157="","",ABS(O157-Components!$C$3)/Components!$D$3)</f>
        <v>91.03724353332062</v>
      </c>
      <c r="R157" s="81">
        <f>IF(G157="","",ABS(O157-Components!$C$4)/Components!$D$4)</f>
        <v>127.81408066283751</v>
      </c>
      <c r="S157" s="81">
        <f>IF(G157="","",ABS(O157-Components!$C$5)/Components!$D$5)</f>
        <v>70.797454235492935</v>
      </c>
      <c r="T157" s="81">
        <f>IF(G157="","",ABS(O157-Components!$C$6)/Components!$D$6)</f>
        <v>58.791974073247509</v>
      </c>
      <c r="U157" s="81">
        <f>IF(G157="","",ABS(O157-Components!$C$7)/Components!$D$7)</f>
        <v>55.901202495159282</v>
      </c>
      <c r="V157" s="81" t="str">
        <f>IF(G157="","",IF(M157="OK","NONE",INDEX({"S1","S2","W1","W2","N1","N2"},MATCH(MIN(P157:U157),P157:U157,0))))</f>
        <v>S1</v>
      </c>
      <c r="W157" s="117">
        <f t="shared" si="20"/>
        <v>1</v>
      </c>
      <c r="X157" s="107"/>
    </row>
    <row r="158" spans="1:24">
      <c r="A158" s="115">
        <v>156</v>
      </c>
      <c r="B158" s="116">
        <v>6</v>
      </c>
      <c r="C158" s="81" t="s">
        <v>130</v>
      </c>
      <c r="D158" s="111" t="s">
        <v>240</v>
      </c>
      <c r="E158" s="81" t="s">
        <v>99</v>
      </c>
      <c r="F158" s="61">
        <v>6.19</v>
      </c>
      <c r="G158" s="52">
        <f t="shared" si="14"/>
        <v>7.16</v>
      </c>
      <c r="H158" s="110"/>
      <c r="I158" s="81">
        <v>9.91</v>
      </c>
      <c r="J158" s="81">
        <f>VLOOKUP(C158,Recipes!$A$2:$N$4,12,FALSE())</f>
        <v>5.0137397426368718E-2</v>
      </c>
      <c r="K158" s="81">
        <f t="shared" si="15"/>
        <v>9.7345191090077101</v>
      </c>
      <c r="L158" s="81">
        <f t="shared" si="16"/>
        <v>10.08548089099229</v>
      </c>
      <c r="M158" s="81" t="str">
        <f t="shared" si="18"/>
        <v>NG</v>
      </c>
      <c r="N158" s="117">
        <f t="shared" si="17"/>
        <v>1</v>
      </c>
      <c r="O158" s="81">
        <f t="shared" si="19"/>
        <v>2.75</v>
      </c>
      <c r="P158" s="81">
        <f>IF(G158="","",ABS(O158-Components!$C$2)/Components!$D$2)</f>
        <v>0.50436689513860911</v>
      </c>
      <c r="Q158" s="81">
        <f>IF(G158="","",ABS(O158-Components!$C$3)/Components!$D$3)</f>
        <v>93.211699987141998</v>
      </c>
      <c r="R158" s="81">
        <f>IF(G158="","",ABS(O158-Components!$C$4)/Components!$D$4)</f>
        <v>125.66794871140925</v>
      </c>
      <c r="S158" s="81">
        <f>IF(G158="","",ABS(O158-Components!$C$5)/Components!$D$5)</f>
        <v>71.988884841550231</v>
      </c>
      <c r="T158" s="81">
        <f>IF(G158="","",ABS(O158-Components!$C$6)/Components!$D$6)</f>
        <v>57.706138311582762</v>
      </c>
      <c r="U158" s="81">
        <f>IF(G158="","",ABS(O158-Components!$C$7)/Components!$D$7)</f>
        <v>54.708148612170341</v>
      </c>
      <c r="V158" s="81" t="str">
        <f>IF(G158="","",IF(M158="OK","NONE",INDEX({"S1","S2","W1","W2","N1","N2"},MATCH(MIN(P158:U158),P158:U158,0))))</f>
        <v>S1</v>
      </c>
      <c r="W158" s="117">
        <f t="shared" si="20"/>
        <v>1</v>
      </c>
      <c r="X158" s="107"/>
    </row>
    <row r="159" spans="1:24">
      <c r="A159" s="115">
        <v>157</v>
      </c>
      <c r="B159" s="116">
        <v>6</v>
      </c>
      <c r="C159" s="81" t="s">
        <v>130</v>
      </c>
      <c r="D159" s="111" t="s">
        <v>240</v>
      </c>
      <c r="E159" s="81" t="s">
        <v>99</v>
      </c>
      <c r="F159" s="61">
        <v>6.18</v>
      </c>
      <c r="G159" s="52">
        <f t="shared" si="14"/>
        <v>7.1499999999999995</v>
      </c>
      <c r="H159" s="110"/>
      <c r="I159" s="81">
        <v>9.91</v>
      </c>
      <c r="J159" s="81">
        <f>VLOOKUP(C159,Recipes!$A$2:$N$4,12,FALSE())</f>
        <v>5.0137397426368718E-2</v>
      </c>
      <c r="K159" s="81">
        <f t="shared" si="15"/>
        <v>9.7345191090077101</v>
      </c>
      <c r="L159" s="81">
        <f t="shared" si="16"/>
        <v>10.08548089099229</v>
      </c>
      <c r="M159" s="81" t="str">
        <f t="shared" si="18"/>
        <v>NG</v>
      </c>
      <c r="N159" s="117">
        <f t="shared" si="17"/>
        <v>1</v>
      </c>
      <c r="O159" s="81">
        <f t="shared" si="19"/>
        <v>2.7600000000000007</v>
      </c>
      <c r="P159" s="81">
        <f>IF(G159="","",ABS(O159-Components!$C$2)/Components!$D$2)</f>
        <v>1.0087337902788982</v>
      </c>
      <c r="Q159" s="81">
        <f>IF(G159="","",ABS(O159-Components!$C$3)/Components!$D$3)</f>
        <v>92.486881169201496</v>
      </c>
      <c r="R159" s="81">
        <f>IF(G159="","",ABS(O159-Components!$C$4)/Components!$D$4)</f>
        <v>126.38332602855205</v>
      </c>
      <c r="S159" s="81">
        <f>IF(G159="","",ABS(O159-Components!$C$5)/Components!$D$5)</f>
        <v>71.591741306197775</v>
      </c>
      <c r="T159" s="81">
        <f>IF(G159="","",ABS(O159-Components!$C$6)/Components!$D$6)</f>
        <v>58.068083565471035</v>
      </c>
      <c r="U159" s="81">
        <f>IF(G159="","",ABS(O159-Components!$C$7)/Components!$D$7)</f>
        <v>55.105833239833345</v>
      </c>
      <c r="V159" s="81" t="str">
        <f>IF(G159="","",IF(M159="OK","NONE",INDEX({"S1","S2","W1","W2","N1","N2"},MATCH(MIN(P159:U159),P159:U159,0))))</f>
        <v>S1</v>
      </c>
      <c r="W159" s="117">
        <f t="shared" si="20"/>
        <v>1</v>
      </c>
      <c r="X159" s="107"/>
    </row>
    <row r="160" spans="1:24">
      <c r="A160" s="115">
        <v>158</v>
      </c>
      <c r="B160" s="116">
        <v>6</v>
      </c>
      <c r="C160" s="81" t="s">
        <v>130</v>
      </c>
      <c r="D160" s="111" t="s">
        <v>240</v>
      </c>
      <c r="E160" s="81" t="s">
        <v>99</v>
      </c>
      <c r="F160" s="61">
        <v>6.13</v>
      </c>
      <c r="G160" s="52">
        <f t="shared" si="14"/>
        <v>7.1</v>
      </c>
      <c r="H160" s="110"/>
      <c r="I160" s="81">
        <v>9.91</v>
      </c>
      <c r="J160" s="81">
        <f>VLOOKUP(C160,Recipes!$A$2:$N$4,12,FALSE())</f>
        <v>5.0137397426368718E-2</v>
      </c>
      <c r="K160" s="81">
        <f t="shared" si="15"/>
        <v>9.7345191090077101</v>
      </c>
      <c r="L160" s="81">
        <f t="shared" si="16"/>
        <v>10.08548089099229</v>
      </c>
      <c r="M160" s="81" t="str">
        <f t="shared" si="18"/>
        <v>NG</v>
      </c>
      <c r="N160" s="117">
        <f t="shared" si="17"/>
        <v>1</v>
      </c>
      <c r="O160" s="81">
        <f t="shared" si="19"/>
        <v>2.8100000000000005</v>
      </c>
      <c r="P160" s="81">
        <f>IF(G160="","",ABS(O160-Components!$C$2)/Components!$D$2)</f>
        <v>8.5742372173658961</v>
      </c>
      <c r="Q160" s="81">
        <f>IF(G160="","",ABS(O160-Components!$C$3)/Components!$D$3)</f>
        <v>88.862787079499256</v>
      </c>
      <c r="R160" s="81">
        <f>IF(G160="","",ABS(O160-Components!$C$4)/Components!$D$4)</f>
        <v>129.96021261426577</v>
      </c>
      <c r="S160" s="81">
        <f>IF(G160="","",ABS(O160-Components!$C$5)/Components!$D$5)</f>
        <v>69.60602362943564</v>
      </c>
      <c r="T160" s="81">
        <f>IF(G160="","",ABS(O160-Components!$C$6)/Components!$D$6)</f>
        <v>59.877809834912263</v>
      </c>
      <c r="U160" s="81">
        <f>IF(G160="","",ABS(O160-Components!$C$7)/Components!$D$7)</f>
        <v>57.094256378148224</v>
      </c>
      <c r="V160" s="81" t="str">
        <f>IF(G160="","",IF(M160="OK","NONE",INDEX({"S1","S2","W1","W2","N1","N2"},MATCH(MIN(P160:U160),P160:U160,0))))</f>
        <v>S1</v>
      </c>
      <c r="W160" s="117">
        <f t="shared" si="20"/>
        <v>1</v>
      </c>
      <c r="X160" s="107"/>
    </row>
    <row r="161" spans="1:24">
      <c r="A161" s="115">
        <v>159</v>
      </c>
      <c r="B161" s="116">
        <v>6</v>
      </c>
      <c r="C161" s="81" t="s">
        <v>130</v>
      </c>
      <c r="D161" s="111" t="s">
        <v>240</v>
      </c>
      <c r="E161" s="81" t="s">
        <v>99</v>
      </c>
      <c r="F161" s="61">
        <v>6.22</v>
      </c>
      <c r="G161" s="52">
        <f t="shared" si="14"/>
        <v>7.1899999999999995</v>
      </c>
      <c r="H161" s="110"/>
      <c r="I161" s="81">
        <v>9.91</v>
      </c>
      <c r="J161" s="81">
        <f>VLOOKUP(C161,Recipes!$A$2:$N$4,12,FALSE())</f>
        <v>5.0137397426368718E-2</v>
      </c>
      <c r="K161" s="81">
        <f t="shared" si="15"/>
        <v>9.7345191090077101</v>
      </c>
      <c r="L161" s="81">
        <f t="shared" si="16"/>
        <v>10.08548089099229</v>
      </c>
      <c r="M161" s="81" t="str">
        <f t="shared" si="18"/>
        <v>NG</v>
      </c>
      <c r="N161" s="117">
        <f t="shared" si="17"/>
        <v>1</v>
      </c>
      <c r="O161" s="81">
        <f t="shared" si="19"/>
        <v>2.7200000000000006</v>
      </c>
      <c r="P161" s="81">
        <f>IF(G161="","",ABS(O161-Components!$C$2)/Components!$D$2)</f>
        <v>5.0436689513907274</v>
      </c>
      <c r="Q161" s="81">
        <f>IF(G161="","",ABS(O161-Components!$C$3)/Components!$D$3)</f>
        <v>95.386156440963305</v>
      </c>
      <c r="R161" s="81">
        <f>IF(G161="","",ABS(O161-Components!$C$4)/Components!$D$4)</f>
        <v>123.52181675998106</v>
      </c>
      <c r="S161" s="81">
        <f>IF(G161="","",ABS(O161-Components!$C$5)/Components!$D$5)</f>
        <v>73.180315447607484</v>
      </c>
      <c r="T161" s="81">
        <f>IF(G161="","",ABS(O161-Components!$C$6)/Components!$D$6)</f>
        <v>56.620302549918044</v>
      </c>
      <c r="U161" s="81">
        <f>IF(G161="","",ABS(O161-Components!$C$7)/Components!$D$7)</f>
        <v>53.515094729181435</v>
      </c>
      <c r="V161" s="81" t="str">
        <f>IF(G161="","",IF(M161="OK","NONE",INDEX({"S1","S2","W1","W2","N1","N2"},MATCH(MIN(P161:U161),P161:U161,0))))</f>
        <v>S1</v>
      </c>
      <c r="W161" s="117">
        <f t="shared" si="20"/>
        <v>1</v>
      </c>
      <c r="X161" s="107"/>
    </row>
    <row r="162" spans="1:24">
      <c r="A162" s="115">
        <v>160</v>
      </c>
      <c r="B162" s="116">
        <v>6</v>
      </c>
      <c r="C162" s="61" t="s">
        <v>130</v>
      </c>
      <c r="D162" s="61" t="s">
        <v>240</v>
      </c>
      <c r="E162" s="61" t="s">
        <v>99</v>
      </c>
      <c r="F162" s="61">
        <v>6.17</v>
      </c>
      <c r="G162" s="52">
        <f t="shared" si="14"/>
        <v>7.14</v>
      </c>
      <c r="H162" s="110"/>
      <c r="I162" s="81">
        <v>9.91</v>
      </c>
      <c r="J162" s="81">
        <f>VLOOKUP(C162,Recipes!$A$2:$N$4,12,FALSE())</f>
        <v>5.0137397426368718E-2</v>
      </c>
      <c r="K162" s="81">
        <f t="shared" si="15"/>
        <v>9.7345191090077101</v>
      </c>
      <c r="L162" s="81">
        <f t="shared" si="16"/>
        <v>10.08548089099229</v>
      </c>
      <c r="M162" s="81" t="str">
        <f t="shared" si="18"/>
        <v>NG</v>
      </c>
      <c r="N162" s="117">
        <f t="shared" si="17"/>
        <v>1</v>
      </c>
      <c r="O162" s="81">
        <f t="shared" si="19"/>
        <v>2.7700000000000005</v>
      </c>
      <c r="P162" s="81">
        <f>IF(G162="","",ABS(O162-Components!$C$2)/Components!$D$2)</f>
        <v>2.5218344756962709</v>
      </c>
      <c r="Q162" s="81">
        <f>IF(G162="","",ABS(O162-Components!$C$3)/Components!$D$3)</f>
        <v>91.762062351261065</v>
      </c>
      <c r="R162" s="81">
        <f>IF(G162="","",ABS(O162-Components!$C$4)/Components!$D$4)</f>
        <v>127.09870334569479</v>
      </c>
      <c r="S162" s="81">
        <f>IF(G162="","",ABS(O162-Components!$C$5)/Components!$D$5)</f>
        <v>71.194597770845348</v>
      </c>
      <c r="T162" s="81">
        <f>IF(G162="","",ABS(O162-Components!$C$6)/Components!$D$6)</f>
        <v>58.430028819359272</v>
      </c>
      <c r="U162" s="81">
        <f>IF(G162="","",ABS(O162-Components!$C$7)/Components!$D$7)</f>
        <v>55.503517867496313</v>
      </c>
      <c r="V162" s="81" t="str">
        <f>IF(G162="","",IF(M162="OK","NONE",INDEX({"S1","S2","W1","W2","N1","N2"},MATCH(MIN(P162:U162),P162:U162,0))))</f>
        <v>S1</v>
      </c>
      <c r="W162" s="117">
        <f t="shared" si="20"/>
        <v>1</v>
      </c>
      <c r="X162" s="107"/>
    </row>
    <row r="163" spans="1:24">
      <c r="A163" s="115">
        <v>161</v>
      </c>
      <c r="B163" s="116">
        <v>6</v>
      </c>
      <c r="C163" s="81" t="s">
        <v>130</v>
      </c>
      <c r="D163" s="111" t="s">
        <v>240</v>
      </c>
      <c r="E163" s="81" t="s">
        <v>99</v>
      </c>
      <c r="F163" s="61">
        <v>6.16</v>
      </c>
      <c r="G163" s="52">
        <f t="shared" si="14"/>
        <v>7.13</v>
      </c>
      <c r="H163" s="110"/>
      <c r="I163" s="81">
        <v>9.91</v>
      </c>
      <c r="J163" s="81">
        <f>VLOOKUP(C163,Recipes!$A$2:$N$4,12,FALSE())</f>
        <v>5.0137397426368718E-2</v>
      </c>
      <c r="K163" s="81">
        <f t="shared" si="15"/>
        <v>9.7345191090077101</v>
      </c>
      <c r="L163" s="81">
        <f t="shared" si="16"/>
        <v>10.08548089099229</v>
      </c>
      <c r="M163" s="81" t="str">
        <f t="shared" si="18"/>
        <v>NG</v>
      </c>
      <c r="N163" s="117">
        <f t="shared" si="17"/>
        <v>1</v>
      </c>
      <c r="O163" s="81">
        <f t="shared" si="19"/>
        <v>2.7800000000000002</v>
      </c>
      <c r="P163" s="81">
        <f>IF(G163="","",ABS(O163-Components!$C$2)/Components!$D$2)</f>
        <v>4.0349351611136441</v>
      </c>
      <c r="Q163" s="81">
        <f>IF(G163="","",ABS(O163-Components!$C$3)/Components!$D$3)</f>
        <v>91.03724353332062</v>
      </c>
      <c r="R163" s="81">
        <f>IF(G163="","",ABS(O163-Components!$C$4)/Components!$D$4)</f>
        <v>127.81408066283751</v>
      </c>
      <c r="S163" s="81">
        <f>IF(G163="","",ABS(O163-Components!$C$5)/Components!$D$5)</f>
        <v>70.797454235492935</v>
      </c>
      <c r="T163" s="81">
        <f>IF(G163="","",ABS(O163-Components!$C$6)/Components!$D$6)</f>
        <v>58.791974073247509</v>
      </c>
      <c r="U163" s="81">
        <f>IF(G163="","",ABS(O163-Components!$C$7)/Components!$D$7)</f>
        <v>55.901202495159282</v>
      </c>
      <c r="V163" s="81" t="str">
        <f>IF(G163="","",IF(M163="OK","NONE",INDEX({"S1","S2","W1","W2","N1","N2"},MATCH(MIN(P163:U163),P163:U163,0))))</f>
        <v>S1</v>
      </c>
      <c r="W163" s="117">
        <f t="shared" si="20"/>
        <v>1</v>
      </c>
      <c r="X163" s="107"/>
    </row>
    <row r="164" spans="1:24">
      <c r="A164" s="115">
        <v>162</v>
      </c>
      <c r="B164" s="116">
        <v>6</v>
      </c>
      <c r="C164" s="81" t="s">
        <v>130</v>
      </c>
      <c r="D164" s="111" t="s">
        <v>240</v>
      </c>
      <c r="E164" s="81" t="s">
        <v>99</v>
      </c>
      <c r="F164" s="61">
        <v>6.17</v>
      </c>
      <c r="G164" s="52">
        <f t="shared" si="14"/>
        <v>7.14</v>
      </c>
      <c r="H164" s="110"/>
      <c r="I164" s="81">
        <v>9.91</v>
      </c>
      <c r="J164" s="81">
        <f>VLOOKUP(C164,Recipes!$A$2:$N$4,12,FALSE())</f>
        <v>5.0137397426368718E-2</v>
      </c>
      <c r="K164" s="81">
        <f t="shared" si="15"/>
        <v>9.7345191090077101</v>
      </c>
      <c r="L164" s="81">
        <f t="shared" si="16"/>
        <v>10.08548089099229</v>
      </c>
      <c r="M164" s="81" t="str">
        <f t="shared" si="18"/>
        <v>NG</v>
      </c>
      <c r="N164" s="117">
        <f t="shared" si="17"/>
        <v>1</v>
      </c>
      <c r="O164" s="81">
        <f t="shared" si="19"/>
        <v>2.7700000000000005</v>
      </c>
      <c r="P164" s="81">
        <f>IF(G164="","",ABS(O164-Components!$C$2)/Components!$D$2)</f>
        <v>2.5218344756962709</v>
      </c>
      <c r="Q164" s="81">
        <f>IF(G164="","",ABS(O164-Components!$C$3)/Components!$D$3)</f>
        <v>91.762062351261065</v>
      </c>
      <c r="R164" s="81">
        <f>IF(G164="","",ABS(O164-Components!$C$4)/Components!$D$4)</f>
        <v>127.09870334569479</v>
      </c>
      <c r="S164" s="81">
        <f>IF(G164="","",ABS(O164-Components!$C$5)/Components!$D$5)</f>
        <v>71.194597770845348</v>
      </c>
      <c r="T164" s="81">
        <f>IF(G164="","",ABS(O164-Components!$C$6)/Components!$D$6)</f>
        <v>58.430028819359272</v>
      </c>
      <c r="U164" s="81">
        <f>IF(G164="","",ABS(O164-Components!$C$7)/Components!$D$7)</f>
        <v>55.503517867496313</v>
      </c>
      <c r="V164" s="81" t="str">
        <f>IF(G164="","",IF(M164="OK","NONE",INDEX({"S1","S2","W1","W2","N1","N2"},MATCH(MIN(P164:U164),P164:U164,0))))</f>
        <v>S1</v>
      </c>
      <c r="W164" s="117">
        <f t="shared" si="20"/>
        <v>1</v>
      </c>
      <c r="X164" s="107"/>
    </row>
    <row r="165" spans="1:24">
      <c r="A165" s="115">
        <v>163</v>
      </c>
      <c r="B165" s="116">
        <v>6</v>
      </c>
      <c r="C165" s="81" t="s">
        <v>130</v>
      </c>
      <c r="D165" s="111" t="s">
        <v>240</v>
      </c>
      <c r="E165" s="81" t="s">
        <v>99</v>
      </c>
      <c r="F165" s="61">
        <v>6.14</v>
      </c>
      <c r="G165" s="52">
        <f t="shared" si="14"/>
        <v>7.1099999999999994</v>
      </c>
      <c r="H165" s="110"/>
      <c r="I165" s="81">
        <v>9.91</v>
      </c>
      <c r="J165" s="81">
        <f>VLOOKUP(C165,Recipes!$A$2:$N$4,12,FALSE())</f>
        <v>5.0137397426368718E-2</v>
      </c>
      <c r="K165" s="81">
        <f t="shared" si="15"/>
        <v>9.7345191090077101</v>
      </c>
      <c r="L165" s="81">
        <f t="shared" si="16"/>
        <v>10.08548089099229</v>
      </c>
      <c r="M165" s="81" t="str">
        <f t="shared" si="18"/>
        <v>NG</v>
      </c>
      <c r="N165" s="117">
        <f t="shared" si="17"/>
        <v>1</v>
      </c>
      <c r="O165" s="81">
        <f t="shared" si="19"/>
        <v>2.8000000000000007</v>
      </c>
      <c r="P165" s="81">
        <f>IF(G165="","",ABS(O165-Components!$C$2)/Components!$D$2)</f>
        <v>7.0611365319485238</v>
      </c>
      <c r="Q165" s="81">
        <f>IF(G165="","",ABS(O165-Components!$C$3)/Components!$D$3)</f>
        <v>89.587605897439687</v>
      </c>
      <c r="R165" s="81">
        <f>IF(G165="","",ABS(O165-Components!$C$4)/Components!$D$4)</f>
        <v>129.24483529712305</v>
      </c>
      <c r="S165" s="81">
        <f>IF(G165="","",ABS(O165-Components!$C$5)/Components!$D$5)</f>
        <v>70.003167164788053</v>
      </c>
      <c r="T165" s="81">
        <f>IF(G165="","",ABS(O165-Components!$C$6)/Components!$D$6)</f>
        <v>59.515864581024026</v>
      </c>
      <c r="U165" s="81">
        <f>IF(G165="","",ABS(O165-Components!$C$7)/Components!$D$7)</f>
        <v>56.696571750485255</v>
      </c>
      <c r="V165" s="81" t="str">
        <f>IF(G165="","",IF(M165="OK","NONE",INDEX({"S1","S2","W1","W2","N1","N2"},MATCH(MIN(P165:U165),P165:U165,0))))</f>
        <v>S1</v>
      </c>
      <c r="W165" s="117">
        <f t="shared" si="20"/>
        <v>1</v>
      </c>
      <c r="X165" s="107"/>
    </row>
    <row r="166" spans="1:24">
      <c r="A166" s="115">
        <v>164</v>
      </c>
      <c r="B166" s="116">
        <v>6</v>
      </c>
      <c r="C166" s="81" t="s">
        <v>130</v>
      </c>
      <c r="D166" s="111" t="s">
        <v>240</v>
      </c>
      <c r="E166" s="81" t="s">
        <v>99</v>
      </c>
      <c r="F166" s="61">
        <v>6.2</v>
      </c>
      <c r="G166" s="52">
        <f t="shared" si="14"/>
        <v>7.17</v>
      </c>
      <c r="H166" s="110"/>
      <c r="I166" s="81">
        <v>9.91</v>
      </c>
      <c r="J166" s="81">
        <f>VLOOKUP(C166,Recipes!$A$2:$N$4,12,FALSE())</f>
        <v>5.0137397426368718E-2</v>
      </c>
      <c r="K166" s="81">
        <f t="shared" si="15"/>
        <v>9.7345191090077101</v>
      </c>
      <c r="L166" s="81">
        <f t="shared" si="16"/>
        <v>10.08548089099229</v>
      </c>
      <c r="M166" s="81" t="str">
        <f t="shared" si="18"/>
        <v>NG</v>
      </c>
      <c r="N166" s="117">
        <f t="shared" si="17"/>
        <v>1</v>
      </c>
      <c r="O166" s="81">
        <f t="shared" si="19"/>
        <v>2.74</v>
      </c>
      <c r="P166" s="81">
        <f>IF(G166="","",ABS(O166-Components!$C$2)/Components!$D$2)</f>
        <v>2.0174675805559819</v>
      </c>
      <c r="Q166" s="81">
        <f>IF(G166="","",ABS(O166-Components!$C$3)/Components!$D$3)</f>
        <v>93.936518805082429</v>
      </c>
      <c r="R166" s="81">
        <f>IF(G166="","",ABS(O166-Components!$C$4)/Components!$D$4)</f>
        <v>124.95257139426653</v>
      </c>
      <c r="S166" s="81">
        <f>IF(G166="","",ABS(O166-Components!$C$5)/Components!$D$5)</f>
        <v>72.386028376902644</v>
      </c>
      <c r="T166" s="81">
        <f>IF(G166="","",ABS(O166-Components!$C$6)/Components!$D$6)</f>
        <v>57.344193057694518</v>
      </c>
      <c r="U166" s="81">
        <f>IF(G166="","",ABS(O166-Components!$C$7)/Components!$D$7)</f>
        <v>54.310463984507372</v>
      </c>
      <c r="V166" s="81" t="str">
        <f>IF(G166="","",IF(M166="OK","NONE",INDEX({"S1","S2","W1","W2","N1","N2"},MATCH(MIN(P166:U166),P166:U166,0))))</f>
        <v>S1</v>
      </c>
      <c r="W166" s="117">
        <f t="shared" si="20"/>
        <v>1</v>
      </c>
      <c r="X166" s="107"/>
    </row>
    <row r="167" spans="1:24">
      <c r="A167" s="115">
        <v>165</v>
      </c>
      <c r="B167" s="116">
        <v>6</v>
      </c>
      <c r="C167" s="61" t="s">
        <v>130</v>
      </c>
      <c r="D167" s="61" t="s">
        <v>240</v>
      </c>
      <c r="E167" s="61" t="s">
        <v>99</v>
      </c>
      <c r="F167" s="61">
        <v>6.19</v>
      </c>
      <c r="G167" s="52">
        <f t="shared" si="14"/>
        <v>7.16</v>
      </c>
      <c r="H167" s="110"/>
      <c r="I167" s="81">
        <v>9.91</v>
      </c>
      <c r="J167" s="81">
        <f>VLOOKUP(C167,Recipes!$A$2:$N$4,12,FALSE())</f>
        <v>5.0137397426368718E-2</v>
      </c>
      <c r="K167" s="81">
        <f t="shared" si="15"/>
        <v>9.7345191090077101</v>
      </c>
      <c r="L167" s="81">
        <f t="shared" si="16"/>
        <v>10.08548089099229</v>
      </c>
      <c r="M167" s="81" t="str">
        <f t="shared" si="18"/>
        <v>NG</v>
      </c>
      <c r="N167" s="117">
        <f t="shared" si="17"/>
        <v>1</v>
      </c>
      <c r="O167" s="81">
        <f t="shared" si="19"/>
        <v>2.75</v>
      </c>
      <c r="P167" s="81">
        <f>IF(G167="","",ABS(O167-Components!$C$2)/Components!$D$2)</f>
        <v>0.50436689513860911</v>
      </c>
      <c r="Q167" s="81">
        <f>IF(G167="","",ABS(O167-Components!$C$3)/Components!$D$3)</f>
        <v>93.211699987141998</v>
      </c>
      <c r="R167" s="81">
        <f>IF(G167="","",ABS(O167-Components!$C$4)/Components!$D$4)</f>
        <v>125.66794871140925</v>
      </c>
      <c r="S167" s="81">
        <f>IF(G167="","",ABS(O167-Components!$C$5)/Components!$D$5)</f>
        <v>71.988884841550231</v>
      </c>
      <c r="T167" s="81">
        <f>IF(G167="","",ABS(O167-Components!$C$6)/Components!$D$6)</f>
        <v>57.706138311582762</v>
      </c>
      <c r="U167" s="81">
        <f>IF(G167="","",ABS(O167-Components!$C$7)/Components!$D$7)</f>
        <v>54.708148612170341</v>
      </c>
      <c r="V167" s="81" t="str">
        <f>IF(G167="","",IF(M167="OK","NONE",INDEX({"S1","S2","W1","W2","N1","N2"},MATCH(MIN(P167:U167),P167:U167,0))))</f>
        <v>S1</v>
      </c>
      <c r="W167" s="117">
        <f t="shared" si="20"/>
        <v>1</v>
      </c>
      <c r="X167" s="107"/>
    </row>
    <row r="168" spans="1:24">
      <c r="A168" s="115">
        <v>166</v>
      </c>
      <c r="B168" s="116">
        <v>6</v>
      </c>
      <c r="C168" s="81" t="s">
        <v>130</v>
      </c>
      <c r="D168" s="111" t="s">
        <v>240</v>
      </c>
      <c r="E168" s="81" t="s">
        <v>99</v>
      </c>
      <c r="F168" s="61">
        <v>6.19</v>
      </c>
      <c r="G168" s="52">
        <f t="shared" si="14"/>
        <v>7.16</v>
      </c>
      <c r="H168" s="110"/>
      <c r="I168" s="81">
        <v>9.91</v>
      </c>
      <c r="J168" s="81">
        <f>VLOOKUP(C168,Recipes!$A$2:$N$4,12,FALSE())</f>
        <v>5.0137397426368718E-2</v>
      </c>
      <c r="K168" s="81">
        <f t="shared" si="15"/>
        <v>9.7345191090077101</v>
      </c>
      <c r="L168" s="81">
        <f t="shared" si="16"/>
        <v>10.08548089099229</v>
      </c>
      <c r="M168" s="81" t="str">
        <f t="shared" si="18"/>
        <v>NG</v>
      </c>
      <c r="N168" s="117">
        <f t="shared" si="17"/>
        <v>1</v>
      </c>
      <c r="O168" s="81">
        <f t="shared" si="19"/>
        <v>2.75</v>
      </c>
      <c r="P168" s="81">
        <f>IF(G168="","",ABS(O168-Components!$C$2)/Components!$D$2)</f>
        <v>0.50436689513860911</v>
      </c>
      <c r="Q168" s="81">
        <f>IF(G168="","",ABS(O168-Components!$C$3)/Components!$D$3)</f>
        <v>93.211699987141998</v>
      </c>
      <c r="R168" s="81">
        <f>IF(G168="","",ABS(O168-Components!$C$4)/Components!$D$4)</f>
        <v>125.66794871140925</v>
      </c>
      <c r="S168" s="81">
        <f>IF(G168="","",ABS(O168-Components!$C$5)/Components!$D$5)</f>
        <v>71.988884841550231</v>
      </c>
      <c r="T168" s="81">
        <f>IF(G168="","",ABS(O168-Components!$C$6)/Components!$D$6)</f>
        <v>57.706138311582762</v>
      </c>
      <c r="U168" s="81">
        <f>IF(G168="","",ABS(O168-Components!$C$7)/Components!$D$7)</f>
        <v>54.708148612170341</v>
      </c>
      <c r="V168" s="81" t="str">
        <f>IF(G168="","",IF(M168="OK","NONE",INDEX({"S1","S2","W1","W2","N1","N2"},MATCH(MIN(P168:U168),P168:U168,0))))</f>
        <v>S1</v>
      </c>
      <c r="W168" s="117">
        <f t="shared" si="20"/>
        <v>1</v>
      </c>
      <c r="X168" s="107"/>
    </row>
    <row r="169" spans="1:24">
      <c r="A169" s="115">
        <v>167</v>
      </c>
      <c r="B169" s="116">
        <v>6</v>
      </c>
      <c r="C169" s="81" t="s">
        <v>130</v>
      </c>
      <c r="D169" s="111" t="s">
        <v>240</v>
      </c>
      <c r="E169" s="81" t="s">
        <v>99</v>
      </c>
      <c r="F169" s="61">
        <v>6.13</v>
      </c>
      <c r="G169" s="52">
        <f t="shared" si="14"/>
        <v>7.1</v>
      </c>
      <c r="H169" s="110"/>
      <c r="I169" s="81">
        <v>9.91</v>
      </c>
      <c r="J169" s="81">
        <f>VLOOKUP(C169,Recipes!$A$2:$N$4,12,FALSE())</f>
        <v>5.0137397426368718E-2</v>
      </c>
      <c r="K169" s="81">
        <f t="shared" si="15"/>
        <v>9.7345191090077101</v>
      </c>
      <c r="L169" s="81">
        <f t="shared" si="16"/>
        <v>10.08548089099229</v>
      </c>
      <c r="M169" s="81" t="str">
        <f t="shared" si="18"/>
        <v>NG</v>
      </c>
      <c r="N169" s="117">
        <f t="shared" si="17"/>
        <v>1</v>
      </c>
      <c r="O169" s="81">
        <f t="shared" si="19"/>
        <v>2.8100000000000005</v>
      </c>
      <c r="P169" s="81">
        <f>IF(G169="","",ABS(O169-Components!$C$2)/Components!$D$2)</f>
        <v>8.5742372173658961</v>
      </c>
      <c r="Q169" s="81">
        <f>IF(G169="","",ABS(O169-Components!$C$3)/Components!$D$3)</f>
        <v>88.862787079499256</v>
      </c>
      <c r="R169" s="81">
        <f>IF(G169="","",ABS(O169-Components!$C$4)/Components!$D$4)</f>
        <v>129.96021261426577</v>
      </c>
      <c r="S169" s="81">
        <f>IF(G169="","",ABS(O169-Components!$C$5)/Components!$D$5)</f>
        <v>69.60602362943564</v>
      </c>
      <c r="T169" s="81">
        <f>IF(G169="","",ABS(O169-Components!$C$6)/Components!$D$6)</f>
        <v>59.877809834912263</v>
      </c>
      <c r="U169" s="81">
        <f>IF(G169="","",ABS(O169-Components!$C$7)/Components!$D$7)</f>
        <v>57.094256378148224</v>
      </c>
      <c r="V169" s="81" t="str">
        <f>IF(G169="","",IF(M169="OK","NONE",INDEX({"S1","S2","W1","W2","N1","N2"},MATCH(MIN(P169:U169),P169:U169,0))))</f>
        <v>S1</v>
      </c>
      <c r="W169" s="117">
        <f t="shared" si="20"/>
        <v>1</v>
      </c>
      <c r="X169" s="107"/>
    </row>
    <row r="170" spans="1:24">
      <c r="A170" s="115">
        <v>168</v>
      </c>
      <c r="B170" s="116">
        <v>6</v>
      </c>
      <c r="C170" s="81" t="s">
        <v>130</v>
      </c>
      <c r="D170" s="111" t="s">
        <v>240</v>
      </c>
      <c r="E170" s="81" t="s">
        <v>99</v>
      </c>
      <c r="F170" s="61">
        <v>6.17</v>
      </c>
      <c r="G170" s="52">
        <f t="shared" si="14"/>
        <v>7.14</v>
      </c>
      <c r="H170" s="110"/>
      <c r="I170" s="81">
        <v>9.91</v>
      </c>
      <c r="J170" s="81">
        <f>VLOOKUP(C170,Recipes!$A$2:$N$4,12,FALSE())</f>
        <v>5.0137397426368718E-2</v>
      </c>
      <c r="K170" s="81">
        <f t="shared" si="15"/>
        <v>9.7345191090077101</v>
      </c>
      <c r="L170" s="81">
        <f t="shared" si="16"/>
        <v>10.08548089099229</v>
      </c>
      <c r="M170" s="81" t="str">
        <f t="shared" si="18"/>
        <v>NG</v>
      </c>
      <c r="N170" s="117">
        <f t="shared" si="17"/>
        <v>1</v>
      </c>
      <c r="O170" s="81">
        <f t="shared" si="19"/>
        <v>2.7700000000000005</v>
      </c>
      <c r="P170" s="81">
        <f>IF(G170="","",ABS(O170-Components!$C$2)/Components!$D$2)</f>
        <v>2.5218344756962709</v>
      </c>
      <c r="Q170" s="81">
        <f>IF(G170="","",ABS(O170-Components!$C$3)/Components!$D$3)</f>
        <v>91.762062351261065</v>
      </c>
      <c r="R170" s="81">
        <f>IF(G170="","",ABS(O170-Components!$C$4)/Components!$D$4)</f>
        <v>127.09870334569479</v>
      </c>
      <c r="S170" s="81">
        <f>IF(G170="","",ABS(O170-Components!$C$5)/Components!$D$5)</f>
        <v>71.194597770845348</v>
      </c>
      <c r="T170" s="81">
        <f>IF(G170="","",ABS(O170-Components!$C$6)/Components!$D$6)</f>
        <v>58.430028819359272</v>
      </c>
      <c r="U170" s="81">
        <f>IF(G170="","",ABS(O170-Components!$C$7)/Components!$D$7)</f>
        <v>55.503517867496313</v>
      </c>
      <c r="V170" s="81" t="str">
        <f>IF(G170="","",IF(M170="OK","NONE",INDEX({"S1","S2","W1","W2","N1","N2"},MATCH(MIN(P170:U170),P170:U170,0))))</f>
        <v>S1</v>
      </c>
      <c r="W170" s="117">
        <f t="shared" si="20"/>
        <v>1</v>
      </c>
      <c r="X170" s="107"/>
    </row>
    <row r="171" spans="1:24">
      <c r="A171" s="115">
        <v>169</v>
      </c>
      <c r="B171" s="116">
        <v>6</v>
      </c>
      <c r="C171" s="81" t="s">
        <v>130</v>
      </c>
      <c r="D171" s="111" t="s">
        <v>240</v>
      </c>
      <c r="E171" s="81" t="s">
        <v>99</v>
      </c>
      <c r="F171" s="61">
        <v>6.19</v>
      </c>
      <c r="G171" s="52">
        <f t="shared" si="14"/>
        <v>7.16</v>
      </c>
      <c r="H171" s="110"/>
      <c r="I171" s="81">
        <v>9.91</v>
      </c>
      <c r="J171" s="81">
        <f>VLOOKUP(C171,Recipes!$A$2:$N$4,12,FALSE())</f>
        <v>5.0137397426368718E-2</v>
      </c>
      <c r="K171" s="81">
        <f t="shared" si="15"/>
        <v>9.7345191090077101</v>
      </c>
      <c r="L171" s="81">
        <f t="shared" si="16"/>
        <v>10.08548089099229</v>
      </c>
      <c r="M171" s="81" t="str">
        <f t="shared" si="18"/>
        <v>NG</v>
      </c>
      <c r="N171" s="117">
        <f t="shared" si="17"/>
        <v>1</v>
      </c>
      <c r="O171" s="81">
        <f t="shared" si="19"/>
        <v>2.75</v>
      </c>
      <c r="P171" s="81">
        <f>IF(G171="","",ABS(O171-Components!$C$2)/Components!$D$2)</f>
        <v>0.50436689513860911</v>
      </c>
      <c r="Q171" s="81">
        <f>IF(G171="","",ABS(O171-Components!$C$3)/Components!$D$3)</f>
        <v>93.211699987141998</v>
      </c>
      <c r="R171" s="81">
        <f>IF(G171="","",ABS(O171-Components!$C$4)/Components!$D$4)</f>
        <v>125.66794871140925</v>
      </c>
      <c r="S171" s="81">
        <f>IF(G171="","",ABS(O171-Components!$C$5)/Components!$D$5)</f>
        <v>71.988884841550231</v>
      </c>
      <c r="T171" s="81">
        <f>IF(G171="","",ABS(O171-Components!$C$6)/Components!$D$6)</f>
        <v>57.706138311582762</v>
      </c>
      <c r="U171" s="81">
        <f>IF(G171="","",ABS(O171-Components!$C$7)/Components!$D$7)</f>
        <v>54.708148612170341</v>
      </c>
      <c r="V171" s="81" t="str">
        <f>IF(G171="","",IF(M171="OK","NONE",INDEX({"S1","S2","W1","W2","N1","N2"},MATCH(MIN(P171:U171),P171:U171,0))))</f>
        <v>S1</v>
      </c>
      <c r="W171" s="117">
        <f t="shared" si="20"/>
        <v>1</v>
      </c>
      <c r="X171" s="107"/>
    </row>
    <row r="172" spans="1:24">
      <c r="A172" s="115">
        <v>170</v>
      </c>
      <c r="B172" s="116">
        <v>6</v>
      </c>
      <c r="C172" s="61" t="s">
        <v>130</v>
      </c>
      <c r="D172" s="61" t="s">
        <v>240</v>
      </c>
      <c r="E172" s="61" t="s">
        <v>99</v>
      </c>
      <c r="F172" s="61">
        <v>6.09</v>
      </c>
      <c r="G172" s="52">
        <f t="shared" si="14"/>
        <v>7.06</v>
      </c>
      <c r="H172" s="110"/>
      <c r="I172" s="81">
        <v>9.91</v>
      </c>
      <c r="J172" s="81">
        <f>VLOOKUP(C172,Recipes!$A$2:$N$4,12,FALSE())</f>
        <v>5.0137397426368718E-2</v>
      </c>
      <c r="K172" s="81">
        <f t="shared" si="15"/>
        <v>9.7345191090077101</v>
      </c>
      <c r="L172" s="81">
        <f t="shared" si="16"/>
        <v>10.08548089099229</v>
      </c>
      <c r="M172" s="81" t="str">
        <f t="shared" si="18"/>
        <v>NG</v>
      </c>
      <c r="N172" s="117">
        <f t="shared" si="17"/>
        <v>1</v>
      </c>
      <c r="O172" s="81">
        <f t="shared" si="19"/>
        <v>2.8500000000000005</v>
      </c>
      <c r="P172" s="81">
        <f>IF(G172="","",ABS(O172-Components!$C$2)/Components!$D$2)</f>
        <v>14.626639959035522</v>
      </c>
      <c r="Q172" s="81">
        <f>IF(G172="","",ABS(O172-Components!$C$3)/Components!$D$3)</f>
        <v>85.963511807737447</v>
      </c>
      <c r="R172" s="81">
        <f>IF(G172="","",ABS(O172-Components!$C$4)/Components!$D$4)</f>
        <v>132.82172188283675</v>
      </c>
      <c r="S172" s="81">
        <f>IF(G172="","",ABS(O172-Components!$C$5)/Components!$D$5)</f>
        <v>68.017449488025932</v>
      </c>
      <c r="T172" s="81">
        <f>IF(G172="","",ABS(O172-Components!$C$6)/Components!$D$6)</f>
        <v>61.325590850465254</v>
      </c>
      <c r="U172" s="81">
        <f>IF(G172="","",ABS(O172-Components!$C$7)/Components!$D$7)</f>
        <v>58.684994888800134</v>
      </c>
      <c r="V172" s="81" t="str">
        <f>IF(G172="","",IF(M172="OK","NONE",INDEX({"S1","S2","W1","W2","N1","N2"},MATCH(MIN(P172:U172),P172:U172,0))))</f>
        <v>S1</v>
      </c>
      <c r="W172" s="117">
        <f t="shared" si="20"/>
        <v>1</v>
      </c>
      <c r="X172" s="107"/>
    </row>
    <row r="173" spans="1:24">
      <c r="A173" s="115">
        <v>171</v>
      </c>
      <c r="B173" s="116">
        <v>6</v>
      </c>
      <c r="C173" s="81" t="s">
        <v>130</v>
      </c>
      <c r="D173" s="111" t="s">
        <v>240</v>
      </c>
      <c r="E173" s="81" t="s">
        <v>99</v>
      </c>
      <c r="F173" s="61">
        <v>6.19</v>
      </c>
      <c r="G173" s="52">
        <f t="shared" si="14"/>
        <v>7.16</v>
      </c>
      <c r="H173" s="110"/>
      <c r="I173" s="81">
        <v>9.91</v>
      </c>
      <c r="J173" s="81">
        <f>VLOOKUP(C173,Recipes!$A$2:$N$4,12,FALSE())</f>
        <v>5.0137397426368718E-2</v>
      </c>
      <c r="K173" s="81">
        <f t="shared" si="15"/>
        <v>9.7345191090077101</v>
      </c>
      <c r="L173" s="81">
        <f t="shared" si="16"/>
        <v>10.08548089099229</v>
      </c>
      <c r="M173" s="81" t="str">
        <f t="shared" si="18"/>
        <v>NG</v>
      </c>
      <c r="N173" s="117">
        <f t="shared" si="17"/>
        <v>1</v>
      </c>
      <c r="O173" s="81">
        <f t="shared" si="19"/>
        <v>2.75</v>
      </c>
      <c r="P173" s="81">
        <f>IF(G173="","",ABS(O173-Components!$C$2)/Components!$D$2)</f>
        <v>0.50436689513860911</v>
      </c>
      <c r="Q173" s="81">
        <f>IF(G173="","",ABS(O173-Components!$C$3)/Components!$D$3)</f>
        <v>93.211699987141998</v>
      </c>
      <c r="R173" s="81">
        <f>IF(G173="","",ABS(O173-Components!$C$4)/Components!$D$4)</f>
        <v>125.66794871140925</v>
      </c>
      <c r="S173" s="81">
        <f>IF(G173="","",ABS(O173-Components!$C$5)/Components!$D$5)</f>
        <v>71.988884841550231</v>
      </c>
      <c r="T173" s="81">
        <f>IF(G173="","",ABS(O173-Components!$C$6)/Components!$D$6)</f>
        <v>57.706138311582762</v>
      </c>
      <c r="U173" s="81">
        <f>IF(G173="","",ABS(O173-Components!$C$7)/Components!$D$7)</f>
        <v>54.708148612170341</v>
      </c>
      <c r="V173" s="81" t="str">
        <f>IF(G173="","",IF(M173="OK","NONE",INDEX({"S1","S2","W1","W2","N1","N2"},MATCH(MIN(P173:U173),P173:U173,0))))</f>
        <v>S1</v>
      </c>
      <c r="W173" s="117">
        <f t="shared" si="20"/>
        <v>1</v>
      </c>
      <c r="X173" s="107"/>
    </row>
    <row r="174" spans="1:24">
      <c r="A174" s="115">
        <v>172</v>
      </c>
      <c r="B174" s="116">
        <v>6</v>
      </c>
      <c r="C174" s="81" t="s">
        <v>130</v>
      </c>
      <c r="D174" s="111" t="s">
        <v>240</v>
      </c>
      <c r="E174" s="81" t="s">
        <v>99</v>
      </c>
      <c r="F174" s="61">
        <v>6.18</v>
      </c>
      <c r="G174" s="52">
        <f t="shared" si="14"/>
        <v>7.1499999999999995</v>
      </c>
      <c r="H174" s="110"/>
      <c r="I174" s="81">
        <v>9.91</v>
      </c>
      <c r="J174" s="81">
        <f>VLOOKUP(C174,Recipes!$A$2:$N$4,12,FALSE())</f>
        <v>5.0137397426368718E-2</v>
      </c>
      <c r="K174" s="81">
        <f t="shared" si="15"/>
        <v>9.7345191090077101</v>
      </c>
      <c r="L174" s="81">
        <f t="shared" si="16"/>
        <v>10.08548089099229</v>
      </c>
      <c r="M174" s="81" t="str">
        <f t="shared" si="18"/>
        <v>NG</v>
      </c>
      <c r="N174" s="117">
        <f t="shared" si="17"/>
        <v>1</v>
      </c>
      <c r="O174" s="81">
        <f t="shared" si="19"/>
        <v>2.7600000000000007</v>
      </c>
      <c r="P174" s="81">
        <f>IF(G174="","",ABS(O174-Components!$C$2)/Components!$D$2)</f>
        <v>1.0087337902788982</v>
      </c>
      <c r="Q174" s="81">
        <f>IF(G174="","",ABS(O174-Components!$C$3)/Components!$D$3)</f>
        <v>92.486881169201496</v>
      </c>
      <c r="R174" s="81">
        <f>IF(G174="","",ABS(O174-Components!$C$4)/Components!$D$4)</f>
        <v>126.38332602855205</v>
      </c>
      <c r="S174" s="81">
        <f>IF(G174="","",ABS(O174-Components!$C$5)/Components!$D$5)</f>
        <v>71.591741306197775</v>
      </c>
      <c r="T174" s="81">
        <f>IF(G174="","",ABS(O174-Components!$C$6)/Components!$D$6)</f>
        <v>58.068083565471035</v>
      </c>
      <c r="U174" s="81">
        <f>IF(G174="","",ABS(O174-Components!$C$7)/Components!$D$7)</f>
        <v>55.105833239833345</v>
      </c>
      <c r="V174" s="81" t="str">
        <f>IF(G174="","",IF(M174="OK","NONE",INDEX({"S1","S2","W1","W2","N1","N2"},MATCH(MIN(P174:U174),P174:U174,0))))</f>
        <v>S1</v>
      </c>
      <c r="W174" s="117">
        <f t="shared" si="20"/>
        <v>1</v>
      </c>
      <c r="X174" s="107"/>
    </row>
    <row r="175" spans="1:24">
      <c r="A175" s="115">
        <v>173</v>
      </c>
      <c r="B175" s="116">
        <v>6</v>
      </c>
      <c r="C175" s="81" t="s">
        <v>130</v>
      </c>
      <c r="D175" s="111" t="s">
        <v>240</v>
      </c>
      <c r="E175" s="81" t="s">
        <v>99</v>
      </c>
      <c r="F175" s="61">
        <v>6.19</v>
      </c>
      <c r="G175" s="52">
        <f t="shared" si="14"/>
        <v>7.16</v>
      </c>
      <c r="H175" s="110"/>
      <c r="I175" s="81">
        <v>9.91</v>
      </c>
      <c r="J175" s="81">
        <f>VLOOKUP(C175,Recipes!$A$2:$N$4,12,FALSE())</f>
        <v>5.0137397426368718E-2</v>
      </c>
      <c r="K175" s="81">
        <f t="shared" si="15"/>
        <v>9.7345191090077101</v>
      </c>
      <c r="L175" s="81">
        <f t="shared" si="16"/>
        <v>10.08548089099229</v>
      </c>
      <c r="M175" s="81" t="str">
        <f t="shared" si="18"/>
        <v>NG</v>
      </c>
      <c r="N175" s="117">
        <f t="shared" si="17"/>
        <v>1</v>
      </c>
      <c r="O175" s="81">
        <f t="shared" si="19"/>
        <v>2.75</v>
      </c>
      <c r="P175" s="81">
        <f>IF(G175="","",ABS(O175-Components!$C$2)/Components!$D$2)</f>
        <v>0.50436689513860911</v>
      </c>
      <c r="Q175" s="81">
        <f>IF(G175="","",ABS(O175-Components!$C$3)/Components!$D$3)</f>
        <v>93.211699987141998</v>
      </c>
      <c r="R175" s="81">
        <f>IF(G175="","",ABS(O175-Components!$C$4)/Components!$D$4)</f>
        <v>125.66794871140925</v>
      </c>
      <c r="S175" s="81">
        <f>IF(G175="","",ABS(O175-Components!$C$5)/Components!$D$5)</f>
        <v>71.988884841550231</v>
      </c>
      <c r="T175" s="81">
        <f>IF(G175="","",ABS(O175-Components!$C$6)/Components!$D$6)</f>
        <v>57.706138311582762</v>
      </c>
      <c r="U175" s="81">
        <f>IF(G175="","",ABS(O175-Components!$C$7)/Components!$D$7)</f>
        <v>54.708148612170341</v>
      </c>
      <c r="V175" s="81" t="str">
        <f>IF(G175="","",IF(M175="OK","NONE",INDEX({"S1","S2","W1","W2","N1","N2"},MATCH(MIN(P175:U175),P175:U175,0))))</f>
        <v>S1</v>
      </c>
      <c r="W175" s="117">
        <f t="shared" si="20"/>
        <v>1</v>
      </c>
      <c r="X175" s="107"/>
    </row>
    <row r="176" spans="1:24">
      <c r="A176" s="115">
        <v>174</v>
      </c>
      <c r="B176" s="116">
        <v>6</v>
      </c>
      <c r="C176" s="81" t="s">
        <v>130</v>
      </c>
      <c r="D176" s="111" t="s">
        <v>240</v>
      </c>
      <c r="E176" s="81" t="s">
        <v>99</v>
      </c>
      <c r="F176" s="61">
        <v>6.15</v>
      </c>
      <c r="G176" s="52">
        <f t="shared" si="14"/>
        <v>7.12</v>
      </c>
      <c r="H176" s="110"/>
      <c r="I176" s="81">
        <v>9.91</v>
      </c>
      <c r="J176" s="81">
        <f>VLOOKUP(C176,Recipes!$A$2:$N$4,12,FALSE())</f>
        <v>5.0137397426368718E-2</v>
      </c>
      <c r="K176" s="81">
        <f t="shared" si="15"/>
        <v>9.7345191090077101</v>
      </c>
      <c r="L176" s="81">
        <f t="shared" si="16"/>
        <v>10.08548089099229</v>
      </c>
      <c r="M176" s="81" t="str">
        <f t="shared" si="18"/>
        <v>NG</v>
      </c>
      <c r="N176" s="117">
        <f t="shared" si="17"/>
        <v>1</v>
      </c>
      <c r="O176" s="81">
        <f t="shared" si="19"/>
        <v>2.79</v>
      </c>
      <c r="P176" s="81">
        <f>IF(G176="","",ABS(O176-Components!$C$2)/Components!$D$2)</f>
        <v>5.5480358465310164</v>
      </c>
      <c r="Q176" s="81">
        <f>IF(G176="","",ABS(O176-Components!$C$3)/Components!$D$3)</f>
        <v>90.312424715380189</v>
      </c>
      <c r="R176" s="81">
        <f>IF(G176="","",ABS(O176-Components!$C$4)/Components!$D$4)</f>
        <v>128.52945797998024</v>
      </c>
      <c r="S176" s="81">
        <f>IF(G176="","",ABS(O176-Components!$C$5)/Components!$D$5)</f>
        <v>70.400310700140508</v>
      </c>
      <c r="T176" s="81">
        <f>IF(G176="","",ABS(O176-Components!$C$6)/Components!$D$6)</f>
        <v>59.153919327135753</v>
      </c>
      <c r="U176" s="81">
        <f>IF(G176="","",ABS(O176-Components!$C$7)/Components!$D$7)</f>
        <v>56.298887122822251</v>
      </c>
      <c r="V176" s="81" t="str">
        <f>IF(G176="","",IF(M176="OK","NONE",INDEX({"S1","S2","W1","W2","N1","N2"},MATCH(MIN(P176:U176),P176:U176,0))))</f>
        <v>S1</v>
      </c>
      <c r="W176" s="117">
        <f t="shared" si="20"/>
        <v>1</v>
      </c>
      <c r="X176" s="107"/>
    </row>
    <row r="177" spans="1:24">
      <c r="A177" s="115">
        <v>175</v>
      </c>
      <c r="B177" s="116">
        <v>6</v>
      </c>
      <c r="C177" s="61" t="s">
        <v>130</v>
      </c>
      <c r="D177" s="61" t="s">
        <v>240</v>
      </c>
      <c r="E177" s="61" t="s">
        <v>99</v>
      </c>
      <c r="F177" s="61">
        <v>6.16</v>
      </c>
      <c r="G177" s="52">
        <f t="shared" si="14"/>
        <v>7.13</v>
      </c>
      <c r="H177" s="110"/>
      <c r="I177" s="81">
        <v>9.91</v>
      </c>
      <c r="J177" s="81">
        <f>VLOOKUP(C177,Recipes!$A$2:$N$4,12,FALSE())</f>
        <v>5.0137397426368718E-2</v>
      </c>
      <c r="K177" s="81">
        <f t="shared" si="15"/>
        <v>9.7345191090077101</v>
      </c>
      <c r="L177" s="81">
        <f t="shared" si="16"/>
        <v>10.08548089099229</v>
      </c>
      <c r="M177" s="81" t="str">
        <f t="shared" si="18"/>
        <v>NG</v>
      </c>
      <c r="N177" s="117">
        <f t="shared" si="17"/>
        <v>1</v>
      </c>
      <c r="O177" s="81">
        <f t="shared" si="19"/>
        <v>2.7800000000000002</v>
      </c>
      <c r="P177" s="81">
        <f>IF(G177="","",ABS(O177-Components!$C$2)/Components!$D$2)</f>
        <v>4.0349351611136441</v>
      </c>
      <c r="Q177" s="81">
        <f>IF(G177="","",ABS(O177-Components!$C$3)/Components!$D$3)</f>
        <v>91.03724353332062</v>
      </c>
      <c r="R177" s="81">
        <f>IF(G177="","",ABS(O177-Components!$C$4)/Components!$D$4)</f>
        <v>127.81408066283751</v>
      </c>
      <c r="S177" s="81">
        <f>IF(G177="","",ABS(O177-Components!$C$5)/Components!$D$5)</f>
        <v>70.797454235492935</v>
      </c>
      <c r="T177" s="81">
        <f>IF(G177="","",ABS(O177-Components!$C$6)/Components!$D$6)</f>
        <v>58.791974073247509</v>
      </c>
      <c r="U177" s="81">
        <f>IF(G177="","",ABS(O177-Components!$C$7)/Components!$D$7)</f>
        <v>55.901202495159282</v>
      </c>
      <c r="V177" s="81" t="str">
        <f>IF(G177="","",IF(M177="OK","NONE",INDEX({"S1","S2","W1","W2","N1","N2"},MATCH(MIN(P177:U177),P177:U177,0))))</f>
        <v>S1</v>
      </c>
      <c r="W177" s="117">
        <f t="shared" si="20"/>
        <v>1</v>
      </c>
      <c r="X177" s="107"/>
    </row>
    <row r="178" spans="1:24">
      <c r="A178" s="115">
        <v>176</v>
      </c>
      <c r="B178" s="116">
        <v>6</v>
      </c>
      <c r="C178" s="81" t="s">
        <v>130</v>
      </c>
      <c r="D178" s="111" t="s">
        <v>240</v>
      </c>
      <c r="E178" s="81" t="s">
        <v>99</v>
      </c>
      <c r="F178" s="61">
        <v>6.16</v>
      </c>
      <c r="G178" s="52">
        <f t="shared" si="14"/>
        <v>7.13</v>
      </c>
      <c r="H178" s="110"/>
      <c r="I178" s="81">
        <v>9.91</v>
      </c>
      <c r="J178" s="81">
        <f>VLOOKUP(C178,Recipes!$A$2:$N$4,12,FALSE())</f>
        <v>5.0137397426368718E-2</v>
      </c>
      <c r="K178" s="81">
        <f t="shared" si="15"/>
        <v>9.7345191090077101</v>
      </c>
      <c r="L178" s="81">
        <f t="shared" si="16"/>
        <v>10.08548089099229</v>
      </c>
      <c r="M178" s="81" t="str">
        <f t="shared" si="18"/>
        <v>NG</v>
      </c>
      <c r="N178" s="117">
        <f t="shared" si="17"/>
        <v>1</v>
      </c>
      <c r="O178" s="81">
        <f t="shared" si="19"/>
        <v>2.7800000000000002</v>
      </c>
      <c r="P178" s="81">
        <f>IF(G178="","",ABS(O178-Components!$C$2)/Components!$D$2)</f>
        <v>4.0349351611136441</v>
      </c>
      <c r="Q178" s="81">
        <f>IF(G178="","",ABS(O178-Components!$C$3)/Components!$D$3)</f>
        <v>91.03724353332062</v>
      </c>
      <c r="R178" s="81">
        <f>IF(G178="","",ABS(O178-Components!$C$4)/Components!$D$4)</f>
        <v>127.81408066283751</v>
      </c>
      <c r="S178" s="81">
        <f>IF(G178="","",ABS(O178-Components!$C$5)/Components!$D$5)</f>
        <v>70.797454235492935</v>
      </c>
      <c r="T178" s="81">
        <f>IF(G178="","",ABS(O178-Components!$C$6)/Components!$D$6)</f>
        <v>58.791974073247509</v>
      </c>
      <c r="U178" s="81">
        <f>IF(G178="","",ABS(O178-Components!$C$7)/Components!$D$7)</f>
        <v>55.901202495159282</v>
      </c>
      <c r="V178" s="81" t="str">
        <f>IF(G178="","",IF(M178="OK","NONE",INDEX({"S1","S2","W1","W2","N1","N2"},MATCH(MIN(P178:U178),P178:U178,0))))</f>
        <v>S1</v>
      </c>
      <c r="W178" s="117">
        <f t="shared" si="20"/>
        <v>1</v>
      </c>
      <c r="X178" s="107"/>
    </row>
    <row r="179" spans="1:24">
      <c r="A179" s="115">
        <v>177</v>
      </c>
      <c r="B179" s="116">
        <v>6</v>
      </c>
      <c r="C179" s="81" t="s">
        <v>130</v>
      </c>
      <c r="D179" s="111" t="s">
        <v>240</v>
      </c>
      <c r="E179" s="81" t="s">
        <v>99</v>
      </c>
      <c r="F179" s="61">
        <v>6.15</v>
      </c>
      <c r="G179" s="52">
        <f t="shared" si="14"/>
        <v>7.12</v>
      </c>
      <c r="H179" s="110"/>
      <c r="I179" s="81">
        <v>9.91</v>
      </c>
      <c r="J179" s="81">
        <f>VLOOKUP(C179,Recipes!$A$2:$N$4,12,FALSE())</f>
        <v>5.0137397426368718E-2</v>
      </c>
      <c r="K179" s="81">
        <f t="shared" si="15"/>
        <v>9.7345191090077101</v>
      </c>
      <c r="L179" s="81">
        <f t="shared" si="16"/>
        <v>10.08548089099229</v>
      </c>
      <c r="M179" s="81" t="str">
        <f t="shared" si="18"/>
        <v>NG</v>
      </c>
      <c r="N179" s="117">
        <f t="shared" si="17"/>
        <v>1</v>
      </c>
      <c r="O179" s="81">
        <f t="shared" si="19"/>
        <v>2.79</v>
      </c>
      <c r="P179" s="81">
        <f>IF(G179="","",ABS(O179-Components!$C$2)/Components!$D$2)</f>
        <v>5.5480358465310164</v>
      </c>
      <c r="Q179" s="81">
        <f>IF(G179="","",ABS(O179-Components!$C$3)/Components!$D$3)</f>
        <v>90.312424715380189</v>
      </c>
      <c r="R179" s="81">
        <f>IF(G179="","",ABS(O179-Components!$C$4)/Components!$D$4)</f>
        <v>128.52945797998024</v>
      </c>
      <c r="S179" s="81">
        <f>IF(G179="","",ABS(O179-Components!$C$5)/Components!$D$5)</f>
        <v>70.400310700140508</v>
      </c>
      <c r="T179" s="81">
        <f>IF(G179="","",ABS(O179-Components!$C$6)/Components!$D$6)</f>
        <v>59.153919327135753</v>
      </c>
      <c r="U179" s="81">
        <f>IF(G179="","",ABS(O179-Components!$C$7)/Components!$D$7)</f>
        <v>56.298887122822251</v>
      </c>
      <c r="V179" s="81" t="str">
        <f>IF(G179="","",IF(M179="OK","NONE",INDEX({"S1","S2","W1","W2","N1","N2"},MATCH(MIN(P179:U179),P179:U179,0))))</f>
        <v>S1</v>
      </c>
      <c r="W179" s="117">
        <f t="shared" si="20"/>
        <v>1</v>
      </c>
      <c r="X179" s="107"/>
    </row>
    <row r="180" spans="1:24">
      <c r="A180" s="115">
        <v>178</v>
      </c>
      <c r="B180" s="116">
        <v>6</v>
      </c>
      <c r="C180" s="81" t="s">
        <v>130</v>
      </c>
      <c r="D180" s="111" t="s">
        <v>240</v>
      </c>
      <c r="E180" s="81" t="s">
        <v>99</v>
      </c>
      <c r="F180" s="61">
        <v>6.17</v>
      </c>
      <c r="G180" s="52">
        <f t="shared" si="14"/>
        <v>7.14</v>
      </c>
      <c r="H180" s="110"/>
      <c r="I180" s="81">
        <v>9.91</v>
      </c>
      <c r="J180" s="81">
        <f>VLOOKUP(C180,Recipes!$A$2:$N$4,12,FALSE())</f>
        <v>5.0137397426368718E-2</v>
      </c>
      <c r="K180" s="81">
        <f t="shared" si="15"/>
        <v>9.7345191090077101</v>
      </c>
      <c r="L180" s="81">
        <f t="shared" si="16"/>
        <v>10.08548089099229</v>
      </c>
      <c r="M180" s="81" t="str">
        <f t="shared" si="18"/>
        <v>NG</v>
      </c>
      <c r="N180" s="117">
        <f t="shared" si="17"/>
        <v>1</v>
      </c>
      <c r="O180" s="81">
        <f t="shared" si="19"/>
        <v>2.7700000000000005</v>
      </c>
      <c r="P180" s="81">
        <f>IF(G180="","",ABS(O180-Components!$C$2)/Components!$D$2)</f>
        <v>2.5218344756962709</v>
      </c>
      <c r="Q180" s="81">
        <f>IF(G180="","",ABS(O180-Components!$C$3)/Components!$D$3)</f>
        <v>91.762062351261065</v>
      </c>
      <c r="R180" s="81">
        <f>IF(G180="","",ABS(O180-Components!$C$4)/Components!$D$4)</f>
        <v>127.09870334569479</v>
      </c>
      <c r="S180" s="81">
        <f>IF(G180="","",ABS(O180-Components!$C$5)/Components!$D$5)</f>
        <v>71.194597770845348</v>
      </c>
      <c r="T180" s="81">
        <f>IF(G180="","",ABS(O180-Components!$C$6)/Components!$D$6)</f>
        <v>58.430028819359272</v>
      </c>
      <c r="U180" s="81">
        <f>IF(G180="","",ABS(O180-Components!$C$7)/Components!$D$7)</f>
        <v>55.503517867496313</v>
      </c>
      <c r="V180" s="81" t="str">
        <f>IF(G180="","",IF(M180="OK","NONE",INDEX({"S1","S2","W1","W2","N1","N2"},MATCH(MIN(P180:U180),P180:U180,0))))</f>
        <v>S1</v>
      </c>
      <c r="W180" s="117">
        <f t="shared" si="20"/>
        <v>1</v>
      </c>
      <c r="X180" s="107"/>
    </row>
    <row r="181" spans="1:24">
      <c r="A181" s="115">
        <v>179</v>
      </c>
      <c r="B181" s="116">
        <v>6</v>
      </c>
      <c r="C181" s="81" t="s">
        <v>130</v>
      </c>
      <c r="D181" s="111" t="s">
        <v>240</v>
      </c>
      <c r="E181" s="81" t="s">
        <v>99</v>
      </c>
      <c r="F181" s="61">
        <v>6.2</v>
      </c>
      <c r="G181" s="52">
        <f t="shared" si="14"/>
        <v>7.17</v>
      </c>
      <c r="H181" s="110"/>
      <c r="I181" s="81">
        <v>9.91</v>
      </c>
      <c r="J181" s="81">
        <f>VLOOKUP(C181,Recipes!$A$2:$N$4,12,FALSE())</f>
        <v>5.0137397426368718E-2</v>
      </c>
      <c r="K181" s="81">
        <f t="shared" si="15"/>
        <v>9.7345191090077101</v>
      </c>
      <c r="L181" s="81">
        <f t="shared" si="16"/>
        <v>10.08548089099229</v>
      </c>
      <c r="M181" s="81" t="str">
        <f t="shared" si="18"/>
        <v>NG</v>
      </c>
      <c r="N181" s="117">
        <f t="shared" si="17"/>
        <v>1</v>
      </c>
      <c r="O181" s="81">
        <f t="shared" si="19"/>
        <v>2.74</v>
      </c>
      <c r="P181" s="81">
        <f>IF(G181="","",ABS(O181-Components!$C$2)/Components!$D$2)</f>
        <v>2.0174675805559819</v>
      </c>
      <c r="Q181" s="81">
        <f>IF(G181="","",ABS(O181-Components!$C$3)/Components!$D$3)</f>
        <v>93.936518805082429</v>
      </c>
      <c r="R181" s="81">
        <f>IF(G181="","",ABS(O181-Components!$C$4)/Components!$D$4)</f>
        <v>124.95257139426653</v>
      </c>
      <c r="S181" s="81">
        <f>IF(G181="","",ABS(O181-Components!$C$5)/Components!$D$5)</f>
        <v>72.386028376902644</v>
      </c>
      <c r="T181" s="81">
        <f>IF(G181="","",ABS(O181-Components!$C$6)/Components!$D$6)</f>
        <v>57.344193057694518</v>
      </c>
      <c r="U181" s="81">
        <f>IF(G181="","",ABS(O181-Components!$C$7)/Components!$D$7)</f>
        <v>54.310463984507372</v>
      </c>
      <c r="V181" s="81" t="str">
        <f>IF(G181="","",IF(M181="OK","NONE",INDEX({"S1","S2","W1","W2","N1","N2"},MATCH(MIN(P181:U181),P181:U181,0))))</f>
        <v>S1</v>
      </c>
      <c r="W181" s="117">
        <f t="shared" si="20"/>
        <v>1</v>
      </c>
      <c r="X181" s="107"/>
    </row>
    <row r="182" spans="1:24">
      <c r="A182" s="115">
        <v>180</v>
      </c>
      <c r="B182" s="116">
        <v>6</v>
      </c>
      <c r="C182" s="61" t="s">
        <v>130</v>
      </c>
      <c r="D182" s="61" t="s">
        <v>240</v>
      </c>
      <c r="E182" s="61" t="s">
        <v>99</v>
      </c>
      <c r="F182" s="61">
        <v>6.14</v>
      </c>
      <c r="G182" s="52">
        <f t="shared" si="14"/>
        <v>7.1099999999999994</v>
      </c>
      <c r="H182" s="110"/>
      <c r="I182" s="81">
        <v>9.91</v>
      </c>
      <c r="J182" s="81">
        <f>VLOOKUP(C182,Recipes!$A$2:$N$4,12,FALSE())</f>
        <v>5.0137397426368718E-2</v>
      </c>
      <c r="K182" s="81">
        <f t="shared" si="15"/>
        <v>9.7345191090077101</v>
      </c>
      <c r="L182" s="81">
        <f t="shared" si="16"/>
        <v>10.08548089099229</v>
      </c>
      <c r="M182" s="81" t="str">
        <f t="shared" si="18"/>
        <v>NG</v>
      </c>
      <c r="N182" s="117">
        <f t="shared" si="17"/>
        <v>1</v>
      </c>
      <c r="O182" s="81">
        <f t="shared" si="19"/>
        <v>2.8000000000000007</v>
      </c>
      <c r="P182" s="81">
        <f>IF(G182="","",ABS(O182-Components!$C$2)/Components!$D$2)</f>
        <v>7.0611365319485238</v>
      </c>
      <c r="Q182" s="81">
        <f>IF(G182="","",ABS(O182-Components!$C$3)/Components!$D$3)</f>
        <v>89.587605897439687</v>
      </c>
      <c r="R182" s="81">
        <f>IF(G182="","",ABS(O182-Components!$C$4)/Components!$D$4)</f>
        <v>129.24483529712305</v>
      </c>
      <c r="S182" s="81">
        <f>IF(G182="","",ABS(O182-Components!$C$5)/Components!$D$5)</f>
        <v>70.003167164788053</v>
      </c>
      <c r="T182" s="81">
        <f>IF(G182="","",ABS(O182-Components!$C$6)/Components!$D$6)</f>
        <v>59.515864581024026</v>
      </c>
      <c r="U182" s="81">
        <f>IF(G182="","",ABS(O182-Components!$C$7)/Components!$D$7)</f>
        <v>56.696571750485255</v>
      </c>
      <c r="V182" s="81" t="str">
        <f>IF(G182="","",IF(M182="OK","NONE",INDEX({"S1","S2","W1","W2","N1","N2"},MATCH(MIN(P182:U182),P182:U182,0))))</f>
        <v>S1</v>
      </c>
      <c r="W182" s="117">
        <f t="shared" si="20"/>
        <v>1</v>
      </c>
      <c r="X182" s="107"/>
    </row>
    <row r="183" spans="1:24">
      <c r="A183" s="115">
        <v>181</v>
      </c>
      <c r="B183" s="116">
        <v>7</v>
      </c>
      <c r="C183" s="81" t="s">
        <v>130</v>
      </c>
      <c r="D183" s="111" t="s">
        <v>240</v>
      </c>
      <c r="E183" s="81" t="s">
        <v>104</v>
      </c>
      <c r="F183" s="52">
        <v>7.99</v>
      </c>
      <c r="G183" s="52">
        <f t="shared" si="14"/>
        <v>8.9600000000000009</v>
      </c>
      <c r="H183" s="110"/>
      <c r="I183" s="81">
        <v>9.91</v>
      </c>
      <c r="J183" s="81">
        <f>VLOOKUP(C183,Recipes!$A$2:$N$4,12,FALSE())</f>
        <v>5.0137397426368718E-2</v>
      </c>
      <c r="K183" s="81">
        <f t="shared" si="15"/>
        <v>9.7345191090077101</v>
      </c>
      <c r="L183" s="81">
        <f t="shared" si="16"/>
        <v>10.08548089099229</v>
      </c>
      <c r="M183" s="81" t="str">
        <f t="shared" si="18"/>
        <v>NG</v>
      </c>
      <c r="N183" s="117">
        <f t="shared" si="17"/>
        <v>1</v>
      </c>
      <c r="O183" s="81">
        <f t="shared" si="19"/>
        <v>0.94999999999999929</v>
      </c>
      <c r="P183" s="81">
        <f>IF(G183="","",ABS(O183-Components!$C$2)/Components!$D$2)</f>
        <v>272.86249027027162</v>
      </c>
      <c r="Q183" s="81">
        <f>IF(G183="","",ABS(O183-Components!$C$3)/Components!$D$3)</f>
        <v>223.67908721642326</v>
      </c>
      <c r="R183" s="81">
        <f>IF(G183="","",ABS(O183-Components!$C$4)/Components!$D$4)</f>
        <v>3.0999683742852611</v>
      </c>
      <c r="S183" s="81">
        <f>IF(G183="","",ABS(O183-Components!$C$5)/Components!$D$5)</f>
        <v>143.47472120498725</v>
      </c>
      <c r="T183" s="81">
        <f>IF(G183="","",ABS(O183-Components!$C$6)/Components!$D$6)</f>
        <v>7.4440073883017623</v>
      </c>
      <c r="U183" s="81">
        <f>IF(G183="","",ABS(O183-Components!$C$7)/Components!$D$7)</f>
        <v>16.875084367165559</v>
      </c>
      <c r="V183" s="81" t="str">
        <f>IF(G183="","",IF(M183="OK","NONE",INDEX({"S1","S2","W1","W2","N1","N2"},MATCH(MIN(P183:U183),P183:U183,0))))</f>
        <v>W1</v>
      </c>
      <c r="W183" s="117">
        <f t="shared" si="20"/>
        <v>1</v>
      </c>
      <c r="X183" s="107"/>
    </row>
    <row r="184" spans="1:24">
      <c r="A184" s="115">
        <v>182</v>
      </c>
      <c r="B184" s="116">
        <v>7</v>
      </c>
      <c r="C184" s="81" t="s">
        <v>130</v>
      </c>
      <c r="D184" s="111" t="s">
        <v>240</v>
      </c>
      <c r="E184" s="81" t="s">
        <v>104</v>
      </c>
      <c r="F184" s="52">
        <v>7.97</v>
      </c>
      <c r="G184" s="52">
        <f t="shared" si="14"/>
        <v>8.94</v>
      </c>
      <c r="H184" s="110"/>
      <c r="I184" s="81">
        <v>9.91</v>
      </c>
      <c r="J184" s="81">
        <f>VLOOKUP(C184,Recipes!$A$2:$N$4,12,FALSE())</f>
        <v>5.0137397426368718E-2</v>
      </c>
      <c r="K184" s="81">
        <f t="shared" si="15"/>
        <v>9.7345191090077101</v>
      </c>
      <c r="L184" s="81">
        <f t="shared" si="16"/>
        <v>10.08548089099229</v>
      </c>
      <c r="M184" s="81" t="str">
        <f t="shared" si="18"/>
        <v>NG</v>
      </c>
      <c r="N184" s="117">
        <f t="shared" si="17"/>
        <v>1</v>
      </c>
      <c r="O184" s="81">
        <f t="shared" si="19"/>
        <v>0.97000000000000064</v>
      </c>
      <c r="P184" s="81">
        <f>IF(G184="","",ABS(O184-Components!$C$2)/Components!$D$2)</f>
        <v>269.83628889943662</v>
      </c>
      <c r="Q184" s="81">
        <f>IF(G184="","",ABS(O184-Components!$C$3)/Components!$D$3)</f>
        <v>222.22944958054225</v>
      </c>
      <c r="R184" s="81">
        <f>IF(G184="","",ABS(O184-Components!$C$4)/Components!$D$4)</f>
        <v>1.6692137399996705</v>
      </c>
      <c r="S184" s="81">
        <f>IF(G184="","",ABS(O184-Components!$C$5)/Components!$D$5)</f>
        <v>142.68043413428234</v>
      </c>
      <c r="T184" s="81">
        <f>IF(G184="","",ABS(O184-Components!$C$6)/Components!$D$6)</f>
        <v>6.7201168805252189</v>
      </c>
      <c r="U184" s="81">
        <f>IF(G184="","",ABS(O184-Components!$C$7)/Components!$D$7)</f>
        <v>16.079715111839551</v>
      </c>
      <c r="V184" s="81" t="str">
        <f>IF(G184="","",IF(M184="OK","NONE",INDEX({"S1","S2","W1","W2","N1","N2"},MATCH(MIN(P184:U184),P184:U184,0))))</f>
        <v>W1</v>
      </c>
      <c r="W184" s="117">
        <f t="shared" si="20"/>
        <v>1</v>
      </c>
      <c r="X184" s="107"/>
    </row>
    <row r="185" spans="1:24">
      <c r="A185" s="115">
        <v>183</v>
      </c>
      <c r="B185" s="116">
        <v>7</v>
      </c>
      <c r="C185" s="81" t="s">
        <v>130</v>
      </c>
      <c r="D185" s="111" t="s">
        <v>240</v>
      </c>
      <c r="E185" s="81" t="s">
        <v>104</v>
      </c>
      <c r="F185" s="52">
        <v>7.97</v>
      </c>
      <c r="G185" s="52">
        <f t="shared" si="14"/>
        <v>8.94</v>
      </c>
      <c r="H185" s="110"/>
      <c r="I185" s="81">
        <v>9.91</v>
      </c>
      <c r="J185" s="81">
        <f>VLOOKUP(C185,Recipes!$A$2:$N$4,12,FALSE())</f>
        <v>5.0137397426368718E-2</v>
      </c>
      <c r="K185" s="81">
        <f t="shared" si="15"/>
        <v>9.7345191090077101</v>
      </c>
      <c r="L185" s="81">
        <f t="shared" si="16"/>
        <v>10.08548089099229</v>
      </c>
      <c r="M185" s="81" t="str">
        <f t="shared" si="18"/>
        <v>NG</v>
      </c>
      <c r="N185" s="117">
        <f t="shared" si="17"/>
        <v>1</v>
      </c>
      <c r="O185" s="81">
        <f t="shared" si="19"/>
        <v>0.97000000000000064</v>
      </c>
      <c r="P185" s="81">
        <f>IF(G185="","",ABS(O185-Components!$C$2)/Components!$D$2)</f>
        <v>269.83628889943662</v>
      </c>
      <c r="Q185" s="81">
        <f>IF(G185="","",ABS(O185-Components!$C$3)/Components!$D$3)</f>
        <v>222.22944958054225</v>
      </c>
      <c r="R185" s="81">
        <f>IF(G185="","",ABS(O185-Components!$C$4)/Components!$D$4)</f>
        <v>1.6692137399996705</v>
      </c>
      <c r="S185" s="81">
        <f>IF(G185="","",ABS(O185-Components!$C$5)/Components!$D$5)</f>
        <v>142.68043413428234</v>
      </c>
      <c r="T185" s="81">
        <f>IF(G185="","",ABS(O185-Components!$C$6)/Components!$D$6)</f>
        <v>6.7201168805252189</v>
      </c>
      <c r="U185" s="81">
        <f>IF(G185="","",ABS(O185-Components!$C$7)/Components!$D$7)</f>
        <v>16.079715111839551</v>
      </c>
      <c r="V185" s="81" t="str">
        <f>IF(G185="","",IF(M185="OK","NONE",INDEX({"S1","S2","W1","W2","N1","N2"},MATCH(MIN(P185:U185),P185:U185,0))))</f>
        <v>W1</v>
      </c>
      <c r="W185" s="117">
        <f t="shared" si="20"/>
        <v>1</v>
      </c>
      <c r="X185" s="107"/>
    </row>
    <row r="186" spans="1:24">
      <c r="A186" s="115">
        <v>184</v>
      </c>
      <c r="B186" s="116">
        <v>7</v>
      </c>
      <c r="C186" s="81" t="s">
        <v>130</v>
      </c>
      <c r="D186" s="111" t="s">
        <v>240</v>
      </c>
      <c r="E186" s="81" t="s">
        <v>104</v>
      </c>
      <c r="F186" s="52">
        <v>7.94</v>
      </c>
      <c r="G186" s="52">
        <f t="shared" si="14"/>
        <v>8.91</v>
      </c>
      <c r="H186" s="110"/>
      <c r="I186" s="81">
        <v>9.91</v>
      </c>
      <c r="J186" s="81">
        <f>VLOOKUP(C186,Recipes!$A$2:$N$4,12,FALSE())</f>
        <v>5.0137397426368718E-2</v>
      </c>
      <c r="K186" s="81">
        <f t="shared" si="15"/>
        <v>9.7345191090077101</v>
      </c>
      <c r="L186" s="81">
        <f t="shared" si="16"/>
        <v>10.08548089099229</v>
      </c>
      <c r="M186" s="81" t="str">
        <f t="shared" si="18"/>
        <v>NG</v>
      </c>
      <c r="N186" s="117">
        <f t="shared" si="17"/>
        <v>1</v>
      </c>
      <c r="O186" s="81">
        <f t="shared" si="19"/>
        <v>1</v>
      </c>
      <c r="P186" s="81">
        <f>IF(G186="","",ABS(O186-Components!$C$2)/Components!$D$2)</f>
        <v>265.29698684318447</v>
      </c>
      <c r="Q186" s="81">
        <f>IF(G186="","",ABS(O186-Components!$C$3)/Components!$D$3)</f>
        <v>220.05499312672094</v>
      </c>
      <c r="R186" s="81">
        <f>IF(G186="","",ABS(O186-Components!$C$4)/Components!$D$4)</f>
        <v>0.47691821142852492</v>
      </c>
      <c r="S186" s="81">
        <f>IF(G186="","",ABS(O186-Components!$C$5)/Components!$D$5)</f>
        <v>141.48900352822508</v>
      </c>
      <c r="T186" s="81">
        <f>IF(G186="","",ABS(O186-Components!$C$6)/Components!$D$6)</f>
        <v>5.6342811188605006</v>
      </c>
      <c r="U186" s="81">
        <f>IF(G186="","",ABS(O186-Components!$C$7)/Components!$D$7)</f>
        <v>14.886661228850645</v>
      </c>
      <c r="V186" s="81" t="str">
        <f>IF(G186="","",IF(M186="OK","NONE",INDEX({"S1","S2","W1","W2","N1","N2"},MATCH(MIN(P186:U186),P186:U186,0))))</f>
        <v>W1</v>
      </c>
      <c r="W186" s="117">
        <f t="shared" si="20"/>
        <v>1</v>
      </c>
      <c r="X186" s="107"/>
    </row>
    <row r="187" spans="1:24">
      <c r="A187" s="115">
        <v>185</v>
      </c>
      <c r="B187" s="116">
        <v>7</v>
      </c>
      <c r="C187" s="61" t="s">
        <v>130</v>
      </c>
      <c r="D187" s="61" t="s">
        <v>240</v>
      </c>
      <c r="E187" s="61" t="s">
        <v>104</v>
      </c>
      <c r="F187" s="61">
        <v>7.96</v>
      </c>
      <c r="G187" s="52">
        <f t="shared" si="14"/>
        <v>8.93</v>
      </c>
      <c r="H187" s="110"/>
      <c r="I187" s="81">
        <v>9.91</v>
      </c>
      <c r="J187" s="81">
        <f>VLOOKUP(C187,Recipes!$A$2:$N$4,12,FALSE())</f>
        <v>5.0137397426368718E-2</v>
      </c>
      <c r="K187" s="81">
        <f t="shared" si="15"/>
        <v>9.7345191090077101</v>
      </c>
      <c r="L187" s="81">
        <f t="shared" si="16"/>
        <v>10.08548089099229</v>
      </c>
      <c r="M187" s="81" t="str">
        <f t="shared" si="18"/>
        <v>NG</v>
      </c>
      <c r="N187" s="117">
        <f t="shared" si="17"/>
        <v>1</v>
      </c>
      <c r="O187" s="81">
        <f t="shared" si="19"/>
        <v>0.98000000000000043</v>
      </c>
      <c r="P187" s="81">
        <f>IF(G187="","",ABS(O187-Components!$C$2)/Components!$D$2)</f>
        <v>268.32318821401924</v>
      </c>
      <c r="Q187" s="81">
        <f>IF(G187="","",ABS(O187-Components!$C$3)/Components!$D$3)</f>
        <v>221.50463076260183</v>
      </c>
      <c r="R187" s="81">
        <f>IF(G187="","",ABS(O187-Components!$C$4)/Components!$D$4)</f>
        <v>0.9538364228569387</v>
      </c>
      <c r="S187" s="81">
        <f>IF(G187="","",ABS(O187-Components!$C$5)/Components!$D$5)</f>
        <v>142.28329059892994</v>
      </c>
      <c r="T187" s="81">
        <f>IF(G187="","",ABS(O187-Components!$C$6)/Components!$D$6)</f>
        <v>6.3581716266369792</v>
      </c>
      <c r="U187" s="81">
        <f>IF(G187="","",ABS(O187-Components!$C$7)/Components!$D$7)</f>
        <v>15.682030484176583</v>
      </c>
      <c r="V187" s="81" t="str">
        <f>IF(G187="","",IF(M187="OK","NONE",INDEX({"S1","S2","W1","W2","N1","N2"},MATCH(MIN(P187:U187),P187:U187,0))))</f>
        <v>W1</v>
      </c>
      <c r="W187" s="117">
        <f t="shared" si="20"/>
        <v>1</v>
      </c>
      <c r="X187" s="107"/>
    </row>
    <row r="188" spans="1:24">
      <c r="A188" s="115">
        <v>186</v>
      </c>
      <c r="B188" s="116">
        <v>7</v>
      </c>
      <c r="C188" s="81" t="s">
        <v>130</v>
      </c>
      <c r="D188" s="111" t="s">
        <v>240</v>
      </c>
      <c r="E188" s="81" t="s">
        <v>104</v>
      </c>
      <c r="F188" s="61">
        <v>8.02</v>
      </c>
      <c r="G188" s="52">
        <f t="shared" si="14"/>
        <v>8.99</v>
      </c>
      <c r="H188" s="110"/>
      <c r="I188" s="81">
        <v>9.91</v>
      </c>
      <c r="J188" s="81">
        <f>VLOOKUP(C188,Recipes!$A$2:$N$4,12,FALSE())</f>
        <v>5.0137397426368718E-2</v>
      </c>
      <c r="K188" s="81">
        <f t="shared" si="15"/>
        <v>9.7345191090077101</v>
      </c>
      <c r="L188" s="81">
        <f t="shared" si="16"/>
        <v>10.08548089099229</v>
      </c>
      <c r="M188" s="81" t="str">
        <f t="shared" si="18"/>
        <v>NG</v>
      </c>
      <c r="N188" s="117">
        <f t="shared" si="17"/>
        <v>1</v>
      </c>
      <c r="O188" s="81">
        <f t="shared" si="19"/>
        <v>0.91999999999999993</v>
      </c>
      <c r="P188" s="81">
        <f>IF(G188="","",ABS(O188-Components!$C$2)/Components!$D$2)</f>
        <v>277.40179232652372</v>
      </c>
      <c r="Q188" s="81">
        <f>IF(G188="","",ABS(O188-Components!$C$3)/Components!$D$3)</f>
        <v>225.85354367024456</v>
      </c>
      <c r="R188" s="81">
        <f>IF(G188="","",ABS(O188-Components!$C$4)/Components!$D$4)</f>
        <v>5.2461003257134564</v>
      </c>
      <c r="S188" s="81">
        <f>IF(G188="","",ABS(O188-Components!$C$5)/Components!$D$5)</f>
        <v>144.6661518110445</v>
      </c>
      <c r="T188" s="81">
        <f>IF(G188="","",ABS(O188-Components!$C$6)/Components!$D$6)</f>
        <v>8.5298431499664815</v>
      </c>
      <c r="U188" s="81">
        <f>IF(G188="","",ABS(O188-Components!$C$7)/Components!$D$7)</f>
        <v>18.068138250154465</v>
      </c>
      <c r="V188" s="81" t="str">
        <f>IF(G188="","",IF(M188="OK","NONE",INDEX({"S1","S2","W1","W2","N1","N2"},MATCH(MIN(P188:U188),P188:U188,0))))</f>
        <v>W1</v>
      </c>
      <c r="W188" s="117">
        <f t="shared" si="20"/>
        <v>1</v>
      </c>
      <c r="X188" s="107"/>
    </row>
    <row r="189" spans="1:24">
      <c r="A189" s="115">
        <v>187</v>
      </c>
      <c r="B189" s="116">
        <v>7</v>
      </c>
      <c r="C189" s="81" t="s">
        <v>130</v>
      </c>
      <c r="D189" s="111" t="s">
        <v>240</v>
      </c>
      <c r="E189" s="81" t="s">
        <v>104</v>
      </c>
      <c r="F189" s="61">
        <v>8.07</v>
      </c>
      <c r="G189" s="52">
        <f t="shared" si="14"/>
        <v>9.0400000000000009</v>
      </c>
      <c r="H189" s="110"/>
      <c r="I189" s="81">
        <v>9.91</v>
      </c>
      <c r="J189" s="81">
        <f>VLOOKUP(C189,Recipes!$A$2:$N$4,12,FALSE())</f>
        <v>5.0137397426368718E-2</v>
      </c>
      <c r="K189" s="81">
        <f t="shared" si="15"/>
        <v>9.7345191090077101</v>
      </c>
      <c r="L189" s="81">
        <f t="shared" si="16"/>
        <v>10.08548089099229</v>
      </c>
      <c r="M189" s="81" t="str">
        <f t="shared" si="18"/>
        <v>NG</v>
      </c>
      <c r="N189" s="117">
        <f t="shared" si="17"/>
        <v>1</v>
      </c>
      <c r="O189" s="81">
        <f t="shared" si="19"/>
        <v>0.86999999999999922</v>
      </c>
      <c r="P189" s="81">
        <f>IF(G189="","",ABS(O189-Components!$C$2)/Components!$D$2)</f>
        <v>284.96729575361087</v>
      </c>
      <c r="Q189" s="81">
        <f>IF(G189="","",ABS(O189-Components!$C$3)/Components!$D$3)</f>
        <v>229.47763775994687</v>
      </c>
      <c r="R189" s="81">
        <f>IF(G189="","",ABS(O189-Components!$C$4)/Components!$D$4)</f>
        <v>8.8229869114272432</v>
      </c>
      <c r="S189" s="81">
        <f>IF(G189="","",ABS(O189-Components!$C$5)/Components!$D$5)</f>
        <v>146.65186948780666</v>
      </c>
      <c r="T189" s="81">
        <f>IF(G189="","",ABS(O189-Components!$C$6)/Components!$D$6)</f>
        <v>10.339569419407743</v>
      </c>
      <c r="U189" s="81">
        <f>IF(G189="","",ABS(O189-Components!$C$7)/Components!$D$7)</f>
        <v>20.05656138846938</v>
      </c>
      <c r="V189" s="81" t="str">
        <f>IF(G189="","",IF(M189="OK","NONE",INDEX({"S1","S2","W1","W2","N1","N2"},MATCH(MIN(P189:U189),P189:U189,0))))</f>
        <v>W1</v>
      </c>
      <c r="W189" s="117">
        <f t="shared" si="20"/>
        <v>1</v>
      </c>
      <c r="X189" s="107"/>
    </row>
    <row r="190" spans="1:24">
      <c r="A190" s="115">
        <v>188</v>
      </c>
      <c r="B190" s="116">
        <v>7</v>
      </c>
      <c r="C190" s="81" t="s">
        <v>130</v>
      </c>
      <c r="D190" s="111" t="s">
        <v>240</v>
      </c>
      <c r="E190" s="81" t="s">
        <v>104</v>
      </c>
      <c r="F190" s="61">
        <v>7.89</v>
      </c>
      <c r="G190" s="52">
        <f t="shared" si="14"/>
        <v>8.86</v>
      </c>
      <c r="H190" s="110"/>
      <c r="I190" s="81">
        <v>9.91</v>
      </c>
      <c r="J190" s="81">
        <f>VLOOKUP(C190,Recipes!$A$2:$N$4,12,FALSE())</f>
        <v>5.0137397426368718E-2</v>
      </c>
      <c r="K190" s="81">
        <f t="shared" si="15"/>
        <v>9.7345191090077101</v>
      </c>
      <c r="L190" s="81">
        <f t="shared" si="16"/>
        <v>10.08548089099229</v>
      </c>
      <c r="M190" s="81" t="str">
        <f t="shared" si="18"/>
        <v>NG</v>
      </c>
      <c r="N190" s="117">
        <f t="shared" si="17"/>
        <v>1</v>
      </c>
      <c r="O190" s="81">
        <f t="shared" si="19"/>
        <v>1.0500000000000007</v>
      </c>
      <c r="P190" s="81">
        <f>IF(G190="","",ABS(O190-Components!$C$2)/Components!$D$2)</f>
        <v>257.73148341609738</v>
      </c>
      <c r="Q190" s="81">
        <f>IF(G190="","",ABS(O190-Components!$C$3)/Components!$D$3)</f>
        <v>216.43089903701863</v>
      </c>
      <c r="R190" s="81">
        <f>IF(G190="","",ABS(O190-Components!$C$4)/Components!$D$4)</f>
        <v>4.0538047971423108</v>
      </c>
      <c r="S190" s="81">
        <f>IF(G190="","",ABS(O190-Components!$C$5)/Components!$D$5)</f>
        <v>139.50328585146292</v>
      </c>
      <c r="T190" s="81">
        <f>IF(G190="","",ABS(O190-Components!$C$6)/Components!$D$6)</f>
        <v>3.8245548494192385</v>
      </c>
      <c r="U190" s="81">
        <f>IF(G190="","",ABS(O190-Components!$C$7)/Components!$D$7)</f>
        <v>12.898238090535733</v>
      </c>
      <c r="V190" s="81" t="str">
        <f>IF(G190="","",IF(M190="OK","NONE",INDEX({"S1","S2","W1","W2","N1","N2"},MATCH(MIN(P190:U190),P190:U190,0))))</f>
        <v>N1</v>
      </c>
      <c r="W190" s="122">
        <f t="shared" si="20"/>
        <v>0</v>
      </c>
      <c r="X190" s="107"/>
    </row>
    <row r="191" spans="1:24">
      <c r="A191" s="115">
        <v>189</v>
      </c>
      <c r="B191" s="116">
        <v>7</v>
      </c>
      <c r="C191" s="81" t="s">
        <v>130</v>
      </c>
      <c r="D191" s="111" t="s">
        <v>240</v>
      </c>
      <c r="E191" s="81" t="s">
        <v>104</v>
      </c>
      <c r="F191" s="61">
        <v>7.91</v>
      </c>
      <c r="G191" s="52">
        <f t="shared" si="14"/>
        <v>8.8800000000000008</v>
      </c>
      <c r="H191" s="110"/>
      <c r="I191" s="81">
        <v>9.91</v>
      </c>
      <c r="J191" s="81">
        <f>VLOOKUP(C191,Recipes!$A$2:$N$4,12,FALSE())</f>
        <v>5.0137397426368718E-2</v>
      </c>
      <c r="K191" s="81">
        <f t="shared" si="15"/>
        <v>9.7345191090077101</v>
      </c>
      <c r="L191" s="81">
        <f t="shared" si="16"/>
        <v>10.08548089099229</v>
      </c>
      <c r="M191" s="81" t="str">
        <f t="shared" si="18"/>
        <v>NG</v>
      </c>
      <c r="N191" s="117">
        <f t="shared" si="17"/>
        <v>1</v>
      </c>
      <c r="O191" s="81">
        <f t="shared" si="19"/>
        <v>1.0299999999999994</v>
      </c>
      <c r="P191" s="81">
        <f>IF(G191="","",ABS(O191-Components!$C$2)/Components!$D$2)</f>
        <v>260.75768478693237</v>
      </c>
      <c r="Q191" s="81">
        <f>IF(G191="","",ABS(O191-Components!$C$3)/Components!$D$3)</f>
        <v>217.88053667289964</v>
      </c>
      <c r="R191" s="81">
        <f>IF(G191="","",ABS(O191-Components!$C$4)/Components!$D$4)</f>
        <v>2.6230501628567202</v>
      </c>
      <c r="S191" s="81">
        <f>IF(G191="","",ABS(O191-Components!$C$5)/Components!$D$5)</f>
        <v>140.29757292216783</v>
      </c>
      <c r="T191" s="81">
        <f>IF(G191="","",ABS(O191-Components!$C$6)/Components!$D$6)</f>
        <v>4.5484453571957824</v>
      </c>
      <c r="U191" s="81">
        <f>IF(G191="","",ABS(O191-Components!$C$7)/Components!$D$7)</f>
        <v>13.693607345861739</v>
      </c>
      <c r="V191" s="81" t="str">
        <f>IF(G191="","",IF(M191="OK","NONE",INDEX({"S1","S2","W1","W2","N1","N2"},MATCH(MIN(P191:U191),P191:U191,0))))</f>
        <v>W1</v>
      </c>
      <c r="W191" s="117">
        <f t="shared" si="20"/>
        <v>1</v>
      </c>
      <c r="X191" s="107"/>
    </row>
    <row r="192" spans="1:24">
      <c r="A192" s="115">
        <v>190</v>
      </c>
      <c r="B192" s="116">
        <v>7</v>
      </c>
      <c r="C192" s="61" t="s">
        <v>130</v>
      </c>
      <c r="D192" s="61" t="s">
        <v>240</v>
      </c>
      <c r="E192" s="61" t="s">
        <v>104</v>
      </c>
      <c r="F192" s="61">
        <v>7.95</v>
      </c>
      <c r="G192" s="52">
        <f t="shared" si="14"/>
        <v>8.92</v>
      </c>
      <c r="H192" s="110"/>
      <c r="I192" s="81">
        <v>9.91</v>
      </c>
      <c r="J192" s="81">
        <f>VLOOKUP(C192,Recipes!$A$2:$N$4,12,FALSE())</f>
        <v>5.0137397426368718E-2</v>
      </c>
      <c r="K192" s="81">
        <f t="shared" si="15"/>
        <v>9.7345191090077101</v>
      </c>
      <c r="L192" s="81">
        <f t="shared" si="16"/>
        <v>10.08548089099229</v>
      </c>
      <c r="M192" s="81" t="str">
        <f t="shared" si="18"/>
        <v>NG</v>
      </c>
      <c r="N192" s="117">
        <f t="shared" si="17"/>
        <v>1</v>
      </c>
      <c r="O192" s="81">
        <f t="shared" si="19"/>
        <v>0.99000000000000021</v>
      </c>
      <c r="P192" s="81">
        <f>IF(G192="","",ABS(O192-Components!$C$2)/Components!$D$2)</f>
        <v>266.81008752860185</v>
      </c>
      <c r="Q192" s="81">
        <f>IF(G192="","",ABS(O192-Components!$C$3)/Components!$D$3)</f>
        <v>220.77981194466139</v>
      </c>
      <c r="R192" s="81">
        <f>IF(G192="","",ABS(O192-Components!$C$4)/Components!$D$4)</f>
        <v>0.23845910571420686</v>
      </c>
      <c r="S192" s="81">
        <f>IF(G192="","",ABS(O192-Components!$C$5)/Components!$D$5)</f>
        <v>141.88614706357751</v>
      </c>
      <c r="T192" s="81">
        <f>IF(G192="","",ABS(O192-Components!$C$6)/Components!$D$6)</f>
        <v>5.9962263727487395</v>
      </c>
      <c r="U192" s="81">
        <f>IF(G192="","",ABS(O192-Components!$C$7)/Components!$D$7)</f>
        <v>15.284345856513614</v>
      </c>
      <c r="V192" s="81" t="str">
        <f>IF(G192="","",IF(M192="OK","NONE",INDEX({"S1","S2","W1","W2","N1","N2"},MATCH(MIN(P192:U192),P192:U192,0))))</f>
        <v>W1</v>
      </c>
      <c r="W192" s="117">
        <f t="shared" si="20"/>
        <v>1</v>
      </c>
      <c r="X192" s="107"/>
    </row>
    <row r="193" spans="1:24">
      <c r="A193" s="115">
        <v>191</v>
      </c>
      <c r="B193" s="116">
        <v>7</v>
      </c>
      <c r="C193" s="81" t="s">
        <v>130</v>
      </c>
      <c r="D193" s="111" t="s">
        <v>240</v>
      </c>
      <c r="E193" s="81" t="s">
        <v>104</v>
      </c>
      <c r="F193" s="61">
        <v>7.95</v>
      </c>
      <c r="G193" s="52">
        <f t="shared" si="14"/>
        <v>8.92</v>
      </c>
      <c r="H193" s="110"/>
      <c r="I193" s="81">
        <v>9.91</v>
      </c>
      <c r="J193" s="81">
        <f>VLOOKUP(C193,Recipes!$A$2:$N$4,12,FALSE())</f>
        <v>5.0137397426368718E-2</v>
      </c>
      <c r="K193" s="81">
        <f t="shared" si="15"/>
        <v>9.7345191090077101</v>
      </c>
      <c r="L193" s="81">
        <f t="shared" si="16"/>
        <v>10.08548089099229</v>
      </c>
      <c r="M193" s="81" t="str">
        <f t="shared" si="18"/>
        <v>NG</v>
      </c>
      <c r="N193" s="117">
        <f t="shared" si="17"/>
        <v>1</v>
      </c>
      <c r="O193" s="81">
        <f t="shared" si="19"/>
        <v>0.99000000000000021</v>
      </c>
      <c r="P193" s="81">
        <f>IF(G193="","",ABS(O193-Components!$C$2)/Components!$D$2)</f>
        <v>266.81008752860185</v>
      </c>
      <c r="Q193" s="81">
        <f>IF(G193="","",ABS(O193-Components!$C$3)/Components!$D$3)</f>
        <v>220.77981194466139</v>
      </c>
      <c r="R193" s="81">
        <f>IF(G193="","",ABS(O193-Components!$C$4)/Components!$D$4)</f>
        <v>0.23845910571420686</v>
      </c>
      <c r="S193" s="81">
        <f>IF(G193="","",ABS(O193-Components!$C$5)/Components!$D$5)</f>
        <v>141.88614706357751</v>
      </c>
      <c r="T193" s="81">
        <f>IF(G193="","",ABS(O193-Components!$C$6)/Components!$D$6)</f>
        <v>5.9962263727487395</v>
      </c>
      <c r="U193" s="81">
        <f>IF(G193="","",ABS(O193-Components!$C$7)/Components!$D$7)</f>
        <v>15.284345856513614</v>
      </c>
      <c r="V193" s="81" t="str">
        <f>IF(G193="","",IF(M193="OK","NONE",INDEX({"S1","S2","W1","W2","N1","N2"},MATCH(MIN(P193:U193),P193:U193,0))))</f>
        <v>W1</v>
      </c>
      <c r="W193" s="117">
        <f t="shared" si="20"/>
        <v>1</v>
      </c>
      <c r="X193" s="107"/>
    </row>
    <row r="194" spans="1:24">
      <c r="A194" s="115">
        <v>192</v>
      </c>
      <c r="B194" s="116">
        <v>7</v>
      </c>
      <c r="C194" s="81" t="s">
        <v>130</v>
      </c>
      <c r="D194" s="111" t="s">
        <v>240</v>
      </c>
      <c r="E194" s="81" t="s">
        <v>104</v>
      </c>
      <c r="F194" s="61">
        <v>7.9</v>
      </c>
      <c r="G194" s="52">
        <f t="shared" si="14"/>
        <v>8.870000000000001</v>
      </c>
      <c r="H194" s="110"/>
      <c r="I194" s="81">
        <v>9.91</v>
      </c>
      <c r="J194" s="81">
        <f>VLOOKUP(C194,Recipes!$A$2:$N$4,12,FALSE())</f>
        <v>5.0137397426368718E-2</v>
      </c>
      <c r="K194" s="81">
        <f t="shared" si="15"/>
        <v>9.7345191090077101</v>
      </c>
      <c r="L194" s="81">
        <f t="shared" si="16"/>
        <v>10.08548089099229</v>
      </c>
      <c r="M194" s="81" t="str">
        <f t="shared" si="18"/>
        <v>NG</v>
      </c>
      <c r="N194" s="117">
        <f t="shared" si="17"/>
        <v>1</v>
      </c>
      <c r="O194" s="81">
        <f t="shared" si="19"/>
        <v>1.0399999999999991</v>
      </c>
      <c r="P194" s="81">
        <f>IF(G194="","",ABS(O194-Components!$C$2)/Components!$D$2)</f>
        <v>259.24458410151499</v>
      </c>
      <c r="Q194" s="81">
        <f>IF(G194="","",ABS(O194-Components!$C$3)/Components!$D$3)</f>
        <v>217.15571785495922</v>
      </c>
      <c r="R194" s="81">
        <f>IF(G194="","",ABS(O194-Components!$C$4)/Components!$D$4)</f>
        <v>3.338427479999452</v>
      </c>
      <c r="S194" s="81">
        <f>IF(G194="","",ABS(O194-Components!$C$5)/Components!$D$5)</f>
        <v>139.9004293868154</v>
      </c>
      <c r="T194" s="81">
        <f>IF(G194="","",ABS(O194-Components!$C$6)/Components!$D$6)</f>
        <v>4.1865001033075426</v>
      </c>
      <c r="U194" s="81">
        <f>IF(G194="","",ABS(O194-Components!$C$7)/Components!$D$7)</f>
        <v>13.295922718198771</v>
      </c>
      <c r="V194" s="81" t="str">
        <f>IF(G194="","",IF(M194="OK","NONE",INDEX({"S1","S2","W1","W2","N1","N2"},MATCH(MIN(P194:U194),P194:U194,0))))</f>
        <v>W1</v>
      </c>
      <c r="W194" s="117">
        <f t="shared" si="20"/>
        <v>1</v>
      </c>
      <c r="X194" s="107"/>
    </row>
    <row r="195" spans="1:24">
      <c r="A195" s="115">
        <v>193</v>
      </c>
      <c r="B195" s="116">
        <v>7</v>
      </c>
      <c r="C195" s="81" t="s">
        <v>130</v>
      </c>
      <c r="D195" s="111" t="s">
        <v>240</v>
      </c>
      <c r="E195" s="81" t="s">
        <v>104</v>
      </c>
      <c r="F195" s="61">
        <v>7.91</v>
      </c>
      <c r="G195" s="52">
        <f t="shared" ref="G195:G258" si="21">0.97+F195</f>
        <v>8.8800000000000008</v>
      </c>
      <c r="H195" s="110"/>
      <c r="I195" s="81">
        <v>9.91</v>
      </c>
      <c r="J195" s="81">
        <f>VLOOKUP(C195,Recipes!$A$2:$N$4,12,FALSE())</f>
        <v>5.0137397426368718E-2</v>
      </c>
      <c r="K195" s="81">
        <f t="shared" ref="K195:K258" si="22">I195-3.5*J195</f>
        <v>9.7345191090077101</v>
      </c>
      <c r="L195" s="81">
        <f t="shared" ref="L195:L258" si="23">I195+3.5*J195</f>
        <v>10.08548089099229</v>
      </c>
      <c r="M195" s="81" t="str">
        <f t="shared" si="18"/>
        <v>NG</v>
      </c>
      <c r="N195" s="117">
        <f t="shared" ref="N195:N258" si="24">IF(M195="","",IF(M195=D195,1,0))</f>
        <v>1</v>
      </c>
      <c r="O195" s="81">
        <f t="shared" si="19"/>
        <v>1.0299999999999994</v>
      </c>
      <c r="P195" s="81">
        <f>IF(G195="","",ABS(O195-Components!$C$2)/Components!$D$2)</f>
        <v>260.75768478693237</v>
      </c>
      <c r="Q195" s="81">
        <f>IF(G195="","",ABS(O195-Components!$C$3)/Components!$D$3)</f>
        <v>217.88053667289964</v>
      </c>
      <c r="R195" s="81">
        <f>IF(G195="","",ABS(O195-Components!$C$4)/Components!$D$4)</f>
        <v>2.6230501628567202</v>
      </c>
      <c r="S195" s="81">
        <f>IF(G195="","",ABS(O195-Components!$C$5)/Components!$D$5)</f>
        <v>140.29757292216783</v>
      </c>
      <c r="T195" s="81">
        <f>IF(G195="","",ABS(O195-Components!$C$6)/Components!$D$6)</f>
        <v>4.5484453571957824</v>
      </c>
      <c r="U195" s="81">
        <f>IF(G195="","",ABS(O195-Components!$C$7)/Components!$D$7)</f>
        <v>13.693607345861739</v>
      </c>
      <c r="V195" s="81" t="str">
        <f>IF(G195="","",IF(M195="OK","NONE",INDEX({"S1","S2","W1","W2","N1","N2"},MATCH(MIN(P195:U195),P195:U195,0))))</f>
        <v>W1</v>
      </c>
      <c r="W195" s="117">
        <f t="shared" si="20"/>
        <v>1</v>
      </c>
      <c r="X195" s="107"/>
    </row>
    <row r="196" spans="1:24">
      <c r="A196" s="115">
        <v>194</v>
      </c>
      <c r="B196" s="116">
        <v>7</v>
      </c>
      <c r="C196" s="81" t="s">
        <v>130</v>
      </c>
      <c r="D196" s="111" t="s">
        <v>240</v>
      </c>
      <c r="E196" s="81" t="s">
        <v>104</v>
      </c>
      <c r="F196" s="61">
        <v>7.98</v>
      </c>
      <c r="G196" s="52">
        <f t="shared" si="21"/>
        <v>8.9500000000000011</v>
      </c>
      <c r="H196" s="110"/>
      <c r="I196" s="81">
        <v>9.91</v>
      </c>
      <c r="J196" s="81">
        <f>VLOOKUP(C196,Recipes!$A$2:$N$4,12,FALSE())</f>
        <v>5.0137397426368718E-2</v>
      </c>
      <c r="K196" s="81">
        <f t="shared" si="22"/>
        <v>9.7345191090077101</v>
      </c>
      <c r="L196" s="81">
        <f t="shared" si="23"/>
        <v>10.08548089099229</v>
      </c>
      <c r="M196" s="81" t="str">
        <f t="shared" ref="M196:M259" si="25">IF(G196="","",IF(AND(G196&gt;=K196,G196&lt;=L196),"OK","NG"))</f>
        <v>NG</v>
      </c>
      <c r="N196" s="117">
        <f t="shared" si="24"/>
        <v>1</v>
      </c>
      <c r="O196" s="81">
        <f t="shared" ref="O196:O259" si="26">IF(G196="","",I196-G196)</f>
        <v>0.95999999999999908</v>
      </c>
      <c r="P196" s="81">
        <f>IF(G196="","",ABS(O196-Components!$C$2)/Components!$D$2)</f>
        <v>271.34938958485424</v>
      </c>
      <c r="Q196" s="81">
        <f>IF(G196="","",ABS(O196-Components!$C$3)/Components!$D$3)</f>
        <v>222.95426839848284</v>
      </c>
      <c r="R196" s="81">
        <f>IF(G196="","",ABS(O196-Components!$C$4)/Components!$D$4)</f>
        <v>2.3845910571425293</v>
      </c>
      <c r="S196" s="81">
        <f>IF(G196="","",ABS(O196-Components!$C$5)/Components!$D$5)</f>
        <v>143.07757766963482</v>
      </c>
      <c r="T196" s="81">
        <f>IF(G196="","",ABS(O196-Components!$C$6)/Components!$D$6)</f>
        <v>7.0820621344135226</v>
      </c>
      <c r="U196" s="81">
        <f>IF(G196="","",ABS(O196-Components!$C$7)/Components!$D$7)</f>
        <v>16.477399739502591</v>
      </c>
      <c r="V196" s="81" t="str">
        <f>IF(G196="","",IF(M196="OK","NONE",INDEX({"S1","S2","W1","W2","N1","N2"},MATCH(MIN(P196:U196),P196:U196,0))))</f>
        <v>W1</v>
      </c>
      <c r="W196" s="117">
        <f t="shared" ref="W196:W259" si="27">IF(G196="","",IF(V196=E196,1,0))</f>
        <v>1</v>
      </c>
      <c r="X196" s="107"/>
    </row>
    <row r="197" spans="1:24">
      <c r="A197" s="115">
        <v>195</v>
      </c>
      <c r="B197" s="116">
        <v>7</v>
      </c>
      <c r="C197" s="61" t="s">
        <v>130</v>
      </c>
      <c r="D197" s="61" t="s">
        <v>240</v>
      </c>
      <c r="E197" s="61" t="s">
        <v>104</v>
      </c>
      <c r="F197" s="61">
        <v>7.95</v>
      </c>
      <c r="G197" s="52">
        <f t="shared" si="21"/>
        <v>8.92</v>
      </c>
      <c r="H197" s="110"/>
      <c r="I197" s="81">
        <v>9.91</v>
      </c>
      <c r="J197" s="81">
        <f>VLOOKUP(C197,Recipes!$A$2:$N$4,12,FALSE())</f>
        <v>5.0137397426368718E-2</v>
      </c>
      <c r="K197" s="81">
        <f t="shared" si="22"/>
        <v>9.7345191090077101</v>
      </c>
      <c r="L197" s="81">
        <f t="shared" si="23"/>
        <v>10.08548089099229</v>
      </c>
      <c r="M197" s="81" t="str">
        <f t="shared" si="25"/>
        <v>NG</v>
      </c>
      <c r="N197" s="117">
        <f t="shared" si="24"/>
        <v>1</v>
      </c>
      <c r="O197" s="81">
        <f t="shared" si="26"/>
        <v>0.99000000000000021</v>
      </c>
      <c r="P197" s="81">
        <f>IF(G197="","",ABS(O197-Components!$C$2)/Components!$D$2)</f>
        <v>266.81008752860185</v>
      </c>
      <c r="Q197" s="81">
        <f>IF(G197="","",ABS(O197-Components!$C$3)/Components!$D$3)</f>
        <v>220.77981194466139</v>
      </c>
      <c r="R197" s="81">
        <f>IF(G197="","",ABS(O197-Components!$C$4)/Components!$D$4)</f>
        <v>0.23845910571420686</v>
      </c>
      <c r="S197" s="81">
        <f>IF(G197="","",ABS(O197-Components!$C$5)/Components!$D$5)</f>
        <v>141.88614706357751</v>
      </c>
      <c r="T197" s="81">
        <f>IF(G197="","",ABS(O197-Components!$C$6)/Components!$D$6)</f>
        <v>5.9962263727487395</v>
      </c>
      <c r="U197" s="81">
        <f>IF(G197="","",ABS(O197-Components!$C$7)/Components!$D$7)</f>
        <v>15.284345856513614</v>
      </c>
      <c r="V197" s="81" t="str">
        <f>IF(G197="","",IF(M197="OK","NONE",INDEX({"S1","S2","W1","W2","N1","N2"},MATCH(MIN(P197:U197),P197:U197,0))))</f>
        <v>W1</v>
      </c>
      <c r="W197" s="117">
        <f t="shared" si="27"/>
        <v>1</v>
      </c>
      <c r="X197" s="107"/>
    </row>
    <row r="198" spans="1:24">
      <c r="A198" s="115">
        <v>196</v>
      </c>
      <c r="B198" s="116">
        <v>7</v>
      </c>
      <c r="C198" s="81" t="s">
        <v>130</v>
      </c>
      <c r="D198" s="111" t="s">
        <v>240</v>
      </c>
      <c r="E198" s="81" t="s">
        <v>104</v>
      </c>
      <c r="F198" s="61">
        <v>7.9640000000000004</v>
      </c>
      <c r="G198" s="52">
        <f t="shared" si="21"/>
        <v>8.9340000000000011</v>
      </c>
      <c r="H198" s="110"/>
      <c r="I198" s="81">
        <v>9.91</v>
      </c>
      <c r="J198" s="81">
        <f>VLOOKUP(C198,Recipes!$A$2:$N$4,12,FALSE())</f>
        <v>5.0137397426368718E-2</v>
      </c>
      <c r="K198" s="81">
        <f t="shared" si="22"/>
        <v>9.7345191090077101</v>
      </c>
      <c r="L198" s="81">
        <f t="shared" si="23"/>
        <v>10.08548089099229</v>
      </c>
      <c r="M198" s="81" t="str">
        <f t="shared" si="25"/>
        <v>NG</v>
      </c>
      <c r="N198" s="117">
        <f t="shared" si="24"/>
        <v>1</v>
      </c>
      <c r="O198" s="81">
        <f t="shared" si="26"/>
        <v>0.97599999999999909</v>
      </c>
      <c r="P198" s="81">
        <f>IF(G198="","",ABS(O198-Components!$C$2)/Components!$D$2)</f>
        <v>268.9284284881864</v>
      </c>
      <c r="Q198" s="81">
        <f>IF(G198="","",ABS(O198-Components!$C$3)/Components!$D$3)</f>
        <v>221.79455828977811</v>
      </c>
      <c r="R198" s="81">
        <f>IF(G198="","",ABS(O198-Components!$C$4)/Components!$D$4)</f>
        <v>1.2399873497141329</v>
      </c>
      <c r="S198" s="81">
        <f>IF(G198="","",ABS(O198-Components!$C$5)/Components!$D$5)</f>
        <v>142.44214801307095</v>
      </c>
      <c r="T198" s="81">
        <f>IF(G198="","",ABS(O198-Components!$C$6)/Components!$D$6)</f>
        <v>6.502949728192327</v>
      </c>
      <c r="U198" s="81">
        <f>IF(G198="","",ABS(O198-Components!$C$7)/Components!$D$7)</f>
        <v>15.841104335241827</v>
      </c>
      <c r="V198" s="81" t="str">
        <f>IF(G198="","",IF(M198="OK","NONE",INDEX({"S1","S2","W1","W2","N1","N2"},MATCH(MIN(P198:U198),P198:U198,0))))</f>
        <v>W1</v>
      </c>
      <c r="W198" s="117">
        <f t="shared" si="27"/>
        <v>1</v>
      </c>
      <c r="X198" s="107"/>
    </row>
    <row r="199" spans="1:24">
      <c r="A199" s="115">
        <v>197</v>
      </c>
      <c r="B199" s="116">
        <v>7</v>
      </c>
      <c r="C199" s="81" t="s">
        <v>130</v>
      </c>
      <c r="D199" s="111" t="s">
        <v>240</v>
      </c>
      <c r="E199" s="81" t="s">
        <v>104</v>
      </c>
      <c r="F199" s="61">
        <v>7.97</v>
      </c>
      <c r="G199" s="52">
        <f t="shared" si="21"/>
        <v>8.94</v>
      </c>
      <c r="H199" s="110"/>
      <c r="I199" s="81">
        <v>9.91</v>
      </c>
      <c r="J199" s="81">
        <f>VLOOKUP(C199,Recipes!$A$2:$N$4,12,FALSE())</f>
        <v>5.0137397426368718E-2</v>
      </c>
      <c r="K199" s="81">
        <f t="shared" si="22"/>
        <v>9.7345191090077101</v>
      </c>
      <c r="L199" s="81">
        <f t="shared" si="23"/>
        <v>10.08548089099229</v>
      </c>
      <c r="M199" s="81" t="str">
        <f t="shared" si="25"/>
        <v>NG</v>
      </c>
      <c r="N199" s="117">
        <f t="shared" si="24"/>
        <v>1</v>
      </c>
      <c r="O199" s="81">
        <f t="shared" si="26"/>
        <v>0.97000000000000064</v>
      </c>
      <c r="P199" s="81">
        <f>IF(G199="","",ABS(O199-Components!$C$2)/Components!$D$2)</f>
        <v>269.83628889943662</v>
      </c>
      <c r="Q199" s="81">
        <f>IF(G199="","",ABS(O199-Components!$C$3)/Components!$D$3)</f>
        <v>222.22944958054225</v>
      </c>
      <c r="R199" s="81">
        <f>IF(G199="","",ABS(O199-Components!$C$4)/Components!$D$4)</f>
        <v>1.6692137399996705</v>
      </c>
      <c r="S199" s="81">
        <f>IF(G199="","",ABS(O199-Components!$C$5)/Components!$D$5)</f>
        <v>142.68043413428234</v>
      </c>
      <c r="T199" s="81">
        <f>IF(G199="","",ABS(O199-Components!$C$6)/Components!$D$6)</f>
        <v>6.7201168805252189</v>
      </c>
      <c r="U199" s="81">
        <f>IF(G199="","",ABS(O199-Components!$C$7)/Components!$D$7)</f>
        <v>16.079715111839551</v>
      </c>
      <c r="V199" s="81" t="str">
        <f>IF(G199="","",IF(M199="OK","NONE",INDEX({"S1","S2","W1","W2","N1","N2"},MATCH(MIN(P199:U199),P199:U199,0))))</f>
        <v>W1</v>
      </c>
      <c r="W199" s="117">
        <f t="shared" si="27"/>
        <v>1</v>
      </c>
      <c r="X199" s="107"/>
    </row>
    <row r="200" spans="1:24">
      <c r="A200" s="115">
        <v>198</v>
      </c>
      <c r="B200" s="116">
        <v>7</v>
      </c>
      <c r="C200" s="81" t="s">
        <v>130</v>
      </c>
      <c r="D200" s="111" t="s">
        <v>240</v>
      </c>
      <c r="E200" s="81" t="s">
        <v>104</v>
      </c>
      <c r="F200" s="61">
        <v>7.91</v>
      </c>
      <c r="G200" s="52">
        <f t="shared" si="21"/>
        <v>8.8800000000000008</v>
      </c>
      <c r="H200" s="110"/>
      <c r="I200" s="81">
        <v>9.91</v>
      </c>
      <c r="J200" s="81">
        <f>VLOOKUP(C200,Recipes!$A$2:$N$4,12,FALSE())</f>
        <v>5.0137397426368718E-2</v>
      </c>
      <c r="K200" s="81">
        <f t="shared" si="22"/>
        <v>9.7345191090077101</v>
      </c>
      <c r="L200" s="81">
        <f t="shared" si="23"/>
        <v>10.08548089099229</v>
      </c>
      <c r="M200" s="81" t="str">
        <f t="shared" si="25"/>
        <v>NG</v>
      </c>
      <c r="N200" s="117">
        <f t="shared" si="24"/>
        <v>1</v>
      </c>
      <c r="O200" s="81">
        <f t="shared" si="26"/>
        <v>1.0299999999999994</v>
      </c>
      <c r="P200" s="81">
        <f>IF(G200="","",ABS(O200-Components!$C$2)/Components!$D$2)</f>
        <v>260.75768478693237</v>
      </c>
      <c r="Q200" s="81">
        <f>IF(G200="","",ABS(O200-Components!$C$3)/Components!$D$3)</f>
        <v>217.88053667289964</v>
      </c>
      <c r="R200" s="81">
        <f>IF(G200="","",ABS(O200-Components!$C$4)/Components!$D$4)</f>
        <v>2.6230501628567202</v>
      </c>
      <c r="S200" s="81">
        <f>IF(G200="","",ABS(O200-Components!$C$5)/Components!$D$5)</f>
        <v>140.29757292216783</v>
      </c>
      <c r="T200" s="81">
        <f>IF(G200="","",ABS(O200-Components!$C$6)/Components!$D$6)</f>
        <v>4.5484453571957824</v>
      </c>
      <c r="U200" s="81">
        <f>IF(G200="","",ABS(O200-Components!$C$7)/Components!$D$7)</f>
        <v>13.693607345861739</v>
      </c>
      <c r="V200" s="81" t="str">
        <f>IF(G200="","",IF(M200="OK","NONE",INDEX({"S1","S2","W1","W2","N1","N2"},MATCH(MIN(P200:U200),P200:U200,0))))</f>
        <v>W1</v>
      </c>
      <c r="W200" s="117">
        <f t="shared" si="27"/>
        <v>1</v>
      </c>
      <c r="X200" s="107"/>
    </row>
    <row r="201" spans="1:24">
      <c r="A201" s="115">
        <v>199</v>
      </c>
      <c r="B201" s="116">
        <v>7</v>
      </c>
      <c r="C201" s="81" t="s">
        <v>130</v>
      </c>
      <c r="D201" s="111" t="s">
        <v>240</v>
      </c>
      <c r="E201" s="81" t="s">
        <v>104</v>
      </c>
      <c r="F201" s="61">
        <v>7.93</v>
      </c>
      <c r="G201" s="52">
        <f t="shared" si="21"/>
        <v>8.9</v>
      </c>
      <c r="H201" s="110"/>
      <c r="I201" s="81">
        <v>9.91</v>
      </c>
      <c r="J201" s="81">
        <f>VLOOKUP(C201,Recipes!$A$2:$N$4,12,FALSE())</f>
        <v>5.0137397426368718E-2</v>
      </c>
      <c r="K201" s="81">
        <f t="shared" si="22"/>
        <v>9.7345191090077101</v>
      </c>
      <c r="L201" s="81">
        <f t="shared" si="23"/>
        <v>10.08548089099229</v>
      </c>
      <c r="M201" s="81" t="str">
        <f t="shared" si="25"/>
        <v>NG</v>
      </c>
      <c r="N201" s="117">
        <f t="shared" si="24"/>
        <v>1</v>
      </c>
      <c r="O201" s="81">
        <f t="shared" si="26"/>
        <v>1.0099999999999998</v>
      </c>
      <c r="P201" s="81">
        <f>IF(G201="","",ABS(O201-Components!$C$2)/Components!$D$2)</f>
        <v>263.78388615776714</v>
      </c>
      <c r="Q201" s="81">
        <f>IF(G201="","",ABS(O201-Components!$C$3)/Components!$D$3)</f>
        <v>219.33017430878053</v>
      </c>
      <c r="R201" s="81">
        <f>IF(G201="","",ABS(O201-Components!$C$4)/Components!$D$4)</f>
        <v>1.1922955285712566</v>
      </c>
      <c r="S201" s="81">
        <f>IF(G201="","",ABS(O201-Components!$C$5)/Components!$D$5)</f>
        <v>141.09185999287266</v>
      </c>
      <c r="T201" s="81">
        <f>IF(G201="","",ABS(O201-Components!$C$6)/Components!$D$6)</f>
        <v>5.2723358649722609</v>
      </c>
      <c r="U201" s="81">
        <f>IF(G201="","",ABS(O201-Components!$C$7)/Components!$D$7)</f>
        <v>14.488976601187677</v>
      </c>
      <c r="V201" s="81" t="str">
        <f>IF(G201="","",IF(M201="OK","NONE",INDEX({"S1","S2","W1","W2","N1","N2"},MATCH(MIN(P201:U201),P201:U201,0))))</f>
        <v>W1</v>
      </c>
      <c r="W201" s="117">
        <f t="shared" si="27"/>
        <v>1</v>
      </c>
      <c r="X201" s="107"/>
    </row>
    <row r="202" spans="1:24">
      <c r="A202" s="115">
        <v>200</v>
      </c>
      <c r="B202" s="116">
        <v>7</v>
      </c>
      <c r="C202" s="61" t="s">
        <v>130</v>
      </c>
      <c r="D202" s="61" t="s">
        <v>240</v>
      </c>
      <c r="E202" s="61" t="s">
        <v>104</v>
      </c>
      <c r="F202" s="61">
        <v>7.94</v>
      </c>
      <c r="G202" s="52">
        <f t="shared" si="21"/>
        <v>8.91</v>
      </c>
      <c r="H202" s="110"/>
      <c r="I202" s="81">
        <v>9.91</v>
      </c>
      <c r="J202" s="81">
        <f>VLOOKUP(C202,Recipes!$A$2:$N$4,12,FALSE())</f>
        <v>5.0137397426368718E-2</v>
      </c>
      <c r="K202" s="81">
        <f t="shared" si="22"/>
        <v>9.7345191090077101</v>
      </c>
      <c r="L202" s="81">
        <f t="shared" si="23"/>
        <v>10.08548089099229</v>
      </c>
      <c r="M202" s="81" t="str">
        <f t="shared" si="25"/>
        <v>NG</v>
      </c>
      <c r="N202" s="117">
        <f t="shared" si="24"/>
        <v>1</v>
      </c>
      <c r="O202" s="81">
        <f t="shared" si="26"/>
        <v>1</v>
      </c>
      <c r="P202" s="81">
        <f>IF(G202="","",ABS(O202-Components!$C$2)/Components!$D$2)</f>
        <v>265.29698684318447</v>
      </c>
      <c r="Q202" s="81">
        <f>IF(G202="","",ABS(O202-Components!$C$3)/Components!$D$3)</f>
        <v>220.05499312672094</v>
      </c>
      <c r="R202" s="81">
        <f>IF(G202="","",ABS(O202-Components!$C$4)/Components!$D$4)</f>
        <v>0.47691821142852492</v>
      </c>
      <c r="S202" s="81">
        <f>IF(G202="","",ABS(O202-Components!$C$5)/Components!$D$5)</f>
        <v>141.48900352822508</v>
      </c>
      <c r="T202" s="81">
        <f>IF(G202="","",ABS(O202-Components!$C$6)/Components!$D$6)</f>
        <v>5.6342811188605006</v>
      </c>
      <c r="U202" s="81">
        <f>IF(G202="","",ABS(O202-Components!$C$7)/Components!$D$7)</f>
        <v>14.886661228850645</v>
      </c>
      <c r="V202" s="81" t="str">
        <f>IF(G202="","",IF(M202="OK","NONE",INDEX({"S1","S2","W1","W2","N1","N2"},MATCH(MIN(P202:U202),P202:U202,0))))</f>
        <v>W1</v>
      </c>
      <c r="W202" s="117">
        <f t="shared" si="27"/>
        <v>1</v>
      </c>
      <c r="X202" s="107"/>
    </row>
    <row r="203" spans="1:24">
      <c r="A203" s="115">
        <v>201</v>
      </c>
      <c r="B203" s="116">
        <v>7</v>
      </c>
      <c r="C203" s="81" t="s">
        <v>130</v>
      </c>
      <c r="D203" s="111" t="s">
        <v>240</v>
      </c>
      <c r="E203" s="81" t="s">
        <v>104</v>
      </c>
      <c r="F203" s="61">
        <v>7.89</v>
      </c>
      <c r="G203" s="52">
        <f t="shared" si="21"/>
        <v>8.86</v>
      </c>
      <c r="H203" s="110"/>
      <c r="I203" s="81">
        <v>9.91</v>
      </c>
      <c r="J203" s="81">
        <f>VLOOKUP(C203,Recipes!$A$2:$N$4,12,FALSE())</f>
        <v>5.0137397426368718E-2</v>
      </c>
      <c r="K203" s="81">
        <f t="shared" si="22"/>
        <v>9.7345191090077101</v>
      </c>
      <c r="L203" s="81">
        <f t="shared" si="23"/>
        <v>10.08548089099229</v>
      </c>
      <c r="M203" s="81" t="str">
        <f t="shared" si="25"/>
        <v>NG</v>
      </c>
      <c r="N203" s="117">
        <f t="shared" si="24"/>
        <v>1</v>
      </c>
      <c r="O203" s="81">
        <f t="shared" si="26"/>
        <v>1.0500000000000007</v>
      </c>
      <c r="P203" s="81">
        <f>IF(G203="","",ABS(O203-Components!$C$2)/Components!$D$2)</f>
        <v>257.73148341609738</v>
      </c>
      <c r="Q203" s="81">
        <f>IF(G203="","",ABS(O203-Components!$C$3)/Components!$D$3)</f>
        <v>216.43089903701863</v>
      </c>
      <c r="R203" s="81">
        <f>IF(G203="","",ABS(O203-Components!$C$4)/Components!$D$4)</f>
        <v>4.0538047971423108</v>
      </c>
      <c r="S203" s="81">
        <f>IF(G203="","",ABS(O203-Components!$C$5)/Components!$D$5)</f>
        <v>139.50328585146292</v>
      </c>
      <c r="T203" s="81">
        <f>IF(G203="","",ABS(O203-Components!$C$6)/Components!$D$6)</f>
        <v>3.8245548494192385</v>
      </c>
      <c r="U203" s="81">
        <f>IF(G203="","",ABS(O203-Components!$C$7)/Components!$D$7)</f>
        <v>12.898238090535733</v>
      </c>
      <c r="V203" s="81" t="str">
        <f>IF(G203="","",IF(M203="OK","NONE",INDEX({"S1","S2","W1","W2","N1","N2"},MATCH(MIN(P203:U203),P203:U203,0))))</f>
        <v>N1</v>
      </c>
      <c r="W203" s="122">
        <f t="shared" si="27"/>
        <v>0</v>
      </c>
      <c r="X203" s="107"/>
    </row>
    <row r="204" spans="1:24">
      <c r="A204" s="115">
        <v>202</v>
      </c>
      <c r="B204" s="116">
        <v>7</v>
      </c>
      <c r="C204" s="81" t="s">
        <v>130</v>
      </c>
      <c r="D204" s="111" t="s">
        <v>240</v>
      </c>
      <c r="E204" s="81" t="s">
        <v>104</v>
      </c>
      <c r="F204" s="61">
        <v>7.95</v>
      </c>
      <c r="G204" s="52">
        <f t="shared" si="21"/>
        <v>8.92</v>
      </c>
      <c r="H204" s="110"/>
      <c r="I204" s="81">
        <v>9.91</v>
      </c>
      <c r="J204" s="81">
        <f>VLOOKUP(C204,Recipes!$A$2:$N$4,12,FALSE())</f>
        <v>5.0137397426368718E-2</v>
      </c>
      <c r="K204" s="81">
        <f t="shared" si="22"/>
        <v>9.7345191090077101</v>
      </c>
      <c r="L204" s="81">
        <f t="shared" si="23"/>
        <v>10.08548089099229</v>
      </c>
      <c r="M204" s="81" t="str">
        <f t="shared" si="25"/>
        <v>NG</v>
      </c>
      <c r="N204" s="117">
        <f t="shared" si="24"/>
        <v>1</v>
      </c>
      <c r="O204" s="81">
        <f t="shared" si="26"/>
        <v>0.99000000000000021</v>
      </c>
      <c r="P204" s="81">
        <f>IF(G204="","",ABS(O204-Components!$C$2)/Components!$D$2)</f>
        <v>266.81008752860185</v>
      </c>
      <c r="Q204" s="81">
        <f>IF(G204="","",ABS(O204-Components!$C$3)/Components!$D$3)</f>
        <v>220.77981194466139</v>
      </c>
      <c r="R204" s="81">
        <f>IF(G204="","",ABS(O204-Components!$C$4)/Components!$D$4)</f>
        <v>0.23845910571420686</v>
      </c>
      <c r="S204" s="81">
        <f>IF(G204="","",ABS(O204-Components!$C$5)/Components!$D$5)</f>
        <v>141.88614706357751</v>
      </c>
      <c r="T204" s="81">
        <f>IF(G204="","",ABS(O204-Components!$C$6)/Components!$D$6)</f>
        <v>5.9962263727487395</v>
      </c>
      <c r="U204" s="81">
        <f>IF(G204="","",ABS(O204-Components!$C$7)/Components!$D$7)</f>
        <v>15.284345856513614</v>
      </c>
      <c r="V204" s="81" t="str">
        <f>IF(G204="","",IF(M204="OK","NONE",INDEX({"S1","S2","W1","W2","N1","N2"},MATCH(MIN(P204:U204),P204:U204,0))))</f>
        <v>W1</v>
      </c>
      <c r="W204" s="117">
        <f t="shared" si="27"/>
        <v>1</v>
      </c>
      <c r="X204" s="107"/>
    </row>
    <row r="205" spans="1:24">
      <c r="A205" s="115">
        <v>203</v>
      </c>
      <c r="B205" s="116">
        <v>7</v>
      </c>
      <c r="C205" s="81" t="s">
        <v>130</v>
      </c>
      <c r="D205" s="111" t="s">
        <v>240</v>
      </c>
      <c r="E205" s="81" t="s">
        <v>104</v>
      </c>
      <c r="F205" s="61">
        <v>7.9</v>
      </c>
      <c r="G205" s="52">
        <f t="shared" si="21"/>
        <v>8.870000000000001</v>
      </c>
      <c r="H205" s="110"/>
      <c r="I205" s="81">
        <v>9.91</v>
      </c>
      <c r="J205" s="81">
        <f>VLOOKUP(C205,Recipes!$A$2:$N$4,12,FALSE())</f>
        <v>5.0137397426368718E-2</v>
      </c>
      <c r="K205" s="81">
        <f t="shared" si="22"/>
        <v>9.7345191090077101</v>
      </c>
      <c r="L205" s="81">
        <f t="shared" si="23"/>
        <v>10.08548089099229</v>
      </c>
      <c r="M205" s="81" t="str">
        <f t="shared" si="25"/>
        <v>NG</v>
      </c>
      <c r="N205" s="117">
        <f t="shared" si="24"/>
        <v>1</v>
      </c>
      <c r="O205" s="81">
        <f t="shared" si="26"/>
        <v>1.0399999999999991</v>
      </c>
      <c r="P205" s="81">
        <f>IF(G205="","",ABS(O205-Components!$C$2)/Components!$D$2)</f>
        <v>259.24458410151499</v>
      </c>
      <c r="Q205" s="81">
        <f>IF(G205="","",ABS(O205-Components!$C$3)/Components!$D$3)</f>
        <v>217.15571785495922</v>
      </c>
      <c r="R205" s="81">
        <f>IF(G205="","",ABS(O205-Components!$C$4)/Components!$D$4)</f>
        <v>3.338427479999452</v>
      </c>
      <c r="S205" s="81">
        <f>IF(G205="","",ABS(O205-Components!$C$5)/Components!$D$5)</f>
        <v>139.9004293868154</v>
      </c>
      <c r="T205" s="81">
        <f>IF(G205="","",ABS(O205-Components!$C$6)/Components!$D$6)</f>
        <v>4.1865001033075426</v>
      </c>
      <c r="U205" s="81">
        <f>IF(G205="","",ABS(O205-Components!$C$7)/Components!$D$7)</f>
        <v>13.295922718198771</v>
      </c>
      <c r="V205" s="81" t="str">
        <f>IF(G205="","",IF(M205="OK","NONE",INDEX({"S1","S2","W1","W2","N1","N2"},MATCH(MIN(P205:U205),P205:U205,0))))</f>
        <v>W1</v>
      </c>
      <c r="W205" s="117">
        <f t="shared" si="27"/>
        <v>1</v>
      </c>
      <c r="X205" s="107"/>
    </row>
    <row r="206" spans="1:24">
      <c r="A206" s="115">
        <v>204</v>
      </c>
      <c r="B206" s="116">
        <v>7</v>
      </c>
      <c r="C206" s="81" t="s">
        <v>130</v>
      </c>
      <c r="D206" s="111" t="s">
        <v>240</v>
      </c>
      <c r="E206" s="81" t="s">
        <v>104</v>
      </c>
      <c r="F206" s="61">
        <v>7.99</v>
      </c>
      <c r="G206" s="52">
        <f t="shared" si="21"/>
        <v>8.9600000000000009</v>
      </c>
      <c r="H206" s="110"/>
      <c r="I206" s="81">
        <v>9.91</v>
      </c>
      <c r="J206" s="81">
        <f>VLOOKUP(C206,Recipes!$A$2:$N$4,12,FALSE())</f>
        <v>5.0137397426368718E-2</v>
      </c>
      <c r="K206" s="81">
        <f t="shared" si="22"/>
        <v>9.7345191090077101</v>
      </c>
      <c r="L206" s="81">
        <f t="shared" si="23"/>
        <v>10.08548089099229</v>
      </c>
      <c r="M206" s="81" t="str">
        <f t="shared" si="25"/>
        <v>NG</v>
      </c>
      <c r="N206" s="117">
        <f t="shared" si="24"/>
        <v>1</v>
      </c>
      <c r="O206" s="81">
        <f t="shared" si="26"/>
        <v>0.94999999999999929</v>
      </c>
      <c r="P206" s="81">
        <f>IF(G206="","",ABS(O206-Components!$C$2)/Components!$D$2)</f>
        <v>272.86249027027162</v>
      </c>
      <c r="Q206" s="81">
        <f>IF(G206="","",ABS(O206-Components!$C$3)/Components!$D$3)</f>
        <v>223.67908721642326</v>
      </c>
      <c r="R206" s="81">
        <f>IF(G206="","",ABS(O206-Components!$C$4)/Components!$D$4)</f>
        <v>3.0999683742852611</v>
      </c>
      <c r="S206" s="81">
        <f>IF(G206="","",ABS(O206-Components!$C$5)/Components!$D$5)</f>
        <v>143.47472120498725</v>
      </c>
      <c r="T206" s="81">
        <f>IF(G206="","",ABS(O206-Components!$C$6)/Components!$D$6)</f>
        <v>7.4440073883017623</v>
      </c>
      <c r="U206" s="81">
        <f>IF(G206="","",ABS(O206-Components!$C$7)/Components!$D$7)</f>
        <v>16.875084367165559</v>
      </c>
      <c r="V206" s="81" t="str">
        <f>IF(G206="","",IF(M206="OK","NONE",INDEX({"S1","S2","W1","W2","N1","N2"},MATCH(MIN(P206:U206),P206:U206,0))))</f>
        <v>W1</v>
      </c>
      <c r="W206" s="117">
        <f t="shared" si="27"/>
        <v>1</v>
      </c>
      <c r="X206" s="107"/>
    </row>
    <row r="207" spans="1:24">
      <c r="A207" s="115">
        <v>205</v>
      </c>
      <c r="B207" s="116">
        <v>7</v>
      </c>
      <c r="C207" s="61" t="s">
        <v>130</v>
      </c>
      <c r="D207" s="61" t="s">
        <v>240</v>
      </c>
      <c r="E207" s="61" t="s">
        <v>104</v>
      </c>
      <c r="F207" s="61">
        <v>7.97</v>
      </c>
      <c r="G207" s="52">
        <f t="shared" si="21"/>
        <v>8.94</v>
      </c>
      <c r="H207" s="110"/>
      <c r="I207" s="81">
        <v>9.91</v>
      </c>
      <c r="J207" s="81">
        <f>VLOOKUP(C207,Recipes!$A$2:$N$4,12,FALSE())</f>
        <v>5.0137397426368718E-2</v>
      </c>
      <c r="K207" s="81">
        <f t="shared" si="22"/>
        <v>9.7345191090077101</v>
      </c>
      <c r="L207" s="81">
        <f t="shared" si="23"/>
        <v>10.08548089099229</v>
      </c>
      <c r="M207" s="81" t="str">
        <f t="shared" si="25"/>
        <v>NG</v>
      </c>
      <c r="N207" s="117">
        <f t="shared" si="24"/>
        <v>1</v>
      </c>
      <c r="O207" s="81">
        <f t="shared" si="26"/>
        <v>0.97000000000000064</v>
      </c>
      <c r="P207" s="81">
        <f>IF(G207="","",ABS(O207-Components!$C$2)/Components!$D$2)</f>
        <v>269.83628889943662</v>
      </c>
      <c r="Q207" s="81">
        <f>IF(G207="","",ABS(O207-Components!$C$3)/Components!$D$3)</f>
        <v>222.22944958054225</v>
      </c>
      <c r="R207" s="81">
        <f>IF(G207="","",ABS(O207-Components!$C$4)/Components!$D$4)</f>
        <v>1.6692137399996705</v>
      </c>
      <c r="S207" s="81">
        <f>IF(G207="","",ABS(O207-Components!$C$5)/Components!$D$5)</f>
        <v>142.68043413428234</v>
      </c>
      <c r="T207" s="81">
        <f>IF(G207="","",ABS(O207-Components!$C$6)/Components!$D$6)</f>
        <v>6.7201168805252189</v>
      </c>
      <c r="U207" s="81">
        <f>IF(G207="","",ABS(O207-Components!$C$7)/Components!$D$7)</f>
        <v>16.079715111839551</v>
      </c>
      <c r="V207" s="81" t="str">
        <f>IF(G207="","",IF(M207="OK","NONE",INDEX({"S1","S2","W1","W2","N1","N2"},MATCH(MIN(P207:U207),P207:U207,0))))</f>
        <v>W1</v>
      </c>
      <c r="W207" s="117">
        <f t="shared" si="27"/>
        <v>1</v>
      </c>
      <c r="X207" s="107"/>
    </row>
    <row r="208" spans="1:24">
      <c r="A208" s="115">
        <v>206</v>
      </c>
      <c r="B208" s="116">
        <v>7</v>
      </c>
      <c r="C208" s="81" t="s">
        <v>130</v>
      </c>
      <c r="D208" s="111" t="s">
        <v>240</v>
      </c>
      <c r="E208" s="81" t="s">
        <v>104</v>
      </c>
      <c r="F208" s="61">
        <v>7.96</v>
      </c>
      <c r="G208" s="52">
        <f t="shared" si="21"/>
        <v>8.93</v>
      </c>
      <c r="H208" s="110"/>
      <c r="I208" s="81">
        <v>9.91</v>
      </c>
      <c r="J208" s="81">
        <f>VLOOKUP(C208,Recipes!$A$2:$N$4,12,FALSE())</f>
        <v>5.0137397426368718E-2</v>
      </c>
      <c r="K208" s="81">
        <f t="shared" si="22"/>
        <v>9.7345191090077101</v>
      </c>
      <c r="L208" s="81">
        <f t="shared" si="23"/>
        <v>10.08548089099229</v>
      </c>
      <c r="M208" s="81" t="str">
        <f t="shared" si="25"/>
        <v>NG</v>
      </c>
      <c r="N208" s="117">
        <f t="shared" si="24"/>
        <v>1</v>
      </c>
      <c r="O208" s="81">
        <f t="shared" si="26"/>
        <v>0.98000000000000043</v>
      </c>
      <c r="P208" s="81">
        <f>IF(G208="","",ABS(O208-Components!$C$2)/Components!$D$2)</f>
        <v>268.32318821401924</v>
      </c>
      <c r="Q208" s="81">
        <f>IF(G208="","",ABS(O208-Components!$C$3)/Components!$D$3)</f>
        <v>221.50463076260183</v>
      </c>
      <c r="R208" s="81">
        <f>IF(G208="","",ABS(O208-Components!$C$4)/Components!$D$4)</f>
        <v>0.9538364228569387</v>
      </c>
      <c r="S208" s="81">
        <f>IF(G208="","",ABS(O208-Components!$C$5)/Components!$D$5)</f>
        <v>142.28329059892994</v>
      </c>
      <c r="T208" s="81">
        <f>IF(G208="","",ABS(O208-Components!$C$6)/Components!$D$6)</f>
        <v>6.3581716266369792</v>
      </c>
      <c r="U208" s="81">
        <f>IF(G208="","",ABS(O208-Components!$C$7)/Components!$D$7)</f>
        <v>15.682030484176583</v>
      </c>
      <c r="V208" s="81" t="str">
        <f>IF(G208="","",IF(M208="OK","NONE",INDEX({"S1","S2","W1","W2","N1","N2"},MATCH(MIN(P208:U208),P208:U208,0))))</f>
        <v>W1</v>
      </c>
      <c r="W208" s="117">
        <f t="shared" si="27"/>
        <v>1</v>
      </c>
      <c r="X208" s="107"/>
    </row>
    <row r="209" spans="1:24">
      <c r="A209" s="115">
        <v>207</v>
      </c>
      <c r="B209" s="116">
        <v>7</v>
      </c>
      <c r="C209" s="81" t="s">
        <v>130</v>
      </c>
      <c r="D209" s="111" t="s">
        <v>240</v>
      </c>
      <c r="E209" s="81" t="s">
        <v>104</v>
      </c>
      <c r="F209" s="61">
        <v>7.99</v>
      </c>
      <c r="G209" s="52">
        <f t="shared" si="21"/>
        <v>8.9600000000000009</v>
      </c>
      <c r="H209" s="110"/>
      <c r="I209" s="81">
        <v>9.91</v>
      </c>
      <c r="J209" s="81">
        <f>VLOOKUP(C209,Recipes!$A$2:$N$4,12,FALSE())</f>
        <v>5.0137397426368718E-2</v>
      </c>
      <c r="K209" s="81">
        <f t="shared" si="22"/>
        <v>9.7345191090077101</v>
      </c>
      <c r="L209" s="81">
        <f t="shared" si="23"/>
        <v>10.08548089099229</v>
      </c>
      <c r="M209" s="81" t="str">
        <f t="shared" si="25"/>
        <v>NG</v>
      </c>
      <c r="N209" s="117">
        <f t="shared" si="24"/>
        <v>1</v>
      </c>
      <c r="O209" s="81">
        <f t="shared" si="26"/>
        <v>0.94999999999999929</v>
      </c>
      <c r="P209" s="81">
        <f>IF(G209="","",ABS(O209-Components!$C$2)/Components!$D$2)</f>
        <v>272.86249027027162</v>
      </c>
      <c r="Q209" s="81">
        <f>IF(G209="","",ABS(O209-Components!$C$3)/Components!$D$3)</f>
        <v>223.67908721642326</v>
      </c>
      <c r="R209" s="81">
        <f>IF(G209="","",ABS(O209-Components!$C$4)/Components!$D$4)</f>
        <v>3.0999683742852611</v>
      </c>
      <c r="S209" s="81">
        <f>IF(G209="","",ABS(O209-Components!$C$5)/Components!$D$5)</f>
        <v>143.47472120498725</v>
      </c>
      <c r="T209" s="81">
        <f>IF(G209="","",ABS(O209-Components!$C$6)/Components!$D$6)</f>
        <v>7.4440073883017623</v>
      </c>
      <c r="U209" s="81">
        <f>IF(G209="","",ABS(O209-Components!$C$7)/Components!$D$7)</f>
        <v>16.875084367165559</v>
      </c>
      <c r="V209" s="81" t="str">
        <f>IF(G209="","",IF(M209="OK","NONE",INDEX({"S1","S2","W1","W2","N1","N2"},MATCH(MIN(P209:U209),P209:U209,0))))</f>
        <v>W1</v>
      </c>
      <c r="W209" s="117">
        <f t="shared" si="27"/>
        <v>1</v>
      </c>
      <c r="X209" s="107"/>
    </row>
    <row r="210" spans="1:24">
      <c r="A210" s="115">
        <v>208</v>
      </c>
      <c r="B210" s="116">
        <v>7</v>
      </c>
      <c r="C210" s="81" t="s">
        <v>130</v>
      </c>
      <c r="D210" s="111" t="s">
        <v>240</v>
      </c>
      <c r="E210" s="81" t="s">
        <v>104</v>
      </c>
      <c r="F210" s="61">
        <v>7.87</v>
      </c>
      <c r="G210" s="52">
        <f t="shared" si="21"/>
        <v>8.84</v>
      </c>
      <c r="H210" s="110"/>
      <c r="I210" s="81">
        <v>9.91</v>
      </c>
      <c r="J210" s="81">
        <f>VLOOKUP(C210,Recipes!$A$2:$N$4,12,FALSE())</f>
        <v>5.0137397426368718E-2</v>
      </c>
      <c r="K210" s="81">
        <f t="shared" si="22"/>
        <v>9.7345191090077101</v>
      </c>
      <c r="L210" s="81">
        <f t="shared" si="23"/>
        <v>10.08548089099229</v>
      </c>
      <c r="M210" s="81" t="str">
        <f t="shared" si="25"/>
        <v>NG</v>
      </c>
      <c r="N210" s="117">
        <f t="shared" si="24"/>
        <v>1</v>
      </c>
      <c r="O210" s="81">
        <f t="shared" si="26"/>
        <v>1.0700000000000003</v>
      </c>
      <c r="P210" s="81">
        <f>IF(G210="","",ABS(O210-Components!$C$2)/Components!$D$2)</f>
        <v>254.70528204526261</v>
      </c>
      <c r="Q210" s="81">
        <f>IF(G210="","",ABS(O210-Components!$C$3)/Components!$D$3)</f>
        <v>214.98126140113777</v>
      </c>
      <c r="R210" s="81">
        <f>IF(G210="","",ABS(O210-Components!$C$4)/Components!$D$4)</f>
        <v>5.4845594314277744</v>
      </c>
      <c r="S210" s="81">
        <f>IF(G210="","",ABS(O210-Components!$C$5)/Components!$D$5)</f>
        <v>138.70899878075809</v>
      </c>
      <c r="T210" s="81">
        <f>IF(G210="","",ABS(O210-Components!$C$6)/Components!$D$6)</f>
        <v>3.1006643416427595</v>
      </c>
      <c r="U210" s="81">
        <f>IF(G210="","",ABS(O210-Components!$C$7)/Components!$D$7)</f>
        <v>12.102868835209796</v>
      </c>
      <c r="V210" s="81" t="str">
        <f>IF(G210="","",IF(M210="OK","NONE",INDEX({"S1","S2","W1","W2","N1","N2"},MATCH(MIN(P210:U210),P210:U210,0))))</f>
        <v>N1</v>
      </c>
      <c r="W210" s="122">
        <f t="shared" si="27"/>
        <v>0</v>
      </c>
      <c r="X210" s="107"/>
    </row>
    <row r="211" spans="1:24">
      <c r="A211" s="115">
        <v>209</v>
      </c>
      <c r="B211" s="116">
        <v>7</v>
      </c>
      <c r="C211" s="81" t="s">
        <v>130</v>
      </c>
      <c r="D211" s="111" t="s">
        <v>240</v>
      </c>
      <c r="E211" s="81" t="s">
        <v>104</v>
      </c>
      <c r="F211" s="61">
        <v>7.72</v>
      </c>
      <c r="G211" s="52">
        <f t="shared" si="21"/>
        <v>8.69</v>
      </c>
      <c r="H211" s="110"/>
      <c r="I211" s="81">
        <v>9.91</v>
      </c>
      <c r="J211" s="81">
        <f>VLOOKUP(C211,Recipes!$A$2:$N$4,12,FALSE())</f>
        <v>5.0137397426368718E-2</v>
      </c>
      <c r="K211" s="81">
        <f t="shared" si="22"/>
        <v>9.7345191090077101</v>
      </c>
      <c r="L211" s="81">
        <f t="shared" si="23"/>
        <v>10.08548089099229</v>
      </c>
      <c r="M211" s="81" t="str">
        <f t="shared" si="25"/>
        <v>NG</v>
      </c>
      <c r="N211" s="117">
        <f t="shared" si="24"/>
        <v>1</v>
      </c>
      <c r="O211" s="81">
        <f t="shared" si="26"/>
        <v>1.2200000000000006</v>
      </c>
      <c r="P211" s="81">
        <f>IF(G211="","",ABS(O211-Components!$C$2)/Components!$D$2)</f>
        <v>232.00877176400149</v>
      </c>
      <c r="Q211" s="81">
        <f>IF(G211="","",ABS(O211-Components!$C$3)/Components!$D$3)</f>
        <v>204.10897913203098</v>
      </c>
      <c r="R211" s="81">
        <f>IF(G211="","",ABS(O211-Components!$C$4)/Components!$D$4)</f>
        <v>16.215219188569005</v>
      </c>
      <c r="S211" s="81">
        <f>IF(G211="","",ABS(O211-Components!$C$5)/Components!$D$5)</f>
        <v>132.75184575047166</v>
      </c>
      <c r="T211" s="81">
        <f>IF(G211="","",ABS(O211-Components!$C$6)/Components!$D$6)</f>
        <v>2.3285144666809612</v>
      </c>
      <c r="U211" s="81">
        <f>IF(G211="","",ABS(O211-Components!$C$7)/Components!$D$7)</f>
        <v>6.1375994202651247</v>
      </c>
      <c r="V211" s="81" t="str">
        <f>IF(G211="","",IF(M211="OK","NONE",INDEX({"S1","S2","W1","W2","N1","N2"},MATCH(MIN(P211:U211),P211:U211,0))))</f>
        <v>N1</v>
      </c>
      <c r="W211" s="122">
        <f t="shared" si="27"/>
        <v>0</v>
      </c>
      <c r="X211" s="107"/>
    </row>
    <row r="212" spans="1:24">
      <c r="A212" s="115">
        <v>210</v>
      </c>
      <c r="B212" s="116">
        <v>7</v>
      </c>
      <c r="C212" s="61" t="s">
        <v>130</v>
      </c>
      <c r="D212" s="61" t="s">
        <v>240</v>
      </c>
      <c r="E212" s="61" t="s">
        <v>104</v>
      </c>
      <c r="F212" s="61">
        <v>7.95</v>
      </c>
      <c r="G212" s="52">
        <f t="shared" si="21"/>
        <v>8.92</v>
      </c>
      <c r="H212" s="110"/>
      <c r="I212" s="81">
        <v>9.91</v>
      </c>
      <c r="J212" s="81">
        <f>VLOOKUP(C212,Recipes!$A$2:$N$4,12,FALSE())</f>
        <v>5.0137397426368718E-2</v>
      </c>
      <c r="K212" s="81">
        <f t="shared" si="22"/>
        <v>9.7345191090077101</v>
      </c>
      <c r="L212" s="81">
        <f t="shared" si="23"/>
        <v>10.08548089099229</v>
      </c>
      <c r="M212" s="81" t="str">
        <f t="shared" si="25"/>
        <v>NG</v>
      </c>
      <c r="N212" s="117">
        <f t="shared" si="24"/>
        <v>1</v>
      </c>
      <c r="O212" s="81">
        <f t="shared" si="26"/>
        <v>0.99000000000000021</v>
      </c>
      <c r="P212" s="81">
        <f>IF(G212="","",ABS(O212-Components!$C$2)/Components!$D$2)</f>
        <v>266.81008752860185</v>
      </c>
      <c r="Q212" s="81">
        <f>IF(G212="","",ABS(O212-Components!$C$3)/Components!$D$3)</f>
        <v>220.77981194466139</v>
      </c>
      <c r="R212" s="81">
        <f>IF(G212="","",ABS(O212-Components!$C$4)/Components!$D$4)</f>
        <v>0.23845910571420686</v>
      </c>
      <c r="S212" s="81">
        <f>IF(G212="","",ABS(O212-Components!$C$5)/Components!$D$5)</f>
        <v>141.88614706357751</v>
      </c>
      <c r="T212" s="81">
        <f>IF(G212="","",ABS(O212-Components!$C$6)/Components!$D$6)</f>
        <v>5.9962263727487395</v>
      </c>
      <c r="U212" s="81">
        <f>IF(G212="","",ABS(O212-Components!$C$7)/Components!$D$7)</f>
        <v>15.284345856513614</v>
      </c>
      <c r="V212" s="81" t="str">
        <f>IF(G212="","",IF(M212="OK","NONE",INDEX({"S1","S2","W1","W2","N1","N2"},MATCH(MIN(P212:U212),P212:U212,0))))</f>
        <v>W1</v>
      </c>
      <c r="W212" s="117">
        <f t="shared" si="27"/>
        <v>1</v>
      </c>
      <c r="X212" s="107"/>
    </row>
    <row r="213" spans="1:24">
      <c r="A213" s="115">
        <v>211</v>
      </c>
      <c r="B213" s="116">
        <v>8</v>
      </c>
      <c r="C213" s="81" t="s">
        <v>130</v>
      </c>
      <c r="D213" s="111" t="s">
        <v>240</v>
      </c>
      <c r="E213" s="81" t="s">
        <v>108</v>
      </c>
      <c r="F213" s="61">
        <v>7.72</v>
      </c>
      <c r="G213" s="52">
        <f t="shared" si="21"/>
        <v>8.69</v>
      </c>
      <c r="H213" s="110"/>
      <c r="I213" s="81">
        <v>9.91</v>
      </c>
      <c r="J213" s="81">
        <f>VLOOKUP(C213,Recipes!$A$2:$N$4,12,FALSE())</f>
        <v>5.0137397426368718E-2</v>
      </c>
      <c r="K213" s="81">
        <f t="shared" si="22"/>
        <v>9.7345191090077101</v>
      </c>
      <c r="L213" s="81">
        <f t="shared" si="23"/>
        <v>10.08548089099229</v>
      </c>
      <c r="M213" s="81" t="str">
        <f t="shared" si="25"/>
        <v>NG</v>
      </c>
      <c r="N213" s="117">
        <f t="shared" si="24"/>
        <v>1</v>
      </c>
      <c r="O213" s="81">
        <f t="shared" si="26"/>
        <v>1.2200000000000006</v>
      </c>
      <c r="P213" s="81">
        <f>IF(G213="","",ABS(O213-Components!$C$2)/Components!$D$2)</f>
        <v>232.00877176400149</v>
      </c>
      <c r="Q213" s="81">
        <f>IF(G213="","",ABS(O213-Components!$C$3)/Components!$D$3)</f>
        <v>204.10897913203098</v>
      </c>
      <c r="R213" s="81">
        <f>IF(G213="","",ABS(O213-Components!$C$4)/Components!$D$4)</f>
        <v>16.215219188569005</v>
      </c>
      <c r="S213" s="81">
        <f>IF(G213="","",ABS(O213-Components!$C$5)/Components!$D$5)</f>
        <v>132.75184575047166</v>
      </c>
      <c r="T213" s="81">
        <f>IF(G213="","",ABS(O213-Components!$C$6)/Components!$D$6)</f>
        <v>2.3285144666809612</v>
      </c>
      <c r="U213" s="81">
        <f>IF(G213="","",ABS(O213-Components!$C$7)/Components!$D$7)</f>
        <v>6.1375994202651247</v>
      </c>
      <c r="V213" s="81" t="str">
        <f>IF(G213="","",IF(M213="OK","NONE",INDEX({"S1","S2","W1","W2","N1","N2"},MATCH(MIN(P213:U213),P213:U213,0))))</f>
        <v>N1</v>
      </c>
      <c r="W213" s="117">
        <f t="shared" si="27"/>
        <v>1</v>
      </c>
      <c r="X213" s="107"/>
    </row>
    <row r="214" spans="1:24">
      <c r="A214" s="115">
        <v>212</v>
      </c>
      <c r="B214" s="116">
        <v>8</v>
      </c>
      <c r="C214" s="81" t="s">
        <v>130</v>
      </c>
      <c r="D214" s="111" t="s">
        <v>240</v>
      </c>
      <c r="E214" s="81" t="s">
        <v>108</v>
      </c>
      <c r="F214" s="61">
        <v>7.75</v>
      </c>
      <c r="G214" s="52">
        <f t="shared" si="21"/>
        <v>8.7200000000000006</v>
      </c>
      <c r="H214" s="110"/>
      <c r="I214" s="81">
        <v>9.91</v>
      </c>
      <c r="J214" s="81">
        <f>VLOOKUP(C214,Recipes!$A$2:$N$4,12,FALSE())</f>
        <v>5.0137397426368718E-2</v>
      </c>
      <c r="K214" s="81">
        <f t="shared" si="22"/>
        <v>9.7345191090077101</v>
      </c>
      <c r="L214" s="81">
        <f t="shared" si="23"/>
        <v>10.08548089099229</v>
      </c>
      <c r="M214" s="81" t="str">
        <f t="shared" si="25"/>
        <v>NG</v>
      </c>
      <c r="N214" s="117">
        <f t="shared" si="24"/>
        <v>1</v>
      </c>
      <c r="O214" s="81">
        <f t="shared" si="26"/>
        <v>1.1899999999999995</v>
      </c>
      <c r="P214" s="81">
        <f>IF(G214="","",ABS(O214-Components!$C$2)/Components!$D$2)</f>
        <v>236.54807382025388</v>
      </c>
      <c r="Q214" s="81">
        <f>IF(G214="","",ABS(O214-Components!$C$3)/Components!$D$3)</f>
        <v>206.28343558585243</v>
      </c>
      <c r="R214" s="81">
        <f>IF(G214="","",ABS(O214-Components!$C$4)/Components!$D$4)</f>
        <v>14.069087237140684</v>
      </c>
      <c r="S214" s="81">
        <f>IF(G214="","",ABS(O214-Components!$C$5)/Components!$D$5)</f>
        <v>133.94327635652897</v>
      </c>
      <c r="T214" s="81">
        <f>IF(G214="","",ABS(O214-Components!$C$6)/Components!$D$6)</f>
        <v>1.2426787050161785</v>
      </c>
      <c r="U214" s="81">
        <f>IF(G214="","",ABS(O214-Components!$C$7)/Components!$D$7)</f>
        <v>7.3306533032541008</v>
      </c>
      <c r="V214" s="81" t="str">
        <f>IF(G214="","",IF(M214="OK","NONE",INDEX({"S1","S2","W1","W2","N1","N2"},MATCH(MIN(P214:U214),P214:U214,0))))</f>
        <v>N1</v>
      </c>
      <c r="W214" s="117">
        <f t="shared" si="27"/>
        <v>1</v>
      </c>
      <c r="X214" s="107"/>
    </row>
    <row r="215" spans="1:24">
      <c r="A215" s="115">
        <v>213</v>
      </c>
      <c r="B215" s="116">
        <v>8</v>
      </c>
      <c r="C215" s="81" t="s">
        <v>130</v>
      </c>
      <c r="D215" s="111" t="s">
        <v>240</v>
      </c>
      <c r="E215" s="81" t="s">
        <v>108</v>
      </c>
      <c r="F215" s="61">
        <v>7.8</v>
      </c>
      <c r="G215" s="52">
        <f t="shared" si="21"/>
        <v>8.77</v>
      </c>
      <c r="H215" s="110"/>
      <c r="I215" s="81">
        <v>9.91</v>
      </c>
      <c r="J215" s="81">
        <f>VLOOKUP(C215,Recipes!$A$2:$N$4,12,FALSE())</f>
        <v>5.0137397426368718E-2</v>
      </c>
      <c r="K215" s="81">
        <f t="shared" si="22"/>
        <v>9.7345191090077101</v>
      </c>
      <c r="L215" s="81">
        <f t="shared" si="23"/>
        <v>10.08548089099229</v>
      </c>
      <c r="M215" s="81" t="str">
        <f t="shared" si="25"/>
        <v>NG</v>
      </c>
      <c r="N215" s="117">
        <f t="shared" si="24"/>
        <v>1</v>
      </c>
      <c r="O215" s="81">
        <f t="shared" si="26"/>
        <v>1.1400000000000006</v>
      </c>
      <c r="P215" s="81">
        <f>IF(G215="","",ABS(O215-Components!$C$2)/Components!$D$2)</f>
        <v>244.11357724734074</v>
      </c>
      <c r="Q215" s="81">
        <f>IF(G215="","",ABS(O215-Components!$C$3)/Components!$D$3)</f>
        <v>209.9075296755546</v>
      </c>
      <c r="R215" s="81">
        <f>IF(G215="","",ABS(O215-Components!$C$4)/Components!$D$4)</f>
        <v>10.492200651427025</v>
      </c>
      <c r="S215" s="81">
        <f>IF(G215="","",ABS(O215-Components!$C$5)/Components!$D$5)</f>
        <v>135.92899403329108</v>
      </c>
      <c r="T215" s="81">
        <f>IF(G215="","",ABS(O215-Components!$C$6)/Components!$D$6)</f>
        <v>0.56704756442501891</v>
      </c>
      <c r="U215" s="81">
        <f>IF(G215="","",ABS(O215-Components!$C$7)/Components!$D$7)</f>
        <v>9.319076441568944</v>
      </c>
      <c r="V215" s="81" t="str">
        <f>IF(G215="","",IF(M215="OK","NONE",INDEX({"S1","S2","W1","W2","N1","N2"},MATCH(MIN(P215:U215),P215:U215,0))))</f>
        <v>N1</v>
      </c>
      <c r="W215" s="117">
        <f t="shared" si="27"/>
        <v>1</v>
      </c>
      <c r="X215" s="107"/>
    </row>
    <row r="216" spans="1:24">
      <c r="A216" s="115">
        <v>214</v>
      </c>
      <c r="B216" s="116">
        <v>8</v>
      </c>
      <c r="C216" s="81" t="s">
        <v>130</v>
      </c>
      <c r="D216" s="111" t="s">
        <v>240</v>
      </c>
      <c r="E216" s="81" t="s">
        <v>108</v>
      </c>
      <c r="F216" s="61">
        <v>7.77</v>
      </c>
      <c r="G216" s="52">
        <f t="shared" si="21"/>
        <v>8.74</v>
      </c>
      <c r="H216" s="110"/>
      <c r="I216" s="81">
        <v>9.91</v>
      </c>
      <c r="J216" s="81">
        <f>VLOOKUP(C216,Recipes!$A$2:$N$4,12,FALSE())</f>
        <v>5.0137397426368718E-2</v>
      </c>
      <c r="K216" s="81">
        <f t="shared" si="22"/>
        <v>9.7345191090077101</v>
      </c>
      <c r="L216" s="81">
        <f t="shared" si="23"/>
        <v>10.08548089099229</v>
      </c>
      <c r="M216" s="81" t="str">
        <f t="shared" si="25"/>
        <v>NG</v>
      </c>
      <c r="N216" s="117">
        <f t="shared" si="24"/>
        <v>1</v>
      </c>
      <c r="O216" s="81">
        <f t="shared" si="26"/>
        <v>1.17</v>
      </c>
      <c r="P216" s="81">
        <f>IF(G216="","",ABS(O216-Components!$C$2)/Components!$D$2)</f>
        <v>239.57427519108862</v>
      </c>
      <c r="Q216" s="81">
        <f>IF(G216="","",ABS(O216-Components!$C$3)/Components!$D$3)</f>
        <v>207.73307322173329</v>
      </c>
      <c r="R216" s="81">
        <f>IF(G216="","",ABS(O216-Components!$C$4)/Components!$D$4)</f>
        <v>12.63833260285522</v>
      </c>
      <c r="S216" s="81">
        <f>IF(G216="","",ABS(O216-Components!$C$5)/Components!$D$5)</f>
        <v>134.73756342723382</v>
      </c>
      <c r="T216" s="81">
        <f>IF(G216="","",ABS(O216-Components!$C$6)/Components!$D$6)</f>
        <v>0.5187881972396996</v>
      </c>
      <c r="U216" s="81">
        <f>IF(G216="","",ABS(O216-Components!$C$7)/Components!$D$7)</f>
        <v>8.1260225585800381</v>
      </c>
      <c r="V216" s="81" t="str">
        <f>IF(G216="","",IF(M216="OK","NONE",INDEX({"S1","S2","W1","W2","N1","N2"},MATCH(MIN(P216:U216),P216:U216,0))))</f>
        <v>N1</v>
      </c>
      <c r="W216" s="117">
        <f t="shared" si="27"/>
        <v>1</v>
      </c>
      <c r="X216" s="107"/>
    </row>
    <row r="217" spans="1:24">
      <c r="A217" s="115">
        <v>215</v>
      </c>
      <c r="B217" s="116">
        <v>8</v>
      </c>
      <c r="C217" s="61" t="s">
        <v>130</v>
      </c>
      <c r="D217" s="61" t="s">
        <v>240</v>
      </c>
      <c r="E217" s="61" t="s">
        <v>108</v>
      </c>
      <c r="F217" s="61">
        <v>7.78</v>
      </c>
      <c r="G217" s="52">
        <f t="shared" si="21"/>
        <v>8.75</v>
      </c>
      <c r="H217" s="110"/>
      <c r="I217" s="81">
        <v>9.91</v>
      </c>
      <c r="J217" s="81">
        <f>VLOOKUP(C217,Recipes!$A$2:$N$4,12,FALSE())</f>
        <v>5.0137397426368718E-2</v>
      </c>
      <c r="K217" s="81">
        <f t="shared" si="22"/>
        <v>9.7345191090077101</v>
      </c>
      <c r="L217" s="81">
        <f t="shared" si="23"/>
        <v>10.08548089099229</v>
      </c>
      <c r="M217" s="81" t="str">
        <f t="shared" si="25"/>
        <v>NG</v>
      </c>
      <c r="N217" s="117">
        <f t="shared" si="24"/>
        <v>1</v>
      </c>
      <c r="O217" s="81">
        <f t="shared" si="26"/>
        <v>1.1600000000000001</v>
      </c>
      <c r="P217" s="81">
        <f>IF(G217="","",ABS(O217-Components!$C$2)/Components!$D$2)</f>
        <v>241.087375876506</v>
      </c>
      <c r="Q217" s="81">
        <f>IF(G217="","",ABS(O217-Components!$C$3)/Components!$D$3)</f>
        <v>208.45789203967374</v>
      </c>
      <c r="R217" s="81">
        <f>IF(G217="","",ABS(O217-Components!$C$4)/Components!$D$4)</f>
        <v>11.922955285712488</v>
      </c>
      <c r="S217" s="81">
        <f>IF(G217="","",ABS(O217-Components!$C$5)/Components!$D$5)</f>
        <v>135.13470696258622</v>
      </c>
      <c r="T217" s="81">
        <f>IF(G217="","",ABS(O217-Components!$C$6)/Components!$D$6)</f>
        <v>0.15684294335146007</v>
      </c>
      <c r="U217" s="81">
        <f>IF(G217="","",ABS(O217-Components!$C$7)/Components!$D$7)</f>
        <v>8.5237071862430067</v>
      </c>
      <c r="V217" s="81" t="str">
        <f>IF(G217="","",IF(M217="OK","NONE",INDEX({"S1","S2","W1","W2","N1","N2"},MATCH(MIN(P217:U217),P217:U217,0))))</f>
        <v>N1</v>
      </c>
      <c r="W217" s="117">
        <f t="shared" si="27"/>
        <v>1</v>
      </c>
      <c r="X217" s="107"/>
    </row>
    <row r="218" spans="1:24">
      <c r="A218" s="115">
        <v>216</v>
      </c>
      <c r="B218" s="116">
        <v>8</v>
      </c>
      <c r="C218" s="81" t="s">
        <v>130</v>
      </c>
      <c r="D218" s="111" t="s">
        <v>240</v>
      </c>
      <c r="E218" s="81" t="s">
        <v>108</v>
      </c>
      <c r="F218" s="61">
        <v>7.82</v>
      </c>
      <c r="G218" s="52">
        <f t="shared" si="21"/>
        <v>8.7900000000000009</v>
      </c>
      <c r="H218" s="110"/>
      <c r="I218" s="81">
        <v>9.91</v>
      </c>
      <c r="J218" s="81">
        <f>VLOOKUP(C218,Recipes!$A$2:$N$4,12,FALSE())</f>
        <v>5.0137397426368718E-2</v>
      </c>
      <c r="K218" s="81">
        <f t="shared" si="22"/>
        <v>9.7345191090077101</v>
      </c>
      <c r="L218" s="81">
        <f t="shared" si="23"/>
        <v>10.08548089099229</v>
      </c>
      <c r="M218" s="81" t="str">
        <f t="shared" si="25"/>
        <v>NG</v>
      </c>
      <c r="N218" s="117">
        <f t="shared" si="24"/>
        <v>1</v>
      </c>
      <c r="O218" s="81">
        <f t="shared" si="26"/>
        <v>1.1199999999999992</v>
      </c>
      <c r="P218" s="81">
        <f>IF(G218="","",ABS(O218-Components!$C$2)/Components!$D$2)</f>
        <v>247.13977861817574</v>
      </c>
      <c r="Q218" s="81">
        <f>IF(G218="","",ABS(O218-Components!$C$3)/Components!$D$3)</f>
        <v>211.3571673114356</v>
      </c>
      <c r="R218" s="81">
        <f>IF(G218="","",ABS(O218-Components!$C$4)/Components!$D$4)</f>
        <v>9.0614460171414333</v>
      </c>
      <c r="S218" s="81">
        <f>IF(G218="","",ABS(O218-Components!$C$5)/Components!$D$5)</f>
        <v>136.72328110399599</v>
      </c>
      <c r="T218" s="81">
        <f>IF(G218="","",ABS(O218-Components!$C$6)/Components!$D$6)</f>
        <v>1.2909380722015622</v>
      </c>
      <c r="U218" s="81">
        <f>IF(G218="","",ABS(O218-Components!$C$7)/Components!$D$7)</f>
        <v>10.114445696894952</v>
      </c>
      <c r="V218" s="81" t="str">
        <f>IF(G218="","",IF(M218="OK","NONE",INDEX({"S1","S2","W1","W2","N1","N2"},MATCH(MIN(P218:U218),P218:U218,0))))</f>
        <v>N1</v>
      </c>
      <c r="W218" s="117">
        <f t="shared" si="27"/>
        <v>1</v>
      </c>
      <c r="X218" s="107"/>
    </row>
    <row r="219" spans="1:24">
      <c r="A219" s="115">
        <v>217</v>
      </c>
      <c r="B219" s="116">
        <v>8</v>
      </c>
      <c r="C219" s="81" t="s">
        <v>130</v>
      </c>
      <c r="D219" s="111" t="s">
        <v>240</v>
      </c>
      <c r="E219" s="81" t="s">
        <v>108</v>
      </c>
      <c r="F219" s="61">
        <v>7.78</v>
      </c>
      <c r="G219" s="52">
        <f t="shared" si="21"/>
        <v>8.75</v>
      </c>
      <c r="H219" s="110"/>
      <c r="I219" s="81">
        <v>9.91</v>
      </c>
      <c r="J219" s="81">
        <f>VLOOKUP(C219,Recipes!$A$2:$N$4,12,FALSE())</f>
        <v>5.0137397426368718E-2</v>
      </c>
      <c r="K219" s="81">
        <f t="shared" si="22"/>
        <v>9.7345191090077101</v>
      </c>
      <c r="L219" s="81">
        <f t="shared" si="23"/>
        <v>10.08548089099229</v>
      </c>
      <c r="M219" s="81" t="str">
        <f t="shared" si="25"/>
        <v>NG</v>
      </c>
      <c r="N219" s="117">
        <f t="shared" si="24"/>
        <v>1</v>
      </c>
      <c r="O219" s="81">
        <f t="shared" si="26"/>
        <v>1.1600000000000001</v>
      </c>
      <c r="P219" s="81">
        <f>IF(G219="","",ABS(O219-Components!$C$2)/Components!$D$2)</f>
        <v>241.087375876506</v>
      </c>
      <c r="Q219" s="81">
        <f>IF(G219="","",ABS(O219-Components!$C$3)/Components!$D$3)</f>
        <v>208.45789203967374</v>
      </c>
      <c r="R219" s="81">
        <f>IF(G219="","",ABS(O219-Components!$C$4)/Components!$D$4)</f>
        <v>11.922955285712488</v>
      </c>
      <c r="S219" s="81">
        <f>IF(G219="","",ABS(O219-Components!$C$5)/Components!$D$5)</f>
        <v>135.13470696258622</v>
      </c>
      <c r="T219" s="81">
        <f>IF(G219="","",ABS(O219-Components!$C$6)/Components!$D$6)</f>
        <v>0.15684294335146007</v>
      </c>
      <c r="U219" s="81">
        <f>IF(G219="","",ABS(O219-Components!$C$7)/Components!$D$7)</f>
        <v>8.5237071862430067</v>
      </c>
      <c r="V219" s="81" t="str">
        <f>IF(G219="","",IF(M219="OK","NONE",INDEX({"S1","S2","W1","W2","N1","N2"},MATCH(MIN(P219:U219),P219:U219,0))))</f>
        <v>N1</v>
      </c>
      <c r="W219" s="117">
        <f t="shared" si="27"/>
        <v>1</v>
      </c>
      <c r="X219" s="107"/>
    </row>
    <row r="220" spans="1:24">
      <c r="A220" s="115">
        <v>218</v>
      </c>
      <c r="B220" s="116">
        <v>8</v>
      </c>
      <c r="C220" s="81" t="s">
        <v>130</v>
      </c>
      <c r="D220" s="111" t="s">
        <v>240</v>
      </c>
      <c r="E220" s="81" t="s">
        <v>108</v>
      </c>
      <c r="F220" s="61">
        <v>7.52</v>
      </c>
      <c r="G220" s="52">
        <f t="shared" si="21"/>
        <v>8.49</v>
      </c>
      <c r="H220" s="110"/>
      <c r="I220" s="81">
        <v>9.91</v>
      </c>
      <c r="J220" s="81">
        <f>VLOOKUP(C220,Recipes!$A$2:$N$4,12,FALSE())</f>
        <v>5.0137397426368718E-2</v>
      </c>
      <c r="K220" s="81">
        <f t="shared" si="22"/>
        <v>9.7345191090077101</v>
      </c>
      <c r="L220" s="81">
        <f t="shared" si="23"/>
        <v>10.08548089099229</v>
      </c>
      <c r="M220" s="81" t="str">
        <f t="shared" si="25"/>
        <v>NG</v>
      </c>
      <c r="N220" s="117">
        <f t="shared" si="24"/>
        <v>1</v>
      </c>
      <c r="O220" s="81">
        <f t="shared" si="26"/>
        <v>1.42</v>
      </c>
      <c r="P220" s="81">
        <f>IF(G220="","",ABS(O220-Components!$C$2)/Components!$D$2)</f>
        <v>201.74675805565349</v>
      </c>
      <c r="Q220" s="81">
        <f>IF(G220="","",ABS(O220-Components!$C$3)/Components!$D$3)</f>
        <v>189.61260277322202</v>
      </c>
      <c r="R220" s="81">
        <f>IF(G220="","",ABS(O220-Components!$C$4)/Components!$D$4)</f>
        <v>30.522765531423897</v>
      </c>
      <c r="S220" s="81">
        <f>IF(G220="","",ABS(O220-Components!$C$5)/Components!$D$5)</f>
        <v>124.80897504342312</v>
      </c>
      <c r="T220" s="81">
        <f>IF(G220="","",ABS(O220-Components!$C$6)/Components!$D$6)</f>
        <v>9.5674195444458796</v>
      </c>
      <c r="U220" s="81">
        <f>IF(G220="","",ABS(O220-Components!$C$7)/Components!$D$7)</f>
        <v>1.8160931329943888</v>
      </c>
      <c r="V220" s="81" t="str">
        <f>IF(G220="","",IF(M220="OK","NONE",INDEX({"S1","S2","W1","W2","N1","N2"},MATCH(MIN(P220:U220),P220:U220,0))))</f>
        <v>N2</v>
      </c>
      <c r="W220" s="122">
        <f t="shared" si="27"/>
        <v>0</v>
      </c>
      <c r="X220" s="107"/>
    </row>
    <row r="221" spans="1:24">
      <c r="A221" s="115">
        <v>219</v>
      </c>
      <c r="B221" s="116">
        <v>8</v>
      </c>
      <c r="C221" s="81" t="s">
        <v>130</v>
      </c>
      <c r="D221" s="111" t="s">
        <v>240</v>
      </c>
      <c r="E221" s="81" t="s">
        <v>108</v>
      </c>
      <c r="F221" s="61">
        <v>7.75</v>
      </c>
      <c r="G221" s="52">
        <f t="shared" si="21"/>
        <v>8.7200000000000006</v>
      </c>
      <c r="H221" s="110"/>
      <c r="I221" s="81">
        <v>9.91</v>
      </c>
      <c r="J221" s="81">
        <f>VLOOKUP(C221,Recipes!$A$2:$N$4,12,FALSE())</f>
        <v>5.0137397426368718E-2</v>
      </c>
      <c r="K221" s="81">
        <f t="shared" si="22"/>
        <v>9.7345191090077101</v>
      </c>
      <c r="L221" s="81">
        <f t="shared" si="23"/>
        <v>10.08548089099229</v>
      </c>
      <c r="M221" s="81" t="str">
        <f t="shared" si="25"/>
        <v>NG</v>
      </c>
      <c r="N221" s="117">
        <f t="shared" si="24"/>
        <v>1</v>
      </c>
      <c r="O221" s="81">
        <f t="shared" si="26"/>
        <v>1.1899999999999995</v>
      </c>
      <c r="P221" s="81">
        <f>IF(G221="","",ABS(O221-Components!$C$2)/Components!$D$2)</f>
        <v>236.54807382025388</v>
      </c>
      <c r="Q221" s="81">
        <f>IF(G221="","",ABS(O221-Components!$C$3)/Components!$D$3)</f>
        <v>206.28343558585243</v>
      </c>
      <c r="R221" s="81">
        <f>IF(G221="","",ABS(O221-Components!$C$4)/Components!$D$4)</f>
        <v>14.069087237140684</v>
      </c>
      <c r="S221" s="81">
        <f>IF(G221="","",ABS(O221-Components!$C$5)/Components!$D$5)</f>
        <v>133.94327635652897</v>
      </c>
      <c r="T221" s="81">
        <f>IF(G221="","",ABS(O221-Components!$C$6)/Components!$D$6)</f>
        <v>1.2426787050161785</v>
      </c>
      <c r="U221" s="81">
        <f>IF(G221="","",ABS(O221-Components!$C$7)/Components!$D$7)</f>
        <v>7.3306533032541008</v>
      </c>
      <c r="V221" s="81" t="str">
        <f>IF(G221="","",IF(M221="OK","NONE",INDEX({"S1","S2","W1","W2","N1","N2"},MATCH(MIN(P221:U221),P221:U221,0))))</f>
        <v>N1</v>
      </c>
      <c r="W221" s="117">
        <f t="shared" si="27"/>
        <v>1</v>
      </c>
      <c r="X221" s="107"/>
    </row>
    <row r="222" spans="1:24">
      <c r="A222" s="115">
        <v>220</v>
      </c>
      <c r="B222" s="116">
        <v>8</v>
      </c>
      <c r="C222" s="61" t="s">
        <v>130</v>
      </c>
      <c r="D222" s="61" t="s">
        <v>240</v>
      </c>
      <c r="E222" s="61" t="s">
        <v>108</v>
      </c>
      <c r="F222" s="61">
        <v>7.76</v>
      </c>
      <c r="G222" s="52">
        <f t="shared" si="21"/>
        <v>8.73</v>
      </c>
      <c r="H222" s="110"/>
      <c r="I222" s="81">
        <v>9.91</v>
      </c>
      <c r="J222" s="81">
        <f>VLOOKUP(C222,Recipes!$A$2:$N$4,12,FALSE())</f>
        <v>5.0137397426368718E-2</v>
      </c>
      <c r="K222" s="81">
        <f t="shared" si="22"/>
        <v>9.7345191090077101</v>
      </c>
      <c r="L222" s="81">
        <f t="shared" si="23"/>
        <v>10.08548089099229</v>
      </c>
      <c r="M222" s="81" t="str">
        <f t="shared" si="25"/>
        <v>NG</v>
      </c>
      <c r="N222" s="117">
        <f t="shared" si="24"/>
        <v>1</v>
      </c>
      <c r="O222" s="81">
        <f t="shared" si="26"/>
        <v>1.1799999999999997</v>
      </c>
      <c r="P222" s="81">
        <f>IF(G222="","",ABS(O222-Components!$C$2)/Components!$D$2)</f>
        <v>238.06117450567126</v>
      </c>
      <c r="Q222" s="81">
        <f>IF(G222="","",ABS(O222-Components!$C$3)/Components!$D$3)</f>
        <v>207.00825440379285</v>
      </c>
      <c r="R222" s="81">
        <f>IF(G222="","",ABS(O222-Components!$C$4)/Components!$D$4)</f>
        <v>13.353709919997952</v>
      </c>
      <c r="S222" s="81">
        <f>IF(G222="","",ABS(O222-Components!$C$5)/Components!$D$5)</f>
        <v>134.3404198918814</v>
      </c>
      <c r="T222" s="81">
        <f>IF(G222="","",ABS(O222-Components!$C$6)/Components!$D$6)</f>
        <v>0.8807334511279391</v>
      </c>
      <c r="U222" s="81">
        <f>IF(G222="","",ABS(O222-Components!$C$7)/Components!$D$7)</f>
        <v>7.7283379309170694</v>
      </c>
      <c r="V222" s="81" t="str">
        <f>IF(G222="","",IF(M222="OK","NONE",INDEX({"S1","S2","W1","W2","N1","N2"},MATCH(MIN(P222:U222),P222:U222,0))))</f>
        <v>N1</v>
      </c>
      <c r="W222" s="117">
        <f t="shared" si="27"/>
        <v>1</v>
      </c>
      <c r="X222" s="107"/>
    </row>
    <row r="223" spans="1:24">
      <c r="A223" s="115">
        <v>221</v>
      </c>
      <c r="B223" s="116">
        <v>8</v>
      </c>
      <c r="C223" s="81" t="s">
        <v>130</v>
      </c>
      <c r="D223" s="111" t="s">
        <v>240</v>
      </c>
      <c r="E223" s="81" t="s">
        <v>108</v>
      </c>
      <c r="F223" s="61">
        <v>7.78</v>
      </c>
      <c r="G223" s="52">
        <f t="shared" si="21"/>
        <v>8.75</v>
      </c>
      <c r="H223" s="110"/>
      <c r="I223" s="81">
        <v>9.91</v>
      </c>
      <c r="J223" s="81">
        <f>VLOOKUP(C223,Recipes!$A$2:$N$4,12,FALSE())</f>
        <v>5.0137397426368718E-2</v>
      </c>
      <c r="K223" s="81">
        <f t="shared" si="22"/>
        <v>9.7345191090077101</v>
      </c>
      <c r="L223" s="81">
        <f t="shared" si="23"/>
        <v>10.08548089099229</v>
      </c>
      <c r="M223" s="81" t="str">
        <f t="shared" si="25"/>
        <v>NG</v>
      </c>
      <c r="N223" s="117">
        <f t="shared" si="24"/>
        <v>1</v>
      </c>
      <c r="O223" s="81">
        <f t="shared" si="26"/>
        <v>1.1600000000000001</v>
      </c>
      <c r="P223" s="81">
        <f>IF(G223="","",ABS(O223-Components!$C$2)/Components!$D$2)</f>
        <v>241.087375876506</v>
      </c>
      <c r="Q223" s="81">
        <f>IF(G223="","",ABS(O223-Components!$C$3)/Components!$D$3)</f>
        <v>208.45789203967374</v>
      </c>
      <c r="R223" s="81">
        <f>IF(G223="","",ABS(O223-Components!$C$4)/Components!$D$4)</f>
        <v>11.922955285712488</v>
      </c>
      <c r="S223" s="81">
        <f>IF(G223="","",ABS(O223-Components!$C$5)/Components!$D$5)</f>
        <v>135.13470696258622</v>
      </c>
      <c r="T223" s="81">
        <f>IF(G223="","",ABS(O223-Components!$C$6)/Components!$D$6)</f>
        <v>0.15684294335146007</v>
      </c>
      <c r="U223" s="81">
        <f>IF(G223="","",ABS(O223-Components!$C$7)/Components!$D$7)</f>
        <v>8.5237071862430067</v>
      </c>
      <c r="V223" s="81" t="str">
        <f>IF(G223="","",IF(M223="OK","NONE",INDEX({"S1","S2","W1","W2","N1","N2"},MATCH(MIN(P223:U223),P223:U223,0))))</f>
        <v>N1</v>
      </c>
      <c r="W223" s="117">
        <f t="shared" si="27"/>
        <v>1</v>
      </c>
      <c r="X223" s="107"/>
    </row>
    <row r="224" spans="1:24">
      <c r="A224" s="115">
        <v>222</v>
      </c>
      <c r="B224" s="116">
        <v>8</v>
      </c>
      <c r="C224" s="81" t="s">
        <v>130</v>
      </c>
      <c r="D224" s="111" t="s">
        <v>240</v>
      </c>
      <c r="E224" s="81" t="s">
        <v>108</v>
      </c>
      <c r="F224" s="61">
        <v>7.82</v>
      </c>
      <c r="G224" s="52">
        <f t="shared" si="21"/>
        <v>8.7900000000000009</v>
      </c>
      <c r="H224" s="110"/>
      <c r="I224" s="81">
        <v>9.91</v>
      </c>
      <c r="J224" s="81">
        <f>VLOOKUP(C224,Recipes!$A$2:$N$4,12,FALSE())</f>
        <v>5.0137397426368718E-2</v>
      </c>
      <c r="K224" s="81">
        <f t="shared" si="22"/>
        <v>9.7345191090077101</v>
      </c>
      <c r="L224" s="81">
        <f t="shared" si="23"/>
        <v>10.08548089099229</v>
      </c>
      <c r="M224" s="81" t="str">
        <f t="shared" si="25"/>
        <v>NG</v>
      </c>
      <c r="N224" s="117">
        <f t="shared" si="24"/>
        <v>1</v>
      </c>
      <c r="O224" s="81">
        <f t="shared" si="26"/>
        <v>1.1199999999999992</v>
      </c>
      <c r="P224" s="81">
        <f>IF(G224="","",ABS(O224-Components!$C$2)/Components!$D$2)</f>
        <v>247.13977861817574</v>
      </c>
      <c r="Q224" s="81">
        <f>IF(G224="","",ABS(O224-Components!$C$3)/Components!$D$3)</f>
        <v>211.3571673114356</v>
      </c>
      <c r="R224" s="81">
        <f>IF(G224="","",ABS(O224-Components!$C$4)/Components!$D$4)</f>
        <v>9.0614460171414333</v>
      </c>
      <c r="S224" s="81">
        <f>IF(G224="","",ABS(O224-Components!$C$5)/Components!$D$5)</f>
        <v>136.72328110399599</v>
      </c>
      <c r="T224" s="81">
        <f>IF(G224="","",ABS(O224-Components!$C$6)/Components!$D$6)</f>
        <v>1.2909380722015622</v>
      </c>
      <c r="U224" s="81">
        <f>IF(G224="","",ABS(O224-Components!$C$7)/Components!$D$7)</f>
        <v>10.114445696894952</v>
      </c>
      <c r="V224" s="81" t="str">
        <f>IF(G224="","",IF(M224="OK","NONE",INDEX({"S1","S2","W1","W2","N1","N2"},MATCH(MIN(P224:U224),P224:U224,0))))</f>
        <v>N1</v>
      </c>
      <c r="W224" s="117">
        <f t="shared" si="27"/>
        <v>1</v>
      </c>
      <c r="X224" s="107"/>
    </row>
    <row r="225" spans="1:24">
      <c r="A225" s="115">
        <v>223</v>
      </c>
      <c r="B225" s="116">
        <v>8</v>
      </c>
      <c r="C225" s="81" t="s">
        <v>130</v>
      </c>
      <c r="D225" s="111" t="s">
        <v>240</v>
      </c>
      <c r="E225" s="81" t="s">
        <v>108</v>
      </c>
      <c r="F225" s="61">
        <v>7.8</v>
      </c>
      <c r="G225" s="52">
        <f t="shared" si="21"/>
        <v>8.77</v>
      </c>
      <c r="H225" s="110"/>
      <c r="I225" s="81">
        <v>9.91</v>
      </c>
      <c r="J225" s="81">
        <f>VLOOKUP(C225,Recipes!$A$2:$N$4,12,FALSE())</f>
        <v>5.0137397426368718E-2</v>
      </c>
      <c r="K225" s="81">
        <f t="shared" si="22"/>
        <v>9.7345191090077101</v>
      </c>
      <c r="L225" s="81">
        <f t="shared" si="23"/>
        <v>10.08548089099229</v>
      </c>
      <c r="M225" s="81" t="str">
        <f t="shared" si="25"/>
        <v>NG</v>
      </c>
      <c r="N225" s="117">
        <f t="shared" si="24"/>
        <v>1</v>
      </c>
      <c r="O225" s="81">
        <f t="shared" si="26"/>
        <v>1.1400000000000006</v>
      </c>
      <c r="P225" s="81">
        <f>IF(G225="","",ABS(O225-Components!$C$2)/Components!$D$2)</f>
        <v>244.11357724734074</v>
      </c>
      <c r="Q225" s="81">
        <f>IF(G225="","",ABS(O225-Components!$C$3)/Components!$D$3)</f>
        <v>209.9075296755546</v>
      </c>
      <c r="R225" s="81">
        <f>IF(G225="","",ABS(O225-Components!$C$4)/Components!$D$4)</f>
        <v>10.492200651427025</v>
      </c>
      <c r="S225" s="81">
        <f>IF(G225="","",ABS(O225-Components!$C$5)/Components!$D$5)</f>
        <v>135.92899403329108</v>
      </c>
      <c r="T225" s="81">
        <f>IF(G225="","",ABS(O225-Components!$C$6)/Components!$D$6)</f>
        <v>0.56704756442501891</v>
      </c>
      <c r="U225" s="81">
        <f>IF(G225="","",ABS(O225-Components!$C$7)/Components!$D$7)</f>
        <v>9.319076441568944</v>
      </c>
      <c r="V225" s="81" t="str">
        <f>IF(G225="","",IF(M225="OK","NONE",INDEX({"S1","S2","W1","W2","N1","N2"},MATCH(MIN(P225:U225),P225:U225,0))))</f>
        <v>N1</v>
      </c>
      <c r="W225" s="117">
        <f t="shared" si="27"/>
        <v>1</v>
      </c>
      <c r="X225" s="107"/>
    </row>
    <row r="226" spans="1:24">
      <c r="A226" s="115">
        <v>224</v>
      </c>
      <c r="B226" s="116">
        <v>8</v>
      </c>
      <c r="C226" s="81" t="s">
        <v>130</v>
      </c>
      <c r="D226" s="111" t="s">
        <v>240</v>
      </c>
      <c r="E226" s="81" t="s">
        <v>108</v>
      </c>
      <c r="F226" s="61">
        <v>7.75</v>
      </c>
      <c r="G226" s="52">
        <f t="shared" si="21"/>
        <v>8.7200000000000006</v>
      </c>
      <c r="H226" s="110"/>
      <c r="I226" s="81">
        <v>9.91</v>
      </c>
      <c r="J226" s="81">
        <f>VLOOKUP(C226,Recipes!$A$2:$N$4,12,FALSE())</f>
        <v>5.0137397426368718E-2</v>
      </c>
      <c r="K226" s="81">
        <f t="shared" si="22"/>
        <v>9.7345191090077101</v>
      </c>
      <c r="L226" s="81">
        <f t="shared" si="23"/>
        <v>10.08548089099229</v>
      </c>
      <c r="M226" s="81" t="str">
        <f t="shared" si="25"/>
        <v>NG</v>
      </c>
      <c r="N226" s="117">
        <f t="shared" si="24"/>
        <v>1</v>
      </c>
      <c r="O226" s="81">
        <f t="shared" si="26"/>
        <v>1.1899999999999995</v>
      </c>
      <c r="P226" s="81">
        <f>IF(G226="","",ABS(O226-Components!$C$2)/Components!$D$2)</f>
        <v>236.54807382025388</v>
      </c>
      <c r="Q226" s="81">
        <f>IF(G226="","",ABS(O226-Components!$C$3)/Components!$D$3)</f>
        <v>206.28343558585243</v>
      </c>
      <c r="R226" s="81">
        <f>IF(G226="","",ABS(O226-Components!$C$4)/Components!$D$4)</f>
        <v>14.069087237140684</v>
      </c>
      <c r="S226" s="81">
        <f>IF(G226="","",ABS(O226-Components!$C$5)/Components!$D$5)</f>
        <v>133.94327635652897</v>
      </c>
      <c r="T226" s="81">
        <f>IF(G226="","",ABS(O226-Components!$C$6)/Components!$D$6)</f>
        <v>1.2426787050161785</v>
      </c>
      <c r="U226" s="81">
        <f>IF(G226="","",ABS(O226-Components!$C$7)/Components!$D$7)</f>
        <v>7.3306533032541008</v>
      </c>
      <c r="V226" s="81" t="str">
        <f>IF(G226="","",IF(M226="OK","NONE",INDEX({"S1","S2","W1","W2","N1","N2"},MATCH(MIN(P226:U226),P226:U226,0))))</f>
        <v>N1</v>
      </c>
      <c r="W226" s="117">
        <f t="shared" si="27"/>
        <v>1</v>
      </c>
      <c r="X226" s="107"/>
    </row>
    <row r="227" spans="1:24">
      <c r="A227" s="115">
        <v>225</v>
      </c>
      <c r="B227" s="116">
        <v>8</v>
      </c>
      <c r="C227" s="61" t="s">
        <v>130</v>
      </c>
      <c r="D227" s="61" t="s">
        <v>240</v>
      </c>
      <c r="E227" s="61" t="s">
        <v>108</v>
      </c>
      <c r="F227" s="61">
        <v>7.72</v>
      </c>
      <c r="G227" s="52">
        <f t="shared" si="21"/>
        <v>8.69</v>
      </c>
      <c r="H227" s="110"/>
      <c r="I227" s="81">
        <v>9.91</v>
      </c>
      <c r="J227" s="81">
        <f>VLOOKUP(C227,Recipes!$A$2:$N$4,12,FALSE())</f>
        <v>5.0137397426368718E-2</v>
      </c>
      <c r="K227" s="81">
        <f t="shared" si="22"/>
        <v>9.7345191090077101</v>
      </c>
      <c r="L227" s="81">
        <f t="shared" si="23"/>
        <v>10.08548089099229</v>
      </c>
      <c r="M227" s="81" t="str">
        <f t="shared" si="25"/>
        <v>NG</v>
      </c>
      <c r="N227" s="117">
        <f t="shared" si="24"/>
        <v>1</v>
      </c>
      <c r="O227" s="81">
        <f t="shared" si="26"/>
        <v>1.2200000000000006</v>
      </c>
      <c r="P227" s="81">
        <f>IF(G227="","",ABS(O227-Components!$C$2)/Components!$D$2)</f>
        <v>232.00877176400149</v>
      </c>
      <c r="Q227" s="81">
        <f>IF(G227="","",ABS(O227-Components!$C$3)/Components!$D$3)</f>
        <v>204.10897913203098</v>
      </c>
      <c r="R227" s="81">
        <f>IF(G227="","",ABS(O227-Components!$C$4)/Components!$D$4)</f>
        <v>16.215219188569005</v>
      </c>
      <c r="S227" s="81">
        <f>IF(G227="","",ABS(O227-Components!$C$5)/Components!$D$5)</f>
        <v>132.75184575047166</v>
      </c>
      <c r="T227" s="81">
        <f>IF(G227="","",ABS(O227-Components!$C$6)/Components!$D$6)</f>
        <v>2.3285144666809612</v>
      </c>
      <c r="U227" s="81">
        <f>IF(G227="","",ABS(O227-Components!$C$7)/Components!$D$7)</f>
        <v>6.1375994202651247</v>
      </c>
      <c r="V227" s="81" t="str">
        <f>IF(G227="","",IF(M227="OK","NONE",INDEX({"S1","S2","W1","W2","N1","N2"},MATCH(MIN(P227:U227),P227:U227,0))))</f>
        <v>N1</v>
      </c>
      <c r="W227" s="117">
        <f t="shared" si="27"/>
        <v>1</v>
      </c>
      <c r="X227" s="107"/>
    </row>
    <row r="228" spans="1:24">
      <c r="A228" s="115">
        <v>226</v>
      </c>
      <c r="B228" s="116">
        <v>8</v>
      </c>
      <c r="C228" s="81" t="s">
        <v>130</v>
      </c>
      <c r="D228" s="111" t="s">
        <v>240</v>
      </c>
      <c r="E228" s="81" t="s">
        <v>108</v>
      </c>
      <c r="F228" s="61">
        <v>7.78</v>
      </c>
      <c r="G228" s="52">
        <f t="shared" si="21"/>
        <v>8.75</v>
      </c>
      <c r="H228" s="110"/>
      <c r="I228" s="81">
        <v>9.91</v>
      </c>
      <c r="J228" s="81">
        <f>VLOOKUP(C228,Recipes!$A$2:$N$4,12,FALSE())</f>
        <v>5.0137397426368718E-2</v>
      </c>
      <c r="K228" s="81">
        <f t="shared" si="22"/>
        <v>9.7345191090077101</v>
      </c>
      <c r="L228" s="81">
        <f t="shared" si="23"/>
        <v>10.08548089099229</v>
      </c>
      <c r="M228" s="81" t="str">
        <f t="shared" si="25"/>
        <v>NG</v>
      </c>
      <c r="N228" s="117">
        <f t="shared" si="24"/>
        <v>1</v>
      </c>
      <c r="O228" s="81">
        <f t="shared" si="26"/>
        <v>1.1600000000000001</v>
      </c>
      <c r="P228" s="81">
        <f>IF(G228="","",ABS(O228-Components!$C$2)/Components!$D$2)</f>
        <v>241.087375876506</v>
      </c>
      <c r="Q228" s="81">
        <f>IF(G228="","",ABS(O228-Components!$C$3)/Components!$D$3)</f>
        <v>208.45789203967374</v>
      </c>
      <c r="R228" s="81">
        <f>IF(G228="","",ABS(O228-Components!$C$4)/Components!$D$4)</f>
        <v>11.922955285712488</v>
      </c>
      <c r="S228" s="81">
        <f>IF(G228="","",ABS(O228-Components!$C$5)/Components!$D$5)</f>
        <v>135.13470696258622</v>
      </c>
      <c r="T228" s="81">
        <f>IF(G228="","",ABS(O228-Components!$C$6)/Components!$D$6)</f>
        <v>0.15684294335146007</v>
      </c>
      <c r="U228" s="81">
        <f>IF(G228="","",ABS(O228-Components!$C$7)/Components!$D$7)</f>
        <v>8.5237071862430067</v>
      </c>
      <c r="V228" s="81" t="str">
        <f>IF(G228="","",IF(M228="OK","NONE",INDEX({"S1","S2","W1","W2","N1","N2"},MATCH(MIN(P228:U228),P228:U228,0))))</f>
        <v>N1</v>
      </c>
      <c r="W228" s="117">
        <f t="shared" si="27"/>
        <v>1</v>
      </c>
      <c r="X228" s="107"/>
    </row>
    <row r="229" spans="1:24">
      <c r="A229" s="115">
        <v>227</v>
      </c>
      <c r="B229" s="116">
        <v>8</v>
      </c>
      <c r="C229" s="81" t="s">
        <v>130</v>
      </c>
      <c r="D229" s="111" t="s">
        <v>240</v>
      </c>
      <c r="E229" s="81" t="s">
        <v>108</v>
      </c>
      <c r="F229" s="61">
        <v>7.75</v>
      </c>
      <c r="G229" s="52">
        <f t="shared" si="21"/>
        <v>8.7200000000000006</v>
      </c>
      <c r="H229" s="110"/>
      <c r="I229" s="81">
        <v>9.91</v>
      </c>
      <c r="J229" s="81">
        <f>VLOOKUP(C229,Recipes!$A$2:$N$4,12,FALSE())</f>
        <v>5.0137397426368718E-2</v>
      </c>
      <c r="K229" s="81">
        <f t="shared" si="22"/>
        <v>9.7345191090077101</v>
      </c>
      <c r="L229" s="81">
        <f t="shared" si="23"/>
        <v>10.08548089099229</v>
      </c>
      <c r="M229" s="81" t="str">
        <f t="shared" si="25"/>
        <v>NG</v>
      </c>
      <c r="N229" s="117">
        <f t="shared" si="24"/>
        <v>1</v>
      </c>
      <c r="O229" s="81">
        <f t="shared" si="26"/>
        <v>1.1899999999999995</v>
      </c>
      <c r="P229" s="81">
        <f>IF(G229="","",ABS(O229-Components!$C$2)/Components!$D$2)</f>
        <v>236.54807382025388</v>
      </c>
      <c r="Q229" s="81">
        <f>IF(G229="","",ABS(O229-Components!$C$3)/Components!$D$3)</f>
        <v>206.28343558585243</v>
      </c>
      <c r="R229" s="81">
        <f>IF(G229="","",ABS(O229-Components!$C$4)/Components!$D$4)</f>
        <v>14.069087237140684</v>
      </c>
      <c r="S229" s="81">
        <f>IF(G229="","",ABS(O229-Components!$C$5)/Components!$D$5)</f>
        <v>133.94327635652897</v>
      </c>
      <c r="T229" s="81">
        <f>IF(G229="","",ABS(O229-Components!$C$6)/Components!$D$6)</f>
        <v>1.2426787050161785</v>
      </c>
      <c r="U229" s="81">
        <f>IF(G229="","",ABS(O229-Components!$C$7)/Components!$D$7)</f>
        <v>7.3306533032541008</v>
      </c>
      <c r="V229" s="81" t="str">
        <f>IF(G229="","",IF(M229="OK","NONE",INDEX({"S1","S2","W1","W2","N1","N2"},MATCH(MIN(P229:U229),P229:U229,0))))</f>
        <v>N1</v>
      </c>
      <c r="W229" s="117">
        <f t="shared" si="27"/>
        <v>1</v>
      </c>
      <c r="X229" s="107"/>
    </row>
    <row r="230" spans="1:24">
      <c r="A230" s="115">
        <v>228</v>
      </c>
      <c r="B230" s="116">
        <v>8</v>
      </c>
      <c r="C230" s="81" t="s">
        <v>130</v>
      </c>
      <c r="D230" s="111" t="s">
        <v>240</v>
      </c>
      <c r="E230" s="81" t="s">
        <v>108</v>
      </c>
      <c r="F230" s="61">
        <v>7.77</v>
      </c>
      <c r="G230" s="52">
        <f t="shared" si="21"/>
        <v>8.74</v>
      </c>
      <c r="H230" s="110"/>
      <c r="I230" s="81">
        <v>9.91</v>
      </c>
      <c r="J230" s="81">
        <f>VLOOKUP(C230,Recipes!$A$2:$N$4,12,FALSE())</f>
        <v>5.0137397426368718E-2</v>
      </c>
      <c r="K230" s="81">
        <f t="shared" si="22"/>
        <v>9.7345191090077101</v>
      </c>
      <c r="L230" s="81">
        <f t="shared" si="23"/>
        <v>10.08548089099229</v>
      </c>
      <c r="M230" s="81" t="str">
        <f t="shared" si="25"/>
        <v>NG</v>
      </c>
      <c r="N230" s="117">
        <f t="shared" si="24"/>
        <v>1</v>
      </c>
      <c r="O230" s="81">
        <f t="shared" si="26"/>
        <v>1.17</v>
      </c>
      <c r="P230" s="81">
        <f>IF(G230="","",ABS(O230-Components!$C$2)/Components!$D$2)</f>
        <v>239.57427519108862</v>
      </c>
      <c r="Q230" s="81">
        <f>IF(G230="","",ABS(O230-Components!$C$3)/Components!$D$3)</f>
        <v>207.73307322173329</v>
      </c>
      <c r="R230" s="81">
        <f>IF(G230="","",ABS(O230-Components!$C$4)/Components!$D$4)</f>
        <v>12.63833260285522</v>
      </c>
      <c r="S230" s="81">
        <f>IF(G230="","",ABS(O230-Components!$C$5)/Components!$D$5)</f>
        <v>134.73756342723382</v>
      </c>
      <c r="T230" s="81">
        <f>IF(G230="","",ABS(O230-Components!$C$6)/Components!$D$6)</f>
        <v>0.5187881972396996</v>
      </c>
      <c r="U230" s="81">
        <f>IF(G230="","",ABS(O230-Components!$C$7)/Components!$D$7)</f>
        <v>8.1260225585800381</v>
      </c>
      <c r="V230" s="81" t="str">
        <f>IF(G230="","",IF(M230="OK","NONE",INDEX({"S1","S2","W1","W2","N1","N2"},MATCH(MIN(P230:U230),P230:U230,0))))</f>
        <v>N1</v>
      </c>
      <c r="W230" s="117">
        <f t="shared" si="27"/>
        <v>1</v>
      </c>
      <c r="X230" s="107"/>
    </row>
    <row r="231" spans="1:24">
      <c r="A231" s="115">
        <v>229</v>
      </c>
      <c r="B231" s="116">
        <v>8</v>
      </c>
      <c r="C231" s="81" t="s">
        <v>130</v>
      </c>
      <c r="D231" s="111" t="s">
        <v>240</v>
      </c>
      <c r="E231" s="81" t="s">
        <v>108</v>
      </c>
      <c r="F231" s="61">
        <v>7.69</v>
      </c>
      <c r="G231" s="52">
        <f t="shared" si="21"/>
        <v>8.66</v>
      </c>
      <c r="H231" s="110"/>
      <c r="I231" s="81">
        <v>9.91</v>
      </c>
      <c r="J231" s="81">
        <f>VLOOKUP(C231,Recipes!$A$2:$N$4,12,FALSE())</f>
        <v>5.0137397426368718E-2</v>
      </c>
      <c r="K231" s="81">
        <f t="shared" si="22"/>
        <v>9.7345191090077101</v>
      </c>
      <c r="L231" s="81">
        <f t="shared" si="23"/>
        <v>10.08548089099229</v>
      </c>
      <c r="M231" s="81" t="str">
        <f t="shared" si="25"/>
        <v>NG</v>
      </c>
      <c r="N231" s="117">
        <f t="shared" si="24"/>
        <v>1</v>
      </c>
      <c r="O231" s="81">
        <f t="shared" si="26"/>
        <v>1.25</v>
      </c>
      <c r="P231" s="81">
        <f>IF(G231="","",ABS(O231-Components!$C$2)/Components!$D$2)</f>
        <v>227.46946970774937</v>
      </c>
      <c r="Q231" s="81">
        <f>IF(G231="","",ABS(O231-Components!$C$3)/Components!$D$3)</f>
        <v>201.93452267820967</v>
      </c>
      <c r="R231" s="81">
        <f>IF(G231="","",ABS(O231-Components!$C$4)/Components!$D$4)</f>
        <v>18.3613511399972</v>
      </c>
      <c r="S231" s="81">
        <f>IF(G231="","",ABS(O231-Components!$C$5)/Components!$D$5)</f>
        <v>131.56041514441438</v>
      </c>
      <c r="T231" s="81">
        <f>IF(G231="","",ABS(O231-Components!$C$6)/Components!$D$6)</f>
        <v>3.4143502283456799</v>
      </c>
      <c r="U231" s="81">
        <f>IF(G231="","",ABS(O231-Components!$C$7)/Components!$D$7)</f>
        <v>4.9445455372762188</v>
      </c>
      <c r="V231" s="81" t="str">
        <f>IF(G231="","",IF(M231="OK","NONE",INDEX({"S1","S2","W1","W2","N1","N2"},MATCH(MIN(P231:U231),P231:U231,0))))</f>
        <v>N1</v>
      </c>
      <c r="W231" s="117">
        <f t="shared" si="27"/>
        <v>1</v>
      </c>
      <c r="X231" s="107"/>
    </row>
    <row r="232" spans="1:24">
      <c r="A232" s="115">
        <v>230</v>
      </c>
      <c r="B232" s="116">
        <v>8</v>
      </c>
      <c r="C232" s="61" t="s">
        <v>130</v>
      </c>
      <c r="D232" s="61" t="s">
        <v>240</v>
      </c>
      <c r="E232" s="61" t="s">
        <v>108</v>
      </c>
      <c r="F232" s="61">
        <v>7.77</v>
      </c>
      <c r="G232" s="52">
        <f t="shared" si="21"/>
        <v>8.74</v>
      </c>
      <c r="H232" s="110"/>
      <c r="I232" s="81">
        <v>9.91</v>
      </c>
      <c r="J232" s="81">
        <f>VLOOKUP(C232,Recipes!$A$2:$N$4,12,FALSE())</f>
        <v>5.0137397426368718E-2</v>
      </c>
      <c r="K232" s="81">
        <f t="shared" si="22"/>
        <v>9.7345191090077101</v>
      </c>
      <c r="L232" s="81">
        <f t="shared" si="23"/>
        <v>10.08548089099229</v>
      </c>
      <c r="M232" s="81" t="str">
        <f t="shared" si="25"/>
        <v>NG</v>
      </c>
      <c r="N232" s="117">
        <f t="shared" si="24"/>
        <v>1</v>
      </c>
      <c r="O232" s="81">
        <f t="shared" si="26"/>
        <v>1.17</v>
      </c>
      <c r="P232" s="81">
        <f>IF(G232="","",ABS(O232-Components!$C$2)/Components!$D$2)</f>
        <v>239.57427519108862</v>
      </c>
      <c r="Q232" s="81">
        <f>IF(G232="","",ABS(O232-Components!$C$3)/Components!$D$3)</f>
        <v>207.73307322173329</v>
      </c>
      <c r="R232" s="81">
        <f>IF(G232="","",ABS(O232-Components!$C$4)/Components!$D$4)</f>
        <v>12.63833260285522</v>
      </c>
      <c r="S232" s="81">
        <f>IF(G232="","",ABS(O232-Components!$C$5)/Components!$D$5)</f>
        <v>134.73756342723382</v>
      </c>
      <c r="T232" s="81">
        <f>IF(G232="","",ABS(O232-Components!$C$6)/Components!$D$6)</f>
        <v>0.5187881972396996</v>
      </c>
      <c r="U232" s="81">
        <f>IF(G232="","",ABS(O232-Components!$C$7)/Components!$D$7)</f>
        <v>8.1260225585800381</v>
      </c>
      <c r="V232" s="81" t="str">
        <f>IF(G232="","",IF(M232="OK","NONE",INDEX({"S1","S2","W1","W2","N1","N2"},MATCH(MIN(P232:U232),P232:U232,0))))</f>
        <v>N1</v>
      </c>
      <c r="W232" s="117">
        <f t="shared" si="27"/>
        <v>1</v>
      </c>
      <c r="X232" s="107"/>
    </row>
    <row r="233" spans="1:24">
      <c r="A233" s="115">
        <v>231</v>
      </c>
      <c r="B233" s="116">
        <v>8</v>
      </c>
      <c r="C233" s="81" t="s">
        <v>130</v>
      </c>
      <c r="D233" s="111" t="s">
        <v>240</v>
      </c>
      <c r="E233" s="81" t="s">
        <v>108</v>
      </c>
      <c r="F233" s="61">
        <v>7.77</v>
      </c>
      <c r="G233" s="52">
        <f t="shared" si="21"/>
        <v>8.74</v>
      </c>
      <c r="H233" s="110"/>
      <c r="I233" s="81">
        <v>9.91</v>
      </c>
      <c r="J233" s="81">
        <f>VLOOKUP(C233,Recipes!$A$2:$N$4,12,FALSE())</f>
        <v>5.0137397426368718E-2</v>
      </c>
      <c r="K233" s="81">
        <f t="shared" si="22"/>
        <v>9.7345191090077101</v>
      </c>
      <c r="L233" s="81">
        <f t="shared" si="23"/>
        <v>10.08548089099229</v>
      </c>
      <c r="M233" s="81" t="str">
        <f t="shared" si="25"/>
        <v>NG</v>
      </c>
      <c r="N233" s="117">
        <f t="shared" si="24"/>
        <v>1</v>
      </c>
      <c r="O233" s="81">
        <f t="shared" si="26"/>
        <v>1.17</v>
      </c>
      <c r="P233" s="81">
        <f>IF(G233="","",ABS(O233-Components!$C$2)/Components!$D$2)</f>
        <v>239.57427519108862</v>
      </c>
      <c r="Q233" s="81">
        <f>IF(G233="","",ABS(O233-Components!$C$3)/Components!$D$3)</f>
        <v>207.73307322173329</v>
      </c>
      <c r="R233" s="81">
        <f>IF(G233="","",ABS(O233-Components!$C$4)/Components!$D$4)</f>
        <v>12.63833260285522</v>
      </c>
      <c r="S233" s="81">
        <f>IF(G233="","",ABS(O233-Components!$C$5)/Components!$D$5)</f>
        <v>134.73756342723382</v>
      </c>
      <c r="T233" s="81">
        <f>IF(G233="","",ABS(O233-Components!$C$6)/Components!$D$6)</f>
        <v>0.5187881972396996</v>
      </c>
      <c r="U233" s="81">
        <f>IF(G233="","",ABS(O233-Components!$C$7)/Components!$D$7)</f>
        <v>8.1260225585800381</v>
      </c>
      <c r="V233" s="81" t="str">
        <f>IF(G233="","",IF(M233="OK","NONE",INDEX({"S1","S2","W1","W2","N1","N2"},MATCH(MIN(P233:U233),P233:U233,0))))</f>
        <v>N1</v>
      </c>
      <c r="W233" s="117">
        <f t="shared" si="27"/>
        <v>1</v>
      </c>
      <c r="X233" s="107"/>
    </row>
    <row r="234" spans="1:24">
      <c r="A234" s="115">
        <v>232</v>
      </c>
      <c r="B234" s="116">
        <v>8</v>
      </c>
      <c r="C234" s="81" t="s">
        <v>130</v>
      </c>
      <c r="D234" s="111" t="s">
        <v>240</v>
      </c>
      <c r="E234" s="81" t="s">
        <v>108</v>
      </c>
      <c r="F234" s="61">
        <v>7.78</v>
      </c>
      <c r="G234" s="52">
        <f t="shared" si="21"/>
        <v>8.75</v>
      </c>
      <c r="H234" s="110"/>
      <c r="I234" s="81">
        <v>9.91</v>
      </c>
      <c r="J234" s="81">
        <f>VLOOKUP(C234,Recipes!$A$2:$N$4,12,FALSE())</f>
        <v>5.0137397426368718E-2</v>
      </c>
      <c r="K234" s="81">
        <f t="shared" si="22"/>
        <v>9.7345191090077101</v>
      </c>
      <c r="L234" s="81">
        <f t="shared" si="23"/>
        <v>10.08548089099229</v>
      </c>
      <c r="M234" s="81" t="str">
        <f t="shared" si="25"/>
        <v>NG</v>
      </c>
      <c r="N234" s="117">
        <f t="shared" si="24"/>
        <v>1</v>
      </c>
      <c r="O234" s="81">
        <f t="shared" si="26"/>
        <v>1.1600000000000001</v>
      </c>
      <c r="P234" s="81">
        <f>IF(G234="","",ABS(O234-Components!$C$2)/Components!$D$2)</f>
        <v>241.087375876506</v>
      </c>
      <c r="Q234" s="81">
        <f>IF(G234="","",ABS(O234-Components!$C$3)/Components!$D$3)</f>
        <v>208.45789203967374</v>
      </c>
      <c r="R234" s="81">
        <f>IF(G234="","",ABS(O234-Components!$C$4)/Components!$D$4)</f>
        <v>11.922955285712488</v>
      </c>
      <c r="S234" s="81">
        <f>IF(G234="","",ABS(O234-Components!$C$5)/Components!$D$5)</f>
        <v>135.13470696258622</v>
      </c>
      <c r="T234" s="81">
        <f>IF(G234="","",ABS(O234-Components!$C$6)/Components!$D$6)</f>
        <v>0.15684294335146007</v>
      </c>
      <c r="U234" s="81">
        <f>IF(G234="","",ABS(O234-Components!$C$7)/Components!$D$7)</f>
        <v>8.5237071862430067</v>
      </c>
      <c r="V234" s="81" t="str">
        <f>IF(G234="","",IF(M234="OK","NONE",INDEX({"S1","S2","W1","W2","N1","N2"},MATCH(MIN(P234:U234),P234:U234,0))))</f>
        <v>N1</v>
      </c>
      <c r="W234" s="117">
        <f t="shared" si="27"/>
        <v>1</v>
      </c>
      <c r="X234" s="107"/>
    </row>
    <row r="235" spans="1:24">
      <c r="A235" s="115">
        <v>233</v>
      </c>
      <c r="B235" s="116">
        <v>8</v>
      </c>
      <c r="C235" s="81" t="s">
        <v>130</v>
      </c>
      <c r="D235" s="111" t="s">
        <v>240</v>
      </c>
      <c r="E235" s="81" t="s">
        <v>108</v>
      </c>
      <c r="F235" s="61">
        <v>7.76</v>
      </c>
      <c r="G235" s="52">
        <f t="shared" si="21"/>
        <v>8.73</v>
      </c>
      <c r="H235" s="110"/>
      <c r="I235" s="81">
        <v>9.91</v>
      </c>
      <c r="J235" s="81">
        <f>VLOOKUP(C235,Recipes!$A$2:$N$4,12,FALSE())</f>
        <v>5.0137397426368718E-2</v>
      </c>
      <c r="K235" s="81">
        <f t="shared" si="22"/>
        <v>9.7345191090077101</v>
      </c>
      <c r="L235" s="81">
        <f t="shared" si="23"/>
        <v>10.08548089099229</v>
      </c>
      <c r="M235" s="81" t="str">
        <f t="shared" si="25"/>
        <v>NG</v>
      </c>
      <c r="N235" s="117">
        <f t="shared" si="24"/>
        <v>1</v>
      </c>
      <c r="O235" s="81">
        <f t="shared" si="26"/>
        <v>1.1799999999999997</v>
      </c>
      <c r="P235" s="81">
        <f>IF(G235="","",ABS(O235-Components!$C$2)/Components!$D$2)</f>
        <v>238.06117450567126</v>
      </c>
      <c r="Q235" s="81">
        <f>IF(G235="","",ABS(O235-Components!$C$3)/Components!$D$3)</f>
        <v>207.00825440379285</v>
      </c>
      <c r="R235" s="81">
        <f>IF(G235="","",ABS(O235-Components!$C$4)/Components!$D$4)</f>
        <v>13.353709919997952</v>
      </c>
      <c r="S235" s="81">
        <f>IF(G235="","",ABS(O235-Components!$C$5)/Components!$D$5)</f>
        <v>134.3404198918814</v>
      </c>
      <c r="T235" s="81">
        <f>IF(G235="","",ABS(O235-Components!$C$6)/Components!$D$6)</f>
        <v>0.8807334511279391</v>
      </c>
      <c r="U235" s="81">
        <f>IF(G235="","",ABS(O235-Components!$C$7)/Components!$D$7)</f>
        <v>7.7283379309170694</v>
      </c>
      <c r="V235" s="81" t="str">
        <f>IF(G235="","",IF(M235="OK","NONE",INDEX({"S1","S2","W1","W2","N1","N2"},MATCH(MIN(P235:U235),P235:U235,0))))</f>
        <v>N1</v>
      </c>
      <c r="W235" s="117">
        <f t="shared" si="27"/>
        <v>1</v>
      </c>
      <c r="X235" s="107"/>
    </row>
    <row r="236" spans="1:24">
      <c r="A236" s="115">
        <v>234</v>
      </c>
      <c r="B236" s="116">
        <v>8</v>
      </c>
      <c r="C236" s="81" t="s">
        <v>130</v>
      </c>
      <c r="D236" s="111" t="s">
        <v>240</v>
      </c>
      <c r="E236" s="81" t="s">
        <v>108</v>
      </c>
      <c r="F236" s="61">
        <v>7.77</v>
      </c>
      <c r="G236" s="52">
        <f t="shared" si="21"/>
        <v>8.74</v>
      </c>
      <c r="H236" s="110"/>
      <c r="I236" s="81">
        <v>9.91</v>
      </c>
      <c r="J236" s="81">
        <f>VLOOKUP(C236,Recipes!$A$2:$N$4,12,FALSE())</f>
        <v>5.0137397426368718E-2</v>
      </c>
      <c r="K236" s="81">
        <f t="shared" si="22"/>
        <v>9.7345191090077101</v>
      </c>
      <c r="L236" s="81">
        <f t="shared" si="23"/>
        <v>10.08548089099229</v>
      </c>
      <c r="M236" s="81" t="str">
        <f t="shared" si="25"/>
        <v>NG</v>
      </c>
      <c r="N236" s="117">
        <f t="shared" si="24"/>
        <v>1</v>
      </c>
      <c r="O236" s="81">
        <f t="shared" si="26"/>
        <v>1.17</v>
      </c>
      <c r="P236" s="81">
        <f>IF(G236="","",ABS(O236-Components!$C$2)/Components!$D$2)</f>
        <v>239.57427519108862</v>
      </c>
      <c r="Q236" s="81">
        <f>IF(G236="","",ABS(O236-Components!$C$3)/Components!$D$3)</f>
        <v>207.73307322173329</v>
      </c>
      <c r="R236" s="81">
        <f>IF(G236="","",ABS(O236-Components!$C$4)/Components!$D$4)</f>
        <v>12.63833260285522</v>
      </c>
      <c r="S236" s="81">
        <f>IF(G236="","",ABS(O236-Components!$C$5)/Components!$D$5)</f>
        <v>134.73756342723382</v>
      </c>
      <c r="T236" s="81">
        <f>IF(G236="","",ABS(O236-Components!$C$6)/Components!$D$6)</f>
        <v>0.5187881972396996</v>
      </c>
      <c r="U236" s="81">
        <f>IF(G236="","",ABS(O236-Components!$C$7)/Components!$D$7)</f>
        <v>8.1260225585800381</v>
      </c>
      <c r="V236" s="81" t="str">
        <f>IF(G236="","",IF(M236="OK","NONE",INDEX({"S1","S2","W1","W2","N1","N2"},MATCH(MIN(P236:U236),P236:U236,0))))</f>
        <v>N1</v>
      </c>
      <c r="W236" s="117">
        <f t="shared" si="27"/>
        <v>1</v>
      </c>
      <c r="X236" s="107"/>
    </row>
    <row r="237" spans="1:24">
      <c r="A237" s="115">
        <v>235</v>
      </c>
      <c r="B237" s="116">
        <v>8</v>
      </c>
      <c r="C237" s="61" t="s">
        <v>130</v>
      </c>
      <c r="D237" s="61" t="s">
        <v>240</v>
      </c>
      <c r="E237" s="61" t="s">
        <v>108</v>
      </c>
      <c r="F237" s="61">
        <v>7.71</v>
      </c>
      <c r="G237" s="52">
        <f t="shared" si="21"/>
        <v>8.68</v>
      </c>
      <c r="H237" s="110"/>
      <c r="I237" s="81">
        <v>9.91</v>
      </c>
      <c r="J237" s="81">
        <f>VLOOKUP(C237,Recipes!$A$2:$N$4,12,FALSE())</f>
        <v>5.0137397426368718E-2</v>
      </c>
      <c r="K237" s="81">
        <f t="shared" si="22"/>
        <v>9.7345191090077101</v>
      </c>
      <c r="L237" s="81">
        <f t="shared" si="23"/>
        <v>10.08548089099229</v>
      </c>
      <c r="M237" s="81" t="str">
        <f t="shared" si="25"/>
        <v>NG</v>
      </c>
      <c r="N237" s="117">
        <f t="shared" si="24"/>
        <v>1</v>
      </c>
      <c r="O237" s="81">
        <f t="shared" si="26"/>
        <v>1.2300000000000004</v>
      </c>
      <c r="P237" s="81">
        <f>IF(G237="","",ABS(O237-Components!$C$2)/Components!$D$2)</f>
        <v>230.49567107858411</v>
      </c>
      <c r="Q237" s="81">
        <f>IF(G237="","",ABS(O237-Components!$C$3)/Components!$D$3)</f>
        <v>203.38416031409054</v>
      </c>
      <c r="R237" s="81">
        <f>IF(G237="","",ABS(O237-Components!$C$4)/Components!$D$4)</f>
        <v>16.930596505711737</v>
      </c>
      <c r="S237" s="81">
        <f>IF(G237="","",ABS(O237-Components!$C$5)/Components!$D$5)</f>
        <v>132.35470221511923</v>
      </c>
      <c r="T237" s="81">
        <f>IF(G237="","",ABS(O237-Components!$C$6)/Components!$D$6)</f>
        <v>2.6904597205692009</v>
      </c>
      <c r="U237" s="81">
        <f>IF(G237="","",ABS(O237-Components!$C$7)/Components!$D$7)</f>
        <v>5.7399147926021561</v>
      </c>
      <c r="V237" s="81" t="str">
        <f>IF(G237="","",IF(M237="OK","NONE",INDEX({"S1","S2","W1","W2","N1","N2"},MATCH(MIN(P237:U237),P237:U237,0))))</f>
        <v>N1</v>
      </c>
      <c r="W237" s="117">
        <f t="shared" si="27"/>
        <v>1</v>
      </c>
      <c r="X237" s="107"/>
    </row>
    <row r="238" spans="1:24">
      <c r="A238" s="115">
        <v>236</v>
      </c>
      <c r="B238" s="116">
        <v>8</v>
      </c>
      <c r="C238" s="81" t="s">
        <v>130</v>
      </c>
      <c r="D238" s="111" t="s">
        <v>240</v>
      </c>
      <c r="E238" s="81" t="s">
        <v>108</v>
      </c>
      <c r="F238" s="52">
        <v>7.78</v>
      </c>
      <c r="G238" s="52">
        <f t="shared" si="21"/>
        <v>8.75</v>
      </c>
      <c r="H238" s="110"/>
      <c r="I238" s="81">
        <v>9.91</v>
      </c>
      <c r="J238" s="81">
        <f>VLOOKUP(C238,Recipes!$A$2:$N$4,12,FALSE())</f>
        <v>5.0137397426368718E-2</v>
      </c>
      <c r="K238" s="81">
        <f t="shared" si="22"/>
        <v>9.7345191090077101</v>
      </c>
      <c r="L238" s="81">
        <f t="shared" si="23"/>
        <v>10.08548089099229</v>
      </c>
      <c r="M238" s="81" t="str">
        <f t="shared" si="25"/>
        <v>NG</v>
      </c>
      <c r="N238" s="117">
        <f t="shared" si="24"/>
        <v>1</v>
      </c>
      <c r="O238" s="81">
        <f t="shared" si="26"/>
        <v>1.1600000000000001</v>
      </c>
      <c r="P238" s="81">
        <f>IF(G238="","",ABS(O238-Components!$C$2)/Components!$D$2)</f>
        <v>241.087375876506</v>
      </c>
      <c r="Q238" s="81">
        <f>IF(G238="","",ABS(O238-Components!$C$3)/Components!$D$3)</f>
        <v>208.45789203967374</v>
      </c>
      <c r="R238" s="81">
        <f>IF(G238="","",ABS(O238-Components!$C$4)/Components!$D$4)</f>
        <v>11.922955285712488</v>
      </c>
      <c r="S238" s="81">
        <f>IF(G238="","",ABS(O238-Components!$C$5)/Components!$D$5)</f>
        <v>135.13470696258622</v>
      </c>
      <c r="T238" s="81">
        <f>IF(G238="","",ABS(O238-Components!$C$6)/Components!$D$6)</f>
        <v>0.15684294335146007</v>
      </c>
      <c r="U238" s="81">
        <f>IF(G238="","",ABS(O238-Components!$C$7)/Components!$D$7)</f>
        <v>8.5237071862430067</v>
      </c>
      <c r="V238" s="81" t="str">
        <f>IF(G238="","",IF(M238="OK","NONE",INDEX({"S1","S2","W1","W2","N1","N2"},MATCH(MIN(P238:U238),P238:U238,0))))</f>
        <v>N1</v>
      </c>
      <c r="W238" s="117">
        <f t="shared" si="27"/>
        <v>1</v>
      </c>
      <c r="X238" s="107"/>
    </row>
    <row r="239" spans="1:24">
      <c r="A239" s="115">
        <v>237</v>
      </c>
      <c r="B239" s="116">
        <v>8</v>
      </c>
      <c r="C239" s="81" t="s">
        <v>130</v>
      </c>
      <c r="D239" s="111" t="s">
        <v>240</v>
      </c>
      <c r="E239" s="81" t="s">
        <v>108</v>
      </c>
      <c r="F239" s="52">
        <v>7.79</v>
      </c>
      <c r="G239" s="52">
        <f t="shared" si="21"/>
        <v>8.76</v>
      </c>
      <c r="H239" s="110"/>
      <c r="I239" s="81">
        <v>9.91</v>
      </c>
      <c r="J239" s="81">
        <f>VLOOKUP(C239,Recipes!$A$2:$N$4,12,FALSE())</f>
        <v>5.0137397426368718E-2</v>
      </c>
      <c r="K239" s="81">
        <f t="shared" si="22"/>
        <v>9.7345191090077101</v>
      </c>
      <c r="L239" s="81">
        <f t="shared" si="23"/>
        <v>10.08548089099229</v>
      </c>
      <c r="M239" s="81" t="str">
        <f t="shared" si="25"/>
        <v>NG</v>
      </c>
      <c r="N239" s="117">
        <f t="shared" si="24"/>
        <v>1</v>
      </c>
      <c r="O239" s="81">
        <f t="shared" si="26"/>
        <v>1.1500000000000004</v>
      </c>
      <c r="P239" s="81">
        <f>IF(G239="","",ABS(O239-Components!$C$2)/Components!$D$2)</f>
        <v>242.60047656192336</v>
      </c>
      <c r="Q239" s="81">
        <f>IF(G239="","",ABS(O239-Components!$C$3)/Components!$D$3)</f>
        <v>209.18271085761415</v>
      </c>
      <c r="R239" s="81">
        <f>IF(G239="","",ABS(O239-Components!$C$4)/Components!$D$4)</f>
        <v>11.207577968569757</v>
      </c>
      <c r="S239" s="81">
        <f>IF(G239="","",ABS(O239-Components!$C$5)/Components!$D$5)</f>
        <v>135.53185049793865</v>
      </c>
      <c r="T239" s="81">
        <f>IF(G239="","",ABS(O239-Components!$C$6)/Components!$D$6)</f>
        <v>0.20510231053677941</v>
      </c>
      <c r="U239" s="81">
        <f>IF(G239="","",ABS(O239-Components!$C$7)/Components!$D$7)</f>
        <v>8.9213918139059754</v>
      </c>
      <c r="V239" s="81" t="str">
        <f>IF(G239="","",IF(M239="OK","NONE",INDEX({"S1","S2","W1","W2","N1","N2"},MATCH(MIN(P239:U239),P239:U239,0))))</f>
        <v>N1</v>
      </c>
      <c r="W239" s="117">
        <f t="shared" si="27"/>
        <v>1</v>
      </c>
      <c r="X239" s="107"/>
    </row>
    <row r="240" spans="1:24">
      <c r="A240" s="115">
        <v>238</v>
      </c>
      <c r="B240" s="116">
        <v>8</v>
      </c>
      <c r="C240" s="81" t="s">
        <v>130</v>
      </c>
      <c r="D240" s="111" t="s">
        <v>240</v>
      </c>
      <c r="E240" s="81" t="s">
        <v>108</v>
      </c>
      <c r="F240" s="52">
        <v>7.78</v>
      </c>
      <c r="G240" s="52">
        <f t="shared" si="21"/>
        <v>8.75</v>
      </c>
      <c r="H240" s="110"/>
      <c r="I240" s="81">
        <v>9.91</v>
      </c>
      <c r="J240" s="81">
        <f>VLOOKUP(C240,Recipes!$A$2:$N$4,12,FALSE())</f>
        <v>5.0137397426368718E-2</v>
      </c>
      <c r="K240" s="81">
        <f t="shared" si="22"/>
        <v>9.7345191090077101</v>
      </c>
      <c r="L240" s="81">
        <f t="shared" si="23"/>
        <v>10.08548089099229</v>
      </c>
      <c r="M240" s="81" t="str">
        <f t="shared" si="25"/>
        <v>NG</v>
      </c>
      <c r="N240" s="117">
        <f t="shared" si="24"/>
        <v>1</v>
      </c>
      <c r="O240" s="81">
        <f t="shared" si="26"/>
        <v>1.1600000000000001</v>
      </c>
      <c r="P240" s="81">
        <f>IF(G240="","",ABS(O240-Components!$C$2)/Components!$D$2)</f>
        <v>241.087375876506</v>
      </c>
      <c r="Q240" s="81">
        <f>IF(G240="","",ABS(O240-Components!$C$3)/Components!$D$3)</f>
        <v>208.45789203967374</v>
      </c>
      <c r="R240" s="81">
        <f>IF(G240="","",ABS(O240-Components!$C$4)/Components!$D$4)</f>
        <v>11.922955285712488</v>
      </c>
      <c r="S240" s="81">
        <f>IF(G240="","",ABS(O240-Components!$C$5)/Components!$D$5)</f>
        <v>135.13470696258622</v>
      </c>
      <c r="T240" s="81">
        <f>IF(G240="","",ABS(O240-Components!$C$6)/Components!$D$6)</f>
        <v>0.15684294335146007</v>
      </c>
      <c r="U240" s="81">
        <f>IF(G240="","",ABS(O240-Components!$C$7)/Components!$D$7)</f>
        <v>8.5237071862430067</v>
      </c>
      <c r="V240" s="81" t="str">
        <f>IF(G240="","",IF(M240="OK","NONE",INDEX({"S1","S2","W1","W2","N1","N2"},MATCH(MIN(P240:U240),P240:U240,0))))</f>
        <v>N1</v>
      </c>
      <c r="W240" s="117">
        <f t="shared" si="27"/>
        <v>1</v>
      </c>
      <c r="X240" s="107"/>
    </row>
    <row r="241" spans="1:24">
      <c r="A241" s="115">
        <v>239</v>
      </c>
      <c r="B241" s="116">
        <v>8</v>
      </c>
      <c r="C241" s="81" t="s">
        <v>130</v>
      </c>
      <c r="D241" s="111" t="s">
        <v>240</v>
      </c>
      <c r="E241" s="81" t="s">
        <v>108</v>
      </c>
      <c r="F241" s="52">
        <v>7.78</v>
      </c>
      <c r="G241" s="52">
        <f t="shared" si="21"/>
        <v>8.75</v>
      </c>
      <c r="H241" s="110"/>
      <c r="I241" s="81">
        <v>9.91</v>
      </c>
      <c r="J241" s="81">
        <f>VLOOKUP(C241,Recipes!$A$2:$N$4,12,FALSE())</f>
        <v>5.0137397426368718E-2</v>
      </c>
      <c r="K241" s="81">
        <f t="shared" si="22"/>
        <v>9.7345191090077101</v>
      </c>
      <c r="L241" s="81">
        <f t="shared" si="23"/>
        <v>10.08548089099229</v>
      </c>
      <c r="M241" s="81" t="str">
        <f t="shared" si="25"/>
        <v>NG</v>
      </c>
      <c r="N241" s="117">
        <f t="shared" si="24"/>
        <v>1</v>
      </c>
      <c r="O241" s="81">
        <f t="shared" si="26"/>
        <v>1.1600000000000001</v>
      </c>
      <c r="P241" s="81">
        <f>IF(G241="","",ABS(O241-Components!$C$2)/Components!$D$2)</f>
        <v>241.087375876506</v>
      </c>
      <c r="Q241" s="81">
        <f>IF(G241="","",ABS(O241-Components!$C$3)/Components!$D$3)</f>
        <v>208.45789203967374</v>
      </c>
      <c r="R241" s="81">
        <f>IF(G241="","",ABS(O241-Components!$C$4)/Components!$D$4)</f>
        <v>11.922955285712488</v>
      </c>
      <c r="S241" s="81">
        <f>IF(G241="","",ABS(O241-Components!$C$5)/Components!$D$5)</f>
        <v>135.13470696258622</v>
      </c>
      <c r="T241" s="81">
        <f>IF(G241="","",ABS(O241-Components!$C$6)/Components!$D$6)</f>
        <v>0.15684294335146007</v>
      </c>
      <c r="U241" s="81">
        <f>IF(G241="","",ABS(O241-Components!$C$7)/Components!$D$7)</f>
        <v>8.5237071862430067</v>
      </c>
      <c r="V241" s="81" t="str">
        <f>IF(G241="","",IF(M241="OK","NONE",INDEX({"S1","S2","W1","W2","N1","N2"},MATCH(MIN(P241:U241),P241:U241,0))))</f>
        <v>N1</v>
      </c>
      <c r="W241" s="117">
        <f t="shared" si="27"/>
        <v>1</v>
      </c>
      <c r="X241" s="107"/>
    </row>
    <row r="242" spans="1:24">
      <c r="A242" s="115">
        <v>240</v>
      </c>
      <c r="B242" s="116">
        <v>8</v>
      </c>
      <c r="C242" s="61" t="s">
        <v>130</v>
      </c>
      <c r="D242" s="61" t="s">
        <v>240</v>
      </c>
      <c r="E242" s="61" t="s">
        <v>108</v>
      </c>
      <c r="F242" s="52">
        <v>7.79</v>
      </c>
      <c r="G242" s="52">
        <f t="shared" si="21"/>
        <v>8.76</v>
      </c>
      <c r="H242" s="110"/>
      <c r="I242" s="81">
        <v>9.91</v>
      </c>
      <c r="J242" s="81">
        <f>VLOOKUP(C242,Recipes!$A$2:$N$4,12,FALSE())</f>
        <v>5.0137397426368718E-2</v>
      </c>
      <c r="K242" s="81">
        <f t="shared" si="22"/>
        <v>9.7345191090077101</v>
      </c>
      <c r="L242" s="81">
        <f t="shared" si="23"/>
        <v>10.08548089099229</v>
      </c>
      <c r="M242" s="81" t="str">
        <f t="shared" si="25"/>
        <v>NG</v>
      </c>
      <c r="N242" s="117">
        <f t="shared" si="24"/>
        <v>1</v>
      </c>
      <c r="O242" s="81">
        <f t="shared" si="26"/>
        <v>1.1500000000000004</v>
      </c>
      <c r="P242" s="81">
        <f>IF(G242="","",ABS(O242-Components!$C$2)/Components!$D$2)</f>
        <v>242.60047656192336</v>
      </c>
      <c r="Q242" s="81">
        <f>IF(G242="","",ABS(O242-Components!$C$3)/Components!$D$3)</f>
        <v>209.18271085761415</v>
      </c>
      <c r="R242" s="81">
        <f>IF(G242="","",ABS(O242-Components!$C$4)/Components!$D$4)</f>
        <v>11.207577968569757</v>
      </c>
      <c r="S242" s="81">
        <f>IF(G242="","",ABS(O242-Components!$C$5)/Components!$D$5)</f>
        <v>135.53185049793865</v>
      </c>
      <c r="T242" s="81">
        <f>IF(G242="","",ABS(O242-Components!$C$6)/Components!$D$6)</f>
        <v>0.20510231053677941</v>
      </c>
      <c r="U242" s="81">
        <f>IF(G242="","",ABS(O242-Components!$C$7)/Components!$D$7)</f>
        <v>8.9213918139059754</v>
      </c>
      <c r="V242" s="81" t="str">
        <f>IF(G242="","",IF(M242="OK","NONE",INDEX({"S1","S2","W1","W2","N1","N2"},MATCH(MIN(P242:U242),P242:U242,0))))</f>
        <v>N1</v>
      </c>
      <c r="W242" s="117">
        <f t="shared" si="27"/>
        <v>1</v>
      </c>
      <c r="X242" s="107"/>
    </row>
    <row r="243" spans="1:24">
      <c r="A243" s="115">
        <v>241</v>
      </c>
      <c r="B243" s="116">
        <v>9</v>
      </c>
      <c r="C243" s="81" t="s">
        <v>130</v>
      </c>
      <c r="D243" s="111" t="s">
        <v>240</v>
      </c>
      <c r="E243" s="81" t="s">
        <v>102</v>
      </c>
      <c r="F243" s="61">
        <v>4.9400000000000004</v>
      </c>
      <c r="G243" s="52">
        <f t="shared" si="21"/>
        <v>5.91</v>
      </c>
      <c r="H243" s="110"/>
      <c r="I243" s="81">
        <v>9.91</v>
      </c>
      <c r="J243" s="81">
        <f>VLOOKUP(C243,Recipes!$A$2:$N$4,12,FALSE())</f>
        <v>5.0137397426368718E-2</v>
      </c>
      <c r="K243" s="81">
        <f t="shared" si="22"/>
        <v>9.7345191090077101</v>
      </c>
      <c r="L243" s="81">
        <f t="shared" si="23"/>
        <v>10.08548089099229</v>
      </c>
      <c r="M243" s="81" t="str">
        <f t="shared" si="25"/>
        <v>NG</v>
      </c>
      <c r="N243" s="117">
        <f t="shared" si="24"/>
        <v>1</v>
      </c>
      <c r="O243" s="81">
        <f t="shared" si="26"/>
        <v>4</v>
      </c>
      <c r="P243" s="81">
        <f>IF(G243="","",ABS(O243-Components!$C$2)/Components!$D$2)</f>
        <v>188.63321878203703</v>
      </c>
      <c r="Q243" s="81">
        <f>IF(G243="","",ABS(O243-Components!$C$3)/Components!$D$3)</f>
        <v>2.6093477445855946</v>
      </c>
      <c r="R243" s="81">
        <f>IF(G243="","",ABS(O243-Components!$C$4)/Components!$D$4)</f>
        <v>215.09011335425262</v>
      </c>
      <c r="S243" s="81">
        <f>IF(G243="","",ABS(O243-Components!$C$5)/Components!$D$5)</f>
        <v>22.345942922496754</v>
      </c>
      <c r="T243" s="81">
        <f>IF(G243="","",ABS(O243-Components!$C$6)/Components!$D$6)</f>
        <v>102.94929504761366</v>
      </c>
      <c r="U243" s="81">
        <f>IF(G243="","",ABS(O243-Components!$C$7)/Components!$D$7)</f>
        <v>104.41872707004249</v>
      </c>
      <c r="V243" s="81" t="str">
        <f>IF(G243="","",IF(M243="OK","NONE",INDEX({"S1","S2","W1","W2","N1","N2"},MATCH(MIN(P243:U243),P243:U243,0))))</f>
        <v>S2</v>
      </c>
      <c r="W243" s="117">
        <f t="shared" si="27"/>
        <v>1</v>
      </c>
      <c r="X243" s="107"/>
    </row>
    <row r="244" spans="1:24">
      <c r="A244" s="115">
        <v>242</v>
      </c>
      <c r="B244" s="116">
        <v>9</v>
      </c>
      <c r="C244" s="81" t="s">
        <v>130</v>
      </c>
      <c r="D244" s="111" t="s">
        <v>240</v>
      </c>
      <c r="E244" s="81" t="s">
        <v>102</v>
      </c>
      <c r="F244" s="61">
        <v>4.91</v>
      </c>
      <c r="G244" s="52">
        <f t="shared" si="21"/>
        <v>5.88</v>
      </c>
      <c r="H244" s="110"/>
      <c r="I244" s="81">
        <v>9.91</v>
      </c>
      <c r="J244" s="81">
        <f>VLOOKUP(C244,Recipes!$A$2:$N$4,12,FALSE())</f>
        <v>5.0137397426368718E-2</v>
      </c>
      <c r="K244" s="81">
        <f t="shared" si="22"/>
        <v>9.7345191090077101</v>
      </c>
      <c r="L244" s="81">
        <f t="shared" si="23"/>
        <v>10.08548089099229</v>
      </c>
      <c r="M244" s="81" t="str">
        <f t="shared" si="25"/>
        <v>NG</v>
      </c>
      <c r="N244" s="117">
        <f t="shared" si="24"/>
        <v>1</v>
      </c>
      <c r="O244" s="81">
        <f t="shared" si="26"/>
        <v>4.03</v>
      </c>
      <c r="P244" s="81">
        <f>IF(G244="","",ABS(O244-Components!$C$2)/Components!$D$2)</f>
        <v>193.17252083828927</v>
      </c>
      <c r="Q244" s="81">
        <f>IF(G244="","",ABS(O244-Components!$C$3)/Components!$D$3)</f>
        <v>0.43489129076422284</v>
      </c>
      <c r="R244" s="81">
        <f>IF(G244="","",ABS(O244-Components!$C$4)/Components!$D$4)</f>
        <v>217.23624530568088</v>
      </c>
      <c r="S244" s="81">
        <f>IF(G244="","",ABS(O244-Components!$C$5)/Components!$D$5)</f>
        <v>21.154512316439458</v>
      </c>
      <c r="T244" s="81">
        <f>IF(G244="","",ABS(O244-Components!$C$6)/Components!$D$6)</f>
        <v>104.03513080927841</v>
      </c>
      <c r="U244" s="81">
        <f>IF(G244="","",ABS(O244-Components!$C$7)/Components!$D$7)</f>
        <v>105.61178095303143</v>
      </c>
      <c r="V244" s="81" t="str">
        <f>IF(G244="","",IF(M244="OK","NONE",INDEX({"S1","S2","W1","W2","N1","N2"},MATCH(MIN(P244:U244),P244:U244,0))))</f>
        <v>S2</v>
      </c>
      <c r="W244" s="117">
        <f t="shared" si="27"/>
        <v>1</v>
      </c>
      <c r="X244" s="107"/>
    </row>
    <row r="245" spans="1:24">
      <c r="A245" s="115">
        <v>243</v>
      </c>
      <c r="B245" s="116">
        <v>9</v>
      </c>
      <c r="C245" s="81" t="s">
        <v>130</v>
      </c>
      <c r="D245" s="111" t="s">
        <v>240</v>
      </c>
      <c r="E245" s="81" t="s">
        <v>102</v>
      </c>
      <c r="F245" s="61">
        <v>4.8099999999999996</v>
      </c>
      <c r="G245" s="52">
        <f t="shared" si="21"/>
        <v>5.7799999999999994</v>
      </c>
      <c r="H245" s="110"/>
      <c r="I245" s="81">
        <v>9.91</v>
      </c>
      <c r="J245" s="81">
        <f>VLOOKUP(C245,Recipes!$A$2:$N$4,12,FALSE())</f>
        <v>5.0137397426368718E-2</v>
      </c>
      <c r="K245" s="81">
        <f t="shared" si="22"/>
        <v>9.7345191090077101</v>
      </c>
      <c r="L245" s="81">
        <f t="shared" si="23"/>
        <v>10.08548089099229</v>
      </c>
      <c r="M245" s="81" t="str">
        <f t="shared" si="25"/>
        <v>NG</v>
      </c>
      <c r="N245" s="117">
        <f t="shared" si="24"/>
        <v>1</v>
      </c>
      <c r="O245" s="81">
        <f t="shared" si="26"/>
        <v>4.1300000000000008</v>
      </c>
      <c r="P245" s="81">
        <f>IF(G245="","",ABS(O245-Components!$C$2)/Components!$D$2)</f>
        <v>208.3035276924634</v>
      </c>
      <c r="Q245" s="81">
        <f>IF(G245="","",ABS(O245-Components!$C$3)/Components!$D$3)</f>
        <v>6.8132968886403278</v>
      </c>
      <c r="R245" s="81">
        <f>IF(G245="","",ABS(O245-Components!$C$4)/Components!$D$4)</f>
        <v>224.39001847710838</v>
      </c>
      <c r="S245" s="81">
        <f>IF(G245="","",ABS(O245-Components!$C$5)/Components!$D$5)</f>
        <v>17.183076962915159</v>
      </c>
      <c r="T245" s="81">
        <f>IF(G245="","",ABS(O245-Components!$C$6)/Components!$D$6)</f>
        <v>107.6545833481609</v>
      </c>
      <c r="U245" s="81">
        <f>IF(G245="","",ABS(O245-Components!$C$7)/Components!$D$7)</f>
        <v>109.58862722966123</v>
      </c>
      <c r="V245" s="81" t="str">
        <f>IF(G245="","",IF(M245="OK","NONE",INDEX({"S1","S2","W1","W2","N1","N2"},MATCH(MIN(P245:U245),P245:U245,0))))</f>
        <v>S2</v>
      </c>
      <c r="W245" s="117">
        <f t="shared" si="27"/>
        <v>1</v>
      </c>
      <c r="X245" s="107"/>
    </row>
    <row r="246" spans="1:24">
      <c r="A246" s="115">
        <v>244</v>
      </c>
      <c r="B246" s="116">
        <v>9</v>
      </c>
      <c r="C246" s="61" t="s">
        <v>130</v>
      </c>
      <c r="D246" s="61" t="s">
        <v>240</v>
      </c>
      <c r="E246" s="61" t="s">
        <v>102</v>
      </c>
      <c r="F246" s="61">
        <v>4.92</v>
      </c>
      <c r="G246" s="52">
        <f t="shared" si="21"/>
        <v>5.89</v>
      </c>
      <c r="H246" s="110"/>
      <c r="I246" s="81">
        <v>9.91</v>
      </c>
      <c r="J246" s="81">
        <f>VLOOKUP(C246,Recipes!$A$2:$N$4,12,FALSE())</f>
        <v>5.0137397426368718E-2</v>
      </c>
      <c r="K246" s="81">
        <f t="shared" si="22"/>
        <v>9.7345191090077101</v>
      </c>
      <c r="L246" s="81">
        <f t="shared" si="23"/>
        <v>10.08548089099229</v>
      </c>
      <c r="M246" s="81" t="str">
        <f t="shared" si="25"/>
        <v>NG</v>
      </c>
      <c r="N246" s="117">
        <f t="shared" si="24"/>
        <v>1</v>
      </c>
      <c r="O246" s="81">
        <f t="shared" si="26"/>
        <v>4.0200000000000005</v>
      </c>
      <c r="P246" s="81">
        <f>IF(G246="","",ABS(O246-Components!$C$2)/Components!$D$2)</f>
        <v>191.65942015287192</v>
      </c>
      <c r="Q246" s="81">
        <f>IF(G246="","",ABS(O246-Components!$C$3)/Components!$D$3)</f>
        <v>1.1597101087046586</v>
      </c>
      <c r="R246" s="81">
        <f>IF(G246="","",ABS(O246-Components!$C$4)/Components!$D$4)</f>
        <v>216.52086798853816</v>
      </c>
      <c r="S246" s="81">
        <f>IF(G246="","",ABS(O246-Components!$C$5)/Components!$D$5)</f>
        <v>21.551655851791878</v>
      </c>
      <c r="T246" s="81">
        <f>IF(G246="","",ABS(O246-Components!$C$6)/Components!$D$6)</f>
        <v>103.67318555539018</v>
      </c>
      <c r="U246" s="81">
        <f>IF(G246="","",ABS(O246-Components!$C$7)/Components!$D$7)</f>
        <v>105.21409632536846</v>
      </c>
      <c r="V246" s="81" t="str">
        <f>IF(G246="","",IF(M246="OK","NONE",INDEX({"S1","S2","W1","W2","N1","N2"},MATCH(MIN(P246:U246),P246:U246,0))))</f>
        <v>S2</v>
      </c>
      <c r="W246" s="117">
        <f t="shared" si="27"/>
        <v>1</v>
      </c>
      <c r="X246" s="107"/>
    </row>
    <row r="247" spans="1:24">
      <c r="A247" s="115">
        <v>245</v>
      </c>
      <c r="B247" s="116">
        <v>9</v>
      </c>
      <c r="C247" s="61" t="s">
        <v>130</v>
      </c>
      <c r="D247" s="61" t="s">
        <v>240</v>
      </c>
      <c r="E247" s="61" t="s">
        <v>102</v>
      </c>
      <c r="F247" s="61">
        <v>4.87</v>
      </c>
      <c r="G247" s="52">
        <f t="shared" si="21"/>
        <v>5.84</v>
      </c>
      <c r="H247" s="110"/>
      <c r="I247" s="81">
        <v>9.91</v>
      </c>
      <c r="J247" s="81">
        <f>VLOOKUP(C247,Recipes!$A$2:$N$4,12,FALSE())</f>
        <v>5.0137397426368718E-2</v>
      </c>
      <c r="K247" s="81">
        <f t="shared" si="22"/>
        <v>9.7345191090077101</v>
      </c>
      <c r="L247" s="81">
        <f t="shared" si="23"/>
        <v>10.08548089099229</v>
      </c>
      <c r="M247" s="81" t="str">
        <f t="shared" si="25"/>
        <v>NG</v>
      </c>
      <c r="N247" s="117">
        <f t="shared" si="24"/>
        <v>1</v>
      </c>
      <c r="O247" s="81">
        <f t="shared" si="26"/>
        <v>4.07</v>
      </c>
      <c r="P247" s="81">
        <f>IF(G247="","",ABS(O247-Components!$C$2)/Components!$D$2)</f>
        <v>199.2249235799589</v>
      </c>
      <c r="Q247" s="81">
        <f>IF(G247="","",ABS(O247-Components!$C$3)/Components!$D$3)</f>
        <v>2.4643839809975847</v>
      </c>
      <c r="R247" s="81">
        <f>IF(G247="","",ABS(O247-Components!$C$4)/Components!$D$4)</f>
        <v>220.09775457425187</v>
      </c>
      <c r="S247" s="81">
        <f>IF(G247="","",ABS(O247-Components!$C$5)/Components!$D$5)</f>
        <v>19.565938175029746</v>
      </c>
      <c r="T247" s="81">
        <f>IF(G247="","",ABS(O247-Components!$C$6)/Components!$D$6)</f>
        <v>105.4829118248314</v>
      </c>
      <c r="U247" s="81">
        <f>IF(G247="","",ABS(O247-Components!$C$7)/Components!$D$7)</f>
        <v>107.20251946368334</v>
      </c>
      <c r="V247" s="81" t="str">
        <f>IF(G247="","",IF(M247="OK","NONE",INDEX({"S1","S2","W1","W2","N1","N2"},MATCH(MIN(P247:U247),P247:U247,0))))</f>
        <v>S2</v>
      </c>
      <c r="W247" s="117">
        <f t="shared" si="27"/>
        <v>1</v>
      </c>
      <c r="X247" s="107"/>
    </row>
    <row r="248" spans="1:24">
      <c r="A248" s="115">
        <v>246</v>
      </c>
      <c r="B248" s="116">
        <v>9</v>
      </c>
      <c r="C248" s="81" t="s">
        <v>130</v>
      </c>
      <c r="D248" s="111" t="s">
        <v>240</v>
      </c>
      <c r="E248" s="81" t="s">
        <v>102</v>
      </c>
      <c r="F248" s="61">
        <v>4.9400000000000004</v>
      </c>
      <c r="G248" s="52">
        <f t="shared" si="21"/>
        <v>5.91</v>
      </c>
      <c r="H248" s="110"/>
      <c r="I248" s="81">
        <v>9.91</v>
      </c>
      <c r="J248" s="81">
        <f>VLOOKUP(C248,Recipes!$A$2:$N$4,12,FALSE())</f>
        <v>5.0137397426368718E-2</v>
      </c>
      <c r="K248" s="81">
        <f t="shared" si="22"/>
        <v>9.7345191090077101</v>
      </c>
      <c r="L248" s="81">
        <f t="shared" si="23"/>
        <v>10.08548089099229</v>
      </c>
      <c r="M248" s="81" t="str">
        <f t="shared" si="25"/>
        <v>NG</v>
      </c>
      <c r="N248" s="117">
        <f t="shared" si="24"/>
        <v>1</v>
      </c>
      <c r="O248" s="81">
        <f t="shared" si="26"/>
        <v>4</v>
      </c>
      <c r="P248" s="81">
        <f>IF(G248="","",ABS(O248-Components!$C$2)/Components!$D$2)</f>
        <v>188.63321878203703</v>
      </c>
      <c r="Q248" s="81">
        <f>IF(G248="","",ABS(O248-Components!$C$3)/Components!$D$3)</f>
        <v>2.6093477445855946</v>
      </c>
      <c r="R248" s="81">
        <f>IF(G248="","",ABS(O248-Components!$C$4)/Components!$D$4)</f>
        <v>215.09011335425262</v>
      </c>
      <c r="S248" s="81">
        <f>IF(G248="","",ABS(O248-Components!$C$5)/Components!$D$5)</f>
        <v>22.345942922496754</v>
      </c>
      <c r="T248" s="81">
        <f>IF(G248="","",ABS(O248-Components!$C$6)/Components!$D$6)</f>
        <v>102.94929504761366</v>
      </c>
      <c r="U248" s="81">
        <f>IF(G248="","",ABS(O248-Components!$C$7)/Components!$D$7)</f>
        <v>104.41872707004249</v>
      </c>
      <c r="V248" s="81" t="str">
        <f>IF(G248="","",IF(M248="OK","NONE",INDEX({"S1","S2","W1","W2","N1","N2"},MATCH(MIN(P248:U248),P248:U248,0))))</f>
        <v>S2</v>
      </c>
      <c r="W248" s="117">
        <f t="shared" si="27"/>
        <v>1</v>
      </c>
      <c r="X248" s="107"/>
    </row>
    <row r="249" spans="1:24">
      <c r="A249" s="115">
        <v>247</v>
      </c>
      <c r="B249" s="116">
        <v>9</v>
      </c>
      <c r="C249" s="81" t="s">
        <v>130</v>
      </c>
      <c r="D249" s="111" t="s">
        <v>240</v>
      </c>
      <c r="E249" s="81" t="s">
        <v>102</v>
      </c>
      <c r="F249" s="61">
        <v>4.8899999999999997</v>
      </c>
      <c r="G249" s="52">
        <f t="shared" si="21"/>
        <v>5.8599999999999994</v>
      </c>
      <c r="H249" s="110"/>
      <c r="I249" s="81">
        <v>9.91</v>
      </c>
      <c r="J249" s="81">
        <f>VLOOKUP(C249,Recipes!$A$2:$N$4,12,FALSE())</f>
        <v>5.0137397426368718E-2</v>
      </c>
      <c r="K249" s="81">
        <f t="shared" si="22"/>
        <v>9.7345191090077101</v>
      </c>
      <c r="L249" s="81">
        <f t="shared" si="23"/>
        <v>10.08548089099229</v>
      </c>
      <c r="M249" s="81" t="str">
        <f t="shared" si="25"/>
        <v>NG</v>
      </c>
      <c r="N249" s="117">
        <f t="shared" si="24"/>
        <v>1</v>
      </c>
      <c r="O249" s="81">
        <f t="shared" si="26"/>
        <v>4.0500000000000007</v>
      </c>
      <c r="P249" s="81">
        <f>IF(G249="","",ABS(O249-Components!$C$2)/Components!$D$2)</f>
        <v>196.19872220912416</v>
      </c>
      <c r="Q249" s="81">
        <f>IF(G249="","",ABS(O249-Components!$C$3)/Components!$D$3)</f>
        <v>1.0147463451167131</v>
      </c>
      <c r="R249" s="81">
        <f>IF(G249="","",ABS(O249-Components!$C$4)/Components!$D$4)</f>
        <v>218.66699993996642</v>
      </c>
      <c r="S249" s="81">
        <f>IF(G249="","",ABS(O249-Components!$C$5)/Components!$D$5)</f>
        <v>20.360225245734586</v>
      </c>
      <c r="T249" s="81">
        <f>IF(G249="","",ABS(O249-Components!$C$6)/Components!$D$6)</f>
        <v>104.75902131705493</v>
      </c>
      <c r="U249" s="81">
        <f>IF(G249="","",ABS(O249-Components!$C$7)/Components!$D$7)</f>
        <v>106.40715020835741</v>
      </c>
      <c r="V249" s="81" t="str">
        <f>IF(G249="","",IF(M249="OK","NONE",INDEX({"S1","S2","W1","W2","N1","N2"},MATCH(MIN(P249:U249),P249:U249,0))))</f>
        <v>S2</v>
      </c>
      <c r="W249" s="117">
        <f t="shared" si="27"/>
        <v>1</v>
      </c>
      <c r="X249" s="107"/>
    </row>
    <row r="250" spans="1:24">
      <c r="A250" s="115">
        <v>248</v>
      </c>
      <c r="B250" s="116">
        <v>9</v>
      </c>
      <c r="C250" s="81" t="s">
        <v>130</v>
      </c>
      <c r="D250" s="111" t="s">
        <v>240</v>
      </c>
      <c r="E250" s="81" t="s">
        <v>102</v>
      </c>
      <c r="F250" s="61">
        <v>4.8600000000000003</v>
      </c>
      <c r="G250" s="52">
        <f t="shared" si="21"/>
        <v>5.83</v>
      </c>
      <c r="H250" s="110"/>
      <c r="I250" s="81">
        <v>9.91</v>
      </c>
      <c r="J250" s="81">
        <f>VLOOKUP(C250,Recipes!$A$2:$N$4,12,FALSE())</f>
        <v>5.0137397426368718E-2</v>
      </c>
      <c r="K250" s="81">
        <f t="shared" si="22"/>
        <v>9.7345191090077101</v>
      </c>
      <c r="L250" s="81">
        <f t="shared" si="23"/>
        <v>10.08548089099229</v>
      </c>
      <c r="M250" s="81" t="str">
        <f t="shared" si="25"/>
        <v>NG</v>
      </c>
      <c r="N250" s="117">
        <f t="shared" si="24"/>
        <v>1</v>
      </c>
      <c r="O250" s="81">
        <f t="shared" si="26"/>
        <v>4.08</v>
      </c>
      <c r="P250" s="81">
        <f>IF(G250="","",ABS(O250-Components!$C$2)/Components!$D$2)</f>
        <v>200.73802426537628</v>
      </c>
      <c r="Q250" s="81">
        <f>IF(G250="","",ABS(O250-Components!$C$3)/Components!$D$3)</f>
        <v>3.1892027989380205</v>
      </c>
      <c r="R250" s="81">
        <f>IF(G250="","",ABS(O250-Components!$C$4)/Components!$D$4)</f>
        <v>220.81313189139459</v>
      </c>
      <c r="S250" s="81">
        <f>IF(G250="","",ABS(O250-Components!$C$5)/Components!$D$5)</f>
        <v>19.168794639677326</v>
      </c>
      <c r="T250" s="81">
        <f>IF(G250="","",ABS(O250-Components!$C$6)/Components!$D$6)</f>
        <v>105.84485707871964</v>
      </c>
      <c r="U250" s="81">
        <f>IF(G250="","",ABS(O250-Components!$C$7)/Components!$D$7)</f>
        <v>107.60020409134631</v>
      </c>
      <c r="V250" s="81" t="str">
        <f>IF(G250="","",IF(M250="OK","NONE",INDEX({"S1","S2","W1","W2","N1","N2"},MATCH(MIN(P250:U250),P250:U250,0))))</f>
        <v>S2</v>
      </c>
      <c r="W250" s="117">
        <f t="shared" si="27"/>
        <v>1</v>
      </c>
      <c r="X250" s="107"/>
    </row>
    <row r="251" spans="1:24">
      <c r="A251" s="115">
        <v>249</v>
      </c>
      <c r="B251" s="116">
        <v>9</v>
      </c>
      <c r="C251" s="61" t="s">
        <v>130</v>
      </c>
      <c r="D251" s="61" t="s">
        <v>240</v>
      </c>
      <c r="E251" s="61" t="s">
        <v>102</v>
      </c>
      <c r="F251" s="61">
        <v>4.97</v>
      </c>
      <c r="G251" s="52">
        <f t="shared" si="21"/>
        <v>5.9399999999999995</v>
      </c>
      <c r="H251" s="110"/>
      <c r="I251" s="81">
        <v>9.91</v>
      </c>
      <c r="J251" s="81">
        <f>VLOOKUP(C251,Recipes!$A$2:$N$4,12,FALSE())</f>
        <v>5.0137397426368718E-2</v>
      </c>
      <c r="K251" s="81">
        <f t="shared" si="22"/>
        <v>9.7345191090077101</v>
      </c>
      <c r="L251" s="81">
        <f t="shared" si="23"/>
        <v>10.08548089099229</v>
      </c>
      <c r="M251" s="81" t="str">
        <f t="shared" si="25"/>
        <v>NG</v>
      </c>
      <c r="N251" s="117">
        <f t="shared" si="24"/>
        <v>1</v>
      </c>
      <c r="O251" s="81">
        <f t="shared" si="26"/>
        <v>3.9700000000000006</v>
      </c>
      <c r="P251" s="81">
        <f>IF(G251="","",ABS(O251-Components!$C$2)/Components!$D$2)</f>
        <v>184.09391672578491</v>
      </c>
      <c r="Q251" s="81">
        <f>IF(G251="","",ABS(O251-Components!$C$3)/Components!$D$3)</f>
        <v>4.7838041984069015</v>
      </c>
      <c r="R251" s="81">
        <f>IF(G251="","",ABS(O251-Components!$C$4)/Components!$D$4)</f>
        <v>212.94398140282442</v>
      </c>
      <c r="S251" s="81">
        <f>IF(G251="","",ABS(O251-Components!$C$5)/Components!$D$5)</f>
        <v>23.53737352855401</v>
      </c>
      <c r="T251" s="81">
        <f>IF(G251="","",ABS(O251-Components!$C$6)/Components!$D$6)</f>
        <v>101.86345928594895</v>
      </c>
      <c r="U251" s="81">
        <f>IF(G251="","",ABS(O251-Components!$C$7)/Components!$D$7)</f>
        <v>103.22567318705359</v>
      </c>
      <c r="V251" s="81" t="str">
        <f>IF(G251="","",IF(M251="OK","NONE",INDEX({"S1","S2","W1","W2","N1","N2"},MATCH(MIN(P251:U251),P251:U251,0))))</f>
        <v>S2</v>
      </c>
      <c r="W251" s="117">
        <f t="shared" si="27"/>
        <v>1</v>
      </c>
      <c r="X251" s="107"/>
    </row>
    <row r="252" spans="1:24">
      <c r="A252" s="115">
        <v>250</v>
      </c>
      <c r="B252" s="116">
        <v>9</v>
      </c>
      <c r="C252" s="61" t="s">
        <v>130</v>
      </c>
      <c r="D252" s="61" t="s">
        <v>240</v>
      </c>
      <c r="E252" s="61" t="s">
        <v>102</v>
      </c>
      <c r="F252" s="61">
        <v>4.88</v>
      </c>
      <c r="G252" s="52">
        <f t="shared" si="21"/>
        <v>5.85</v>
      </c>
      <c r="H252" s="110"/>
      <c r="I252" s="81">
        <v>9.91</v>
      </c>
      <c r="J252" s="81">
        <f>VLOOKUP(C252,Recipes!$A$2:$N$4,12,FALSE())</f>
        <v>5.0137397426368718E-2</v>
      </c>
      <c r="K252" s="81">
        <f t="shared" si="22"/>
        <v>9.7345191090077101</v>
      </c>
      <c r="L252" s="81">
        <f t="shared" si="23"/>
        <v>10.08548089099229</v>
      </c>
      <c r="M252" s="81" t="str">
        <f t="shared" si="25"/>
        <v>NG</v>
      </c>
      <c r="N252" s="117">
        <f t="shared" si="24"/>
        <v>1</v>
      </c>
      <c r="O252" s="81">
        <f t="shared" si="26"/>
        <v>4.0600000000000005</v>
      </c>
      <c r="P252" s="81">
        <f>IF(G252="","",ABS(O252-Components!$C$2)/Components!$D$2)</f>
        <v>197.71182289454154</v>
      </c>
      <c r="Q252" s="81">
        <f>IF(G252="","",ABS(O252-Components!$C$3)/Components!$D$3)</f>
        <v>1.7395651630571487</v>
      </c>
      <c r="R252" s="81">
        <f>IF(G252="","",ABS(O252-Components!$C$4)/Components!$D$4)</f>
        <v>219.38237725710914</v>
      </c>
      <c r="S252" s="81">
        <f>IF(G252="","",ABS(O252-Components!$C$5)/Components!$D$5)</f>
        <v>19.963081710382166</v>
      </c>
      <c r="T252" s="81">
        <f>IF(G252="","",ABS(O252-Components!$C$6)/Components!$D$6)</f>
        <v>105.12096657094317</v>
      </c>
      <c r="U252" s="81">
        <f>IF(G252="","",ABS(O252-Components!$C$7)/Components!$D$7)</f>
        <v>106.80483483602038</v>
      </c>
      <c r="V252" s="81" t="str">
        <f>IF(G252="","",IF(M252="OK","NONE",INDEX({"S1","S2","W1","W2","N1","N2"},MATCH(MIN(P252:U252),P252:U252,0))))</f>
        <v>S2</v>
      </c>
      <c r="W252" s="117">
        <f t="shared" si="27"/>
        <v>1</v>
      </c>
      <c r="X252" s="107"/>
    </row>
    <row r="253" spans="1:24">
      <c r="A253" s="115">
        <v>251</v>
      </c>
      <c r="B253" s="116">
        <v>9</v>
      </c>
      <c r="C253" s="81" t="s">
        <v>130</v>
      </c>
      <c r="D253" s="111" t="s">
        <v>240</v>
      </c>
      <c r="E253" s="81" t="s">
        <v>102</v>
      </c>
      <c r="F253" s="61">
        <v>4.83</v>
      </c>
      <c r="G253" s="52">
        <f t="shared" si="21"/>
        <v>5.8</v>
      </c>
      <c r="H253" s="110"/>
      <c r="I253" s="81">
        <v>9.91</v>
      </c>
      <c r="J253" s="81">
        <f>VLOOKUP(C253,Recipes!$A$2:$N$4,12,FALSE())</f>
        <v>5.0137397426368718E-2</v>
      </c>
      <c r="K253" s="81">
        <f t="shared" si="22"/>
        <v>9.7345191090077101</v>
      </c>
      <c r="L253" s="81">
        <f t="shared" si="23"/>
        <v>10.08548089099229</v>
      </c>
      <c r="M253" s="81" t="str">
        <f t="shared" si="25"/>
        <v>NG</v>
      </c>
      <c r="N253" s="117">
        <f t="shared" si="24"/>
        <v>1</v>
      </c>
      <c r="O253" s="81">
        <f t="shared" si="26"/>
        <v>4.1100000000000003</v>
      </c>
      <c r="P253" s="81">
        <f>IF(G253="","",ABS(O253-Components!$C$2)/Components!$D$2)</f>
        <v>205.27732632162852</v>
      </c>
      <c r="Q253" s="81">
        <f>IF(G253="","",ABS(O253-Components!$C$3)/Components!$D$3)</f>
        <v>5.3636592527593923</v>
      </c>
      <c r="R253" s="81">
        <f>IF(G253="","",ABS(O253-Components!$C$4)/Components!$D$4)</f>
        <v>222.95926384282285</v>
      </c>
      <c r="S253" s="81">
        <f>IF(G253="","",ABS(O253-Components!$C$5)/Components!$D$5)</f>
        <v>17.977364033620034</v>
      </c>
      <c r="T253" s="81">
        <f>IF(G253="","",ABS(O253-Components!$C$6)/Components!$D$6)</f>
        <v>106.9306928403844</v>
      </c>
      <c r="U253" s="81">
        <f>IF(G253="","",ABS(O253-Components!$C$7)/Components!$D$7)</f>
        <v>108.79325797433525</v>
      </c>
      <c r="V253" s="81" t="str">
        <f>IF(G253="","",IF(M253="OK","NONE",INDEX({"S1","S2","W1","W2","N1","N2"},MATCH(MIN(P253:U253),P253:U253,0))))</f>
        <v>S2</v>
      </c>
      <c r="W253" s="117">
        <f t="shared" si="27"/>
        <v>1</v>
      </c>
      <c r="X253" s="107"/>
    </row>
    <row r="254" spans="1:24">
      <c r="A254" s="115">
        <v>252</v>
      </c>
      <c r="B254" s="116">
        <v>9</v>
      </c>
      <c r="C254" s="81" t="s">
        <v>130</v>
      </c>
      <c r="D254" s="111" t="s">
        <v>240</v>
      </c>
      <c r="E254" s="81" t="s">
        <v>102</v>
      </c>
      <c r="F254" s="61">
        <v>4.87</v>
      </c>
      <c r="G254" s="52">
        <f t="shared" si="21"/>
        <v>5.84</v>
      </c>
      <c r="H254" s="110"/>
      <c r="I254" s="81">
        <v>9.91</v>
      </c>
      <c r="J254" s="81">
        <f>VLOOKUP(C254,Recipes!$A$2:$N$4,12,FALSE())</f>
        <v>5.0137397426368718E-2</v>
      </c>
      <c r="K254" s="81">
        <f t="shared" si="22"/>
        <v>9.7345191090077101</v>
      </c>
      <c r="L254" s="81">
        <f t="shared" si="23"/>
        <v>10.08548089099229</v>
      </c>
      <c r="M254" s="81" t="str">
        <f t="shared" si="25"/>
        <v>NG</v>
      </c>
      <c r="N254" s="117">
        <f t="shared" si="24"/>
        <v>1</v>
      </c>
      <c r="O254" s="81">
        <f t="shared" si="26"/>
        <v>4.07</v>
      </c>
      <c r="P254" s="81">
        <f>IF(G254="","",ABS(O254-Components!$C$2)/Components!$D$2)</f>
        <v>199.2249235799589</v>
      </c>
      <c r="Q254" s="81">
        <f>IF(G254="","",ABS(O254-Components!$C$3)/Components!$D$3)</f>
        <v>2.4643839809975847</v>
      </c>
      <c r="R254" s="81">
        <f>IF(G254="","",ABS(O254-Components!$C$4)/Components!$D$4)</f>
        <v>220.09775457425187</v>
      </c>
      <c r="S254" s="81">
        <f>IF(G254="","",ABS(O254-Components!$C$5)/Components!$D$5)</f>
        <v>19.565938175029746</v>
      </c>
      <c r="T254" s="81">
        <f>IF(G254="","",ABS(O254-Components!$C$6)/Components!$D$6)</f>
        <v>105.4829118248314</v>
      </c>
      <c r="U254" s="81">
        <f>IF(G254="","",ABS(O254-Components!$C$7)/Components!$D$7)</f>
        <v>107.20251946368334</v>
      </c>
      <c r="V254" s="81" t="str">
        <f>IF(G254="","",IF(M254="OK","NONE",INDEX({"S1","S2","W1","W2","N1","N2"},MATCH(MIN(P254:U254),P254:U254,0))))</f>
        <v>S2</v>
      </c>
      <c r="W254" s="117">
        <f t="shared" si="27"/>
        <v>1</v>
      </c>
      <c r="X254" s="107"/>
    </row>
    <row r="255" spans="1:24">
      <c r="A255" s="115">
        <v>253</v>
      </c>
      <c r="B255" s="116">
        <v>9</v>
      </c>
      <c r="C255" s="81" t="s">
        <v>130</v>
      </c>
      <c r="D255" s="111" t="s">
        <v>240</v>
      </c>
      <c r="E255" s="81" t="s">
        <v>102</v>
      </c>
      <c r="F255" s="61">
        <v>4.93</v>
      </c>
      <c r="G255" s="52">
        <f t="shared" si="21"/>
        <v>5.8999999999999995</v>
      </c>
      <c r="H255" s="110"/>
      <c r="I255" s="81">
        <v>9.91</v>
      </c>
      <c r="J255" s="81">
        <f>VLOOKUP(C255,Recipes!$A$2:$N$4,12,FALSE())</f>
        <v>5.0137397426368718E-2</v>
      </c>
      <c r="K255" s="81">
        <f t="shared" si="22"/>
        <v>9.7345191090077101</v>
      </c>
      <c r="L255" s="81">
        <f t="shared" si="23"/>
        <v>10.08548089099229</v>
      </c>
      <c r="M255" s="81" t="str">
        <f t="shared" si="25"/>
        <v>NG</v>
      </c>
      <c r="N255" s="117">
        <f t="shared" si="24"/>
        <v>1</v>
      </c>
      <c r="O255" s="81">
        <f t="shared" si="26"/>
        <v>4.0100000000000007</v>
      </c>
      <c r="P255" s="81">
        <f>IF(G255="","",ABS(O255-Components!$C$2)/Components!$D$2)</f>
        <v>190.14631946745453</v>
      </c>
      <c r="Q255" s="81">
        <f>IF(G255="","",ABS(O255-Components!$C$3)/Components!$D$3)</f>
        <v>1.8845289266450944</v>
      </c>
      <c r="R255" s="81">
        <f>IF(G255="","",ABS(O255-Components!$C$4)/Components!$D$4)</f>
        <v>215.8054906713954</v>
      </c>
      <c r="S255" s="81">
        <f>IF(G255="","",ABS(O255-Components!$C$5)/Components!$D$5)</f>
        <v>21.948799387144298</v>
      </c>
      <c r="T255" s="81">
        <f>IF(G255="","",ABS(O255-Components!$C$6)/Components!$D$6)</f>
        <v>103.31124030150194</v>
      </c>
      <c r="U255" s="81">
        <f>IF(G255="","",ABS(O255-Components!$C$7)/Components!$D$7)</f>
        <v>104.81641169770549</v>
      </c>
      <c r="V255" s="81" t="str">
        <f>IF(G255="","",IF(M255="OK","NONE",INDEX({"S1","S2","W1","W2","N1","N2"},MATCH(MIN(P255:U255),P255:U255,0))))</f>
        <v>S2</v>
      </c>
      <c r="W255" s="117">
        <f t="shared" si="27"/>
        <v>1</v>
      </c>
      <c r="X255" s="107"/>
    </row>
    <row r="256" spans="1:24">
      <c r="A256" s="115">
        <v>254</v>
      </c>
      <c r="B256" s="116">
        <v>9</v>
      </c>
      <c r="C256" s="61" t="s">
        <v>130</v>
      </c>
      <c r="D256" s="61" t="s">
        <v>240</v>
      </c>
      <c r="E256" s="61" t="s">
        <v>102</v>
      </c>
      <c r="F256" s="61">
        <v>4.91</v>
      </c>
      <c r="G256" s="52">
        <f t="shared" si="21"/>
        <v>5.88</v>
      </c>
      <c r="H256" s="110"/>
      <c r="I256" s="81">
        <v>9.91</v>
      </c>
      <c r="J256" s="81">
        <f>VLOOKUP(C256,Recipes!$A$2:$N$4,12,FALSE())</f>
        <v>5.0137397426368718E-2</v>
      </c>
      <c r="K256" s="81">
        <f t="shared" si="22"/>
        <v>9.7345191090077101</v>
      </c>
      <c r="L256" s="81">
        <f t="shared" si="23"/>
        <v>10.08548089099229</v>
      </c>
      <c r="M256" s="81" t="str">
        <f t="shared" si="25"/>
        <v>NG</v>
      </c>
      <c r="N256" s="117">
        <f t="shared" si="24"/>
        <v>1</v>
      </c>
      <c r="O256" s="81">
        <f t="shared" si="26"/>
        <v>4.03</v>
      </c>
      <c r="P256" s="81">
        <f>IF(G256="","",ABS(O256-Components!$C$2)/Components!$D$2)</f>
        <v>193.17252083828927</v>
      </c>
      <c r="Q256" s="81">
        <f>IF(G256="","",ABS(O256-Components!$C$3)/Components!$D$3)</f>
        <v>0.43489129076422284</v>
      </c>
      <c r="R256" s="81">
        <f>IF(G256="","",ABS(O256-Components!$C$4)/Components!$D$4)</f>
        <v>217.23624530568088</v>
      </c>
      <c r="S256" s="81">
        <f>IF(G256="","",ABS(O256-Components!$C$5)/Components!$D$5)</f>
        <v>21.154512316439458</v>
      </c>
      <c r="T256" s="81">
        <f>IF(G256="","",ABS(O256-Components!$C$6)/Components!$D$6)</f>
        <v>104.03513080927841</v>
      </c>
      <c r="U256" s="81">
        <f>IF(G256="","",ABS(O256-Components!$C$7)/Components!$D$7)</f>
        <v>105.61178095303143</v>
      </c>
      <c r="V256" s="81" t="str">
        <f>IF(G256="","",IF(M256="OK","NONE",INDEX({"S1","S2","W1","W2","N1","N2"},MATCH(MIN(P256:U256),P256:U256,0))))</f>
        <v>S2</v>
      </c>
      <c r="W256" s="117">
        <f t="shared" si="27"/>
        <v>1</v>
      </c>
      <c r="X256" s="107"/>
    </row>
    <row r="257" spans="1:24">
      <c r="A257" s="115">
        <v>255</v>
      </c>
      <c r="B257" s="116">
        <v>9</v>
      </c>
      <c r="C257" s="61" t="s">
        <v>130</v>
      </c>
      <c r="D257" s="61" t="s">
        <v>240</v>
      </c>
      <c r="E257" s="61" t="s">
        <v>102</v>
      </c>
      <c r="F257" s="61">
        <v>4.88</v>
      </c>
      <c r="G257" s="52">
        <f t="shared" si="21"/>
        <v>5.85</v>
      </c>
      <c r="H257" s="110"/>
      <c r="I257" s="81">
        <v>9.91</v>
      </c>
      <c r="J257" s="81">
        <f>VLOOKUP(C257,Recipes!$A$2:$N$4,12,FALSE())</f>
        <v>5.0137397426368718E-2</v>
      </c>
      <c r="K257" s="81">
        <f t="shared" si="22"/>
        <v>9.7345191090077101</v>
      </c>
      <c r="L257" s="81">
        <f t="shared" si="23"/>
        <v>10.08548089099229</v>
      </c>
      <c r="M257" s="81" t="str">
        <f t="shared" si="25"/>
        <v>NG</v>
      </c>
      <c r="N257" s="117">
        <f t="shared" si="24"/>
        <v>1</v>
      </c>
      <c r="O257" s="81">
        <f t="shared" si="26"/>
        <v>4.0600000000000005</v>
      </c>
      <c r="P257" s="81">
        <f>IF(G257="","",ABS(O257-Components!$C$2)/Components!$D$2)</f>
        <v>197.71182289454154</v>
      </c>
      <c r="Q257" s="81">
        <f>IF(G257="","",ABS(O257-Components!$C$3)/Components!$D$3)</f>
        <v>1.7395651630571487</v>
      </c>
      <c r="R257" s="81">
        <f>IF(G257="","",ABS(O257-Components!$C$4)/Components!$D$4)</f>
        <v>219.38237725710914</v>
      </c>
      <c r="S257" s="81">
        <f>IF(G257="","",ABS(O257-Components!$C$5)/Components!$D$5)</f>
        <v>19.963081710382166</v>
      </c>
      <c r="T257" s="81">
        <f>IF(G257="","",ABS(O257-Components!$C$6)/Components!$D$6)</f>
        <v>105.12096657094317</v>
      </c>
      <c r="U257" s="81">
        <f>IF(G257="","",ABS(O257-Components!$C$7)/Components!$D$7)</f>
        <v>106.80483483602038</v>
      </c>
      <c r="V257" s="81" t="str">
        <f>IF(G257="","",IF(M257="OK","NONE",INDEX({"S1","S2","W1","W2","N1","N2"},MATCH(MIN(P257:U257),P257:U257,0))))</f>
        <v>S2</v>
      </c>
      <c r="W257" s="117">
        <f t="shared" si="27"/>
        <v>1</v>
      </c>
      <c r="X257" s="107"/>
    </row>
    <row r="258" spans="1:24">
      <c r="A258" s="115">
        <v>256</v>
      </c>
      <c r="B258" s="116">
        <v>9</v>
      </c>
      <c r="C258" s="81" t="s">
        <v>130</v>
      </c>
      <c r="D258" s="111" t="s">
        <v>240</v>
      </c>
      <c r="E258" s="81" t="s">
        <v>102</v>
      </c>
      <c r="F258" s="61">
        <v>4.87</v>
      </c>
      <c r="G258" s="52">
        <f t="shared" si="21"/>
        <v>5.84</v>
      </c>
      <c r="H258" s="110"/>
      <c r="I258" s="81">
        <v>9.91</v>
      </c>
      <c r="J258" s="81">
        <f>VLOOKUP(C258,Recipes!$A$2:$N$4,12,FALSE())</f>
        <v>5.0137397426368718E-2</v>
      </c>
      <c r="K258" s="81">
        <f t="shared" si="22"/>
        <v>9.7345191090077101</v>
      </c>
      <c r="L258" s="81">
        <f t="shared" si="23"/>
        <v>10.08548089099229</v>
      </c>
      <c r="M258" s="81" t="str">
        <f t="shared" si="25"/>
        <v>NG</v>
      </c>
      <c r="N258" s="117">
        <f t="shared" si="24"/>
        <v>1</v>
      </c>
      <c r="O258" s="81">
        <f t="shared" si="26"/>
        <v>4.07</v>
      </c>
      <c r="P258" s="81">
        <f>IF(G258="","",ABS(O258-Components!$C$2)/Components!$D$2)</f>
        <v>199.2249235799589</v>
      </c>
      <c r="Q258" s="81">
        <f>IF(G258="","",ABS(O258-Components!$C$3)/Components!$D$3)</f>
        <v>2.4643839809975847</v>
      </c>
      <c r="R258" s="81">
        <f>IF(G258="","",ABS(O258-Components!$C$4)/Components!$D$4)</f>
        <v>220.09775457425187</v>
      </c>
      <c r="S258" s="81">
        <f>IF(G258="","",ABS(O258-Components!$C$5)/Components!$D$5)</f>
        <v>19.565938175029746</v>
      </c>
      <c r="T258" s="81">
        <f>IF(G258="","",ABS(O258-Components!$C$6)/Components!$D$6)</f>
        <v>105.4829118248314</v>
      </c>
      <c r="U258" s="81">
        <f>IF(G258="","",ABS(O258-Components!$C$7)/Components!$D$7)</f>
        <v>107.20251946368334</v>
      </c>
      <c r="V258" s="81" t="str">
        <f>IF(G258="","",IF(M258="OK","NONE",INDEX({"S1","S2","W1","W2","N1","N2"},MATCH(MIN(P258:U258),P258:U258,0))))</f>
        <v>S2</v>
      </c>
      <c r="W258" s="117">
        <f t="shared" si="27"/>
        <v>1</v>
      </c>
      <c r="X258" s="107"/>
    </row>
    <row r="259" spans="1:24">
      <c r="A259" s="115">
        <v>257</v>
      </c>
      <c r="B259" s="116">
        <v>9</v>
      </c>
      <c r="C259" s="81" t="s">
        <v>130</v>
      </c>
      <c r="D259" s="111" t="s">
        <v>240</v>
      </c>
      <c r="E259" s="81" t="s">
        <v>102</v>
      </c>
      <c r="F259" s="61">
        <v>4.91</v>
      </c>
      <c r="G259" s="52">
        <f t="shared" ref="G259:G322" si="28">0.97+F259</f>
        <v>5.88</v>
      </c>
      <c r="H259" s="110"/>
      <c r="I259" s="81">
        <v>9.91</v>
      </c>
      <c r="J259" s="81">
        <f>VLOOKUP(C259,Recipes!$A$2:$N$4,12,FALSE())</f>
        <v>5.0137397426368718E-2</v>
      </c>
      <c r="K259" s="81">
        <f t="shared" ref="K259:K322" si="29">I259-3.5*J259</f>
        <v>9.7345191090077101</v>
      </c>
      <c r="L259" s="81">
        <f t="shared" ref="L259:L322" si="30">I259+3.5*J259</f>
        <v>10.08548089099229</v>
      </c>
      <c r="M259" s="81" t="str">
        <f t="shared" si="25"/>
        <v>NG</v>
      </c>
      <c r="N259" s="117">
        <f t="shared" ref="N259:N322" si="31">IF(M259="","",IF(M259=D259,1,0))</f>
        <v>1</v>
      </c>
      <c r="O259" s="81">
        <f t="shared" si="26"/>
        <v>4.03</v>
      </c>
      <c r="P259" s="81">
        <f>IF(G259="","",ABS(O259-Components!$C$2)/Components!$D$2)</f>
        <v>193.17252083828927</v>
      </c>
      <c r="Q259" s="81">
        <f>IF(G259="","",ABS(O259-Components!$C$3)/Components!$D$3)</f>
        <v>0.43489129076422284</v>
      </c>
      <c r="R259" s="81">
        <f>IF(G259="","",ABS(O259-Components!$C$4)/Components!$D$4)</f>
        <v>217.23624530568088</v>
      </c>
      <c r="S259" s="81">
        <f>IF(G259="","",ABS(O259-Components!$C$5)/Components!$D$5)</f>
        <v>21.154512316439458</v>
      </c>
      <c r="T259" s="81">
        <f>IF(G259="","",ABS(O259-Components!$C$6)/Components!$D$6)</f>
        <v>104.03513080927841</v>
      </c>
      <c r="U259" s="81">
        <f>IF(G259="","",ABS(O259-Components!$C$7)/Components!$D$7)</f>
        <v>105.61178095303143</v>
      </c>
      <c r="V259" s="81" t="str">
        <f>IF(G259="","",IF(M259="OK","NONE",INDEX({"S1","S2","W1","W2","N1","N2"},MATCH(MIN(P259:U259),P259:U259,0))))</f>
        <v>S2</v>
      </c>
      <c r="W259" s="117">
        <f t="shared" si="27"/>
        <v>1</v>
      </c>
      <c r="X259" s="107"/>
    </row>
    <row r="260" spans="1:24">
      <c r="A260" s="115">
        <v>258</v>
      </c>
      <c r="B260" s="116">
        <v>9</v>
      </c>
      <c r="C260" s="81" t="s">
        <v>130</v>
      </c>
      <c r="D260" s="111" t="s">
        <v>240</v>
      </c>
      <c r="E260" s="81" t="s">
        <v>102</v>
      </c>
      <c r="F260" s="61">
        <v>4.67</v>
      </c>
      <c r="G260" s="52">
        <f t="shared" si="28"/>
        <v>5.64</v>
      </c>
      <c r="H260" s="110"/>
      <c r="I260" s="81">
        <v>9.91</v>
      </c>
      <c r="J260" s="81">
        <f>VLOOKUP(C260,Recipes!$A$2:$N$4,12,FALSE())</f>
        <v>5.0137397426368718E-2</v>
      </c>
      <c r="K260" s="81">
        <f t="shared" si="29"/>
        <v>9.7345191090077101</v>
      </c>
      <c r="L260" s="81">
        <f t="shared" si="30"/>
        <v>10.08548089099229</v>
      </c>
      <c r="M260" s="81" t="str">
        <f t="shared" ref="M260:M323" si="32">IF(G260="","",IF(AND(G260&gt;=K260,G260&lt;=L260),"OK","NG"))</f>
        <v>NG</v>
      </c>
      <c r="N260" s="117">
        <f t="shared" si="31"/>
        <v>1</v>
      </c>
      <c r="O260" s="81">
        <f t="shared" ref="O260:O323" si="33">IF(G260="","",I260-G260)</f>
        <v>4.2700000000000005</v>
      </c>
      <c r="P260" s="81">
        <f>IF(G260="","",ABS(O260-Components!$C$2)/Components!$D$2)</f>
        <v>229.48693728830702</v>
      </c>
      <c r="Q260" s="81">
        <f>IF(G260="","",ABS(O260-Components!$C$3)/Components!$D$3)</f>
        <v>16.960760339806622</v>
      </c>
      <c r="R260" s="81">
        <f>IF(G260="","",ABS(O260-Components!$C$4)/Components!$D$4)</f>
        <v>234.40530091710681</v>
      </c>
      <c r="S260" s="81">
        <f>IF(G260="","",ABS(O260-Components!$C$5)/Components!$D$5)</f>
        <v>11.623067467981183</v>
      </c>
      <c r="T260" s="81">
        <f>IF(G260="","",ABS(O260-Components!$C$6)/Components!$D$6)</f>
        <v>112.72181690259636</v>
      </c>
      <c r="U260" s="81">
        <f>IF(G260="","",ABS(O260-Components!$C$7)/Components!$D$7)</f>
        <v>115.15621201694289</v>
      </c>
      <c r="V260" s="81" t="str">
        <f>IF(G260="","",IF(M260="OK","NONE",INDEX({"S1","S2","W1","W2","N1","N2"},MATCH(MIN(P260:U260),P260:U260,0))))</f>
        <v>W2</v>
      </c>
      <c r="W260" s="122">
        <f t="shared" ref="W260:W323" si="34">IF(G260="","",IF(V260=E260,1,0))</f>
        <v>0</v>
      </c>
      <c r="X260" s="107"/>
    </row>
    <row r="261" spans="1:24">
      <c r="A261" s="115">
        <v>259</v>
      </c>
      <c r="B261" s="116">
        <v>9</v>
      </c>
      <c r="C261" s="61" t="s">
        <v>130</v>
      </c>
      <c r="D261" s="61" t="s">
        <v>240</v>
      </c>
      <c r="E261" s="61" t="s">
        <v>102</v>
      </c>
      <c r="F261" s="61">
        <v>4.8600000000000003</v>
      </c>
      <c r="G261" s="52">
        <f t="shared" si="28"/>
        <v>5.83</v>
      </c>
      <c r="H261" s="110"/>
      <c r="I261" s="81">
        <v>9.91</v>
      </c>
      <c r="J261" s="81">
        <f>VLOOKUP(C261,Recipes!$A$2:$N$4,12,FALSE())</f>
        <v>5.0137397426368718E-2</v>
      </c>
      <c r="K261" s="81">
        <f t="shared" si="29"/>
        <v>9.7345191090077101</v>
      </c>
      <c r="L261" s="81">
        <f t="shared" si="30"/>
        <v>10.08548089099229</v>
      </c>
      <c r="M261" s="81" t="str">
        <f t="shared" si="32"/>
        <v>NG</v>
      </c>
      <c r="N261" s="117">
        <f t="shared" si="31"/>
        <v>1</v>
      </c>
      <c r="O261" s="81">
        <f t="shared" si="33"/>
        <v>4.08</v>
      </c>
      <c r="P261" s="81">
        <f>IF(G261="","",ABS(O261-Components!$C$2)/Components!$D$2)</f>
        <v>200.73802426537628</v>
      </c>
      <c r="Q261" s="81">
        <f>IF(G261="","",ABS(O261-Components!$C$3)/Components!$D$3)</f>
        <v>3.1892027989380205</v>
      </c>
      <c r="R261" s="81">
        <f>IF(G261="","",ABS(O261-Components!$C$4)/Components!$D$4)</f>
        <v>220.81313189139459</v>
      </c>
      <c r="S261" s="81">
        <f>IF(G261="","",ABS(O261-Components!$C$5)/Components!$D$5)</f>
        <v>19.168794639677326</v>
      </c>
      <c r="T261" s="81">
        <f>IF(G261="","",ABS(O261-Components!$C$6)/Components!$D$6)</f>
        <v>105.84485707871964</v>
      </c>
      <c r="U261" s="81">
        <f>IF(G261="","",ABS(O261-Components!$C$7)/Components!$D$7)</f>
        <v>107.60020409134631</v>
      </c>
      <c r="V261" s="81" t="str">
        <f>IF(G261="","",IF(M261="OK","NONE",INDEX({"S1","S2","W1","W2","N1","N2"},MATCH(MIN(P261:U261),P261:U261,0))))</f>
        <v>S2</v>
      </c>
      <c r="W261" s="117">
        <f t="shared" si="34"/>
        <v>1</v>
      </c>
      <c r="X261" s="107"/>
    </row>
    <row r="262" spans="1:24">
      <c r="A262" s="115">
        <v>260</v>
      </c>
      <c r="B262" s="116">
        <v>9</v>
      </c>
      <c r="C262" s="61" t="s">
        <v>130</v>
      </c>
      <c r="D262" s="61" t="s">
        <v>240</v>
      </c>
      <c r="E262" s="61" t="s">
        <v>102</v>
      </c>
      <c r="F262" s="61">
        <v>4.75</v>
      </c>
      <c r="G262" s="52">
        <f t="shared" si="28"/>
        <v>5.72</v>
      </c>
      <c r="H262" s="110"/>
      <c r="I262" s="81">
        <v>9.91</v>
      </c>
      <c r="J262" s="81">
        <f>VLOOKUP(C262,Recipes!$A$2:$N$4,12,FALSE())</f>
        <v>5.0137397426368718E-2</v>
      </c>
      <c r="K262" s="81">
        <f t="shared" si="29"/>
        <v>9.7345191090077101</v>
      </c>
      <c r="L262" s="81">
        <f t="shared" si="30"/>
        <v>10.08548089099229</v>
      </c>
      <c r="M262" s="81" t="str">
        <f t="shared" si="32"/>
        <v>NG</v>
      </c>
      <c r="N262" s="117">
        <f t="shared" si="31"/>
        <v>1</v>
      </c>
      <c r="O262" s="81">
        <f t="shared" si="33"/>
        <v>4.1900000000000004</v>
      </c>
      <c r="P262" s="81">
        <f>IF(G262="","",ABS(O262-Components!$C$2)/Components!$D$2)</f>
        <v>217.38213180496777</v>
      </c>
      <c r="Q262" s="81">
        <f>IF(G262="","",ABS(O262-Components!$C$3)/Components!$D$3)</f>
        <v>11.162209796283006</v>
      </c>
      <c r="R262" s="81">
        <f>IF(G262="","",ABS(O262-Components!$C$4)/Components!$D$4)</f>
        <v>228.68228237996485</v>
      </c>
      <c r="S262" s="81">
        <f>IF(G262="","",ABS(O262-Components!$C$5)/Components!$D$5)</f>
        <v>14.800215750800609</v>
      </c>
      <c r="T262" s="81">
        <f>IF(G262="","",ABS(O262-Components!$C$6)/Components!$D$6)</f>
        <v>109.82625487149038</v>
      </c>
      <c r="U262" s="81">
        <f>IF(G262="","",ABS(O262-Components!$C$7)/Components!$D$7)</f>
        <v>111.97473499563907</v>
      </c>
      <c r="V262" s="81" t="str">
        <f>IF(G262="","",IF(M262="OK","NONE",INDEX({"S1","S2","W1","W2","N1","N2"},MATCH(MIN(P262:U262),P262:U262,0))))</f>
        <v>S2</v>
      </c>
      <c r="W262" s="117">
        <f t="shared" si="34"/>
        <v>1</v>
      </c>
      <c r="X262" s="107"/>
    </row>
    <row r="263" spans="1:24">
      <c r="A263" s="115">
        <v>261</v>
      </c>
      <c r="B263" s="116">
        <v>9</v>
      </c>
      <c r="C263" s="81" t="s">
        <v>130</v>
      </c>
      <c r="D263" s="111" t="s">
        <v>240</v>
      </c>
      <c r="E263" s="81" t="s">
        <v>102</v>
      </c>
      <c r="F263" s="61">
        <v>4.91</v>
      </c>
      <c r="G263" s="52">
        <f t="shared" si="28"/>
        <v>5.88</v>
      </c>
      <c r="H263" s="110"/>
      <c r="I263" s="81">
        <v>9.91</v>
      </c>
      <c r="J263" s="81">
        <f>VLOOKUP(C263,Recipes!$A$2:$N$4,12,FALSE())</f>
        <v>5.0137397426368718E-2</v>
      </c>
      <c r="K263" s="81">
        <f t="shared" si="29"/>
        <v>9.7345191090077101</v>
      </c>
      <c r="L263" s="81">
        <f t="shared" si="30"/>
        <v>10.08548089099229</v>
      </c>
      <c r="M263" s="81" t="str">
        <f t="shared" si="32"/>
        <v>NG</v>
      </c>
      <c r="N263" s="117">
        <f t="shared" si="31"/>
        <v>1</v>
      </c>
      <c r="O263" s="81">
        <f t="shared" si="33"/>
        <v>4.03</v>
      </c>
      <c r="P263" s="81">
        <f>IF(G263="","",ABS(O263-Components!$C$2)/Components!$D$2)</f>
        <v>193.17252083828927</v>
      </c>
      <c r="Q263" s="81">
        <f>IF(G263="","",ABS(O263-Components!$C$3)/Components!$D$3)</f>
        <v>0.43489129076422284</v>
      </c>
      <c r="R263" s="81">
        <f>IF(G263="","",ABS(O263-Components!$C$4)/Components!$D$4)</f>
        <v>217.23624530568088</v>
      </c>
      <c r="S263" s="81">
        <f>IF(G263="","",ABS(O263-Components!$C$5)/Components!$D$5)</f>
        <v>21.154512316439458</v>
      </c>
      <c r="T263" s="81">
        <f>IF(G263="","",ABS(O263-Components!$C$6)/Components!$D$6)</f>
        <v>104.03513080927841</v>
      </c>
      <c r="U263" s="81">
        <f>IF(G263="","",ABS(O263-Components!$C$7)/Components!$D$7)</f>
        <v>105.61178095303143</v>
      </c>
      <c r="V263" s="81" t="str">
        <f>IF(G263="","",IF(M263="OK","NONE",INDEX({"S1","S2","W1","W2","N1","N2"},MATCH(MIN(P263:U263),P263:U263,0))))</f>
        <v>S2</v>
      </c>
      <c r="W263" s="117">
        <f t="shared" si="34"/>
        <v>1</v>
      </c>
      <c r="X263" s="107"/>
    </row>
    <row r="264" spans="1:24">
      <c r="A264" s="115">
        <v>262</v>
      </c>
      <c r="B264" s="116">
        <v>9</v>
      </c>
      <c r="C264" s="81" t="s">
        <v>130</v>
      </c>
      <c r="D264" s="111" t="s">
        <v>240</v>
      </c>
      <c r="E264" s="81" t="s">
        <v>102</v>
      </c>
      <c r="F264" s="61">
        <v>4.82</v>
      </c>
      <c r="G264" s="52">
        <f t="shared" si="28"/>
        <v>5.79</v>
      </c>
      <c r="H264" s="110"/>
      <c r="I264" s="81">
        <v>9.91</v>
      </c>
      <c r="J264" s="81">
        <f>VLOOKUP(C264,Recipes!$A$2:$N$4,12,FALSE())</f>
        <v>5.0137397426368718E-2</v>
      </c>
      <c r="K264" s="81">
        <f t="shared" si="29"/>
        <v>9.7345191090077101</v>
      </c>
      <c r="L264" s="81">
        <f t="shared" si="30"/>
        <v>10.08548089099229</v>
      </c>
      <c r="M264" s="81" t="str">
        <f t="shared" si="32"/>
        <v>NG</v>
      </c>
      <c r="N264" s="117">
        <f t="shared" si="31"/>
        <v>1</v>
      </c>
      <c r="O264" s="81">
        <f t="shared" si="33"/>
        <v>4.12</v>
      </c>
      <c r="P264" s="81">
        <f>IF(G264="","",ABS(O264-Components!$C$2)/Components!$D$2)</f>
        <v>206.79042700704591</v>
      </c>
      <c r="Q264" s="81">
        <f>IF(G264="","",ABS(O264-Components!$C$3)/Components!$D$3)</f>
        <v>6.0884780706998276</v>
      </c>
      <c r="R264" s="81">
        <f>IF(G264="","",ABS(O264-Components!$C$4)/Components!$D$4)</f>
        <v>223.6746411599656</v>
      </c>
      <c r="S264" s="81">
        <f>IF(G264="","",ABS(O264-Components!$C$5)/Components!$D$5)</f>
        <v>17.580220498267614</v>
      </c>
      <c r="T264" s="81">
        <f>IF(G264="","",ABS(O264-Components!$C$6)/Components!$D$6)</f>
        <v>107.29263809427263</v>
      </c>
      <c r="U264" s="81">
        <f>IF(G264="","",ABS(O264-Components!$C$7)/Components!$D$7)</f>
        <v>109.19094260199822</v>
      </c>
      <c r="V264" s="81" t="str">
        <f>IF(G264="","",IF(M264="OK","NONE",INDEX({"S1","S2","W1","W2","N1","N2"},MATCH(MIN(P264:U264),P264:U264,0))))</f>
        <v>S2</v>
      </c>
      <c r="W264" s="117">
        <f t="shared" si="34"/>
        <v>1</v>
      </c>
      <c r="X264" s="107"/>
    </row>
    <row r="265" spans="1:24">
      <c r="A265" s="115">
        <v>263</v>
      </c>
      <c r="B265" s="116">
        <v>9</v>
      </c>
      <c r="C265" s="81" t="s">
        <v>130</v>
      </c>
      <c r="D265" s="111" t="s">
        <v>240</v>
      </c>
      <c r="E265" s="81" t="s">
        <v>102</v>
      </c>
      <c r="F265" s="61">
        <v>4.83</v>
      </c>
      <c r="G265" s="52">
        <f t="shared" si="28"/>
        <v>5.8</v>
      </c>
      <c r="H265" s="110"/>
      <c r="I265" s="81">
        <v>9.91</v>
      </c>
      <c r="J265" s="81">
        <f>VLOOKUP(C265,Recipes!$A$2:$N$4,12,FALSE())</f>
        <v>5.0137397426368718E-2</v>
      </c>
      <c r="K265" s="81">
        <f t="shared" si="29"/>
        <v>9.7345191090077101</v>
      </c>
      <c r="L265" s="81">
        <f t="shared" si="30"/>
        <v>10.08548089099229</v>
      </c>
      <c r="M265" s="81" t="str">
        <f t="shared" si="32"/>
        <v>NG</v>
      </c>
      <c r="N265" s="117">
        <f t="shared" si="31"/>
        <v>1</v>
      </c>
      <c r="O265" s="81">
        <f t="shared" si="33"/>
        <v>4.1100000000000003</v>
      </c>
      <c r="P265" s="81">
        <f>IF(G265="","",ABS(O265-Components!$C$2)/Components!$D$2)</f>
        <v>205.27732632162852</v>
      </c>
      <c r="Q265" s="81">
        <f>IF(G265="","",ABS(O265-Components!$C$3)/Components!$D$3)</f>
        <v>5.3636592527593923</v>
      </c>
      <c r="R265" s="81">
        <f>IF(G265="","",ABS(O265-Components!$C$4)/Components!$D$4)</f>
        <v>222.95926384282285</v>
      </c>
      <c r="S265" s="81">
        <f>IF(G265="","",ABS(O265-Components!$C$5)/Components!$D$5)</f>
        <v>17.977364033620034</v>
      </c>
      <c r="T265" s="81">
        <f>IF(G265="","",ABS(O265-Components!$C$6)/Components!$D$6)</f>
        <v>106.9306928403844</v>
      </c>
      <c r="U265" s="81">
        <f>IF(G265="","",ABS(O265-Components!$C$7)/Components!$D$7)</f>
        <v>108.79325797433525</v>
      </c>
      <c r="V265" s="81" t="str">
        <f>IF(G265="","",IF(M265="OK","NONE",INDEX({"S1","S2","W1","W2","N1","N2"},MATCH(MIN(P265:U265),P265:U265,0))))</f>
        <v>S2</v>
      </c>
      <c r="W265" s="117">
        <f t="shared" si="34"/>
        <v>1</v>
      </c>
      <c r="X265" s="107"/>
    </row>
    <row r="266" spans="1:24">
      <c r="A266" s="115">
        <v>264</v>
      </c>
      <c r="B266" s="116">
        <v>9</v>
      </c>
      <c r="C266" s="61" t="s">
        <v>130</v>
      </c>
      <c r="D266" s="61" t="s">
        <v>240</v>
      </c>
      <c r="E266" s="61" t="s">
        <v>102</v>
      </c>
      <c r="F266" s="61">
        <v>4.78</v>
      </c>
      <c r="G266" s="52">
        <f t="shared" si="28"/>
        <v>5.75</v>
      </c>
      <c r="H266" s="110"/>
      <c r="I266" s="81">
        <v>9.91</v>
      </c>
      <c r="J266" s="81">
        <f>VLOOKUP(C266,Recipes!$A$2:$N$4,12,FALSE())</f>
        <v>5.0137397426368718E-2</v>
      </c>
      <c r="K266" s="81">
        <f t="shared" si="29"/>
        <v>9.7345191090077101</v>
      </c>
      <c r="L266" s="81">
        <f t="shared" si="30"/>
        <v>10.08548089099229</v>
      </c>
      <c r="M266" s="81" t="str">
        <f t="shared" si="32"/>
        <v>NG</v>
      </c>
      <c r="N266" s="117">
        <f t="shared" si="31"/>
        <v>1</v>
      </c>
      <c r="O266" s="81">
        <f t="shared" si="33"/>
        <v>4.16</v>
      </c>
      <c r="P266" s="81">
        <f>IF(G266="","",ABS(O266-Components!$C$2)/Components!$D$2)</f>
        <v>212.84282974871553</v>
      </c>
      <c r="Q266" s="81">
        <f>IF(G266="","",ABS(O266-Components!$C$3)/Components!$D$3)</f>
        <v>8.9877533424616356</v>
      </c>
      <c r="R266" s="81">
        <f>IF(G266="","",ABS(O266-Components!$C$4)/Components!$D$4)</f>
        <v>226.53615042853659</v>
      </c>
      <c r="S266" s="81">
        <f>IF(G266="","",ABS(O266-Components!$C$5)/Components!$D$5)</f>
        <v>15.991646356857903</v>
      </c>
      <c r="T266" s="81">
        <f>IF(G266="","",ABS(O266-Components!$C$6)/Components!$D$6)</f>
        <v>108.74041910982562</v>
      </c>
      <c r="U266" s="81">
        <f>IF(G266="","",ABS(O266-Components!$C$7)/Components!$D$7)</f>
        <v>110.78168111265013</v>
      </c>
      <c r="V266" s="81" t="str">
        <f>IF(G266="","",IF(M266="OK","NONE",INDEX({"S1","S2","W1","W2","N1","N2"},MATCH(MIN(P266:U266),P266:U266,0))))</f>
        <v>S2</v>
      </c>
      <c r="W266" s="117">
        <f t="shared" si="34"/>
        <v>1</v>
      </c>
      <c r="X266" s="107"/>
    </row>
    <row r="267" spans="1:24">
      <c r="A267" s="115">
        <v>265</v>
      </c>
      <c r="B267" s="116">
        <v>9</v>
      </c>
      <c r="C267" s="61" t="s">
        <v>130</v>
      </c>
      <c r="D267" s="61" t="s">
        <v>240</v>
      </c>
      <c r="E267" s="61" t="s">
        <v>102</v>
      </c>
      <c r="F267" s="61">
        <v>4.88</v>
      </c>
      <c r="G267" s="52">
        <f t="shared" si="28"/>
        <v>5.85</v>
      </c>
      <c r="H267" s="110"/>
      <c r="I267" s="81">
        <v>9.91</v>
      </c>
      <c r="J267" s="81">
        <f>VLOOKUP(C267,Recipes!$A$2:$N$4,12,FALSE())</f>
        <v>5.0137397426368718E-2</v>
      </c>
      <c r="K267" s="81">
        <f t="shared" si="29"/>
        <v>9.7345191090077101</v>
      </c>
      <c r="L267" s="81">
        <f t="shared" si="30"/>
        <v>10.08548089099229</v>
      </c>
      <c r="M267" s="81" t="str">
        <f t="shared" si="32"/>
        <v>NG</v>
      </c>
      <c r="N267" s="117">
        <f t="shared" si="31"/>
        <v>1</v>
      </c>
      <c r="O267" s="81">
        <f t="shared" si="33"/>
        <v>4.0600000000000005</v>
      </c>
      <c r="P267" s="81">
        <f>IF(G267="","",ABS(O267-Components!$C$2)/Components!$D$2)</f>
        <v>197.71182289454154</v>
      </c>
      <c r="Q267" s="81">
        <f>IF(G267="","",ABS(O267-Components!$C$3)/Components!$D$3)</f>
        <v>1.7395651630571487</v>
      </c>
      <c r="R267" s="81">
        <f>IF(G267="","",ABS(O267-Components!$C$4)/Components!$D$4)</f>
        <v>219.38237725710914</v>
      </c>
      <c r="S267" s="81">
        <f>IF(G267="","",ABS(O267-Components!$C$5)/Components!$D$5)</f>
        <v>19.963081710382166</v>
      </c>
      <c r="T267" s="81">
        <f>IF(G267="","",ABS(O267-Components!$C$6)/Components!$D$6)</f>
        <v>105.12096657094317</v>
      </c>
      <c r="U267" s="81">
        <f>IF(G267="","",ABS(O267-Components!$C$7)/Components!$D$7)</f>
        <v>106.80483483602038</v>
      </c>
      <c r="V267" s="81" t="str">
        <f>IF(G267="","",IF(M267="OK","NONE",INDEX({"S1","S2","W1","W2","N1","N2"},MATCH(MIN(P267:U267),P267:U267,0))))</f>
        <v>S2</v>
      </c>
      <c r="W267" s="117">
        <f t="shared" si="34"/>
        <v>1</v>
      </c>
      <c r="X267" s="107"/>
    </row>
    <row r="268" spans="1:24">
      <c r="A268" s="115">
        <v>266</v>
      </c>
      <c r="B268" s="116">
        <v>9</v>
      </c>
      <c r="C268" s="81" t="s">
        <v>130</v>
      </c>
      <c r="D268" s="111" t="s">
        <v>240</v>
      </c>
      <c r="E268" s="81" t="s">
        <v>102</v>
      </c>
      <c r="F268" s="52">
        <v>4.91</v>
      </c>
      <c r="G268" s="52">
        <f t="shared" si="28"/>
        <v>5.88</v>
      </c>
      <c r="H268" s="110"/>
      <c r="I268" s="81">
        <v>9.91</v>
      </c>
      <c r="J268" s="81">
        <f>VLOOKUP(C268,Recipes!$A$2:$N$4,12,FALSE())</f>
        <v>5.0137397426368718E-2</v>
      </c>
      <c r="K268" s="81">
        <f t="shared" si="29"/>
        <v>9.7345191090077101</v>
      </c>
      <c r="L268" s="81">
        <f t="shared" si="30"/>
        <v>10.08548089099229</v>
      </c>
      <c r="M268" s="81" t="str">
        <f t="shared" si="32"/>
        <v>NG</v>
      </c>
      <c r="N268" s="117">
        <f t="shared" si="31"/>
        <v>1</v>
      </c>
      <c r="O268" s="81">
        <f t="shared" si="33"/>
        <v>4.03</v>
      </c>
      <c r="P268" s="81">
        <f>IF(G268="","",ABS(O268-Components!$C$2)/Components!$D$2)</f>
        <v>193.17252083828927</v>
      </c>
      <c r="Q268" s="81">
        <f>IF(G268="","",ABS(O268-Components!$C$3)/Components!$D$3)</f>
        <v>0.43489129076422284</v>
      </c>
      <c r="R268" s="81">
        <f>IF(G268="","",ABS(O268-Components!$C$4)/Components!$D$4)</f>
        <v>217.23624530568088</v>
      </c>
      <c r="S268" s="81">
        <f>IF(G268="","",ABS(O268-Components!$C$5)/Components!$D$5)</f>
        <v>21.154512316439458</v>
      </c>
      <c r="T268" s="81">
        <f>IF(G268="","",ABS(O268-Components!$C$6)/Components!$D$6)</f>
        <v>104.03513080927841</v>
      </c>
      <c r="U268" s="81">
        <f>IF(G268="","",ABS(O268-Components!$C$7)/Components!$D$7)</f>
        <v>105.61178095303143</v>
      </c>
      <c r="V268" s="81" t="str">
        <f>IF(G268="","",IF(M268="OK","NONE",INDEX({"S1","S2","W1","W2","N1","N2"},MATCH(MIN(P268:U268),P268:U268,0))))</f>
        <v>S2</v>
      </c>
      <c r="W268" s="117">
        <f t="shared" si="34"/>
        <v>1</v>
      </c>
      <c r="X268" s="107"/>
    </row>
    <row r="269" spans="1:24">
      <c r="A269" s="115">
        <v>267</v>
      </c>
      <c r="B269" s="116">
        <v>9</v>
      </c>
      <c r="C269" s="81" t="s">
        <v>130</v>
      </c>
      <c r="D269" s="111" t="s">
        <v>240</v>
      </c>
      <c r="E269" s="81" t="s">
        <v>102</v>
      </c>
      <c r="F269" s="52">
        <v>4.8899999999999997</v>
      </c>
      <c r="G269" s="52">
        <f t="shared" si="28"/>
        <v>5.8599999999999994</v>
      </c>
      <c r="H269" s="110"/>
      <c r="I269" s="81">
        <v>9.91</v>
      </c>
      <c r="J269" s="81">
        <f>VLOOKUP(C269,Recipes!$A$2:$N$4,12,FALSE())</f>
        <v>5.0137397426368718E-2</v>
      </c>
      <c r="K269" s="81">
        <f t="shared" si="29"/>
        <v>9.7345191090077101</v>
      </c>
      <c r="L269" s="81">
        <f t="shared" si="30"/>
        <v>10.08548089099229</v>
      </c>
      <c r="M269" s="81" t="str">
        <f t="shared" si="32"/>
        <v>NG</v>
      </c>
      <c r="N269" s="117">
        <f t="shared" si="31"/>
        <v>1</v>
      </c>
      <c r="O269" s="81">
        <f t="shared" si="33"/>
        <v>4.0500000000000007</v>
      </c>
      <c r="P269" s="81">
        <f>IF(G269="","",ABS(O269-Components!$C$2)/Components!$D$2)</f>
        <v>196.19872220912416</v>
      </c>
      <c r="Q269" s="81">
        <f>IF(G269="","",ABS(O269-Components!$C$3)/Components!$D$3)</f>
        <v>1.0147463451167131</v>
      </c>
      <c r="R269" s="81">
        <f>IF(G269="","",ABS(O269-Components!$C$4)/Components!$D$4)</f>
        <v>218.66699993996642</v>
      </c>
      <c r="S269" s="81">
        <f>IF(G269="","",ABS(O269-Components!$C$5)/Components!$D$5)</f>
        <v>20.360225245734586</v>
      </c>
      <c r="T269" s="81">
        <f>IF(G269="","",ABS(O269-Components!$C$6)/Components!$D$6)</f>
        <v>104.75902131705493</v>
      </c>
      <c r="U269" s="81">
        <f>IF(G269="","",ABS(O269-Components!$C$7)/Components!$D$7)</f>
        <v>106.40715020835741</v>
      </c>
      <c r="V269" s="81" t="str">
        <f>IF(G269="","",IF(M269="OK","NONE",INDEX({"S1","S2","W1","W2","N1","N2"},MATCH(MIN(P269:U269),P269:U269,0))))</f>
        <v>S2</v>
      </c>
      <c r="W269" s="117">
        <f t="shared" si="34"/>
        <v>1</v>
      </c>
      <c r="X269" s="107"/>
    </row>
    <row r="270" spans="1:24">
      <c r="A270" s="115">
        <v>268</v>
      </c>
      <c r="B270" s="116">
        <v>9</v>
      </c>
      <c r="C270" s="81" t="s">
        <v>130</v>
      </c>
      <c r="D270" s="111" t="s">
        <v>240</v>
      </c>
      <c r="E270" s="81" t="s">
        <v>102</v>
      </c>
      <c r="F270" s="52">
        <v>4.8899999999999997</v>
      </c>
      <c r="G270" s="52">
        <f t="shared" si="28"/>
        <v>5.8599999999999994</v>
      </c>
      <c r="H270" s="110"/>
      <c r="I270" s="81">
        <v>9.91</v>
      </c>
      <c r="J270" s="81">
        <f>VLOOKUP(C270,Recipes!$A$2:$N$4,12,FALSE())</f>
        <v>5.0137397426368718E-2</v>
      </c>
      <c r="K270" s="81">
        <f t="shared" si="29"/>
        <v>9.7345191090077101</v>
      </c>
      <c r="L270" s="81">
        <f t="shared" si="30"/>
        <v>10.08548089099229</v>
      </c>
      <c r="M270" s="81" t="str">
        <f t="shared" si="32"/>
        <v>NG</v>
      </c>
      <c r="N270" s="117">
        <f t="shared" si="31"/>
        <v>1</v>
      </c>
      <c r="O270" s="81">
        <f t="shared" si="33"/>
        <v>4.0500000000000007</v>
      </c>
      <c r="P270" s="81">
        <f>IF(G270="","",ABS(O270-Components!$C$2)/Components!$D$2)</f>
        <v>196.19872220912416</v>
      </c>
      <c r="Q270" s="81">
        <f>IF(G270="","",ABS(O270-Components!$C$3)/Components!$D$3)</f>
        <v>1.0147463451167131</v>
      </c>
      <c r="R270" s="81">
        <f>IF(G270="","",ABS(O270-Components!$C$4)/Components!$D$4)</f>
        <v>218.66699993996642</v>
      </c>
      <c r="S270" s="81">
        <f>IF(G270="","",ABS(O270-Components!$C$5)/Components!$D$5)</f>
        <v>20.360225245734586</v>
      </c>
      <c r="T270" s="81">
        <f>IF(G270="","",ABS(O270-Components!$C$6)/Components!$D$6)</f>
        <v>104.75902131705493</v>
      </c>
      <c r="U270" s="81">
        <f>IF(G270="","",ABS(O270-Components!$C$7)/Components!$D$7)</f>
        <v>106.40715020835741</v>
      </c>
      <c r="V270" s="81" t="str">
        <f>IF(G270="","",IF(M270="OK","NONE",INDEX({"S1","S2","W1","W2","N1","N2"},MATCH(MIN(P270:U270),P270:U270,0))))</f>
        <v>S2</v>
      </c>
      <c r="W270" s="117">
        <f t="shared" si="34"/>
        <v>1</v>
      </c>
      <c r="X270" s="107"/>
    </row>
    <row r="271" spans="1:24">
      <c r="A271" s="115">
        <v>269</v>
      </c>
      <c r="B271" s="116">
        <v>9</v>
      </c>
      <c r="C271" s="61" t="s">
        <v>130</v>
      </c>
      <c r="D271" s="61" t="s">
        <v>240</v>
      </c>
      <c r="E271" s="61" t="s">
        <v>102</v>
      </c>
      <c r="F271" s="61">
        <v>4.9000000000000004</v>
      </c>
      <c r="G271" s="52">
        <f t="shared" si="28"/>
        <v>5.87</v>
      </c>
      <c r="H271" s="110"/>
      <c r="I271" s="81">
        <v>9.91</v>
      </c>
      <c r="J271" s="81">
        <f>VLOOKUP(C271,Recipes!$A$2:$N$4,12,FALSE())</f>
        <v>5.0137397426368718E-2</v>
      </c>
      <c r="K271" s="81">
        <f t="shared" si="29"/>
        <v>9.7345191090077101</v>
      </c>
      <c r="L271" s="81">
        <f t="shared" si="30"/>
        <v>10.08548089099229</v>
      </c>
      <c r="M271" s="81" t="str">
        <f t="shared" si="32"/>
        <v>NG</v>
      </c>
      <c r="N271" s="117">
        <f t="shared" si="31"/>
        <v>1</v>
      </c>
      <c r="O271" s="81">
        <f t="shared" si="33"/>
        <v>4.04</v>
      </c>
      <c r="P271" s="81">
        <f>IF(G271="","",ABS(O271-Components!$C$2)/Components!$D$2)</f>
        <v>194.68562152370666</v>
      </c>
      <c r="Q271" s="81">
        <f>IF(G271="","",ABS(O271-Components!$C$3)/Components!$D$3)</f>
        <v>0.28992752717621295</v>
      </c>
      <c r="R271" s="81">
        <f>IF(G271="","",ABS(O271-Components!$C$4)/Components!$D$4)</f>
        <v>217.95162262282361</v>
      </c>
      <c r="S271" s="81">
        <f>IF(G271="","",ABS(O271-Components!$C$5)/Components!$D$5)</f>
        <v>20.757368781087038</v>
      </c>
      <c r="T271" s="81">
        <f>IF(G271="","",ABS(O271-Components!$C$6)/Components!$D$6)</f>
        <v>104.39707606316665</v>
      </c>
      <c r="U271" s="81">
        <f>IF(G271="","",ABS(O271-Components!$C$7)/Components!$D$7)</f>
        <v>106.0094655806944</v>
      </c>
      <c r="V271" s="81" t="str">
        <f>IF(G271="","",IF(M271="OK","NONE",INDEX({"S1","S2","W1","W2","N1","N2"},MATCH(MIN(P271:U271),P271:U271,0))))</f>
        <v>S2</v>
      </c>
      <c r="W271" s="117">
        <f t="shared" si="34"/>
        <v>1</v>
      </c>
      <c r="X271" s="107"/>
    </row>
    <row r="272" spans="1:24">
      <c r="A272" s="115">
        <v>270</v>
      </c>
      <c r="B272" s="116">
        <v>9</v>
      </c>
      <c r="C272" s="61" t="s">
        <v>130</v>
      </c>
      <c r="D272" s="61" t="s">
        <v>240</v>
      </c>
      <c r="E272" s="61" t="s">
        <v>102</v>
      </c>
      <c r="F272" s="61">
        <v>4.91</v>
      </c>
      <c r="G272" s="52">
        <f t="shared" si="28"/>
        <v>5.88</v>
      </c>
      <c r="H272" s="110"/>
      <c r="I272" s="81">
        <v>9.91</v>
      </c>
      <c r="J272" s="81">
        <f>VLOOKUP(C272,Recipes!$A$2:$N$4,12,FALSE())</f>
        <v>5.0137397426368718E-2</v>
      </c>
      <c r="K272" s="81">
        <f t="shared" si="29"/>
        <v>9.7345191090077101</v>
      </c>
      <c r="L272" s="81">
        <f t="shared" si="30"/>
        <v>10.08548089099229</v>
      </c>
      <c r="M272" s="81" t="str">
        <f t="shared" si="32"/>
        <v>NG</v>
      </c>
      <c r="N272" s="117">
        <f t="shared" si="31"/>
        <v>1</v>
      </c>
      <c r="O272" s="81">
        <f t="shared" si="33"/>
        <v>4.03</v>
      </c>
      <c r="P272" s="81">
        <f>IF(G272="","",ABS(O272-Components!$C$2)/Components!$D$2)</f>
        <v>193.17252083828927</v>
      </c>
      <c r="Q272" s="81">
        <f>IF(G272="","",ABS(O272-Components!$C$3)/Components!$D$3)</f>
        <v>0.43489129076422284</v>
      </c>
      <c r="R272" s="81">
        <f>IF(G272="","",ABS(O272-Components!$C$4)/Components!$D$4)</f>
        <v>217.23624530568088</v>
      </c>
      <c r="S272" s="81">
        <f>IF(G272="","",ABS(O272-Components!$C$5)/Components!$D$5)</f>
        <v>21.154512316439458</v>
      </c>
      <c r="T272" s="81">
        <f>IF(G272="","",ABS(O272-Components!$C$6)/Components!$D$6)</f>
        <v>104.03513080927841</v>
      </c>
      <c r="U272" s="81">
        <f>IF(G272="","",ABS(O272-Components!$C$7)/Components!$D$7)</f>
        <v>105.61178095303143</v>
      </c>
      <c r="V272" s="81" t="str">
        <f>IF(G272="","",IF(M272="OK","NONE",INDEX({"S1","S2","W1","W2","N1","N2"},MATCH(MIN(P272:U272),P272:U272,0))))</f>
        <v>S2</v>
      </c>
      <c r="W272" s="117">
        <f t="shared" si="34"/>
        <v>1</v>
      </c>
      <c r="X272" s="107"/>
    </row>
    <row r="273" spans="1:24">
      <c r="A273" s="115">
        <v>271</v>
      </c>
      <c r="B273" s="116">
        <v>10</v>
      </c>
      <c r="C273" s="81" t="s">
        <v>132</v>
      </c>
      <c r="D273" s="109" t="s">
        <v>238</v>
      </c>
      <c r="E273" s="81" t="s">
        <v>239</v>
      </c>
      <c r="F273" s="52">
        <v>8.65</v>
      </c>
      <c r="G273" s="52">
        <f t="shared" si="28"/>
        <v>9.620000000000001</v>
      </c>
      <c r="H273" s="110"/>
      <c r="I273" s="81">
        <v>9.61</v>
      </c>
      <c r="J273" s="81">
        <f>VLOOKUP(C273,Recipes!$A$2:$N$4,12,FALSE())</f>
        <v>6.1509461004819709E-2</v>
      </c>
      <c r="K273" s="81">
        <f t="shared" si="29"/>
        <v>9.3947168864831312</v>
      </c>
      <c r="L273" s="81">
        <f t="shared" si="30"/>
        <v>9.8252831135168677</v>
      </c>
      <c r="M273" s="81" t="str">
        <f t="shared" si="32"/>
        <v>OK</v>
      </c>
      <c r="N273" s="117">
        <f t="shared" si="31"/>
        <v>1</v>
      </c>
      <c r="O273" s="81">
        <f t="shared" si="33"/>
        <v>-1.0000000000001563E-2</v>
      </c>
      <c r="P273" s="81">
        <f>IF(G273="","",ABS(O273-Components!$C$2)/Components!$D$2)</f>
        <v>418.12015607034266</v>
      </c>
      <c r="Q273" s="81">
        <f>IF(G273="","",ABS(O273-Components!$C$3)/Components!$D$3)</f>
        <v>293.26169373870664</v>
      </c>
      <c r="R273" s="81">
        <f>IF(G273="","",ABS(O273-Components!$C$4)/Components!$D$4)</f>
        <v>71.77619081998904</v>
      </c>
      <c r="S273" s="81">
        <f>IF(G273="","",ABS(O273-Components!$C$5)/Components!$D$5)</f>
        <v>181.60050059882036</v>
      </c>
      <c r="T273" s="81">
        <f>IF(G273="","",ABS(O273-Components!$C$6)/Components!$D$6)</f>
        <v>42.190751761573523</v>
      </c>
      <c r="U273" s="81">
        <f>IF(G273="","",ABS(O273-Components!$C$7)/Components!$D$7)</f>
        <v>55.052808622811391</v>
      </c>
      <c r="V273" s="81" t="str">
        <f>IF(G273="","",IF(M273="OK","NONE",INDEX({"S1","S2","W1","W2","N1","N2"},MATCH(MIN(P273:U273),P273:U273,0))))</f>
        <v>NONE</v>
      </c>
      <c r="W273" s="117">
        <f t="shared" si="34"/>
        <v>1</v>
      </c>
      <c r="X273" s="107"/>
    </row>
    <row r="274" spans="1:24">
      <c r="A274" s="115">
        <v>272</v>
      </c>
      <c r="B274" s="116">
        <v>10</v>
      </c>
      <c r="C274" s="81" t="s">
        <v>132</v>
      </c>
      <c r="D274" s="109" t="s">
        <v>238</v>
      </c>
      <c r="E274" s="81" t="s">
        <v>239</v>
      </c>
      <c r="F274" s="52">
        <v>8.5299999999999994</v>
      </c>
      <c r="G274" s="52">
        <f t="shared" si="28"/>
        <v>9.5</v>
      </c>
      <c r="H274" s="110"/>
      <c r="I274" s="81">
        <v>9.61</v>
      </c>
      <c r="J274" s="81">
        <f>VLOOKUP(C274,Recipes!$A$2:$N$4,12,FALSE())</f>
        <v>6.1509461004819709E-2</v>
      </c>
      <c r="K274" s="81">
        <f t="shared" si="29"/>
        <v>9.3947168864831312</v>
      </c>
      <c r="L274" s="81">
        <f t="shared" si="30"/>
        <v>9.8252831135168677</v>
      </c>
      <c r="M274" s="81" t="str">
        <f t="shared" si="32"/>
        <v>OK</v>
      </c>
      <c r="N274" s="117">
        <f t="shared" si="31"/>
        <v>1</v>
      </c>
      <c r="O274" s="81">
        <f t="shared" si="33"/>
        <v>0.10999999999999943</v>
      </c>
      <c r="P274" s="81">
        <f>IF(G274="","",ABS(O274-Components!$C$2)/Components!$D$2)</f>
        <v>399.96294784533364</v>
      </c>
      <c r="Q274" s="81">
        <f>IF(G274="","",ABS(O274-Components!$C$3)/Components!$D$3)</f>
        <v>284.56386792342113</v>
      </c>
      <c r="R274" s="81">
        <f>IF(G274="","",ABS(O274-Components!$C$4)/Components!$D$4)</f>
        <v>63.191663014276003</v>
      </c>
      <c r="S274" s="81">
        <f>IF(G274="","",ABS(O274-Components!$C$5)/Components!$D$5)</f>
        <v>176.83477817459118</v>
      </c>
      <c r="T274" s="81">
        <f>IF(G274="","",ABS(O274-Components!$C$6)/Components!$D$6)</f>
        <v>37.847408714914522</v>
      </c>
      <c r="U274" s="81">
        <f>IF(G274="","",ABS(O274-Components!$C$7)/Components!$D$7)</f>
        <v>50.280593090855632</v>
      </c>
      <c r="V274" s="81" t="str">
        <f>IF(G274="","",IF(M274="OK","NONE",INDEX({"S1","S2","W1","W2","N1","N2"},MATCH(MIN(P274:U274),P274:U274,0))))</f>
        <v>NONE</v>
      </c>
      <c r="W274" s="117">
        <f t="shared" si="34"/>
        <v>1</v>
      </c>
      <c r="X274" s="107"/>
    </row>
    <row r="275" spans="1:24">
      <c r="A275" s="115">
        <v>273</v>
      </c>
      <c r="B275" s="116">
        <v>10</v>
      </c>
      <c r="C275" s="81" t="s">
        <v>132</v>
      </c>
      <c r="D275" s="109" t="s">
        <v>238</v>
      </c>
      <c r="E275" s="81" t="s">
        <v>239</v>
      </c>
      <c r="F275" s="61">
        <v>8.58</v>
      </c>
      <c r="G275" s="52">
        <f t="shared" si="28"/>
        <v>9.5500000000000007</v>
      </c>
      <c r="H275" s="110"/>
      <c r="I275" s="81">
        <v>9.61</v>
      </c>
      <c r="J275" s="81">
        <f>VLOOKUP(C275,Recipes!$A$2:$N$4,12,FALSE())</f>
        <v>6.1509461004819709E-2</v>
      </c>
      <c r="K275" s="81">
        <f t="shared" si="29"/>
        <v>9.3947168864831312</v>
      </c>
      <c r="L275" s="81">
        <f t="shared" si="30"/>
        <v>9.8252831135168677</v>
      </c>
      <c r="M275" s="81" t="str">
        <f t="shared" si="32"/>
        <v>OK</v>
      </c>
      <c r="N275" s="117">
        <f t="shared" si="31"/>
        <v>1</v>
      </c>
      <c r="O275" s="81">
        <f t="shared" si="33"/>
        <v>5.9999999999998721E-2</v>
      </c>
      <c r="P275" s="81">
        <f>IF(G275="","",ABS(O275-Components!$C$2)/Components!$D$2)</f>
        <v>407.52845127242074</v>
      </c>
      <c r="Q275" s="81">
        <f>IF(G275="","",ABS(O275-Components!$C$3)/Components!$D$3)</f>
        <v>288.18796201312347</v>
      </c>
      <c r="R275" s="81">
        <f>IF(G275="","",ABS(O275-Components!$C$4)/Components!$D$4)</f>
        <v>66.768549599989782</v>
      </c>
      <c r="S275" s="81">
        <f>IF(G275="","",ABS(O275-Components!$C$5)/Components!$D$5)</f>
        <v>178.82049585135334</v>
      </c>
      <c r="T275" s="81">
        <f>IF(G275="","",ABS(O275-Components!$C$6)/Components!$D$6)</f>
        <v>39.657134984355785</v>
      </c>
      <c r="U275" s="81">
        <f>IF(G275="","",ABS(O275-Components!$C$7)/Components!$D$7)</f>
        <v>52.269016229170546</v>
      </c>
      <c r="V275" s="81" t="str">
        <f>IF(G275="","",IF(M275="OK","NONE",INDEX({"S1","S2","W1","W2","N1","N2"},MATCH(MIN(P275:U275),P275:U275,0))))</f>
        <v>NONE</v>
      </c>
      <c r="W275" s="117">
        <f t="shared" si="34"/>
        <v>1</v>
      </c>
      <c r="X275" s="107"/>
    </row>
    <row r="276" spans="1:24">
      <c r="A276" s="115">
        <v>274</v>
      </c>
      <c r="B276" s="116">
        <v>10</v>
      </c>
      <c r="C276" s="81" t="s">
        <v>132</v>
      </c>
      <c r="D276" s="109" t="s">
        <v>238</v>
      </c>
      <c r="E276" s="81" t="s">
        <v>239</v>
      </c>
      <c r="F276" s="61">
        <v>8.66</v>
      </c>
      <c r="G276" s="52">
        <f t="shared" si="28"/>
        <v>9.6300000000000008</v>
      </c>
      <c r="H276" s="110"/>
      <c r="I276" s="81">
        <v>9.61</v>
      </c>
      <c r="J276" s="81">
        <f>VLOOKUP(C276,Recipes!$A$2:$N$4,12,FALSE())</f>
        <v>6.1509461004819709E-2</v>
      </c>
      <c r="K276" s="81">
        <f t="shared" si="29"/>
        <v>9.3947168864831312</v>
      </c>
      <c r="L276" s="81">
        <f t="shared" si="30"/>
        <v>9.8252831135168677</v>
      </c>
      <c r="M276" s="81" t="str">
        <f t="shared" si="32"/>
        <v>OK</v>
      </c>
      <c r="N276" s="117">
        <f t="shared" si="31"/>
        <v>1</v>
      </c>
      <c r="O276" s="81">
        <f t="shared" si="33"/>
        <v>-2.000000000000135E-2</v>
      </c>
      <c r="P276" s="81">
        <f>IF(G276="","",ABS(O276-Components!$C$2)/Components!$D$2)</f>
        <v>419.63325675576004</v>
      </c>
      <c r="Q276" s="81">
        <f>IF(G276="","",ABS(O276-Components!$C$3)/Components!$D$3)</f>
        <v>293.98651255664709</v>
      </c>
      <c r="R276" s="81">
        <f>IF(G276="","",ABS(O276-Components!$C$4)/Components!$D$4)</f>
        <v>72.491568137131765</v>
      </c>
      <c r="S276" s="81">
        <f>IF(G276="","",ABS(O276-Components!$C$5)/Components!$D$5)</f>
        <v>181.99764413417276</v>
      </c>
      <c r="T276" s="81">
        <f>IF(G276="","",ABS(O276-Components!$C$6)/Components!$D$6)</f>
        <v>42.552697015461767</v>
      </c>
      <c r="U276" s="81">
        <f>IF(G276="","",ABS(O276-Components!$C$7)/Components!$D$7)</f>
        <v>55.450493250474359</v>
      </c>
      <c r="V276" s="81" t="str">
        <f>IF(G276="","",IF(M276="OK","NONE",INDEX({"S1","S2","W1","W2","N1","N2"},MATCH(MIN(P276:U276),P276:U276,0))))</f>
        <v>NONE</v>
      </c>
      <c r="W276" s="117">
        <f t="shared" si="34"/>
        <v>1</v>
      </c>
      <c r="X276" s="107"/>
    </row>
    <row r="277" spans="1:24">
      <c r="A277" s="115">
        <v>275</v>
      </c>
      <c r="B277" s="116">
        <v>10</v>
      </c>
      <c r="C277" s="81" t="s">
        <v>132</v>
      </c>
      <c r="D277" s="109" t="s">
        <v>238</v>
      </c>
      <c r="E277" s="81" t="s">
        <v>239</v>
      </c>
      <c r="F277" s="61">
        <v>8.57</v>
      </c>
      <c r="G277" s="52">
        <f t="shared" si="28"/>
        <v>9.5400000000000009</v>
      </c>
      <c r="H277" s="110"/>
      <c r="I277" s="81">
        <v>9.61</v>
      </c>
      <c r="J277" s="81">
        <f>VLOOKUP(C277,Recipes!$A$2:$N$4,12,FALSE())</f>
        <v>6.1509461004819709E-2</v>
      </c>
      <c r="K277" s="81">
        <f t="shared" si="29"/>
        <v>9.3947168864831312</v>
      </c>
      <c r="L277" s="81">
        <f t="shared" si="30"/>
        <v>9.8252831135168677</v>
      </c>
      <c r="M277" s="81" t="str">
        <f t="shared" si="32"/>
        <v>OK</v>
      </c>
      <c r="N277" s="117">
        <f t="shared" si="31"/>
        <v>1</v>
      </c>
      <c r="O277" s="81">
        <f t="shared" si="33"/>
        <v>6.9999999999998508E-2</v>
      </c>
      <c r="P277" s="81">
        <f>IF(G277="","",ABS(O277-Components!$C$2)/Components!$D$2)</f>
        <v>406.01535058700341</v>
      </c>
      <c r="Q277" s="81">
        <f>IF(G277="","",ABS(O277-Components!$C$3)/Components!$D$3)</f>
        <v>287.46314319518302</v>
      </c>
      <c r="R277" s="81">
        <f>IF(G277="","",ABS(O277-Components!$C$4)/Components!$D$4)</f>
        <v>66.053172282847058</v>
      </c>
      <c r="S277" s="81">
        <f>IF(G277="","",ABS(O277-Components!$C$5)/Components!$D$5)</f>
        <v>178.42335231600092</v>
      </c>
      <c r="T277" s="81">
        <f>IF(G277="","",ABS(O277-Components!$C$6)/Components!$D$6)</f>
        <v>39.295189730467548</v>
      </c>
      <c r="U277" s="81">
        <f>IF(G277="","",ABS(O277-Components!$C$7)/Components!$D$7)</f>
        <v>51.871331601507578</v>
      </c>
      <c r="V277" s="81" t="str">
        <f>IF(G277="","",IF(M277="OK","NONE",INDEX({"S1","S2","W1","W2","N1","N2"},MATCH(MIN(P277:U277),P277:U277,0))))</f>
        <v>NONE</v>
      </c>
      <c r="W277" s="117">
        <f t="shared" si="34"/>
        <v>1</v>
      </c>
      <c r="X277" s="107"/>
    </row>
    <row r="278" spans="1:24">
      <c r="A278" s="115">
        <v>276</v>
      </c>
      <c r="B278" s="116">
        <v>10</v>
      </c>
      <c r="C278" s="81" t="s">
        <v>132</v>
      </c>
      <c r="D278" s="109" t="s">
        <v>238</v>
      </c>
      <c r="E278" s="81" t="s">
        <v>239</v>
      </c>
      <c r="F278" s="61">
        <v>8.6</v>
      </c>
      <c r="G278" s="52">
        <f t="shared" si="28"/>
        <v>9.57</v>
      </c>
      <c r="H278" s="110"/>
      <c r="I278" s="81">
        <v>9.61</v>
      </c>
      <c r="J278" s="81">
        <f>VLOOKUP(C278,Recipes!$A$2:$N$4,12,FALSE())</f>
        <v>6.1509461004819709E-2</v>
      </c>
      <c r="K278" s="81">
        <f t="shared" si="29"/>
        <v>9.3947168864831312</v>
      </c>
      <c r="L278" s="81">
        <f t="shared" si="30"/>
        <v>9.8252831135168677</v>
      </c>
      <c r="M278" s="81" t="str">
        <f t="shared" si="32"/>
        <v>OK</v>
      </c>
      <c r="N278" s="117">
        <f t="shared" si="31"/>
        <v>1</v>
      </c>
      <c r="O278" s="81">
        <f t="shared" si="33"/>
        <v>3.9999999999999147E-2</v>
      </c>
      <c r="P278" s="81">
        <f>IF(G278="","",ABS(O278-Components!$C$2)/Components!$D$2)</f>
        <v>410.55465264325551</v>
      </c>
      <c r="Q278" s="81">
        <f>IF(G278="","",ABS(O278-Components!$C$3)/Components!$D$3)</f>
        <v>289.63759964900436</v>
      </c>
      <c r="R278" s="81">
        <f>IF(G278="","",ABS(O278-Components!$C$4)/Components!$D$4)</f>
        <v>68.199304234275246</v>
      </c>
      <c r="S278" s="81">
        <f>IF(G278="","",ABS(O278-Components!$C$5)/Components!$D$5)</f>
        <v>179.6147829220582</v>
      </c>
      <c r="T278" s="81">
        <f>IF(G278="","",ABS(O278-Components!$C$6)/Components!$D$6)</f>
        <v>40.381025492132267</v>
      </c>
      <c r="U278" s="81">
        <f>IF(G278="","",ABS(O278-Components!$C$7)/Components!$D$7)</f>
        <v>53.064385484496484</v>
      </c>
      <c r="V278" s="81" t="str">
        <f>IF(G278="","",IF(M278="OK","NONE",INDEX({"S1","S2","W1","W2","N1","N2"},MATCH(MIN(P278:U278),P278:U278,0))))</f>
        <v>NONE</v>
      </c>
      <c r="W278" s="117">
        <f t="shared" si="34"/>
        <v>1</v>
      </c>
      <c r="X278" s="107"/>
    </row>
    <row r="279" spans="1:24">
      <c r="A279" s="115">
        <v>277</v>
      </c>
      <c r="B279" s="116">
        <v>10</v>
      </c>
      <c r="C279" s="81" t="s">
        <v>132</v>
      </c>
      <c r="D279" s="109" t="s">
        <v>238</v>
      </c>
      <c r="E279" s="81" t="s">
        <v>239</v>
      </c>
      <c r="F279" s="61">
        <v>8.65</v>
      </c>
      <c r="G279" s="52">
        <f t="shared" si="28"/>
        <v>9.620000000000001</v>
      </c>
      <c r="H279" s="110"/>
      <c r="I279" s="81">
        <v>9.61</v>
      </c>
      <c r="J279" s="81">
        <f>VLOOKUP(C279,Recipes!$A$2:$N$4,12,FALSE())</f>
        <v>6.1509461004819709E-2</v>
      </c>
      <c r="K279" s="81">
        <f t="shared" si="29"/>
        <v>9.3947168864831312</v>
      </c>
      <c r="L279" s="81">
        <f t="shared" si="30"/>
        <v>9.8252831135168677</v>
      </c>
      <c r="M279" s="81" t="str">
        <f t="shared" si="32"/>
        <v>OK</v>
      </c>
      <c r="N279" s="117">
        <f t="shared" si="31"/>
        <v>1</v>
      </c>
      <c r="O279" s="81">
        <f t="shared" si="33"/>
        <v>-1.0000000000001563E-2</v>
      </c>
      <c r="P279" s="81">
        <f>IF(G279="","",ABS(O279-Components!$C$2)/Components!$D$2)</f>
        <v>418.12015607034266</v>
      </c>
      <c r="Q279" s="81">
        <f>IF(G279="","",ABS(O279-Components!$C$3)/Components!$D$3)</f>
        <v>293.26169373870664</v>
      </c>
      <c r="R279" s="81">
        <f>IF(G279="","",ABS(O279-Components!$C$4)/Components!$D$4)</f>
        <v>71.77619081998904</v>
      </c>
      <c r="S279" s="81">
        <f>IF(G279="","",ABS(O279-Components!$C$5)/Components!$D$5)</f>
        <v>181.60050059882036</v>
      </c>
      <c r="T279" s="81">
        <f>IF(G279="","",ABS(O279-Components!$C$6)/Components!$D$6)</f>
        <v>42.190751761573523</v>
      </c>
      <c r="U279" s="81">
        <f>IF(G279="","",ABS(O279-Components!$C$7)/Components!$D$7)</f>
        <v>55.052808622811391</v>
      </c>
      <c r="V279" s="81" t="str">
        <f>IF(G279="","",IF(M279="OK","NONE",INDEX({"S1","S2","W1","W2","N1","N2"},MATCH(MIN(P279:U279),P279:U279,0))))</f>
        <v>NONE</v>
      </c>
      <c r="W279" s="117">
        <f t="shared" si="34"/>
        <v>1</v>
      </c>
      <c r="X279" s="107"/>
    </row>
    <row r="280" spans="1:24">
      <c r="A280" s="115">
        <v>278</v>
      </c>
      <c r="B280" s="116">
        <v>10</v>
      </c>
      <c r="C280" s="81" t="s">
        <v>132</v>
      </c>
      <c r="D280" s="109" t="s">
        <v>238</v>
      </c>
      <c r="E280" s="81" t="s">
        <v>239</v>
      </c>
      <c r="F280" s="61">
        <v>8.58</v>
      </c>
      <c r="G280" s="52">
        <f t="shared" si="28"/>
        <v>9.5500000000000007</v>
      </c>
      <c r="H280" s="110"/>
      <c r="I280" s="81">
        <v>9.61</v>
      </c>
      <c r="J280" s="81">
        <f>VLOOKUP(C280,Recipes!$A$2:$N$4,12,FALSE())</f>
        <v>6.1509461004819709E-2</v>
      </c>
      <c r="K280" s="81">
        <f t="shared" si="29"/>
        <v>9.3947168864831312</v>
      </c>
      <c r="L280" s="81">
        <f t="shared" si="30"/>
        <v>9.8252831135168677</v>
      </c>
      <c r="M280" s="81" t="str">
        <f t="shared" si="32"/>
        <v>OK</v>
      </c>
      <c r="N280" s="117">
        <f t="shared" si="31"/>
        <v>1</v>
      </c>
      <c r="O280" s="81">
        <f t="shared" si="33"/>
        <v>5.9999999999998721E-2</v>
      </c>
      <c r="P280" s="81">
        <f>IF(G280="","",ABS(O280-Components!$C$2)/Components!$D$2)</f>
        <v>407.52845127242074</v>
      </c>
      <c r="Q280" s="81">
        <f>IF(G280="","",ABS(O280-Components!$C$3)/Components!$D$3)</f>
        <v>288.18796201312347</v>
      </c>
      <c r="R280" s="81">
        <f>IF(G280="","",ABS(O280-Components!$C$4)/Components!$D$4)</f>
        <v>66.768549599989782</v>
      </c>
      <c r="S280" s="81">
        <f>IF(G280="","",ABS(O280-Components!$C$5)/Components!$D$5)</f>
        <v>178.82049585135334</v>
      </c>
      <c r="T280" s="81">
        <f>IF(G280="","",ABS(O280-Components!$C$6)/Components!$D$6)</f>
        <v>39.657134984355785</v>
      </c>
      <c r="U280" s="81">
        <f>IF(G280="","",ABS(O280-Components!$C$7)/Components!$D$7)</f>
        <v>52.269016229170546</v>
      </c>
      <c r="V280" s="81" t="str">
        <f>IF(G280="","",IF(M280="OK","NONE",INDEX({"S1","S2","W1","W2","N1","N2"},MATCH(MIN(P280:U280),P280:U280,0))))</f>
        <v>NONE</v>
      </c>
      <c r="W280" s="117">
        <f t="shared" si="34"/>
        <v>1</v>
      </c>
      <c r="X280" s="107"/>
    </row>
    <row r="281" spans="1:24">
      <c r="A281" s="115">
        <v>279</v>
      </c>
      <c r="B281" s="116">
        <v>10</v>
      </c>
      <c r="C281" s="81" t="s">
        <v>132</v>
      </c>
      <c r="D281" s="109" t="s">
        <v>238</v>
      </c>
      <c r="E281" s="81" t="s">
        <v>239</v>
      </c>
      <c r="F281" s="61">
        <v>8.58</v>
      </c>
      <c r="G281" s="52">
        <f t="shared" si="28"/>
        <v>9.5500000000000007</v>
      </c>
      <c r="H281" s="110"/>
      <c r="I281" s="81">
        <v>9.61</v>
      </c>
      <c r="J281" s="81">
        <f>VLOOKUP(C281,Recipes!$A$2:$N$4,12,FALSE())</f>
        <v>6.1509461004819709E-2</v>
      </c>
      <c r="K281" s="81">
        <f t="shared" si="29"/>
        <v>9.3947168864831312</v>
      </c>
      <c r="L281" s="81">
        <f t="shared" si="30"/>
        <v>9.8252831135168677</v>
      </c>
      <c r="M281" s="81" t="str">
        <f t="shared" si="32"/>
        <v>OK</v>
      </c>
      <c r="N281" s="117">
        <f t="shared" si="31"/>
        <v>1</v>
      </c>
      <c r="O281" s="81">
        <f t="shared" si="33"/>
        <v>5.9999999999998721E-2</v>
      </c>
      <c r="P281" s="81">
        <f>IF(G281="","",ABS(O281-Components!$C$2)/Components!$D$2)</f>
        <v>407.52845127242074</v>
      </c>
      <c r="Q281" s="81">
        <f>IF(G281="","",ABS(O281-Components!$C$3)/Components!$D$3)</f>
        <v>288.18796201312347</v>
      </c>
      <c r="R281" s="81">
        <f>IF(G281="","",ABS(O281-Components!$C$4)/Components!$D$4)</f>
        <v>66.768549599989782</v>
      </c>
      <c r="S281" s="81">
        <f>IF(G281="","",ABS(O281-Components!$C$5)/Components!$D$5)</f>
        <v>178.82049585135334</v>
      </c>
      <c r="T281" s="81">
        <f>IF(G281="","",ABS(O281-Components!$C$6)/Components!$D$6)</f>
        <v>39.657134984355785</v>
      </c>
      <c r="U281" s="81">
        <f>IF(G281="","",ABS(O281-Components!$C$7)/Components!$D$7)</f>
        <v>52.269016229170546</v>
      </c>
      <c r="V281" s="81" t="str">
        <f>IF(G281="","",IF(M281="OK","NONE",INDEX({"S1","S2","W1","W2","N1","N2"},MATCH(MIN(P281:U281),P281:U281,0))))</f>
        <v>NONE</v>
      </c>
      <c r="W281" s="117">
        <f t="shared" si="34"/>
        <v>1</v>
      </c>
      <c r="X281" s="107"/>
    </row>
    <row r="282" spans="1:24">
      <c r="A282" s="115">
        <v>280</v>
      </c>
      <c r="B282" s="116">
        <v>10</v>
      </c>
      <c r="C282" s="81" t="s">
        <v>132</v>
      </c>
      <c r="D282" s="109" t="s">
        <v>238</v>
      </c>
      <c r="E282" s="81" t="s">
        <v>239</v>
      </c>
      <c r="F282" s="61">
        <v>8.57</v>
      </c>
      <c r="G282" s="52">
        <f t="shared" si="28"/>
        <v>9.5400000000000009</v>
      </c>
      <c r="H282" s="110"/>
      <c r="I282" s="81">
        <v>9.61</v>
      </c>
      <c r="J282" s="81">
        <f>VLOOKUP(C282,Recipes!$A$2:$N$4,12,FALSE())</f>
        <v>6.1509461004819709E-2</v>
      </c>
      <c r="K282" s="81">
        <f t="shared" si="29"/>
        <v>9.3947168864831312</v>
      </c>
      <c r="L282" s="81">
        <f t="shared" si="30"/>
        <v>9.8252831135168677</v>
      </c>
      <c r="M282" s="81" t="str">
        <f t="shared" si="32"/>
        <v>OK</v>
      </c>
      <c r="N282" s="117">
        <f t="shared" si="31"/>
        <v>1</v>
      </c>
      <c r="O282" s="81">
        <f t="shared" si="33"/>
        <v>6.9999999999998508E-2</v>
      </c>
      <c r="P282" s="81">
        <f>IF(G282="","",ABS(O282-Components!$C$2)/Components!$D$2)</f>
        <v>406.01535058700341</v>
      </c>
      <c r="Q282" s="81">
        <f>IF(G282="","",ABS(O282-Components!$C$3)/Components!$D$3)</f>
        <v>287.46314319518302</v>
      </c>
      <c r="R282" s="81">
        <f>IF(G282="","",ABS(O282-Components!$C$4)/Components!$D$4)</f>
        <v>66.053172282847058</v>
      </c>
      <c r="S282" s="81">
        <f>IF(G282="","",ABS(O282-Components!$C$5)/Components!$D$5)</f>
        <v>178.42335231600092</v>
      </c>
      <c r="T282" s="81">
        <f>IF(G282="","",ABS(O282-Components!$C$6)/Components!$D$6)</f>
        <v>39.295189730467548</v>
      </c>
      <c r="U282" s="81">
        <f>IF(G282="","",ABS(O282-Components!$C$7)/Components!$D$7)</f>
        <v>51.871331601507578</v>
      </c>
      <c r="V282" s="81" t="str">
        <f>IF(G282="","",IF(M282="OK","NONE",INDEX({"S1","S2","W1","W2","N1","N2"},MATCH(MIN(P282:U282),P282:U282,0))))</f>
        <v>NONE</v>
      </c>
      <c r="W282" s="117">
        <f t="shared" si="34"/>
        <v>1</v>
      </c>
      <c r="X282" s="107"/>
    </row>
    <row r="283" spans="1:24">
      <c r="A283" s="115">
        <v>281</v>
      </c>
      <c r="B283" s="116">
        <v>10</v>
      </c>
      <c r="C283" s="81" t="s">
        <v>132</v>
      </c>
      <c r="D283" s="109" t="s">
        <v>238</v>
      </c>
      <c r="E283" s="81" t="s">
        <v>239</v>
      </c>
      <c r="F283" s="61">
        <v>8.5299999999999994</v>
      </c>
      <c r="G283" s="52">
        <f t="shared" si="28"/>
        <v>9.5</v>
      </c>
      <c r="H283" s="110"/>
      <c r="I283" s="81">
        <v>9.61</v>
      </c>
      <c r="J283" s="81">
        <f>VLOOKUP(C283,Recipes!$A$2:$N$4,12,FALSE())</f>
        <v>6.1509461004819709E-2</v>
      </c>
      <c r="K283" s="81">
        <f t="shared" si="29"/>
        <v>9.3947168864831312</v>
      </c>
      <c r="L283" s="81">
        <f t="shared" si="30"/>
        <v>9.8252831135168677</v>
      </c>
      <c r="M283" s="81" t="str">
        <f t="shared" si="32"/>
        <v>OK</v>
      </c>
      <c r="N283" s="117">
        <f t="shared" si="31"/>
        <v>1</v>
      </c>
      <c r="O283" s="81">
        <f t="shared" si="33"/>
        <v>0.10999999999999943</v>
      </c>
      <c r="P283" s="81">
        <f>IF(G283="","",ABS(O283-Components!$C$2)/Components!$D$2)</f>
        <v>399.96294784533364</v>
      </c>
      <c r="Q283" s="81">
        <f>IF(G283="","",ABS(O283-Components!$C$3)/Components!$D$3)</f>
        <v>284.56386792342113</v>
      </c>
      <c r="R283" s="81">
        <f>IF(G283="","",ABS(O283-Components!$C$4)/Components!$D$4)</f>
        <v>63.191663014276003</v>
      </c>
      <c r="S283" s="81">
        <f>IF(G283="","",ABS(O283-Components!$C$5)/Components!$D$5)</f>
        <v>176.83477817459118</v>
      </c>
      <c r="T283" s="81">
        <f>IF(G283="","",ABS(O283-Components!$C$6)/Components!$D$6)</f>
        <v>37.847408714914522</v>
      </c>
      <c r="U283" s="81">
        <f>IF(G283="","",ABS(O283-Components!$C$7)/Components!$D$7)</f>
        <v>50.280593090855632</v>
      </c>
      <c r="V283" s="81" t="str">
        <f>IF(G283="","",IF(M283="OK","NONE",INDEX({"S1","S2","W1","W2","N1","N2"},MATCH(MIN(P283:U283),P283:U283,0))))</f>
        <v>NONE</v>
      </c>
      <c r="W283" s="117">
        <f t="shared" si="34"/>
        <v>1</v>
      </c>
      <c r="X283" s="107"/>
    </row>
    <row r="284" spans="1:24">
      <c r="A284" s="115">
        <v>282</v>
      </c>
      <c r="B284" s="116">
        <v>10</v>
      </c>
      <c r="C284" s="81" t="s">
        <v>132</v>
      </c>
      <c r="D284" s="109" t="s">
        <v>238</v>
      </c>
      <c r="E284" s="81" t="s">
        <v>239</v>
      </c>
      <c r="F284" s="61">
        <v>8.64</v>
      </c>
      <c r="G284" s="52">
        <f t="shared" si="28"/>
        <v>9.6100000000000012</v>
      </c>
      <c r="H284" s="110"/>
      <c r="I284" s="81">
        <v>9.61</v>
      </c>
      <c r="J284" s="81">
        <f>VLOOKUP(C284,Recipes!$A$2:$N$4,12,FALSE())</f>
        <v>6.1509461004819709E-2</v>
      </c>
      <c r="K284" s="81">
        <f t="shared" si="29"/>
        <v>9.3947168864831312</v>
      </c>
      <c r="L284" s="81">
        <f t="shared" si="30"/>
        <v>9.8252831135168677</v>
      </c>
      <c r="M284" s="81" t="str">
        <f t="shared" si="32"/>
        <v>OK</v>
      </c>
      <c r="N284" s="117">
        <f t="shared" si="31"/>
        <v>1</v>
      </c>
      <c r="O284" s="81">
        <f t="shared" si="33"/>
        <v>-1.7763568394002505E-15</v>
      </c>
      <c r="P284" s="81">
        <f>IF(G284="","",ABS(O284-Components!$C$2)/Components!$D$2)</f>
        <v>416.60705538492527</v>
      </c>
      <c r="Q284" s="81">
        <f>IF(G284="","",ABS(O284-Components!$C$3)/Components!$D$3)</f>
        <v>292.53687492076619</v>
      </c>
      <c r="R284" s="81">
        <f>IF(G284="","",ABS(O284-Components!$C$4)/Components!$D$4)</f>
        <v>71.060813502846301</v>
      </c>
      <c r="S284" s="81">
        <f>IF(G284="","",ABS(O284-Components!$C$5)/Components!$D$5)</f>
        <v>181.20335706346793</v>
      </c>
      <c r="T284" s="81">
        <f>IF(G284="","",ABS(O284-Components!$C$6)/Components!$D$6)</f>
        <v>41.828806507685286</v>
      </c>
      <c r="U284" s="81">
        <f>IF(G284="","",ABS(O284-Components!$C$7)/Components!$D$7)</f>
        <v>54.655123995148422</v>
      </c>
      <c r="V284" s="81" t="str">
        <f>IF(G284="","",IF(M284="OK","NONE",INDEX({"S1","S2","W1","W2","N1","N2"},MATCH(MIN(P284:U284),P284:U284,0))))</f>
        <v>NONE</v>
      </c>
      <c r="W284" s="117">
        <f t="shared" si="34"/>
        <v>1</v>
      </c>
      <c r="X284" s="107"/>
    </row>
    <row r="285" spans="1:24">
      <c r="A285" s="115">
        <v>283</v>
      </c>
      <c r="B285" s="116">
        <v>10</v>
      </c>
      <c r="C285" s="81" t="s">
        <v>132</v>
      </c>
      <c r="D285" s="109" t="s">
        <v>238</v>
      </c>
      <c r="E285" s="81" t="s">
        <v>239</v>
      </c>
      <c r="F285" s="61">
        <v>8.57</v>
      </c>
      <c r="G285" s="52">
        <f t="shared" si="28"/>
        <v>9.5400000000000009</v>
      </c>
      <c r="H285" s="110"/>
      <c r="I285" s="81">
        <v>9.61</v>
      </c>
      <c r="J285" s="81">
        <f>VLOOKUP(C285,Recipes!$A$2:$N$4,12,FALSE())</f>
        <v>6.1509461004819709E-2</v>
      </c>
      <c r="K285" s="81">
        <f t="shared" si="29"/>
        <v>9.3947168864831312</v>
      </c>
      <c r="L285" s="81">
        <f t="shared" si="30"/>
        <v>9.8252831135168677</v>
      </c>
      <c r="M285" s="81" t="str">
        <f t="shared" si="32"/>
        <v>OK</v>
      </c>
      <c r="N285" s="117">
        <f t="shared" si="31"/>
        <v>1</v>
      </c>
      <c r="O285" s="81">
        <f t="shared" si="33"/>
        <v>6.9999999999998508E-2</v>
      </c>
      <c r="P285" s="81">
        <f>IF(G285="","",ABS(O285-Components!$C$2)/Components!$D$2)</f>
        <v>406.01535058700341</v>
      </c>
      <c r="Q285" s="81">
        <f>IF(G285="","",ABS(O285-Components!$C$3)/Components!$D$3)</f>
        <v>287.46314319518302</v>
      </c>
      <c r="R285" s="81">
        <f>IF(G285="","",ABS(O285-Components!$C$4)/Components!$D$4)</f>
        <v>66.053172282847058</v>
      </c>
      <c r="S285" s="81">
        <f>IF(G285="","",ABS(O285-Components!$C$5)/Components!$D$5)</f>
        <v>178.42335231600092</v>
      </c>
      <c r="T285" s="81">
        <f>IF(G285="","",ABS(O285-Components!$C$6)/Components!$D$6)</f>
        <v>39.295189730467548</v>
      </c>
      <c r="U285" s="81">
        <f>IF(G285="","",ABS(O285-Components!$C$7)/Components!$D$7)</f>
        <v>51.871331601507578</v>
      </c>
      <c r="V285" s="81" t="str">
        <f>IF(G285="","",IF(M285="OK","NONE",INDEX({"S1","S2","W1","W2","N1","N2"},MATCH(MIN(P285:U285),P285:U285,0))))</f>
        <v>NONE</v>
      </c>
      <c r="W285" s="117">
        <f t="shared" si="34"/>
        <v>1</v>
      </c>
      <c r="X285" s="107"/>
    </row>
    <row r="286" spans="1:24">
      <c r="A286" s="115">
        <v>284</v>
      </c>
      <c r="B286" s="116">
        <v>10</v>
      </c>
      <c r="C286" s="81" t="s">
        <v>132</v>
      </c>
      <c r="D286" s="109" t="s">
        <v>238</v>
      </c>
      <c r="E286" s="81" t="s">
        <v>239</v>
      </c>
      <c r="F286" s="61">
        <v>8.58</v>
      </c>
      <c r="G286" s="52">
        <f t="shared" si="28"/>
        <v>9.5500000000000007</v>
      </c>
      <c r="H286" s="110"/>
      <c r="I286" s="81">
        <v>9.61</v>
      </c>
      <c r="J286" s="81">
        <f>VLOOKUP(C286,Recipes!$A$2:$N$4,12,FALSE())</f>
        <v>6.1509461004819709E-2</v>
      </c>
      <c r="K286" s="81">
        <f t="shared" si="29"/>
        <v>9.3947168864831312</v>
      </c>
      <c r="L286" s="81">
        <f t="shared" si="30"/>
        <v>9.8252831135168677</v>
      </c>
      <c r="M286" s="81" t="str">
        <f t="shared" si="32"/>
        <v>OK</v>
      </c>
      <c r="N286" s="117">
        <f t="shared" si="31"/>
        <v>1</v>
      </c>
      <c r="O286" s="81">
        <f t="shared" si="33"/>
        <v>5.9999999999998721E-2</v>
      </c>
      <c r="P286" s="81">
        <f>IF(G286="","",ABS(O286-Components!$C$2)/Components!$D$2)</f>
        <v>407.52845127242074</v>
      </c>
      <c r="Q286" s="81">
        <f>IF(G286="","",ABS(O286-Components!$C$3)/Components!$D$3)</f>
        <v>288.18796201312347</v>
      </c>
      <c r="R286" s="81">
        <f>IF(G286="","",ABS(O286-Components!$C$4)/Components!$D$4)</f>
        <v>66.768549599989782</v>
      </c>
      <c r="S286" s="81">
        <f>IF(G286="","",ABS(O286-Components!$C$5)/Components!$D$5)</f>
        <v>178.82049585135334</v>
      </c>
      <c r="T286" s="81">
        <f>IF(G286="","",ABS(O286-Components!$C$6)/Components!$D$6)</f>
        <v>39.657134984355785</v>
      </c>
      <c r="U286" s="81">
        <f>IF(G286="","",ABS(O286-Components!$C$7)/Components!$D$7)</f>
        <v>52.269016229170546</v>
      </c>
      <c r="V286" s="81" t="str">
        <f>IF(G286="","",IF(M286="OK","NONE",INDEX({"S1","S2","W1","W2","N1","N2"},MATCH(MIN(P286:U286),P286:U286,0))))</f>
        <v>NONE</v>
      </c>
      <c r="W286" s="117">
        <f t="shared" si="34"/>
        <v>1</v>
      </c>
      <c r="X286" s="107"/>
    </row>
    <row r="287" spans="1:24">
      <c r="A287" s="115">
        <v>285</v>
      </c>
      <c r="B287" s="116">
        <v>10</v>
      </c>
      <c r="C287" s="81" t="s">
        <v>132</v>
      </c>
      <c r="D287" s="109" t="s">
        <v>238</v>
      </c>
      <c r="E287" s="81" t="s">
        <v>239</v>
      </c>
      <c r="F287" s="61">
        <v>8.6300000000000008</v>
      </c>
      <c r="G287" s="52">
        <f t="shared" si="28"/>
        <v>9.6000000000000014</v>
      </c>
      <c r="H287" s="110"/>
      <c r="I287" s="81">
        <v>9.61</v>
      </c>
      <c r="J287" s="81">
        <f>VLOOKUP(C287,Recipes!$A$2:$N$4,12,FALSE())</f>
        <v>6.1509461004819709E-2</v>
      </c>
      <c r="K287" s="81">
        <f t="shared" si="29"/>
        <v>9.3947168864831312</v>
      </c>
      <c r="L287" s="81">
        <f t="shared" si="30"/>
        <v>9.8252831135168677</v>
      </c>
      <c r="M287" s="81" t="str">
        <f t="shared" si="32"/>
        <v>OK</v>
      </c>
      <c r="N287" s="117">
        <f t="shared" si="31"/>
        <v>1</v>
      </c>
      <c r="O287" s="81">
        <f t="shared" si="33"/>
        <v>9.9999999999980105E-3</v>
      </c>
      <c r="P287" s="81">
        <f>IF(G287="","",ABS(O287-Components!$C$2)/Components!$D$2)</f>
        <v>415.09395469950789</v>
      </c>
      <c r="Q287" s="81">
        <f>IF(G287="","",ABS(O287-Components!$C$3)/Components!$D$3)</f>
        <v>291.81205610282575</v>
      </c>
      <c r="R287" s="81">
        <f>IF(G287="","",ABS(O287-Components!$C$4)/Components!$D$4)</f>
        <v>70.345436185703576</v>
      </c>
      <c r="S287" s="81">
        <f>IF(G287="","",ABS(O287-Components!$C$5)/Components!$D$5)</f>
        <v>180.80621352811551</v>
      </c>
      <c r="T287" s="81">
        <f>IF(G287="","",ABS(O287-Components!$C$6)/Components!$D$6)</f>
        <v>41.466861253797049</v>
      </c>
      <c r="U287" s="81">
        <f>IF(G287="","",ABS(O287-Components!$C$7)/Components!$D$7)</f>
        <v>54.257439367485453</v>
      </c>
      <c r="V287" s="81" t="str">
        <f>IF(G287="","",IF(M287="OK","NONE",INDEX({"S1","S2","W1","W2","N1","N2"},MATCH(MIN(P287:U287),P287:U287,0))))</f>
        <v>NONE</v>
      </c>
      <c r="W287" s="117">
        <f t="shared" si="34"/>
        <v>1</v>
      </c>
      <c r="X287" s="107"/>
    </row>
    <row r="288" spans="1:24">
      <c r="A288" s="115">
        <v>286</v>
      </c>
      <c r="B288" s="116">
        <v>10</v>
      </c>
      <c r="C288" s="81" t="s">
        <v>132</v>
      </c>
      <c r="D288" s="109" t="s">
        <v>238</v>
      </c>
      <c r="E288" s="81" t="s">
        <v>239</v>
      </c>
      <c r="F288" s="61">
        <v>8.6</v>
      </c>
      <c r="G288" s="52">
        <f t="shared" si="28"/>
        <v>9.57</v>
      </c>
      <c r="H288" s="110"/>
      <c r="I288" s="81">
        <v>9.61</v>
      </c>
      <c r="J288" s="81">
        <f>VLOOKUP(C288,Recipes!$A$2:$N$4,12,FALSE())</f>
        <v>6.1509461004819709E-2</v>
      </c>
      <c r="K288" s="81">
        <f t="shared" si="29"/>
        <v>9.3947168864831312</v>
      </c>
      <c r="L288" s="81">
        <f t="shared" si="30"/>
        <v>9.8252831135168677</v>
      </c>
      <c r="M288" s="81" t="str">
        <f t="shared" si="32"/>
        <v>OK</v>
      </c>
      <c r="N288" s="117">
        <f t="shared" si="31"/>
        <v>1</v>
      </c>
      <c r="O288" s="81">
        <f t="shared" si="33"/>
        <v>3.9999999999999147E-2</v>
      </c>
      <c r="P288" s="81">
        <f>IF(G288="","",ABS(O288-Components!$C$2)/Components!$D$2)</f>
        <v>410.55465264325551</v>
      </c>
      <c r="Q288" s="81">
        <f>IF(G288="","",ABS(O288-Components!$C$3)/Components!$D$3)</f>
        <v>289.63759964900436</v>
      </c>
      <c r="R288" s="81">
        <f>IF(G288="","",ABS(O288-Components!$C$4)/Components!$D$4)</f>
        <v>68.199304234275246</v>
      </c>
      <c r="S288" s="81">
        <f>IF(G288="","",ABS(O288-Components!$C$5)/Components!$D$5)</f>
        <v>179.6147829220582</v>
      </c>
      <c r="T288" s="81">
        <f>IF(G288="","",ABS(O288-Components!$C$6)/Components!$D$6)</f>
        <v>40.381025492132267</v>
      </c>
      <c r="U288" s="81">
        <f>IF(G288="","",ABS(O288-Components!$C$7)/Components!$D$7)</f>
        <v>53.064385484496484</v>
      </c>
      <c r="V288" s="81" t="str">
        <f>IF(G288="","",IF(M288="OK","NONE",INDEX({"S1","S2","W1","W2","N1","N2"},MATCH(MIN(P288:U288),P288:U288,0))))</f>
        <v>NONE</v>
      </c>
      <c r="W288" s="117">
        <f t="shared" si="34"/>
        <v>1</v>
      </c>
      <c r="X288" s="107"/>
    </row>
    <row r="289" spans="1:24">
      <c r="A289" s="115">
        <v>287</v>
      </c>
      <c r="B289" s="116">
        <v>10</v>
      </c>
      <c r="C289" s="81" t="s">
        <v>132</v>
      </c>
      <c r="D289" s="109" t="s">
        <v>238</v>
      </c>
      <c r="E289" s="81" t="s">
        <v>239</v>
      </c>
      <c r="F289" s="61">
        <v>8.6199999999999992</v>
      </c>
      <c r="G289" s="52">
        <f t="shared" si="28"/>
        <v>9.59</v>
      </c>
      <c r="H289" s="110"/>
      <c r="I289" s="81">
        <v>9.61</v>
      </c>
      <c r="J289" s="81">
        <f>VLOOKUP(C289,Recipes!$A$2:$N$4,12,FALSE())</f>
        <v>6.1509461004819709E-2</v>
      </c>
      <c r="K289" s="81">
        <f t="shared" si="29"/>
        <v>9.3947168864831312</v>
      </c>
      <c r="L289" s="81">
        <f t="shared" si="30"/>
        <v>9.8252831135168677</v>
      </c>
      <c r="M289" s="81" t="str">
        <f t="shared" si="32"/>
        <v>OK</v>
      </c>
      <c r="N289" s="117">
        <f t="shared" si="31"/>
        <v>1</v>
      </c>
      <c r="O289" s="81">
        <f t="shared" si="33"/>
        <v>1.9999999999999574E-2</v>
      </c>
      <c r="P289" s="81">
        <f>IF(G289="","",ABS(O289-Components!$C$2)/Components!$D$2)</f>
        <v>413.58085401409028</v>
      </c>
      <c r="Q289" s="81">
        <f>IF(G289="","",ABS(O289-Components!$C$3)/Components!$D$3)</f>
        <v>291.08723728488519</v>
      </c>
      <c r="R289" s="81">
        <f>IF(G289="","",ABS(O289-Components!$C$4)/Components!$D$4)</f>
        <v>69.63005886856071</v>
      </c>
      <c r="S289" s="81">
        <f>IF(G289="","",ABS(O289-Components!$C$5)/Components!$D$5)</f>
        <v>180.40906999276302</v>
      </c>
      <c r="T289" s="81">
        <f>IF(G289="","",ABS(O289-Components!$C$6)/Components!$D$6)</f>
        <v>41.104915999908741</v>
      </c>
      <c r="U289" s="81">
        <f>IF(G289="","",ABS(O289-Components!$C$7)/Components!$D$7)</f>
        <v>53.859754739822421</v>
      </c>
      <c r="V289" s="81" t="str">
        <f>IF(G289="","",IF(M289="OK","NONE",INDEX({"S1","S2","W1","W2","N1","N2"},MATCH(MIN(P289:U289),P289:U289,0))))</f>
        <v>NONE</v>
      </c>
      <c r="W289" s="117">
        <f t="shared" si="34"/>
        <v>1</v>
      </c>
      <c r="X289" s="107"/>
    </row>
    <row r="290" spans="1:24">
      <c r="A290" s="115">
        <v>288</v>
      </c>
      <c r="B290" s="116">
        <v>10</v>
      </c>
      <c r="C290" s="81" t="s">
        <v>132</v>
      </c>
      <c r="D290" s="109" t="s">
        <v>238</v>
      </c>
      <c r="E290" s="81" t="s">
        <v>239</v>
      </c>
      <c r="F290" s="61">
        <v>8.41</v>
      </c>
      <c r="G290" s="52">
        <f t="shared" si="28"/>
        <v>9.3800000000000008</v>
      </c>
      <c r="H290" s="110"/>
      <c r="I290" s="81">
        <v>9.61</v>
      </c>
      <c r="J290" s="81">
        <f>VLOOKUP(C290,Recipes!$A$2:$N$4,12,FALSE())</f>
        <v>6.1509461004819709E-2</v>
      </c>
      <c r="K290" s="81">
        <f t="shared" si="29"/>
        <v>9.3947168864831312</v>
      </c>
      <c r="L290" s="81">
        <f t="shared" si="30"/>
        <v>9.8252831135168677</v>
      </c>
      <c r="M290" s="81" t="str">
        <f t="shared" si="32"/>
        <v>NG</v>
      </c>
      <c r="N290" s="122">
        <f t="shared" si="31"/>
        <v>0</v>
      </c>
      <c r="O290" s="81">
        <f t="shared" si="33"/>
        <v>0.22999999999999865</v>
      </c>
      <c r="P290" s="81">
        <f>IF(G290="","",ABS(O290-Components!$C$2)/Components!$D$2)</f>
        <v>381.80573962032491</v>
      </c>
      <c r="Q290" s="81">
        <f>IF(G290="","",ABS(O290-Components!$C$3)/Components!$D$3)</f>
        <v>275.86604210813579</v>
      </c>
      <c r="R290" s="81">
        <f>IF(G290="","",ABS(O290-Components!$C$4)/Components!$D$4)</f>
        <v>54.607135208563093</v>
      </c>
      <c r="S290" s="81">
        <f>IF(G290="","",ABS(O290-Components!$C$5)/Components!$D$5)</f>
        <v>172.06905575036208</v>
      </c>
      <c r="T290" s="81">
        <f>IF(G290="","",ABS(O290-Components!$C$6)/Components!$D$6)</f>
        <v>33.504065668255585</v>
      </c>
      <c r="U290" s="81">
        <f>IF(G290="","",ABS(O290-Components!$C$7)/Components!$D$7)</f>
        <v>45.508377558899937</v>
      </c>
      <c r="V290" s="81" t="str">
        <f>IF(G290="","",IF(M290="OK","NONE",INDEX({"S1","S2","W1","W2","N1","N2"},MATCH(MIN(P290:U290),P290:U290,0))))</f>
        <v>N1</v>
      </c>
      <c r="W290" s="122">
        <f t="shared" si="34"/>
        <v>0</v>
      </c>
      <c r="X290" s="107"/>
    </row>
    <row r="291" spans="1:24">
      <c r="A291" s="115">
        <v>289</v>
      </c>
      <c r="B291" s="116">
        <v>10</v>
      </c>
      <c r="C291" s="81" t="s">
        <v>132</v>
      </c>
      <c r="D291" s="109" t="s">
        <v>238</v>
      </c>
      <c r="E291" s="81" t="s">
        <v>239</v>
      </c>
      <c r="F291" s="61">
        <v>8.61</v>
      </c>
      <c r="G291" s="52">
        <f t="shared" si="28"/>
        <v>9.58</v>
      </c>
      <c r="H291" s="110"/>
      <c r="I291" s="81">
        <v>9.61</v>
      </c>
      <c r="J291" s="81">
        <f>VLOOKUP(C291,Recipes!$A$2:$N$4,12,FALSE())</f>
        <v>6.1509461004819709E-2</v>
      </c>
      <c r="K291" s="81">
        <f t="shared" si="29"/>
        <v>9.3947168864831312</v>
      </c>
      <c r="L291" s="81">
        <f t="shared" si="30"/>
        <v>9.8252831135168677</v>
      </c>
      <c r="M291" s="81" t="str">
        <f t="shared" si="32"/>
        <v>OK</v>
      </c>
      <c r="N291" s="117">
        <f t="shared" si="31"/>
        <v>1</v>
      </c>
      <c r="O291" s="81">
        <f t="shared" si="33"/>
        <v>2.9999999999999361E-2</v>
      </c>
      <c r="P291" s="81">
        <f>IF(G291="","",ABS(O291-Components!$C$2)/Components!$D$2)</f>
        <v>412.06775332867289</v>
      </c>
      <c r="Q291" s="81">
        <f>IF(G291="","",ABS(O291-Components!$C$3)/Components!$D$3)</f>
        <v>290.36241846694475</v>
      </c>
      <c r="R291" s="81">
        <f>IF(G291="","",ABS(O291-Components!$C$4)/Components!$D$4)</f>
        <v>68.914681551417985</v>
      </c>
      <c r="S291" s="81">
        <f>IF(G291="","",ABS(O291-Components!$C$5)/Components!$D$5)</f>
        <v>180.0119264574106</v>
      </c>
      <c r="T291" s="81">
        <f>IF(G291="","",ABS(O291-Components!$C$6)/Components!$D$6)</f>
        <v>40.742970746020504</v>
      </c>
      <c r="U291" s="81">
        <f>IF(G291="","",ABS(O291-Components!$C$7)/Components!$D$7)</f>
        <v>53.462070112159452</v>
      </c>
      <c r="V291" s="81" t="str">
        <f>IF(G291="","",IF(M291="OK","NONE",INDEX({"S1","S2","W1","W2","N1","N2"},MATCH(MIN(P291:U291),P291:U291,0))))</f>
        <v>NONE</v>
      </c>
      <c r="W291" s="117">
        <f t="shared" si="34"/>
        <v>1</v>
      </c>
      <c r="X291" s="107"/>
    </row>
    <row r="292" spans="1:24">
      <c r="A292" s="115">
        <v>290</v>
      </c>
      <c r="B292" s="116">
        <v>10</v>
      </c>
      <c r="C292" s="81" t="s">
        <v>132</v>
      </c>
      <c r="D292" s="109" t="s">
        <v>238</v>
      </c>
      <c r="E292" s="81" t="s">
        <v>239</v>
      </c>
      <c r="F292" s="61">
        <v>8.61</v>
      </c>
      <c r="G292" s="52">
        <f t="shared" si="28"/>
        <v>9.58</v>
      </c>
      <c r="H292" s="110"/>
      <c r="I292" s="81">
        <v>9.61</v>
      </c>
      <c r="J292" s="81">
        <f>VLOOKUP(C292,Recipes!$A$2:$N$4,12,FALSE())</f>
        <v>6.1509461004819709E-2</v>
      </c>
      <c r="K292" s="81">
        <f t="shared" si="29"/>
        <v>9.3947168864831312</v>
      </c>
      <c r="L292" s="81">
        <f t="shared" si="30"/>
        <v>9.8252831135168677</v>
      </c>
      <c r="M292" s="81" t="str">
        <f t="shared" si="32"/>
        <v>OK</v>
      </c>
      <c r="N292" s="117">
        <f t="shared" si="31"/>
        <v>1</v>
      </c>
      <c r="O292" s="81">
        <f t="shared" si="33"/>
        <v>2.9999999999999361E-2</v>
      </c>
      <c r="P292" s="81">
        <f>IF(G292="","",ABS(O292-Components!$C$2)/Components!$D$2)</f>
        <v>412.06775332867289</v>
      </c>
      <c r="Q292" s="81">
        <f>IF(G292="","",ABS(O292-Components!$C$3)/Components!$D$3)</f>
        <v>290.36241846694475</v>
      </c>
      <c r="R292" s="81">
        <f>IF(G292="","",ABS(O292-Components!$C$4)/Components!$D$4)</f>
        <v>68.914681551417985</v>
      </c>
      <c r="S292" s="81">
        <f>IF(G292="","",ABS(O292-Components!$C$5)/Components!$D$5)</f>
        <v>180.0119264574106</v>
      </c>
      <c r="T292" s="81">
        <f>IF(G292="","",ABS(O292-Components!$C$6)/Components!$D$6)</f>
        <v>40.742970746020504</v>
      </c>
      <c r="U292" s="81">
        <f>IF(G292="","",ABS(O292-Components!$C$7)/Components!$D$7)</f>
        <v>53.462070112159452</v>
      </c>
      <c r="V292" s="81" t="str">
        <f>IF(G292="","",IF(M292="OK","NONE",INDEX({"S1","S2","W1","W2","N1","N2"},MATCH(MIN(P292:U292),P292:U292,0))))</f>
        <v>NONE</v>
      </c>
      <c r="W292" s="117">
        <f t="shared" si="34"/>
        <v>1</v>
      </c>
      <c r="X292" s="107"/>
    </row>
    <row r="293" spans="1:24">
      <c r="A293" s="115">
        <v>291</v>
      </c>
      <c r="B293" s="116">
        <v>10</v>
      </c>
      <c r="C293" s="81" t="s">
        <v>132</v>
      </c>
      <c r="D293" s="109" t="s">
        <v>238</v>
      </c>
      <c r="E293" s="81" t="s">
        <v>239</v>
      </c>
      <c r="F293" s="61">
        <v>8.5399999999999991</v>
      </c>
      <c r="G293" s="52">
        <f t="shared" si="28"/>
        <v>9.51</v>
      </c>
      <c r="H293" s="110"/>
      <c r="I293" s="81">
        <v>9.61</v>
      </c>
      <c r="J293" s="81">
        <f>VLOOKUP(C293,Recipes!$A$2:$N$4,12,FALSE())</f>
        <v>6.1509461004819709E-2</v>
      </c>
      <c r="K293" s="81">
        <f t="shared" si="29"/>
        <v>9.3947168864831312</v>
      </c>
      <c r="L293" s="81">
        <f t="shared" si="30"/>
        <v>9.8252831135168677</v>
      </c>
      <c r="M293" s="81" t="str">
        <f t="shared" si="32"/>
        <v>OK</v>
      </c>
      <c r="N293" s="117">
        <f t="shared" si="31"/>
        <v>1</v>
      </c>
      <c r="O293" s="81">
        <f t="shared" si="33"/>
        <v>9.9999999999999645E-2</v>
      </c>
      <c r="P293" s="81">
        <f>IF(G293="","",ABS(O293-Components!$C$2)/Components!$D$2)</f>
        <v>401.47604853075103</v>
      </c>
      <c r="Q293" s="81">
        <f>IF(G293="","",ABS(O293-Components!$C$3)/Components!$D$3)</f>
        <v>285.28868674136157</v>
      </c>
      <c r="R293" s="81">
        <f>IF(G293="","",ABS(O293-Components!$C$4)/Components!$D$4)</f>
        <v>63.907040331418735</v>
      </c>
      <c r="S293" s="81">
        <f>IF(G293="","",ABS(O293-Components!$C$5)/Components!$D$5)</f>
        <v>177.23192170994361</v>
      </c>
      <c r="T293" s="81">
        <f>IF(G293="","",ABS(O293-Components!$C$6)/Components!$D$6)</f>
        <v>38.209353968802759</v>
      </c>
      <c r="U293" s="81">
        <f>IF(G293="","",ABS(O293-Components!$C$7)/Components!$D$7)</f>
        <v>50.678277718518601</v>
      </c>
      <c r="V293" s="81" t="str">
        <f>IF(G293="","",IF(M293="OK","NONE",INDEX({"S1","S2","W1","W2","N1","N2"},MATCH(MIN(P293:U293),P293:U293,0))))</f>
        <v>NONE</v>
      </c>
      <c r="W293" s="117">
        <f t="shared" si="34"/>
        <v>1</v>
      </c>
      <c r="X293" s="107"/>
    </row>
    <row r="294" spans="1:24">
      <c r="A294" s="115">
        <v>292</v>
      </c>
      <c r="B294" s="116">
        <v>10</v>
      </c>
      <c r="C294" s="81" t="s">
        <v>132</v>
      </c>
      <c r="D294" s="109" t="s">
        <v>238</v>
      </c>
      <c r="E294" s="81" t="s">
        <v>239</v>
      </c>
      <c r="F294" s="61">
        <v>8.59</v>
      </c>
      <c r="G294" s="52">
        <f t="shared" si="28"/>
        <v>9.56</v>
      </c>
      <c r="H294" s="110"/>
      <c r="I294" s="81">
        <v>9.61</v>
      </c>
      <c r="J294" s="81">
        <f>VLOOKUP(C294,Recipes!$A$2:$N$4,12,FALSE())</f>
        <v>6.1509461004819709E-2</v>
      </c>
      <c r="K294" s="81">
        <f t="shared" si="29"/>
        <v>9.3947168864831312</v>
      </c>
      <c r="L294" s="81">
        <f t="shared" si="30"/>
        <v>9.8252831135168677</v>
      </c>
      <c r="M294" s="81" t="str">
        <f t="shared" si="32"/>
        <v>OK</v>
      </c>
      <c r="N294" s="117">
        <f t="shared" si="31"/>
        <v>1</v>
      </c>
      <c r="O294" s="81">
        <f t="shared" si="33"/>
        <v>4.9999999999998934E-2</v>
      </c>
      <c r="P294" s="81">
        <f>IF(G294="","",ABS(O294-Components!$C$2)/Components!$D$2)</f>
        <v>409.04155195783812</v>
      </c>
      <c r="Q294" s="81">
        <f>IF(G294="","",ABS(O294-Components!$C$3)/Components!$D$3)</f>
        <v>288.91278083106391</v>
      </c>
      <c r="R294" s="81">
        <f>IF(G294="","",ABS(O294-Components!$C$4)/Components!$D$4)</f>
        <v>67.483926917132521</v>
      </c>
      <c r="S294" s="81">
        <f>IF(G294="","",ABS(O294-Components!$C$5)/Components!$D$5)</f>
        <v>179.21763938670577</v>
      </c>
      <c r="T294" s="81">
        <f>IF(G294="","",ABS(O294-Components!$C$6)/Components!$D$6)</f>
        <v>40.019080238244022</v>
      </c>
      <c r="U294" s="81">
        <f>IF(G294="","",ABS(O294-Components!$C$7)/Components!$D$7)</f>
        <v>52.666700856833515</v>
      </c>
      <c r="V294" s="81" t="str">
        <f>IF(G294="","",IF(M294="OK","NONE",INDEX({"S1","S2","W1","W2","N1","N2"},MATCH(MIN(P294:U294),P294:U294,0))))</f>
        <v>NONE</v>
      </c>
      <c r="W294" s="117">
        <f t="shared" si="34"/>
        <v>1</v>
      </c>
      <c r="X294" s="107"/>
    </row>
    <row r="295" spans="1:24">
      <c r="A295" s="115">
        <v>293</v>
      </c>
      <c r="B295" s="116">
        <v>10</v>
      </c>
      <c r="C295" s="81" t="s">
        <v>132</v>
      </c>
      <c r="D295" s="109" t="s">
        <v>238</v>
      </c>
      <c r="E295" s="81" t="s">
        <v>239</v>
      </c>
      <c r="F295" s="61">
        <v>8.64</v>
      </c>
      <c r="G295" s="52">
        <f t="shared" si="28"/>
        <v>9.6100000000000012</v>
      </c>
      <c r="H295" s="110"/>
      <c r="I295" s="81">
        <v>9.61</v>
      </c>
      <c r="J295" s="81">
        <f>VLOOKUP(C295,Recipes!$A$2:$N$4,12,FALSE())</f>
        <v>6.1509461004819709E-2</v>
      </c>
      <c r="K295" s="81">
        <f t="shared" si="29"/>
        <v>9.3947168864831312</v>
      </c>
      <c r="L295" s="81">
        <f t="shared" si="30"/>
        <v>9.8252831135168677</v>
      </c>
      <c r="M295" s="81" t="str">
        <f t="shared" si="32"/>
        <v>OK</v>
      </c>
      <c r="N295" s="117">
        <f t="shared" si="31"/>
        <v>1</v>
      </c>
      <c r="O295" s="81">
        <f t="shared" si="33"/>
        <v>-1.7763568394002505E-15</v>
      </c>
      <c r="P295" s="81">
        <f>IF(G295="","",ABS(O295-Components!$C$2)/Components!$D$2)</f>
        <v>416.60705538492527</v>
      </c>
      <c r="Q295" s="81">
        <f>IF(G295="","",ABS(O295-Components!$C$3)/Components!$D$3)</f>
        <v>292.53687492076619</v>
      </c>
      <c r="R295" s="81">
        <f>IF(G295="","",ABS(O295-Components!$C$4)/Components!$D$4)</f>
        <v>71.060813502846301</v>
      </c>
      <c r="S295" s="81">
        <f>IF(G295="","",ABS(O295-Components!$C$5)/Components!$D$5)</f>
        <v>181.20335706346793</v>
      </c>
      <c r="T295" s="81">
        <f>IF(G295="","",ABS(O295-Components!$C$6)/Components!$D$6)</f>
        <v>41.828806507685286</v>
      </c>
      <c r="U295" s="81">
        <f>IF(G295="","",ABS(O295-Components!$C$7)/Components!$D$7)</f>
        <v>54.655123995148422</v>
      </c>
      <c r="V295" s="81" t="str">
        <f>IF(G295="","",IF(M295="OK","NONE",INDEX({"S1","S2","W1","W2","N1","N2"},MATCH(MIN(P295:U295),P295:U295,0))))</f>
        <v>NONE</v>
      </c>
      <c r="W295" s="117">
        <f t="shared" si="34"/>
        <v>1</v>
      </c>
      <c r="X295" s="107"/>
    </row>
    <row r="296" spans="1:24">
      <c r="A296" s="115">
        <v>294</v>
      </c>
      <c r="B296" s="116">
        <v>10</v>
      </c>
      <c r="C296" s="81" t="s">
        <v>132</v>
      </c>
      <c r="D296" s="109" t="s">
        <v>238</v>
      </c>
      <c r="E296" s="81" t="s">
        <v>239</v>
      </c>
      <c r="F296" s="61">
        <v>8.64</v>
      </c>
      <c r="G296" s="52">
        <f t="shared" si="28"/>
        <v>9.6100000000000012</v>
      </c>
      <c r="H296" s="110"/>
      <c r="I296" s="81">
        <v>9.61</v>
      </c>
      <c r="J296" s="81">
        <f>VLOOKUP(C296,Recipes!$A$2:$N$4,12,FALSE())</f>
        <v>6.1509461004819709E-2</v>
      </c>
      <c r="K296" s="81">
        <f t="shared" si="29"/>
        <v>9.3947168864831312</v>
      </c>
      <c r="L296" s="81">
        <f t="shared" si="30"/>
        <v>9.8252831135168677</v>
      </c>
      <c r="M296" s="81" t="str">
        <f t="shared" si="32"/>
        <v>OK</v>
      </c>
      <c r="N296" s="117">
        <f t="shared" si="31"/>
        <v>1</v>
      </c>
      <c r="O296" s="81">
        <f t="shared" si="33"/>
        <v>-1.7763568394002505E-15</v>
      </c>
      <c r="P296" s="81">
        <f>IF(G296="","",ABS(O296-Components!$C$2)/Components!$D$2)</f>
        <v>416.60705538492527</v>
      </c>
      <c r="Q296" s="81">
        <f>IF(G296="","",ABS(O296-Components!$C$3)/Components!$D$3)</f>
        <v>292.53687492076619</v>
      </c>
      <c r="R296" s="81">
        <f>IF(G296="","",ABS(O296-Components!$C$4)/Components!$D$4)</f>
        <v>71.060813502846301</v>
      </c>
      <c r="S296" s="81">
        <f>IF(G296="","",ABS(O296-Components!$C$5)/Components!$D$5)</f>
        <v>181.20335706346793</v>
      </c>
      <c r="T296" s="81">
        <f>IF(G296="","",ABS(O296-Components!$C$6)/Components!$D$6)</f>
        <v>41.828806507685286</v>
      </c>
      <c r="U296" s="81">
        <f>IF(G296="","",ABS(O296-Components!$C$7)/Components!$D$7)</f>
        <v>54.655123995148422</v>
      </c>
      <c r="V296" s="81" t="str">
        <f>IF(G296="","",IF(M296="OK","NONE",INDEX({"S1","S2","W1","W2","N1","N2"},MATCH(MIN(P296:U296),P296:U296,0))))</f>
        <v>NONE</v>
      </c>
      <c r="W296" s="117">
        <f t="shared" si="34"/>
        <v>1</v>
      </c>
      <c r="X296" s="107"/>
    </row>
    <row r="297" spans="1:24">
      <c r="A297" s="115">
        <v>295</v>
      </c>
      <c r="B297" s="116">
        <v>10</v>
      </c>
      <c r="C297" s="81" t="s">
        <v>132</v>
      </c>
      <c r="D297" s="109" t="s">
        <v>238</v>
      </c>
      <c r="E297" s="81" t="s">
        <v>239</v>
      </c>
      <c r="F297" s="61">
        <v>8.68</v>
      </c>
      <c r="G297" s="52">
        <f t="shared" si="28"/>
        <v>9.65</v>
      </c>
      <c r="H297" s="110"/>
      <c r="I297" s="81">
        <v>9.61</v>
      </c>
      <c r="J297" s="81">
        <f>VLOOKUP(C297,Recipes!$A$2:$N$4,12,FALSE())</f>
        <v>6.1509461004819709E-2</v>
      </c>
      <c r="K297" s="81">
        <f t="shared" si="29"/>
        <v>9.3947168864831312</v>
      </c>
      <c r="L297" s="81">
        <f t="shared" si="30"/>
        <v>9.8252831135168677</v>
      </c>
      <c r="M297" s="81" t="str">
        <f t="shared" si="32"/>
        <v>OK</v>
      </c>
      <c r="N297" s="117">
        <f t="shared" si="31"/>
        <v>1</v>
      </c>
      <c r="O297" s="81">
        <f t="shared" si="33"/>
        <v>-4.0000000000000924E-2</v>
      </c>
      <c r="P297" s="81">
        <f>IF(G297="","",ABS(O297-Components!$C$2)/Components!$D$2)</f>
        <v>422.65945812659476</v>
      </c>
      <c r="Q297" s="81">
        <f>IF(G297="","",ABS(O297-Components!$C$3)/Components!$D$3)</f>
        <v>295.43615019252792</v>
      </c>
      <c r="R297" s="81">
        <f>IF(G297="","",ABS(O297-Components!$C$4)/Components!$D$4)</f>
        <v>73.922322771417228</v>
      </c>
      <c r="S297" s="81">
        <f>IF(G297="","",ABS(O297-Components!$C$5)/Components!$D$5)</f>
        <v>182.79193120487761</v>
      </c>
      <c r="T297" s="81">
        <f>IF(G297="","",ABS(O297-Components!$C$6)/Components!$D$6)</f>
        <v>43.276587523238241</v>
      </c>
      <c r="U297" s="81">
        <f>IF(G297="","",ABS(O297-Components!$C$7)/Components!$D$7)</f>
        <v>56.245862505800297</v>
      </c>
      <c r="V297" s="81" t="str">
        <f>IF(G297="","",IF(M297="OK","NONE",INDEX({"S1","S2","W1","W2","N1","N2"},MATCH(MIN(P297:U297),P297:U297,0))))</f>
        <v>NONE</v>
      </c>
      <c r="W297" s="117">
        <f t="shared" si="34"/>
        <v>1</v>
      </c>
      <c r="X297" s="107"/>
    </row>
    <row r="298" spans="1:24">
      <c r="A298" s="115">
        <v>296</v>
      </c>
      <c r="B298" s="116">
        <v>10</v>
      </c>
      <c r="C298" s="81" t="s">
        <v>132</v>
      </c>
      <c r="D298" s="109" t="s">
        <v>238</v>
      </c>
      <c r="E298" s="81" t="s">
        <v>239</v>
      </c>
      <c r="F298" s="61">
        <v>8.66</v>
      </c>
      <c r="G298" s="52">
        <f t="shared" si="28"/>
        <v>9.6300000000000008</v>
      </c>
      <c r="H298" s="110"/>
      <c r="I298" s="81">
        <v>9.61</v>
      </c>
      <c r="J298" s="81">
        <f>VLOOKUP(C298,Recipes!$A$2:$N$4,12,FALSE())</f>
        <v>6.1509461004819709E-2</v>
      </c>
      <c r="K298" s="81">
        <f t="shared" si="29"/>
        <v>9.3947168864831312</v>
      </c>
      <c r="L298" s="81">
        <f t="shared" si="30"/>
        <v>9.8252831135168677</v>
      </c>
      <c r="M298" s="81" t="str">
        <f t="shared" si="32"/>
        <v>OK</v>
      </c>
      <c r="N298" s="117">
        <f t="shared" si="31"/>
        <v>1</v>
      </c>
      <c r="O298" s="81">
        <f t="shared" si="33"/>
        <v>-2.000000000000135E-2</v>
      </c>
      <c r="P298" s="81">
        <f>IF(G298="","",ABS(O298-Components!$C$2)/Components!$D$2)</f>
        <v>419.63325675576004</v>
      </c>
      <c r="Q298" s="81">
        <f>IF(G298="","",ABS(O298-Components!$C$3)/Components!$D$3)</f>
        <v>293.98651255664709</v>
      </c>
      <c r="R298" s="81">
        <f>IF(G298="","",ABS(O298-Components!$C$4)/Components!$D$4)</f>
        <v>72.491568137131765</v>
      </c>
      <c r="S298" s="81">
        <f>IF(G298="","",ABS(O298-Components!$C$5)/Components!$D$5)</f>
        <v>181.99764413417276</v>
      </c>
      <c r="T298" s="81">
        <f>IF(G298="","",ABS(O298-Components!$C$6)/Components!$D$6)</f>
        <v>42.552697015461767</v>
      </c>
      <c r="U298" s="81">
        <f>IF(G298="","",ABS(O298-Components!$C$7)/Components!$D$7)</f>
        <v>55.450493250474359</v>
      </c>
      <c r="V298" s="81" t="str">
        <f>IF(G298="","",IF(M298="OK","NONE",INDEX({"S1","S2","W1","W2","N1","N2"},MATCH(MIN(P298:U298),P298:U298,0))))</f>
        <v>NONE</v>
      </c>
      <c r="W298" s="117">
        <f t="shared" si="34"/>
        <v>1</v>
      </c>
      <c r="X298" s="107"/>
    </row>
    <row r="299" spans="1:24">
      <c r="A299" s="115">
        <v>297</v>
      </c>
      <c r="B299" s="116">
        <v>10</v>
      </c>
      <c r="C299" s="81" t="s">
        <v>132</v>
      </c>
      <c r="D299" s="109" t="s">
        <v>238</v>
      </c>
      <c r="E299" s="81" t="s">
        <v>239</v>
      </c>
      <c r="F299" s="61">
        <v>8.58</v>
      </c>
      <c r="G299" s="52">
        <f t="shared" si="28"/>
        <v>9.5500000000000007</v>
      </c>
      <c r="H299" s="110"/>
      <c r="I299" s="81">
        <v>9.61</v>
      </c>
      <c r="J299" s="81">
        <f>VLOOKUP(C299,Recipes!$A$2:$N$4,12,FALSE())</f>
        <v>6.1509461004819709E-2</v>
      </c>
      <c r="K299" s="81">
        <f t="shared" si="29"/>
        <v>9.3947168864831312</v>
      </c>
      <c r="L299" s="81">
        <f t="shared" si="30"/>
        <v>9.8252831135168677</v>
      </c>
      <c r="M299" s="81" t="str">
        <f t="shared" si="32"/>
        <v>OK</v>
      </c>
      <c r="N299" s="117">
        <f t="shared" si="31"/>
        <v>1</v>
      </c>
      <c r="O299" s="81">
        <f t="shared" si="33"/>
        <v>5.9999999999998721E-2</v>
      </c>
      <c r="P299" s="81">
        <f>IF(G299="","",ABS(O299-Components!$C$2)/Components!$D$2)</f>
        <v>407.52845127242074</v>
      </c>
      <c r="Q299" s="81">
        <f>IF(G299="","",ABS(O299-Components!$C$3)/Components!$D$3)</f>
        <v>288.18796201312347</v>
      </c>
      <c r="R299" s="81">
        <f>IF(G299="","",ABS(O299-Components!$C$4)/Components!$D$4)</f>
        <v>66.768549599989782</v>
      </c>
      <c r="S299" s="81">
        <f>IF(G299="","",ABS(O299-Components!$C$5)/Components!$D$5)</f>
        <v>178.82049585135334</v>
      </c>
      <c r="T299" s="81">
        <f>IF(G299="","",ABS(O299-Components!$C$6)/Components!$D$6)</f>
        <v>39.657134984355785</v>
      </c>
      <c r="U299" s="81">
        <f>IF(G299="","",ABS(O299-Components!$C$7)/Components!$D$7)</f>
        <v>52.269016229170546</v>
      </c>
      <c r="V299" s="81" t="str">
        <f>IF(G299="","",IF(M299="OK","NONE",INDEX({"S1","S2","W1","W2","N1","N2"},MATCH(MIN(P299:U299),P299:U299,0))))</f>
        <v>NONE</v>
      </c>
      <c r="W299" s="117">
        <f t="shared" si="34"/>
        <v>1</v>
      </c>
      <c r="X299" s="107"/>
    </row>
    <row r="300" spans="1:24">
      <c r="A300" s="115">
        <v>298</v>
      </c>
      <c r="B300" s="116">
        <v>10</v>
      </c>
      <c r="C300" s="81" t="s">
        <v>132</v>
      </c>
      <c r="D300" s="109" t="s">
        <v>238</v>
      </c>
      <c r="E300" s="81" t="s">
        <v>239</v>
      </c>
      <c r="F300" s="52">
        <v>8.6300000000000008</v>
      </c>
      <c r="G300" s="52">
        <f t="shared" si="28"/>
        <v>9.6000000000000014</v>
      </c>
      <c r="H300" s="110"/>
      <c r="I300" s="81">
        <v>9.61</v>
      </c>
      <c r="J300" s="81">
        <f>VLOOKUP(C300,Recipes!$A$2:$N$4,12,FALSE())</f>
        <v>6.1509461004819709E-2</v>
      </c>
      <c r="K300" s="81">
        <f t="shared" si="29"/>
        <v>9.3947168864831312</v>
      </c>
      <c r="L300" s="81">
        <f t="shared" si="30"/>
        <v>9.8252831135168677</v>
      </c>
      <c r="M300" s="81" t="str">
        <f t="shared" si="32"/>
        <v>OK</v>
      </c>
      <c r="N300" s="117">
        <f t="shared" si="31"/>
        <v>1</v>
      </c>
      <c r="O300" s="81">
        <f t="shared" si="33"/>
        <v>9.9999999999980105E-3</v>
      </c>
      <c r="P300" s="81">
        <f>IF(G300="","",ABS(O300-Components!$C$2)/Components!$D$2)</f>
        <v>415.09395469950789</v>
      </c>
      <c r="Q300" s="81">
        <f>IF(G300="","",ABS(O300-Components!$C$3)/Components!$D$3)</f>
        <v>291.81205610282575</v>
      </c>
      <c r="R300" s="81">
        <f>IF(G300="","",ABS(O300-Components!$C$4)/Components!$D$4)</f>
        <v>70.345436185703576</v>
      </c>
      <c r="S300" s="81">
        <f>IF(G300="","",ABS(O300-Components!$C$5)/Components!$D$5)</f>
        <v>180.80621352811551</v>
      </c>
      <c r="T300" s="81">
        <f>IF(G300="","",ABS(O300-Components!$C$6)/Components!$D$6)</f>
        <v>41.466861253797049</v>
      </c>
      <c r="U300" s="81">
        <f>IF(G300="","",ABS(O300-Components!$C$7)/Components!$D$7)</f>
        <v>54.257439367485453</v>
      </c>
      <c r="V300" s="81" t="str">
        <f>IF(G300="","",IF(M300="OK","NONE",INDEX({"S1","S2","W1","W2","N1","N2"},MATCH(MIN(P300:U300),P300:U300,0))))</f>
        <v>NONE</v>
      </c>
      <c r="W300" s="117">
        <f t="shared" si="34"/>
        <v>1</v>
      </c>
      <c r="X300" s="107"/>
    </row>
    <row r="301" spans="1:24">
      <c r="A301" s="115">
        <v>299</v>
      </c>
      <c r="B301" s="116">
        <v>10</v>
      </c>
      <c r="C301" s="61" t="s">
        <v>132</v>
      </c>
      <c r="D301" s="61" t="s">
        <v>238</v>
      </c>
      <c r="E301" s="61" t="s">
        <v>239</v>
      </c>
      <c r="F301" s="61">
        <v>8.6199999999999992</v>
      </c>
      <c r="G301" s="52">
        <f t="shared" si="28"/>
        <v>9.59</v>
      </c>
      <c r="H301" s="110"/>
      <c r="I301" s="81">
        <v>9.61</v>
      </c>
      <c r="J301" s="81">
        <f>VLOOKUP(C301,Recipes!$A$2:$N$4,12,FALSE())</f>
        <v>6.1509461004819709E-2</v>
      </c>
      <c r="K301" s="81">
        <f t="shared" si="29"/>
        <v>9.3947168864831312</v>
      </c>
      <c r="L301" s="81">
        <f t="shared" si="30"/>
        <v>9.8252831135168677</v>
      </c>
      <c r="M301" s="81" t="str">
        <f t="shared" si="32"/>
        <v>OK</v>
      </c>
      <c r="N301" s="117">
        <f t="shared" si="31"/>
        <v>1</v>
      </c>
      <c r="O301" s="81">
        <f t="shared" si="33"/>
        <v>1.9999999999999574E-2</v>
      </c>
      <c r="P301" s="81">
        <f>IF(G301="","",ABS(O301-Components!$C$2)/Components!$D$2)</f>
        <v>413.58085401409028</v>
      </c>
      <c r="Q301" s="81">
        <f>IF(G301="","",ABS(O301-Components!$C$3)/Components!$D$3)</f>
        <v>291.08723728488519</v>
      </c>
      <c r="R301" s="81">
        <f>IF(G301="","",ABS(O301-Components!$C$4)/Components!$D$4)</f>
        <v>69.63005886856071</v>
      </c>
      <c r="S301" s="81">
        <f>IF(G301="","",ABS(O301-Components!$C$5)/Components!$D$5)</f>
        <v>180.40906999276302</v>
      </c>
      <c r="T301" s="81">
        <f>IF(G301="","",ABS(O301-Components!$C$6)/Components!$D$6)</f>
        <v>41.104915999908741</v>
      </c>
      <c r="U301" s="81">
        <f>IF(G301="","",ABS(O301-Components!$C$7)/Components!$D$7)</f>
        <v>53.859754739822421</v>
      </c>
      <c r="V301" s="81" t="str">
        <f>IF(G301="","",IF(M301="OK","NONE",INDEX({"S1","S2","W1","W2","N1","N2"},MATCH(MIN(P301:U301),P301:U301,0))))</f>
        <v>NONE</v>
      </c>
      <c r="W301" s="117">
        <f t="shared" si="34"/>
        <v>1</v>
      </c>
      <c r="X301" s="107"/>
    </row>
    <row r="302" spans="1:24">
      <c r="A302" s="115">
        <v>300</v>
      </c>
      <c r="B302" s="116">
        <v>10</v>
      </c>
      <c r="C302" s="61" t="s">
        <v>132</v>
      </c>
      <c r="D302" s="61" t="s">
        <v>238</v>
      </c>
      <c r="E302" s="61" t="s">
        <v>239</v>
      </c>
      <c r="F302" s="61">
        <v>8.58</v>
      </c>
      <c r="G302" s="52">
        <f t="shared" si="28"/>
        <v>9.5500000000000007</v>
      </c>
      <c r="H302" s="110"/>
      <c r="I302" s="81">
        <v>9.61</v>
      </c>
      <c r="J302" s="81">
        <f>VLOOKUP(C302,Recipes!$A$2:$N$4,12,FALSE())</f>
        <v>6.1509461004819709E-2</v>
      </c>
      <c r="K302" s="81">
        <f t="shared" si="29"/>
        <v>9.3947168864831312</v>
      </c>
      <c r="L302" s="81">
        <f t="shared" si="30"/>
        <v>9.8252831135168677</v>
      </c>
      <c r="M302" s="81" t="str">
        <f t="shared" si="32"/>
        <v>OK</v>
      </c>
      <c r="N302" s="117">
        <f t="shared" si="31"/>
        <v>1</v>
      </c>
      <c r="O302" s="81">
        <f t="shared" si="33"/>
        <v>5.9999999999998721E-2</v>
      </c>
      <c r="P302" s="81">
        <f>IF(G302="","",ABS(O302-Components!$C$2)/Components!$D$2)</f>
        <v>407.52845127242074</v>
      </c>
      <c r="Q302" s="81">
        <f>IF(G302="","",ABS(O302-Components!$C$3)/Components!$D$3)</f>
        <v>288.18796201312347</v>
      </c>
      <c r="R302" s="81">
        <f>IF(G302="","",ABS(O302-Components!$C$4)/Components!$D$4)</f>
        <v>66.768549599989782</v>
      </c>
      <c r="S302" s="81">
        <f>IF(G302="","",ABS(O302-Components!$C$5)/Components!$D$5)</f>
        <v>178.82049585135334</v>
      </c>
      <c r="T302" s="81">
        <f>IF(G302="","",ABS(O302-Components!$C$6)/Components!$D$6)</f>
        <v>39.657134984355785</v>
      </c>
      <c r="U302" s="81">
        <f>IF(G302="","",ABS(O302-Components!$C$7)/Components!$D$7)</f>
        <v>52.269016229170546</v>
      </c>
      <c r="V302" s="81" t="str">
        <f>IF(G302="","",IF(M302="OK","NONE",INDEX({"S1","S2","W1","W2","N1","N2"},MATCH(MIN(P302:U302),P302:U302,0))))</f>
        <v>NONE</v>
      </c>
      <c r="W302" s="117">
        <f t="shared" si="34"/>
        <v>1</v>
      </c>
      <c r="X302" s="107"/>
    </row>
    <row r="303" spans="1:24">
      <c r="A303" s="115">
        <v>301</v>
      </c>
      <c r="B303" s="116">
        <v>11</v>
      </c>
      <c r="C303" s="81" t="s">
        <v>132</v>
      </c>
      <c r="D303" s="111" t="s">
        <v>240</v>
      </c>
      <c r="E303" s="81" t="s">
        <v>99</v>
      </c>
      <c r="F303" s="52">
        <v>5.89</v>
      </c>
      <c r="G303" s="52">
        <f t="shared" si="28"/>
        <v>6.8599999999999994</v>
      </c>
      <c r="H303" s="110"/>
      <c r="I303" s="81">
        <v>9.61</v>
      </c>
      <c r="J303" s="81">
        <f>VLOOKUP(C303,Recipes!$A$2:$N$4,12,FALSE())</f>
        <v>6.1509461004819709E-2</v>
      </c>
      <c r="K303" s="81">
        <f t="shared" si="29"/>
        <v>9.3947168864831312</v>
      </c>
      <c r="L303" s="81">
        <f t="shared" si="30"/>
        <v>9.8252831135168677</v>
      </c>
      <c r="M303" s="81" t="str">
        <f t="shared" si="32"/>
        <v>NG</v>
      </c>
      <c r="N303" s="117">
        <f t="shared" si="31"/>
        <v>1</v>
      </c>
      <c r="O303" s="81">
        <f t="shared" si="33"/>
        <v>2.75</v>
      </c>
      <c r="P303" s="81">
        <f>IF(G303="","",ABS(O303-Components!$C$2)/Components!$D$2)</f>
        <v>0.50436689513860911</v>
      </c>
      <c r="Q303" s="81">
        <f>IF(G303="","",ABS(O303-Components!$C$3)/Components!$D$3)</f>
        <v>93.211699987141998</v>
      </c>
      <c r="R303" s="81">
        <f>IF(G303="","",ABS(O303-Components!$C$4)/Components!$D$4)</f>
        <v>125.66794871140925</v>
      </c>
      <c r="S303" s="81">
        <f>IF(G303="","",ABS(O303-Components!$C$5)/Components!$D$5)</f>
        <v>71.988884841550231</v>
      </c>
      <c r="T303" s="81">
        <f>IF(G303="","",ABS(O303-Components!$C$6)/Components!$D$6)</f>
        <v>57.706138311582762</v>
      </c>
      <c r="U303" s="81">
        <f>IF(G303="","",ABS(O303-Components!$C$7)/Components!$D$7)</f>
        <v>54.708148612170341</v>
      </c>
      <c r="V303" s="81" t="str">
        <f>IF(G303="","",IF(M303="OK","NONE",INDEX({"S1","S2","W1","W2","N1","N2"},MATCH(MIN(P303:U303),P303:U303,0))))</f>
        <v>S1</v>
      </c>
      <c r="W303" s="117">
        <f t="shared" si="34"/>
        <v>1</v>
      </c>
      <c r="X303" s="107"/>
    </row>
    <row r="304" spans="1:24">
      <c r="A304" s="115">
        <v>302</v>
      </c>
      <c r="B304" s="116">
        <v>11</v>
      </c>
      <c r="C304" s="81" t="s">
        <v>132</v>
      </c>
      <c r="D304" s="111" t="s">
        <v>240</v>
      </c>
      <c r="E304" s="81" t="s">
        <v>99</v>
      </c>
      <c r="F304" s="52">
        <v>5.89</v>
      </c>
      <c r="G304" s="52">
        <f t="shared" si="28"/>
        <v>6.8599999999999994</v>
      </c>
      <c r="H304" s="110"/>
      <c r="I304" s="81">
        <v>9.61</v>
      </c>
      <c r="J304" s="81">
        <f>VLOOKUP(C304,Recipes!$A$2:$N$4,12,FALSE())</f>
        <v>6.1509461004819709E-2</v>
      </c>
      <c r="K304" s="81">
        <f t="shared" si="29"/>
        <v>9.3947168864831312</v>
      </c>
      <c r="L304" s="81">
        <f t="shared" si="30"/>
        <v>9.8252831135168677</v>
      </c>
      <c r="M304" s="81" t="str">
        <f t="shared" si="32"/>
        <v>NG</v>
      </c>
      <c r="N304" s="117">
        <f t="shared" si="31"/>
        <v>1</v>
      </c>
      <c r="O304" s="81">
        <f t="shared" si="33"/>
        <v>2.75</v>
      </c>
      <c r="P304" s="81">
        <f>IF(G304="","",ABS(O304-Components!$C$2)/Components!$D$2)</f>
        <v>0.50436689513860911</v>
      </c>
      <c r="Q304" s="81">
        <f>IF(G304="","",ABS(O304-Components!$C$3)/Components!$D$3)</f>
        <v>93.211699987141998</v>
      </c>
      <c r="R304" s="81">
        <f>IF(G304="","",ABS(O304-Components!$C$4)/Components!$D$4)</f>
        <v>125.66794871140925</v>
      </c>
      <c r="S304" s="81">
        <f>IF(G304="","",ABS(O304-Components!$C$5)/Components!$D$5)</f>
        <v>71.988884841550231</v>
      </c>
      <c r="T304" s="81">
        <f>IF(G304="","",ABS(O304-Components!$C$6)/Components!$D$6)</f>
        <v>57.706138311582762</v>
      </c>
      <c r="U304" s="81">
        <f>IF(G304="","",ABS(O304-Components!$C$7)/Components!$D$7)</f>
        <v>54.708148612170341</v>
      </c>
      <c r="V304" s="81" t="str">
        <f>IF(G304="","",IF(M304="OK","NONE",INDEX({"S1","S2","W1","W2","N1","N2"},MATCH(MIN(P304:U304),P304:U304,0))))</f>
        <v>S1</v>
      </c>
      <c r="W304" s="117">
        <f t="shared" si="34"/>
        <v>1</v>
      </c>
      <c r="X304" s="107"/>
    </row>
    <row r="305" spans="1:24">
      <c r="A305" s="115">
        <v>303</v>
      </c>
      <c r="B305" s="116">
        <v>11</v>
      </c>
      <c r="C305" s="81" t="s">
        <v>132</v>
      </c>
      <c r="D305" s="111" t="s">
        <v>240</v>
      </c>
      <c r="E305" s="81" t="s">
        <v>99</v>
      </c>
      <c r="F305" s="61">
        <v>5.9</v>
      </c>
      <c r="G305" s="52">
        <f t="shared" si="28"/>
        <v>6.87</v>
      </c>
      <c r="H305" s="110"/>
      <c r="I305" s="81">
        <v>9.61</v>
      </c>
      <c r="J305" s="81">
        <f>VLOOKUP(C305,Recipes!$A$2:$N$4,12,FALSE())</f>
        <v>6.1509461004819709E-2</v>
      </c>
      <c r="K305" s="81">
        <f t="shared" si="29"/>
        <v>9.3947168864831312</v>
      </c>
      <c r="L305" s="81">
        <f t="shared" si="30"/>
        <v>9.8252831135168677</v>
      </c>
      <c r="M305" s="81" t="str">
        <f t="shared" si="32"/>
        <v>NG</v>
      </c>
      <c r="N305" s="117">
        <f t="shared" si="31"/>
        <v>1</v>
      </c>
      <c r="O305" s="81">
        <f t="shared" si="33"/>
        <v>2.7399999999999993</v>
      </c>
      <c r="P305" s="81">
        <f>IF(G305="","",ABS(O305-Components!$C$2)/Components!$D$2)</f>
        <v>2.0174675805561164</v>
      </c>
      <c r="Q305" s="81">
        <f>IF(G305="","",ABS(O305-Components!$C$3)/Components!$D$3)</f>
        <v>93.9365188050825</v>
      </c>
      <c r="R305" s="81">
        <f>IF(G305="","",ABS(O305-Components!$C$4)/Components!$D$4)</f>
        <v>124.95257139426646</v>
      </c>
      <c r="S305" s="81">
        <f>IF(G305="","",ABS(O305-Components!$C$5)/Components!$D$5)</f>
        <v>72.386028376902672</v>
      </c>
      <c r="T305" s="81">
        <f>IF(G305="","",ABS(O305-Components!$C$6)/Components!$D$6)</f>
        <v>57.34419305769449</v>
      </c>
      <c r="U305" s="81">
        <f>IF(G305="","",ABS(O305-Components!$C$7)/Components!$D$7)</f>
        <v>54.310463984507336</v>
      </c>
      <c r="V305" s="81" t="str">
        <f>IF(G305="","",IF(M305="OK","NONE",INDEX({"S1","S2","W1","W2","N1","N2"},MATCH(MIN(P305:U305),P305:U305,0))))</f>
        <v>S1</v>
      </c>
      <c r="W305" s="117">
        <f t="shared" si="34"/>
        <v>1</v>
      </c>
      <c r="X305" s="107"/>
    </row>
    <row r="306" spans="1:24">
      <c r="A306" s="115">
        <v>304</v>
      </c>
      <c r="B306" s="116">
        <v>11</v>
      </c>
      <c r="C306" s="81" t="s">
        <v>132</v>
      </c>
      <c r="D306" s="111" t="s">
        <v>240</v>
      </c>
      <c r="E306" s="81" t="s">
        <v>99</v>
      </c>
      <c r="F306" s="61">
        <v>5.88</v>
      </c>
      <c r="G306" s="52">
        <f t="shared" si="28"/>
        <v>6.85</v>
      </c>
      <c r="H306" s="110"/>
      <c r="I306" s="81">
        <v>9.61</v>
      </c>
      <c r="J306" s="81">
        <f>VLOOKUP(C306,Recipes!$A$2:$N$4,12,FALSE())</f>
        <v>6.1509461004819709E-2</v>
      </c>
      <c r="K306" s="81">
        <f t="shared" si="29"/>
        <v>9.3947168864831312</v>
      </c>
      <c r="L306" s="81">
        <f t="shared" si="30"/>
        <v>9.8252831135168677</v>
      </c>
      <c r="M306" s="81" t="str">
        <f t="shared" si="32"/>
        <v>NG</v>
      </c>
      <c r="N306" s="117">
        <f t="shared" si="31"/>
        <v>1</v>
      </c>
      <c r="O306" s="81">
        <f t="shared" si="33"/>
        <v>2.76</v>
      </c>
      <c r="P306" s="81">
        <f>IF(G306="","",ABS(O306-Components!$C$2)/Components!$D$2)</f>
        <v>1.0087337902787636</v>
      </c>
      <c r="Q306" s="81">
        <f>IF(G306="","",ABS(O306-Components!$C$3)/Components!$D$3)</f>
        <v>92.486881169201553</v>
      </c>
      <c r="R306" s="81">
        <f>IF(G306="","",ABS(O306-Components!$C$4)/Components!$D$4)</f>
        <v>126.38332602855199</v>
      </c>
      <c r="S306" s="81">
        <f>IF(G306="","",ABS(O306-Components!$C$5)/Components!$D$5)</f>
        <v>71.591741306197804</v>
      </c>
      <c r="T306" s="81">
        <f>IF(G306="","",ABS(O306-Components!$C$6)/Components!$D$6)</f>
        <v>58.068083565470999</v>
      </c>
      <c r="U306" s="81">
        <f>IF(G306="","",ABS(O306-Components!$C$7)/Components!$D$7)</f>
        <v>55.105833239833309</v>
      </c>
      <c r="V306" s="81" t="str">
        <f>IF(G306="","",IF(M306="OK","NONE",INDEX({"S1","S2","W1","W2","N1","N2"},MATCH(MIN(P306:U306),P306:U306,0))))</f>
        <v>S1</v>
      </c>
      <c r="W306" s="117">
        <f t="shared" si="34"/>
        <v>1</v>
      </c>
      <c r="X306" s="107"/>
    </row>
    <row r="307" spans="1:24">
      <c r="A307" s="115">
        <v>305</v>
      </c>
      <c r="B307" s="116">
        <v>11</v>
      </c>
      <c r="C307" s="81" t="s">
        <v>132</v>
      </c>
      <c r="D307" s="111" t="s">
        <v>240</v>
      </c>
      <c r="E307" s="81" t="s">
        <v>99</v>
      </c>
      <c r="F307" s="61">
        <v>5.91</v>
      </c>
      <c r="G307" s="52">
        <f t="shared" si="28"/>
        <v>6.88</v>
      </c>
      <c r="H307" s="110"/>
      <c r="I307" s="81">
        <v>9.61</v>
      </c>
      <c r="J307" s="81">
        <f>VLOOKUP(C307,Recipes!$A$2:$N$4,12,FALSE())</f>
        <v>6.1509461004819709E-2</v>
      </c>
      <c r="K307" s="81">
        <f t="shared" si="29"/>
        <v>9.3947168864831312</v>
      </c>
      <c r="L307" s="81">
        <f t="shared" si="30"/>
        <v>9.8252831135168677</v>
      </c>
      <c r="M307" s="81" t="str">
        <f t="shared" si="32"/>
        <v>NG</v>
      </c>
      <c r="N307" s="117">
        <f t="shared" si="31"/>
        <v>1</v>
      </c>
      <c r="O307" s="81">
        <f t="shared" si="33"/>
        <v>2.7299999999999995</v>
      </c>
      <c r="P307" s="81">
        <f>IF(G307="","",ABS(O307-Components!$C$2)/Components!$D$2)</f>
        <v>3.5305682659734892</v>
      </c>
      <c r="Q307" s="81">
        <f>IF(G307="","",ABS(O307-Components!$C$3)/Components!$D$3)</f>
        <v>94.661337623022931</v>
      </c>
      <c r="R307" s="81">
        <f>IF(G307="","",ABS(O307-Components!$C$4)/Components!$D$4)</f>
        <v>124.23719407712373</v>
      </c>
      <c r="S307" s="81">
        <f>IF(G307="","",ABS(O307-Components!$C$5)/Components!$D$5)</f>
        <v>72.783171912255099</v>
      </c>
      <c r="T307" s="81">
        <f>IF(G307="","",ABS(O307-Components!$C$6)/Components!$D$6)</f>
        <v>56.982247803806253</v>
      </c>
      <c r="U307" s="81">
        <f>IF(G307="","",ABS(O307-Components!$C$7)/Components!$D$7)</f>
        <v>53.912779356844368</v>
      </c>
      <c r="V307" s="81" t="str">
        <f>IF(G307="","",IF(M307="OK","NONE",INDEX({"S1","S2","W1","W2","N1","N2"},MATCH(MIN(P307:U307),P307:U307,0))))</f>
        <v>S1</v>
      </c>
      <c r="W307" s="117">
        <f t="shared" si="34"/>
        <v>1</v>
      </c>
      <c r="X307" s="107"/>
    </row>
    <row r="308" spans="1:24">
      <c r="A308" s="115">
        <v>306</v>
      </c>
      <c r="B308" s="116">
        <v>11</v>
      </c>
      <c r="C308" s="81" t="s">
        <v>132</v>
      </c>
      <c r="D308" s="111" t="s">
        <v>240</v>
      </c>
      <c r="E308" s="81" t="s">
        <v>99</v>
      </c>
      <c r="F308" s="61">
        <v>5.86</v>
      </c>
      <c r="G308" s="52">
        <f t="shared" si="28"/>
        <v>6.83</v>
      </c>
      <c r="H308" s="110"/>
      <c r="I308" s="81">
        <v>9.61</v>
      </c>
      <c r="J308" s="81">
        <f>VLOOKUP(C308,Recipes!$A$2:$N$4,12,FALSE())</f>
        <v>6.1509461004819709E-2</v>
      </c>
      <c r="K308" s="81">
        <f t="shared" si="29"/>
        <v>9.3947168864831312</v>
      </c>
      <c r="L308" s="81">
        <f t="shared" si="30"/>
        <v>9.8252831135168677</v>
      </c>
      <c r="M308" s="81" t="str">
        <f t="shared" si="32"/>
        <v>NG</v>
      </c>
      <c r="N308" s="117">
        <f t="shared" si="31"/>
        <v>1</v>
      </c>
      <c r="O308" s="81">
        <f t="shared" si="33"/>
        <v>2.7799999999999994</v>
      </c>
      <c r="P308" s="81">
        <f>IF(G308="","",ABS(O308-Components!$C$2)/Components!$D$2)</f>
        <v>4.0349351611135091</v>
      </c>
      <c r="Q308" s="81">
        <f>IF(G308="","",ABS(O308-Components!$C$3)/Components!$D$3)</f>
        <v>91.037243533320691</v>
      </c>
      <c r="R308" s="81">
        <f>IF(G308="","",ABS(O308-Components!$C$4)/Components!$D$4)</f>
        <v>127.81408066283745</v>
      </c>
      <c r="S308" s="81">
        <f>IF(G308="","",ABS(O308-Components!$C$5)/Components!$D$5)</f>
        <v>70.797454235492964</v>
      </c>
      <c r="T308" s="81">
        <f>IF(G308="","",ABS(O308-Components!$C$6)/Components!$D$6)</f>
        <v>58.791974073247481</v>
      </c>
      <c r="U308" s="81">
        <f>IF(G308="","",ABS(O308-Components!$C$7)/Components!$D$7)</f>
        <v>55.901202495159247</v>
      </c>
      <c r="V308" s="81" t="str">
        <f>IF(G308="","",IF(M308="OK","NONE",INDEX({"S1","S2","W1","W2","N1","N2"},MATCH(MIN(P308:U308),P308:U308,0))))</f>
        <v>S1</v>
      </c>
      <c r="W308" s="117">
        <f t="shared" si="34"/>
        <v>1</v>
      </c>
      <c r="X308" s="107"/>
    </row>
    <row r="309" spans="1:24">
      <c r="A309" s="115">
        <v>307</v>
      </c>
      <c r="B309" s="116">
        <v>11</v>
      </c>
      <c r="C309" s="81" t="s">
        <v>132</v>
      </c>
      <c r="D309" s="111" t="s">
        <v>240</v>
      </c>
      <c r="E309" s="81" t="s">
        <v>99</v>
      </c>
      <c r="F309" s="61">
        <v>5.9</v>
      </c>
      <c r="G309" s="52">
        <f t="shared" si="28"/>
        <v>6.87</v>
      </c>
      <c r="H309" s="110"/>
      <c r="I309" s="81">
        <v>9.61</v>
      </c>
      <c r="J309" s="81">
        <f>VLOOKUP(C309,Recipes!$A$2:$N$4,12,FALSE())</f>
        <v>6.1509461004819709E-2</v>
      </c>
      <c r="K309" s="81">
        <f t="shared" si="29"/>
        <v>9.3947168864831312</v>
      </c>
      <c r="L309" s="81">
        <f t="shared" si="30"/>
        <v>9.8252831135168677</v>
      </c>
      <c r="M309" s="81" t="str">
        <f t="shared" si="32"/>
        <v>NG</v>
      </c>
      <c r="N309" s="117">
        <f t="shared" si="31"/>
        <v>1</v>
      </c>
      <c r="O309" s="81">
        <f t="shared" si="33"/>
        <v>2.7399999999999993</v>
      </c>
      <c r="P309" s="81">
        <f>IF(G309="","",ABS(O309-Components!$C$2)/Components!$D$2)</f>
        <v>2.0174675805561164</v>
      </c>
      <c r="Q309" s="81">
        <f>IF(G309="","",ABS(O309-Components!$C$3)/Components!$D$3)</f>
        <v>93.9365188050825</v>
      </c>
      <c r="R309" s="81">
        <f>IF(G309="","",ABS(O309-Components!$C$4)/Components!$D$4)</f>
        <v>124.95257139426646</v>
      </c>
      <c r="S309" s="81">
        <f>IF(G309="","",ABS(O309-Components!$C$5)/Components!$D$5)</f>
        <v>72.386028376902672</v>
      </c>
      <c r="T309" s="81">
        <f>IF(G309="","",ABS(O309-Components!$C$6)/Components!$D$6)</f>
        <v>57.34419305769449</v>
      </c>
      <c r="U309" s="81">
        <f>IF(G309="","",ABS(O309-Components!$C$7)/Components!$D$7)</f>
        <v>54.310463984507336</v>
      </c>
      <c r="V309" s="81" t="str">
        <f>IF(G309="","",IF(M309="OK","NONE",INDEX({"S1","S2","W1","W2","N1","N2"},MATCH(MIN(P309:U309),P309:U309,0))))</f>
        <v>S1</v>
      </c>
      <c r="W309" s="117">
        <f t="shared" si="34"/>
        <v>1</v>
      </c>
      <c r="X309" s="107"/>
    </row>
    <row r="310" spans="1:24">
      <c r="A310" s="115">
        <v>308</v>
      </c>
      <c r="B310" s="116">
        <v>11</v>
      </c>
      <c r="C310" s="81" t="s">
        <v>132</v>
      </c>
      <c r="D310" s="111" t="s">
        <v>240</v>
      </c>
      <c r="E310" s="81" t="s">
        <v>99</v>
      </c>
      <c r="F310" s="61">
        <v>5.8</v>
      </c>
      <c r="G310" s="52">
        <f t="shared" si="28"/>
        <v>6.77</v>
      </c>
      <c r="H310" s="110"/>
      <c r="I310" s="81">
        <v>9.61</v>
      </c>
      <c r="J310" s="81">
        <f>VLOOKUP(C310,Recipes!$A$2:$N$4,12,FALSE())</f>
        <v>6.1509461004819709E-2</v>
      </c>
      <c r="K310" s="81">
        <f t="shared" si="29"/>
        <v>9.3947168864831312</v>
      </c>
      <c r="L310" s="81">
        <f t="shared" si="30"/>
        <v>9.8252831135168677</v>
      </c>
      <c r="M310" s="81" t="str">
        <f t="shared" si="32"/>
        <v>NG</v>
      </c>
      <c r="N310" s="117">
        <f t="shared" si="31"/>
        <v>1</v>
      </c>
      <c r="O310" s="81">
        <f t="shared" si="33"/>
        <v>2.84</v>
      </c>
      <c r="P310" s="81">
        <f>IF(G310="","",ABS(O310-Components!$C$2)/Components!$D$2)</f>
        <v>13.113539273618015</v>
      </c>
      <c r="Q310" s="81">
        <f>IF(G310="","",ABS(O310-Components!$C$3)/Components!$D$3)</f>
        <v>86.688330625677949</v>
      </c>
      <c r="R310" s="81">
        <f>IF(G310="","",ABS(O310-Components!$C$4)/Components!$D$4)</f>
        <v>132.10634456569397</v>
      </c>
      <c r="S310" s="81">
        <f>IF(G310="","",ABS(O310-Components!$C$5)/Components!$D$5)</f>
        <v>68.414593023378387</v>
      </c>
      <c r="T310" s="81">
        <f>IF(G310="","",ABS(O310-Components!$C$6)/Components!$D$6)</f>
        <v>60.963645596576981</v>
      </c>
      <c r="U310" s="81">
        <f>IF(G310="","",ABS(O310-Components!$C$7)/Components!$D$7)</f>
        <v>58.287310261137129</v>
      </c>
      <c r="V310" s="81" t="str">
        <f>IF(G310="","",IF(M310="OK","NONE",INDEX({"S1","S2","W1","W2","N1","N2"},MATCH(MIN(P310:U310),P310:U310,0))))</f>
        <v>S1</v>
      </c>
      <c r="W310" s="117">
        <f t="shared" si="34"/>
        <v>1</v>
      </c>
      <c r="X310" s="107"/>
    </row>
    <row r="311" spans="1:24">
      <c r="A311" s="115">
        <v>309</v>
      </c>
      <c r="B311" s="116">
        <v>11</v>
      </c>
      <c r="C311" s="81" t="s">
        <v>132</v>
      </c>
      <c r="D311" s="111" t="s">
        <v>240</v>
      </c>
      <c r="E311" s="81" t="s">
        <v>99</v>
      </c>
      <c r="F311" s="61">
        <v>5.94</v>
      </c>
      <c r="G311" s="52">
        <f t="shared" si="28"/>
        <v>6.91</v>
      </c>
      <c r="H311" s="110"/>
      <c r="I311" s="81">
        <v>9.61</v>
      </c>
      <c r="J311" s="81">
        <f>VLOOKUP(C311,Recipes!$A$2:$N$4,12,FALSE())</f>
        <v>6.1509461004819709E-2</v>
      </c>
      <c r="K311" s="81">
        <f t="shared" si="29"/>
        <v>9.3947168864831312</v>
      </c>
      <c r="L311" s="81">
        <f t="shared" si="30"/>
        <v>9.8252831135168677</v>
      </c>
      <c r="M311" s="81" t="str">
        <f t="shared" si="32"/>
        <v>NG</v>
      </c>
      <c r="N311" s="117">
        <f t="shared" si="31"/>
        <v>1</v>
      </c>
      <c r="O311" s="81">
        <f t="shared" si="33"/>
        <v>2.6999999999999993</v>
      </c>
      <c r="P311" s="81">
        <f>IF(G311="","",ABS(O311-Components!$C$2)/Components!$D$2)</f>
        <v>8.0698703222257411</v>
      </c>
      <c r="Q311" s="81">
        <f>IF(G311="","",ABS(O311-Components!$C$3)/Components!$D$3)</f>
        <v>96.835794076844309</v>
      </c>
      <c r="R311" s="81">
        <f>IF(G311="","",ABS(O311-Components!$C$4)/Components!$D$4)</f>
        <v>122.09106212569547</v>
      </c>
      <c r="S311" s="81">
        <f>IF(G311="","",ABS(O311-Components!$C$5)/Components!$D$5)</f>
        <v>73.974602518312395</v>
      </c>
      <c r="T311" s="81">
        <f>IF(G311="","",ABS(O311-Components!$C$6)/Components!$D$6)</f>
        <v>55.896412042141499</v>
      </c>
      <c r="U311" s="81">
        <f>IF(G311="","",ABS(O311-Components!$C$7)/Components!$D$7)</f>
        <v>52.719725473855434</v>
      </c>
      <c r="V311" s="81" t="str">
        <f>IF(G311="","",IF(M311="OK","NONE",INDEX({"S1","S2","W1","W2","N1","N2"},MATCH(MIN(P311:U311),P311:U311,0))))</f>
        <v>S1</v>
      </c>
      <c r="W311" s="117">
        <f t="shared" si="34"/>
        <v>1</v>
      </c>
      <c r="X311" s="107"/>
    </row>
    <row r="312" spans="1:24">
      <c r="A312" s="115">
        <v>310</v>
      </c>
      <c r="B312" s="116">
        <v>11</v>
      </c>
      <c r="C312" s="81" t="s">
        <v>132</v>
      </c>
      <c r="D312" s="111" t="s">
        <v>240</v>
      </c>
      <c r="E312" s="81" t="s">
        <v>99</v>
      </c>
      <c r="F312" s="61">
        <v>5.94</v>
      </c>
      <c r="G312" s="52">
        <f t="shared" si="28"/>
        <v>6.91</v>
      </c>
      <c r="H312" s="110"/>
      <c r="I312" s="81">
        <v>9.61</v>
      </c>
      <c r="J312" s="81">
        <f>VLOOKUP(C312,Recipes!$A$2:$N$4,12,FALSE())</f>
        <v>6.1509461004819709E-2</v>
      </c>
      <c r="K312" s="81">
        <f t="shared" si="29"/>
        <v>9.3947168864831312</v>
      </c>
      <c r="L312" s="81">
        <f t="shared" si="30"/>
        <v>9.8252831135168677</v>
      </c>
      <c r="M312" s="81" t="str">
        <f t="shared" si="32"/>
        <v>NG</v>
      </c>
      <c r="N312" s="117">
        <f t="shared" si="31"/>
        <v>1</v>
      </c>
      <c r="O312" s="81">
        <f t="shared" si="33"/>
        <v>2.6999999999999993</v>
      </c>
      <c r="P312" s="81">
        <f>IF(G312="","",ABS(O312-Components!$C$2)/Components!$D$2)</f>
        <v>8.0698703222257411</v>
      </c>
      <c r="Q312" s="81">
        <f>IF(G312="","",ABS(O312-Components!$C$3)/Components!$D$3)</f>
        <v>96.835794076844309</v>
      </c>
      <c r="R312" s="81">
        <f>IF(G312="","",ABS(O312-Components!$C$4)/Components!$D$4)</f>
        <v>122.09106212569547</v>
      </c>
      <c r="S312" s="81">
        <f>IF(G312="","",ABS(O312-Components!$C$5)/Components!$D$5)</f>
        <v>73.974602518312395</v>
      </c>
      <c r="T312" s="81">
        <f>IF(G312="","",ABS(O312-Components!$C$6)/Components!$D$6)</f>
        <v>55.896412042141499</v>
      </c>
      <c r="U312" s="81">
        <f>IF(G312="","",ABS(O312-Components!$C$7)/Components!$D$7)</f>
        <v>52.719725473855434</v>
      </c>
      <c r="V312" s="81" t="str">
        <f>IF(G312="","",IF(M312="OK","NONE",INDEX({"S1","S2","W1","W2","N1","N2"},MATCH(MIN(P312:U312),P312:U312,0))))</f>
        <v>S1</v>
      </c>
      <c r="W312" s="117">
        <f t="shared" si="34"/>
        <v>1</v>
      </c>
      <c r="X312" s="107"/>
    </row>
    <row r="313" spans="1:24">
      <c r="A313" s="115">
        <v>311</v>
      </c>
      <c r="B313" s="116">
        <v>11</v>
      </c>
      <c r="C313" s="81" t="s">
        <v>132</v>
      </c>
      <c r="D313" s="111" t="s">
        <v>240</v>
      </c>
      <c r="E313" s="81" t="s">
        <v>99</v>
      </c>
      <c r="F313" s="61">
        <v>5.87</v>
      </c>
      <c r="G313" s="52">
        <f t="shared" si="28"/>
        <v>6.84</v>
      </c>
      <c r="H313" s="110"/>
      <c r="I313" s="81">
        <v>9.61</v>
      </c>
      <c r="J313" s="81">
        <f>VLOOKUP(C313,Recipes!$A$2:$N$4,12,FALSE())</f>
        <v>6.1509461004819709E-2</v>
      </c>
      <c r="K313" s="81">
        <f t="shared" si="29"/>
        <v>9.3947168864831312</v>
      </c>
      <c r="L313" s="81">
        <f t="shared" si="30"/>
        <v>9.8252831135168677</v>
      </c>
      <c r="M313" s="81" t="str">
        <f t="shared" si="32"/>
        <v>NG</v>
      </c>
      <c r="N313" s="117">
        <f t="shared" si="31"/>
        <v>1</v>
      </c>
      <c r="O313" s="81">
        <f t="shared" si="33"/>
        <v>2.7699999999999996</v>
      </c>
      <c r="P313" s="81">
        <f>IF(G313="","",ABS(O313-Components!$C$2)/Components!$D$2)</f>
        <v>2.5218344756961364</v>
      </c>
      <c r="Q313" s="81">
        <f>IF(G313="","",ABS(O313-Components!$C$3)/Components!$D$3)</f>
        <v>91.762062351261122</v>
      </c>
      <c r="R313" s="81">
        <f>IF(G313="","",ABS(O313-Components!$C$4)/Components!$D$4)</f>
        <v>127.09870334569472</v>
      </c>
      <c r="S313" s="81">
        <f>IF(G313="","",ABS(O313-Components!$C$5)/Components!$D$5)</f>
        <v>71.194597770845391</v>
      </c>
      <c r="T313" s="81">
        <f>IF(G313="","",ABS(O313-Components!$C$6)/Components!$D$6)</f>
        <v>58.430028819359244</v>
      </c>
      <c r="U313" s="81">
        <f>IF(G313="","",ABS(O313-Components!$C$7)/Components!$D$7)</f>
        <v>55.503517867496278</v>
      </c>
      <c r="V313" s="81" t="str">
        <f>IF(G313="","",IF(M313="OK","NONE",INDEX({"S1","S2","W1","W2","N1","N2"},MATCH(MIN(P313:U313),P313:U313,0))))</f>
        <v>S1</v>
      </c>
      <c r="W313" s="117">
        <f t="shared" si="34"/>
        <v>1</v>
      </c>
      <c r="X313" s="107"/>
    </row>
    <row r="314" spans="1:24">
      <c r="A314" s="115">
        <v>312</v>
      </c>
      <c r="B314" s="116">
        <v>11</v>
      </c>
      <c r="C314" s="81" t="s">
        <v>132</v>
      </c>
      <c r="D314" s="111" t="s">
        <v>240</v>
      </c>
      <c r="E314" s="81" t="s">
        <v>99</v>
      </c>
      <c r="F314" s="61">
        <v>5.88</v>
      </c>
      <c r="G314" s="52">
        <f t="shared" si="28"/>
        <v>6.85</v>
      </c>
      <c r="H314" s="110"/>
      <c r="I314" s="81">
        <v>9.61</v>
      </c>
      <c r="J314" s="81">
        <f>VLOOKUP(C314,Recipes!$A$2:$N$4,12,FALSE())</f>
        <v>6.1509461004819709E-2</v>
      </c>
      <c r="K314" s="81">
        <f t="shared" si="29"/>
        <v>9.3947168864831312</v>
      </c>
      <c r="L314" s="81">
        <f t="shared" si="30"/>
        <v>9.8252831135168677</v>
      </c>
      <c r="M314" s="81" t="str">
        <f t="shared" si="32"/>
        <v>NG</v>
      </c>
      <c r="N314" s="117">
        <f t="shared" si="31"/>
        <v>1</v>
      </c>
      <c r="O314" s="81">
        <f t="shared" si="33"/>
        <v>2.76</v>
      </c>
      <c r="P314" s="81">
        <f>IF(G314="","",ABS(O314-Components!$C$2)/Components!$D$2)</f>
        <v>1.0087337902787636</v>
      </c>
      <c r="Q314" s="81">
        <f>IF(G314="","",ABS(O314-Components!$C$3)/Components!$D$3)</f>
        <v>92.486881169201553</v>
      </c>
      <c r="R314" s="81">
        <f>IF(G314="","",ABS(O314-Components!$C$4)/Components!$D$4)</f>
        <v>126.38332602855199</v>
      </c>
      <c r="S314" s="81">
        <f>IF(G314="","",ABS(O314-Components!$C$5)/Components!$D$5)</f>
        <v>71.591741306197804</v>
      </c>
      <c r="T314" s="81">
        <f>IF(G314="","",ABS(O314-Components!$C$6)/Components!$D$6)</f>
        <v>58.068083565470999</v>
      </c>
      <c r="U314" s="81">
        <f>IF(G314="","",ABS(O314-Components!$C$7)/Components!$D$7)</f>
        <v>55.105833239833309</v>
      </c>
      <c r="V314" s="81" t="str">
        <f>IF(G314="","",IF(M314="OK","NONE",INDEX({"S1","S2","W1","W2","N1","N2"},MATCH(MIN(P314:U314),P314:U314,0))))</f>
        <v>S1</v>
      </c>
      <c r="W314" s="117">
        <f t="shared" si="34"/>
        <v>1</v>
      </c>
      <c r="X314" s="107"/>
    </row>
    <row r="315" spans="1:24">
      <c r="A315" s="115">
        <v>313</v>
      </c>
      <c r="B315" s="116">
        <v>11</v>
      </c>
      <c r="C315" s="81" t="s">
        <v>132</v>
      </c>
      <c r="D315" s="111" t="s">
        <v>240</v>
      </c>
      <c r="E315" s="81" t="s">
        <v>99</v>
      </c>
      <c r="F315" s="61">
        <v>5.87</v>
      </c>
      <c r="G315" s="52">
        <f t="shared" si="28"/>
        <v>6.84</v>
      </c>
      <c r="H315" s="110"/>
      <c r="I315" s="81">
        <v>9.61</v>
      </c>
      <c r="J315" s="81">
        <f>VLOOKUP(C315,Recipes!$A$2:$N$4,12,FALSE())</f>
        <v>6.1509461004819709E-2</v>
      </c>
      <c r="K315" s="81">
        <f t="shared" si="29"/>
        <v>9.3947168864831312</v>
      </c>
      <c r="L315" s="81">
        <f t="shared" si="30"/>
        <v>9.8252831135168677</v>
      </c>
      <c r="M315" s="81" t="str">
        <f t="shared" si="32"/>
        <v>NG</v>
      </c>
      <c r="N315" s="117">
        <f t="shared" si="31"/>
        <v>1</v>
      </c>
      <c r="O315" s="81">
        <f t="shared" si="33"/>
        <v>2.7699999999999996</v>
      </c>
      <c r="P315" s="81">
        <f>IF(G315="","",ABS(O315-Components!$C$2)/Components!$D$2)</f>
        <v>2.5218344756961364</v>
      </c>
      <c r="Q315" s="81">
        <f>IF(G315="","",ABS(O315-Components!$C$3)/Components!$D$3)</f>
        <v>91.762062351261122</v>
      </c>
      <c r="R315" s="81">
        <f>IF(G315="","",ABS(O315-Components!$C$4)/Components!$D$4)</f>
        <v>127.09870334569472</v>
      </c>
      <c r="S315" s="81">
        <f>IF(G315="","",ABS(O315-Components!$C$5)/Components!$D$5)</f>
        <v>71.194597770845391</v>
      </c>
      <c r="T315" s="81">
        <f>IF(G315="","",ABS(O315-Components!$C$6)/Components!$D$6)</f>
        <v>58.430028819359244</v>
      </c>
      <c r="U315" s="81">
        <f>IF(G315="","",ABS(O315-Components!$C$7)/Components!$D$7)</f>
        <v>55.503517867496278</v>
      </c>
      <c r="V315" s="81" t="str">
        <f>IF(G315="","",IF(M315="OK","NONE",INDEX({"S1","S2","W1","W2","N1","N2"},MATCH(MIN(P315:U315),P315:U315,0))))</f>
        <v>S1</v>
      </c>
      <c r="W315" s="117">
        <f t="shared" si="34"/>
        <v>1</v>
      </c>
      <c r="X315" s="107"/>
    </row>
    <row r="316" spans="1:24">
      <c r="A316" s="115">
        <v>314</v>
      </c>
      <c r="B316" s="116">
        <v>11</v>
      </c>
      <c r="C316" s="81" t="s">
        <v>132</v>
      </c>
      <c r="D316" s="111" t="s">
        <v>240</v>
      </c>
      <c r="E316" s="81" t="s">
        <v>99</v>
      </c>
      <c r="F316" s="61">
        <v>5.87</v>
      </c>
      <c r="G316" s="52">
        <f t="shared" si="28"/>
        <v>6.84</v>
      </c>
      <c r="H316" s="110"/>
      <c r="I316" s="81">
        <v>9.61</v>
      </c>
      <c r="J316" s="81">
        <f>VLOOKUP(C316,Recipes!$A$2:$N$4,12,FALSE())</f>
        <v>6.1509461004819709E-2</v>
      </c>
      <c r="K316" s="81">
        <f t="shared" si="29"/>
        <v>9.3947168864831312</v>
      </c>
      <c r="L316" s="81">
        <f t="shared" si="30"/>
        <v>9.8252831135168677</v>
      </c>
      <c r="M316" s="81" t="str">
        <f t="shared" si="32"/>
        <v>NG</v>
      </c>
      <c r="N316" s="117">
        <f t="shared" si="31"/>
        <v>1</v>
      </c>
      <c r="O316" s="81">
        <f t="shared" si="33"/>
        <v>2.7699999999999996</v>
      </c>
      <c r="P316" s="81">
        <f>IF(G316="","",ABS(O316-Components!$C$2)/Components!$D$2)</f>
        <v>2.5218344756961364</v>
      </c>
      <c r="Q316" s="81">
        <f>IF(G316="","",ABS(O316-Components!$C$3)/Components!$D$3)</f>
        <v>91.762062351261122</v>
      </c>
      <c r="R316" s="81">
        <f>IF(G316="","",ABS(O316-Components!$C$4)/Components!$D$4)</f>
        <v>127.09870334569472</v>
      </c>
      <c r="S316" s="81">
        <f>IF(G316="","",ABS(O316-Components!$C$5)/Components!$D$5)</f>
        <v>71.194597770845391</v>
      </c>
      <c r="T316" s="81">
        <f>IF(G316="","",ABS(O316-Components!$C$6)/Components!$D$6)</f>
        <v>58.430028819359244</v>
      </c>
      <c r="U316" s="81">
        <f>IF(G316="","",ABS(O316-Components!$C$7)/Components!$D$7)</f>
        <v>55.503517867496278</v>
      </c>
      <c r="V316" s="81" t="str">
        <f>IF(G316="","",IF(M316="OK","NONE",INDEX({"S1","S2","W1","W2","N1","N2"},MATCH(MIN(P316:U316),P316:U316,0))))</f>
        <v>S1</v>
      </c>
      <c r="W316" s="117">
        <f t="shared" si="34"/>
        <v>1</v>
      </c>
      <c r="X316" s="107"/>
    </row>
    <row r="317" spans="1:24">
      <c r="A317" s="115">
        <v>315</v>
      </c>
      <c r="B317" s="116">
        <v>11</v>
      </c>
      <c r="C317" s="81" t="s">
        <v>132</v>
      </c>
      <c r="D317" s="111" t="s">
        <v>240</v>
      </c>
      <c r="E317" s="81" t="s">
        <v>99</v>
      </c>
      <c r="F317" s="61">
        <v>5.82</v>
      </c>
      <c r="G317" s="52">
        <f t="shared" si="28"/>
        <v>6.79</v>
      </c>
      <c r="H317" s="110"/>
      <c r="I317" s="81">
        <v>9.61</v>
      </c>
      <c r="J317" s="81">
        <f>VLOOKUP(C317,Recipes!$A$2:$N$4,12,FALSE())</f>
        <v>6.1509461004819709E-2</v>
      </c>
      <c r="K317" s="81">
        <f t="shared" si="29"/>
        <v>9.3947168864831312</v>
      </c>
      <c r="L317" s="81">
        <f t="shared" si="30"/>
        <v>9.8252831135168677</v>
      </c>
      <c r="M317" s="81" t="str">
        <f t="shared" si="32"/>
        <v>NG</v>
      </c>
      <c r="N317" s="117">
        <f t="shared" si="31"/>
        <v>1</v>
      </c>
      <c r="O317" s="81">
        <f t="shared" si="33"/>
        <v>2.8199999999999994</v>
      </c>
      <c r="P317" s="81">
        <f>IF(G317="","",ABS(O317-Components!$C$2)/Components!$D$2)</f>
        <v>10.087337902783135</v>
      </c>
      <c r="Q317" s="81">
        <f>IF(G317="","",ABS(O317-Components!$C$3)/Components!$D$3)</f>
        <v>88.137968261558882</v>
      </c>
      <c r="R317" s="81">
        <f>IF(G317="","",ABS(O317-Components!$C$4)/Components!$D$4)</f>
        <v>130.67558993140844</v>
      </c>
      <c r="S317" s="81">
        <f>IF(G317="","",ABS(O317-Components!$C$5)/Components!$D$5)</f>
        <v>69.208880094083256</v>
      </c>
      <c r="T317" s="81">
        <f>IF(G317="","",ABS(O317-Components!$C$6)/Components!$D$6)</f>
        <v>60.239755088800472</v>
      </c>
      <c r="U317" s="81">
        <f>IF(G317="","",ABS(O317-Components!$C$7)/Components!$D$7)</f>
        <v>57.491941005811157</v>
      </c>
      <c r="V317" s="81" t="str">
        <f>IF(G317="","",IF(M317="OK","NONE",INDEX({"S1","S2","W1","W2","N1","N2"},MATCH(MIN(P317:U317),P317:U317,0))))</f>
        <v>S1</v>
      </c>
      <c r="W317" s="117">
        <f t="shared" si="34"/>
        <v>1</v>
      </c>
      <c r="X317" s="107"/>
    </row>
    <row r="318" spans="1:24">
      <c r="A318" s="115">
        <v>316</v>
      </c>
      <c r="B318" s="116">
        <v>11</v>
      </c>
      <c r="C318" s="81" t="s">
        <v>132</v>
      </c>
      <c r="D318" s="111" t="s">
        <v>240</v>
      </c>
      <c r="E318" s="81" t="s">
        <v>99</v>
      </c>
      <c r="F318" s="61">
        <v>5.92</v>
      </c>
      <c r="G318" s="52">
        <f t="shared" si="28"/>
        <v>6.89</v>
      </c>
      <c r="H318" s="110"/>
      <c r="I318" s="81">
        <v>9.61</v>
      </c>
      <c r="J318" s="81">
        <f>VLOOKUP(C318,Recipes!$A$2:$N$4,12,FALSE())</f>
        <v>6.1509461004819709E-2</v>
      </c>
      <c r="K318" s="81">
        <f t="shared" si="29"/>
        <v>9.3947168864831312</v>
      </c>
      <c r="L318" s="81">
        <f t="shared" si="30"/>
        <v>9.8252831135168677</v>
      </c>
      <c r="M318" s="81" t="str">
        <f t="shared" si="32"/>
        <v>NG</v>
      </c>
      <c r="N318" s="117">
        <f t="shared" si="31"/>
        <v>1</v>
      </c>
      <c r="O318" s="81">
        <f t="shared" si="33"/>
        <v>2.7199999999999998</v>
      </c>
      <c r="P318" s="81">
        <f>IF(G318="","",ABS(O318-Components!$C$2)/Components!$D$2)</f>
        <v>5.0436689513908624</v>
      </c>
      <c r="Q318" s="81">
        <f>IF(G318="","",ABS(O318-Components!$C$3)/Components!$D$3)</f>
        <v>95.386156440963362</v>
      </c>
      <c r="R318" s="81">
        <f>IF(G318="","",ABS(O318-Components!$C$4)/Components!$D$4)</f>
        <v>123.52181675998099</v>
      </c>
      <c r="S318" s="81">
        <f>IF(G318="","",ABS(O318-Components!$C$5)/Components!$D$5)</f>
        <v>73.180315447607512</v>
      </c>
      <c r="T318" s="81">
        <f>IF(G318="","",ABS(O318-Components!$C$6)/Components!$D$6)</f>
        <v>56.620302549918009</v>
      </c>
      <c r="U318" s="81">
        <f>IF(G318="","",ABS(O318-Components!$C$7)/Components!$D$7)</f>
        <v>53.515094729181399</v>
      </c>
      <c r="V318" s="81" t="str">
        <f>IF(G318="","",IF(M318="OK","NONE",INDEX({"S1","S2","W1","W2","N1","N2"},MATCH(MIN(P318:U318),P318:U318,0))))</f>
        <v>S1</v>
      </c>
      <c r="W318" s="117">
        <f t="shared" si="34"/>
        <v>1</v>
      </c>
      <c r="X318" s="107"/>
    </row>
    <row r="319" spans="1:24">
      <c r="A319" s="115">
        <v>317</v>
      </c>
      <c r="B319" s="116">
        <v>11</v>
      </c>
      <c r="C319" s="81" t="s">
        <v>132</v>
      </c>
      <c r="D319" s="111" t="s">
        <v>240</v>
      </c>
      <c r="E319" s="81" t="s">
        <v>99</v>
      </c>
      <c r="F319" s="61">
        <v>5.84</v>
      </c>
      <c r="G319" s="52">
        <f t="shared" si="28"/>
        <v>6.81</v>
      </c>
      <c r="H319" s="110"/>
      <c r="I319" s="81">
        <v>9.61</v>
      </c>
      <c r="J319" s="81">
        <f>VLOOKUP(C319,Recipes!$A$2:$N$4,12,FALSE())</f>
        <v>6.1509461004819709E-2</v>
      </c>
      <c r="K319" s="81">
        <f t="shared" si="29"/>
        <v>9.3947168864831312</v>
      </c>
      <c r="L319" s="81">
        <f t="shared" si="30"/>
        <v>9.8252831135168677</v>
      </c>
      <c r="M319" s="81" t="str">
        <f t="shared" si="32"/>
        <v>NG</v>
      </c>
      <c r="N319" s="117">
        <f t="shared" si="31"/>
        <v>1</v>
      </c>
      <c r="O319" s="81">
        <f t="shared" si="33"/>
        <v>2.8</v>
      </c>
      <c r="P319" s="81">
        <f>IF(G319="","",ABS(O319-Components!$C$2)/Components!$D$2)</f>
        <v>7.0611365319483896</v>
      </c>
      <c r="Q319" s="81">
        <f>IF(G319="","",ABS(O319-Components!$C$3)/Components!$D$3)</f>
        <v>89.587605897439758</v>
      </c>
      <c r="R319" s="81">
        <f>IF(G319="","",ABS(O319-Components!$C$4)/Components!$D$4)</f>
        <v>129.24483529712299</v>
      </c>
      <c r="S319" s="81">
        <f>IF(G319="","",ABS(O319-Components!$C$5)/Components!$D$5)</f>
        <v>70.003167164788096</v>
      </c>
      <c r="T319" s="81">
        <f>IF(G319="","",ABS(O319-Components!$C$6)/Components!$D$6)</f>
        <v>59.51586458102399</v>
      </c>
      <c r="U319" s="81">
        <f>IF(G319="","",ABS(O319-Components!$C$7)/Components!$D$7)</f>
        <v>56.696571750485219</v>
      </c>
      <c r="V319" s="81" t="str">
        <f>IF(G319="","",IF(M319="OK","NONE",INDEX({"S1","S2","W1","W2","N1","N2"},MATCH(MIN(P319:U319),P319:U319,0))))</f>
        <v>S1</v>
      </c>
      <c r="W319" s="117">
        <f t="shared" si="34"/>
        <v>1</v>
      </c>
      <c r="X319" s="107"/>
    </row>
    <row r="320" spans="1:24">
      <c r="A320" s="115">
        <v>318</v>
      </c>
      <c r="B320" s="116">
        <v>11</v>
      </c>
      <c r="C320" s="81" t="s">
        <v>132</v>
      </c>
      <c r="D320" s="111" t="s">
        <v>240</v>
      </c>
      <c r="E320" s="81" t="s">
        <v>99</v>
      </c>
      <c r="F320" s="61">
        <v>5.92</v>
      </c>
      <c r="G320" s="52">
        <f t="shared" si="28"/>
        <v>6.89</v>
      </c>
      <c r="H320" s="110"/>
      <c r="I320" s="81">
        <v>9.61</v>
      </c>
      <c r="J320" s="81">
        <f>VLOOKUP(C320,Recipes!$A$2:$N$4,12,FALSE())</f>
        <v>6.1509461004819709E-2</v>
      </c>
      <c r="K320" s="81">
        <f t="shared" si="29"/>
        <v>9.3947168864831312</v>
      </c>
      <c r="L320" s="81">
        <f t="shared" si="30"/>
        <v>9.8252831135168677</v>
      </c>
      <c r="M320" s="81" t="str">
        <f t="shared" si="32"/>
        <v>NG</v>
      </c>
      <c r="N320" s="117">
        <f t="shared" si="31"/>
        <v>1</v>
      </c>
      <c r="O320" s="81">
        <f t="shared" si="33"/>
        <v>2.7199999999999998</v>
      </c>
      <c r="P320" s="81">
        <f>IF(G320="","",ABS(O320-Components!$C$2)/Components!$D$2)</f>
        <v>5.0436689513908624</v>
      </c>
      <c r="Q320" s="81">
        <f>IF(G320="","",ABS(O320-Components!$C$3)/Components!$D$3)</f>
        <v>95.386156440963362</v>
      </c>
      <c r="R320" s="81">
        <f>IF(G320="","",ABS(O320-Components!$C$4)/Components!$D$4)</f>
        <v>123.52181675998099</v>
      </c>
      <c r="S320" s="81">
        <f>IF(G320="","",ABS(O320-Components!$C$5)/Components!$D$5)</f>
        <v>73.180315447607512</v>
      </c>
      <c r="T320" s="81">
        <f>IF(G320="","",ABS(O320-Components!$C$6)/Components!$D$6)</f>
        <v>56.620302549918009</v>
      </c>
      <c r="U320" s="81">
        <f>IF(G320="","",ABS(O320-Components!$C$7)/Components!$D$7)</f>
        <v>53.515094729181399</v>
      </c>
      <c r="V320" s="81" t="str">
        <f>IF(G320="","",IF(M320="OK","NONE",INDEX({"S1","S2","W1","W2","N1","N2"},MATCH(MIN(P320:U320),P320:U320,0))))</f>
        <v>S1</v>
      </c>
      <c r="W320" s="117">
        <f t="shared" si="34"/>
        <v>1</v>
      </c>
      <c r="X320" s="107"/>
    </row>
    <row r="321" spans="1:24">
      <c r="A321" s="115">
        <v>319</v>
      </c>
      <c r="B321" s="116">
        <v>11</v>
      </c>
      <c r="C321" s="81" t="s">
        <v>132</v>
      </c>
      <c r="D321" s="111" t="s">
        <v>240</v>
      </c>
      <c r="E321" s="81" t="s">
        <v>99</v>
      </c>
      <c r="F321" s="61">
        <v>5.87</v>
      </c>
      <c r="G321" s="52">
        <f t="shared" si="28"/>
        <v>6.84</v>
      </c>
      <c r="H321" s="110"/>
      <c r="I321" s="81">
        <v>9.61</v>
      </c>
      <c r="J321" s="81">
        <f>VLOOKUP(C321,Recipes!$A$2:$N$4,12,FALSE())</f>
        <v>6.1509461004819709E-2</v>
      </c>
      <c r="K321" s="81">
        <f t="shared" si="29"/>
        <v>9.3947168864831312</v>
      </c>
      <c r="L321" s="81">
        <f t="shared" si="30"/>
        <v>9.8252831135168677</v>
      </c>
      <c r="M321" s="81" t="str">
        <f t="shared" si="32"/>
        <v>NG</v>
      </c>
      <c r="N321" s="117">
        <f t="shared" si="31"/>
        <v>1</v>
      </c>
      <c r="O321" s="81">
        <f t="shared" si="33"/>
        <v>2.7699999999999996</v>
      </c>
      <c r="P321" s="81">
        <f>IF(G321="","",ABS(O321-Components!$C$2)/Components!$D$2)</f>
        <v>2.5218344756961364</v>
      </c>
      <c r="Q321" s="81">
        <f>IF(G321="","",ABS(O321-Components!$C$3)/Components!$D$3)</f>
        <v>91.762062351261122</v>
      </c>
      <c r="R321" s="81">
        <f>IF(G321="","",ABS(O321-Components!$C$4)/Components!$D$4)</f>
        <v>127.09870334569472</v>
      </c>
      <c r="S321" s="81">
        <f>IF(G321="","",ABS(O321-Components!$C$5)/Components!$D$5)</f>
        <v>71.194597770845391</v>
      </c>
      <c r="T321" s="81">
        <f>IF(G321="","",ABS(O321-Components!$C$6)/Components!$D$6)</f>
        <v>58.430028819359244</v>
      </c>
      <c r="U321" s="81">
        <f>IF(G321="","",ABS(O321-Components!$C$7)/Components!$D$7)</f>
        <v>55.503517867496278</v>
      </c>
      <c r="V321" s="81" t="str">
        <f>IF(G321="","",IF(M321="OK","NONE",INDEX({"S1","S2","W1","W2","N1","N2"},MATCH(MIN(P321:U321),P321:U321,0))))</f>
        <v>S1</v>
      </c>
      <c r="W321" s="117">
        <f t="shared" si="34"/>
        <v>1</v>
      </c>
      <c r="X321" s="107"/>
    </row>
    <row r="322" spans="1:24">
      <c r="A322" s="115">
        <v>320</v>
      </c>
      <c r="B322" s="116">
        <v>11</v>
      </c>
      <c r="C322" s="81" t="s">
        <v>132</v>
      </c>
      <c r="D322" s="111" t="s">
        <v>240</v>
      </c>
      <c r="E322" s="81" t="s">
        <v>99</v>
      </c>
      <c r="F322" s="61">
        <v>5.82</v>
      </c>
      <c r="G322" s="52">
        <f t="shared" si="28"/>
        <v>6.79</v>
      </c>
      <c r="H322" s="110"/>
      <c r="I322" s="81">
        <v>9.61</v>
      </c>
      <c r="J322" s="81">
        <f>VLOOKUP(C322,Recipes!$A$2:$N$4,12,FALSE())</f>
        <v>6.1509461004819709E-2</v>
      </c>
      <c r="K322" s="81">
        <f t="shared" si="29"/>
        <v>9.3947168864831312</v>
      </c>
      <c r="L322" s="81">
        <f t="shared" si="30"/>
        <v>9.8252831135168677</v>
      </c>
      <c r="M322" s="81" t="str">
        <f t="shared" si="32"/>
        <v>NG</v>
      </c>
      <c r="N322" s="117">
        <f t="shared" si="31"/>
        <v>1</v>
      </c>
      <c r="O322" s="81">
        <f t="shared" si="33"/>
        <v>2.8199999999999994</v>
      </c>
      <c r="P322" s="81">
        <f>IF(G322="","",ABS(O322-Components!$C$2)/Components!$D$2)</f>
        <v>10.087337902783135</v>
      </c>
      <c r="Q322" s="81">
        <f>IF(G322="","",ABS(O322-Components!$C$3)/Components!$D$3)</f>
        <v>88.137968261558882</v>
      </c>
      <c r="R322" s="81">
        <f>IF(G322="","",ABS(O322-Components!$C$4)/Components!$D$4)</f>
        <v>130.67558993140844</v>
      </c>
      <c r="S322" s="81">
        <f>IF(G322="","",ABS(O322-Components!$C$5)/Components!$D$5)</f>
        <v>69.208880094083256</v>
      </c>
      <c r="T322" s="81">
        <f>IF(G322="","",ABS(O322-Components!$C$6)/Components!$D$6)</f>
        <v>60.239755088800472</v>
      </c>
      <c r="U322" s="81">
        <f>IF(G322="","",ABS(O322-Components!$C$7)/Components!$D$7)</f>
        <v>57.491941005811157</v>
      </c>
      <c r="V322" s="81" t="str">
        <f>IF(G322="","",IF(M322="OK","NONE",INDEX({"S1","S2","W1","W2","N1","N2"},MATCH(MIN(P322:U322),P322:U322,0))))</f>
        <v>S1</v>
      </c>
      <c r="W322" s="117">
        <f t="shared" si="34"/>
        <v>1</v>
      </c>
      <c r="X322" s="107"/>
    </row>
    <row r="323" spans="1:24">
      <c r="A323" s="115">
        <v>321</v>
      </c>
      <c r="B323" s="116">
        <v>11</v>
      </c>
      <c r="C323" s="81" t="s">
        <v>132</v>
      </c>
      <c r="D323" s="111" t="s">
        <v>240</v>
      </c>
      <c r="E323" s="81" t="s">
        <v>99</v>
      </c>
      <c r="F323" s="61">
        <v>5.77</v>
      </c>
      <c r="G323" s="52">
        <f t="shared" ref="G323:G386" si="35">0.97+F323</f>
        <v>6.7399999999999993</v>
      </c>
      <c r="H323" s="110"/>
      <c r="I323" s="81">
        <v>9.61</v>
      </c>
      <c r="J323" s="81">
        <f>VLOOKUP(C323,Recipes!$A$2:$N$4,12,FALSE())</f>
        <v>6.1509461004819709E-2</v>
      </c>
      <c r="K323" s="81">
        <f t="shared" ref="K323:K386" si="36">I323-3.5*J323</f>
        <v>9.3947168864831312</v>
      </c>
      <c r="L323" s="81">
        <f t="shared" ref="L323:L386" si="37">I323+3.5*J323</f>
        <v>9.8252831135168677</v>
      </c>
      <c r="M323" s="81" t="str">
        <f t="shared" si="32"/>
        <v>NG</v>
      </c>
      <c r="N323" s="117">
        <f t="shared" ref="N323:N386" si="38">IF(M323="","",IF(M323=D323,1,0))</f>
        <v>1</v>
      </c>
      <c r="O323" s="81">
        <f t="shared" si="33"/>
        <v>2.87</v>
      </c>
      <c r="P323" s="81">
        <f>IF(G323="","",ABS(O323-Components!$C$2)/Components!$D$2)</f>
        <v>17.652841329870267</v>
      </c>
      <c r="Q323" s="81">
        <f>IF(G323="","",ABS(O323-Components!$C$3)/Components!$D$3)</f>
        <v>84.513874171856571</v>
      </c>
      <c r="R323" s="81">
        <f>IF(G323="","",ABS(O323-Components!$C$4)/Components!$D$4)</f>
        <v>134.25247651712223</v>
      </c>
      <c r="S323" s="81">
        <f>IF(G323="","",ABS(O323-Components!$C$5)/Components!$D$5)</f>
        <v>67.223162417321092</v>
      </c>
      <c r="T323" s="81">
        <f>IF(G323="","",ABS(O323-Components!$C$6)/Components!$D$6)</f>
        <v>62.049481358241735</v>
      </c>
      <c r="U323" s="81">
        <f>IF(G323="","",ABS(O323-Components!$C$7)/Components!$D$7)</f>
        <v>59.480364144126071</v>
      </c>
      <c r="V323" s="81" t="str">
        <f>IF(G323="","",IF(M323="OK","NONE",INDEX({"S1","S2","W1","W2","N1","N2"},MATCH(MIN(P323:U323),P323:U323,0))))</f>
        <v>S1</v>
      </c>
      <c r="W323" s="117">
        <f t="shared" si="34"/>
        <v>1</v>
      </c>
      <c r="X323" s="107"/>
    </row>
    <row r="324" spans="1:24">
      <c r="A324" s="115">
        <v>322</v>
      </c>
      <c r="B324" s="116">
        <v>11</v>
      </c>
      <c r="C324" s="81" t="s">
        <v>132</v>
      </c>
      <c r="D324" s="111" t="s">
        <v>240</v>
      </c>
      <c r="E324" s="81" t="s">
        <v>99</v>
      </c>
      <c r="F324" s="61">
        <v>5.83</v>
      </c>
      <c r="G324" s="52">
        <f t="shared" si="35"/>
        <v>6.8</v>
      </c>
      <c r="H324" s="110"/>
      <c r="I324" s="81">
        <v>9.61</v>
      </c>
      <c r="J324" s="81">
        <f>VLOOKUP(C324,Recipes!$A$2:$N$4,12,FALSE())</f>
        <v>6.1509461004819709E-2</v>
      </c>
      <c r="K324" s="81">
        <f t="shared" si="36"/>
        <v>9.3947168864831312</v>
      </c>
      <c r="L324" s="81">
        <f t="shared" si="37"/>
        <v>9.8252831135168677</v>
      </c>
      <c r="M324" s="81" t="str">
        <f t="shared" ref="M324:M387" si="39">IF(G324="","",IF(AND(G324&gt;=K324,G324&lt;=L324),"OK","NG"))</f>
        <v>NG</v>
      </c>
      <c r="N324" s="117">
        <f t="shared" si="38"/>
        <v>1</v>
      </c>
      <c r="O324" s="81">
        <f t="shared" ref="O324:O387" si="40">IF(G324="","",I324-G324)</f>
        <v>2.8099999999999996</v>
      </c>
      <c r="P324" s="81">
        <f>IF(G324="","",ABS(O324-Components!$C$2)/Components!$D$2)</f>
        <v>8.5742372173657628</v>
      </c>
      <c r="Q324" s="81">
        <f>IF(G324="","",ABS(O324-Components!$C$3)/Components!$D$3)</f>
        <v>88.862787079499313</v>
      </c>
      <c r="R324" s="81">
        <f>IF(G324="","",ABS(O324-Components!$C$4)/Components!$D$4)</f>
        <v>129.96021261426571</v>
      </c>
      <c r="S324" s="81">
        <f>IF(G324="","",ABS(O324-Components!$C$5)/Components!$D$5)</f>
        <v>69.606023629435668</v>
      </c>
      <c r="T324" s="81">
        <f>IF(G324="","",ABS(O324-Components!$C$6)/Components!$D$6)</f>
        <v>59.877809834912227</v>
      </c>
      <c r="U324" s="81">
        <f>IF(G324="","",ABS(O324-Components!$C$7)/Components!$D$7)</f>
        <v>57.094256378148188</v>
      </c>
      <c r="V324" s="81" t="str">
        <f>IF(G324="","",IF(M324="OK","NONE",INDEX({"S1","S2","W1","W2","N1","N2"},MATCH(MIN(P324:U324),P324:U324,0))))</f>
        <v>S1</v>
      </c>
      <c r="W324" s="117">
        <f t="shared" ref="W324:W387" si="41">IF(G324="","",IF(V324=E324,1,0))</f>
        <v>1</v>
      </c>
      <c r="X324" s="107"/>
    </row>
    <row r="325" spans="1:24">
      <c r="A325" s="115">
        <v>323</v>
      </c>
      <c r="B325" s="116">
        <v>11</v>
      </c>
      <c r="C325" s="81" t="s">
        <v>132</v>
      </c>
      <c r="D325" s="111" t="s">
        <v>240</v>
      </c>
      <c r="E325" s="81" t="s">
        <v>99</v>
      </c>
      <c r="F325" s="61">
        <v>5.85</v>
      </c>
      <c r="G325" s="52">
        <f t="shared" si="35"/>
        <v>6.8199999999999994</v>
      </c>
      <c r="H325" s="110"/>
      <c r="I325" s="81">
        <v>9.61</v>
      </c>
      <c r="J325" s="81">
        <f>VLOOKUP(C325,Recipes!$A$2:$N$4,12,FALSE())</f>
        <v>6.1509461004819709E-2</v>
      </c>
      <c r="K325" s="81">
        <f t="shared" si="36"/>
        <v>9.3947168864831312</v>
      </c>
      <c r="L325" s="81">
        <f t="shared" si="37"/>
        <v>9.8252831135168677</v>
      </c>
      <c r="M325" s="81" t="str">
        <f t="shared" si="39"/>
        <v>NG</v>
      </c>
      <c r="N325" s="117">
        <f t="shared" si="38"/>
        <v>1</v>
      </c>
      <c r="O325" s="81">
        <f t="shared" si="40"/>
        <v>2.79</v>
      </c>
      <c r="P325" s="81">
        <f>IF(G325="","",ABS(O325-Components!$C$2)/Components!$D$2)</f>
        <v>5.5480358465310164</v>
      </c>
      <c r="Q325" s="81">
        <f>IF(G325="","",ABS(O325-Components!$C$3)/Components!$D$3)</f>
        <v>90.312424715380189</v>
      </c>
      <c r="R325" s="81">
        <f>IF(G325="","",ABS(O325-Components!$C$4)/Components!$D$4)</f>
        <v>128.52945797998024</v>
      </c>
      <c r="S325" s="81">
        <f>IF(G325="","",ABS(O325-Components!$C$5)/Components!$D$5)</f>
        <v>70.400310700140508</v>
      </c>
      <c r="T325" s="81">
        <f>IF(G325="","",ABS(O325-Components!$C$6)/Components!$D$6)</f>
        <v>59.153919327135753</v>
      </c>
      <c r="U325" s="81">
        <f>IF(G325="","",ABS(O325-Components!$C$7)/Components!$D$7)</f>
        <v>56.298887122822251</v>
      </c>
      <c r="V325" s="81" t="str">
        <f>IF(G325="","",IF(M325="OK","NONE",INDEX({"S1","S2","W1","W2","N1","N2"},MATCH(MIN(P325:U325),P325:U325,0))))</f>
        <v>S1</v>
      </c>
      <c r="W325" s="117">
        <f t="shared" si="41"/>
        <v>1</v>
      </c>
      <c r="X325" s="107"/>
    </row>
    <row r="326" spans="1:24">
      <c r="A326" s="115">
        <v>324</v>
      </c>
      <c r="B326" s="116">
        <v>11</v>
      </c>
      <c r="C326" s="81" t="s">
        <v>132</v>
      </c>
      <c r="D326" s="111" t="s">
        <v>240</v>
      </c>
      <c r="E326" s="81" t="s">
        <v>99</v>
      </c>
      <c r="F326" s="61">
        <v>5.86</v>
      </c>
      <c r="G326" s="52">
        <f t="shared" si="35"/>
        <v>6.83</v>
      </c>
      <c r="H326" s="110"/>
      <c r="I326" s="81">
        <v>9.61</v>
      </c>
      <c r="J326" s="81">
        <f>VLOOKUP(C326,Recipes!$A$2:$N$4,12,FALSE())</f>
        <v>6.1509461004819709E-2</v>
      </c>
      <c r="K326" s="81">
        <f t="shared" si="36"/>
        <v>9.3947168864831312</v>
      </c>
      <c r="L326" s="81">
        <f t="shared" si="37"/>
        <v>9.8252831135168677</v>
      </c>
      <c r="M326" s="81" t="str">
        <f t="shared" si="39"/>
        <v>NG</v>
      </c>
      <c r="N326" s="117">
        <f t="shared" si="38"/>
        <v>1</v>
      </c>
      <c r="O326" s="81">
        <f t="shared" si="40"/>
        <v>2.7799999999999994</v>
      </c>
      <c r="P326" s="81">
        <f>IF(G326="","",ABS(O326-Components!$C$2)/Components!$D$2)</f>
        <v>4.0349351611135091</v>
      </c>
      <c r="Q326" s="81">
        <f>IF(G326="","",ABS(O326-Components!$C$3)/Components!$D$3)</f>
        <v>91.037243533320691</v>
      </c>
      <c r="R326" s="81">
        <f>IF(G326="","",ABS(O326-Components!$C$4)/Components!$D$4)</f>
        <v>127.81408066283745</v>
      </c>
      <c r="S326" s="81">
        <f>IF(G326="","",ABS(O326-Components!$C$5)/Components!$D$5)</f>
        <v>70.797454235492964</v>
      </c>
      <c r="T326" s="81">
        <f>IF(G326="","",ABS(O326-Components!$C$6)/Components!$D$6)</f>
        <v>58.791974073247481</v>
      </c>
      <c r="U326" s="81">
        <f>IF(G326="","",ABS(O326-Components!$C$7)/Components!$D$7)</f>
        <v>55.901202495159247</v>
      </c>
      <c r="V326" s="81" t="str">
        <f>IF(G326="","",IF(M326="OK","NONE",INDEX({"S1","S2","W1","W2","N1","N2"},MATCH(MIN(P326:U326),P326:U326,0))))</f>
        <v>S1</v>
      </c>
      <c r="W326" s="117">
        <f t="shared" si="41"/>
        <v>1</v>
      </c>
      <c r="X326" s="107"/>
    </row>
    <row r="327" spans="1:24">
      <c r="A327" s="115">
        <v>325</v>
      </c>
      <c r="B327" s="116">
        <v>11</v>
      </c>
      <c r="C327" s="81" t="s">
        <v>132</v>
      </c>
      <c r="D327" s="111" t="s">
        <v>240</v>
      </c>
      <c r="E327" s="81" t="s">
        <v>99</v>
      </c>
      <c r="F327" s="61">
        <v>5.87</v>
      </c>
      <c r="G327" s="52">
        <f t="shared" si="35"/>
        <v>6.84</v>
      </c>
      <c r="H327" s="110"/>
      <c r="I327" s="81">
        <v>9.61</v>
      </c>
      <c r="J327" s="81">
        <f>VLOOKUP(C327,Recipes!$A$2:$N$4,12,FALSE())</f>
        <v>6.1509461004819709E-2</v>
      </c>
      <c r="K327" s="81">
        <f t="shared" si="36"/>
        <v>9.3947168864831312</v>
      </c>
      <c r="L327" s="81">
        <f t="shared" si="37"/>
        <v>9.8252831135168677</v>
      </c>
      <c r="M327" s="81" t="str">
        <f t="shared" si="39"/>
        <v>NG</v>
      </c>
      <c r="N327" s="117">
        <f t="shared" si="38"/>
        <v>1</v>
      </c>
      <c r="O327" s="81">
        <f t="shared" si="40"/>
        <v>2.7699999999999996</v>
      </c>
      <c r="P327" s="81">
        <f>IF(G327="","",ABS(O327-Components!$C$2)/Components!$D$2)</f>
        <v>2.5218344756961364</v>
      </c>
      <c r="Q327" s="81">
        <f>IF(G327="","",ABS(O327-Components!$C$3)/Components!$D$3)</f>
        <v>91.762062351261122</v>
      </c>
      <c r="R327" s="81">
        <f>IF(G327="","",ABS(O327-Components!$C$4)/Components!$D$4)</f>
        <v>127.09870334569472</v>
      </c>
      <c r="S327" s="81">
        <f>IF(G327="","",ABS(O327-Components!$C$5)/Components!$D$5)</f>
        <v>71.194597770845391</v>
      </c>
      <c r="T327" s="81">
        <f>IF(G327="","",ABS(O327-Components!$C$6)/Components!$D$6)</f>
        <v>58.430028819359244</v>
      </c>
      <c r="U327" s="81">
        <f>IF(G327="","",ABS(O327-Components!$C$7)/Components!$D$7)</f>
        <v>55.503517867496278</v>
      </c>
      <c r="V327" s="81" t="str">
        <f>IF(G327="","",IF(M327="OK","NONE",INDEX({"S1","S2","W1","W2","N1","N2"},MATCH(MIN(P327:U327),P327:U327,0))))</f>
        <v>S1</v>
      </c>
      <c r="W327" s="117">
        <f t="shared" si="41"/>
        <v>1</v>
      </c>
      <c r="X327" s="107"/>
    </row>
    <row r="328" spans="1:24">
      <c r="A328" s="115">
        <v>326</v>
      </c>
      <c r="B328" s="116">
        <v>11</v>
      </c>
      <c r="C328" s="81" t="s">
        <v>132</v>
      </c>
      <c r="D328" s="111" t="s">
        <v>240</v>
      </c>
      <c r="E328" s="81" t="s">
        <v>99</v>
      </c>
      <c r="F328" s="61">
        <v>5.81</v>
      </c>
      <c r="G328" s="52">
        <f t="shared" si="35"/>
        <v>6.7799999999999994</v>
      </c>
      <c r="H328" s="110"/>
      <c r="I328" s="81">
        <v>9.61</v>
      </c>
      <c r="J328" s="81">
        <f>VLOOKUP(C328,Recipes!$A$2:$N$4,12,FALSE())</f>
        <v>6.1509461004819709E-2</v>
      </c>
      <c r="K328" s="81">
        <f t="shared" si="36"/>
        <v>9.3947168864831312</v>
      </c>
      <c r="L328" s="81">
        <f t="shared" si="37"/>
        <v>9.8252831135168677</v>
      </c>
      <c r="M328" s="81" t="str">
        <f t="shared" si="39"/>
        <v>NG</v>
      </c>
      <c r="N328" s="117">
        <f t="shared" si="38"/>
        <v>1</v>
      </c>
      <c r="O328" s="81">
        <f t="shared" si="40"/>
        <v>2.83</v>
      </c>
      <c r="P328" s="81">
        <f>IF(G328="","",ABS(O328-Components!$C$2)/Components!$D$2)</f>
        <v>11.600438588200642</v>
      </c>
      <c r="Q328" s="81">
        <f>IF(G328="","",ABS(O328-Components!$C$3)/Components!$D$3)</f>
        <v>87.41314944361838</v>
      </c>
      <c r="R328" s="81">
        <f>IF(G328="","",ABS(O328-Components!$C$4)/Components!$D$4)</f>
        <v>131.39096724855125</v>
      </c>
      <c r="S328" s="81">
        <f>IF(G328="","",ABS(O328-Components!$C$5)/Components!$D$5)</f>
        <v>68.8117365587308</v>
      </c>
      <c r="T328" s="81">
        <f>IF(G328="","",ABS(O328-Components!$C$6)/Components!$D$6)</f>
        <v>60.601700342688744</v>
      </c>
      <c r="U328" s="81">
        <f>IF(G328="","",ABS(O328-Components!$C$7)/Components!$D$7)</f>
        <v>57.889625633474161</v>
      </c>
      <c r="V328" s="81" t="str">
        <f>IF(G328="","",IF(M328="OK","NONE",INDEX({"S1","S2","W1","W2","N1","N2"},MATCH(MIN(P328:U328),P328:U328,0))))</f>
        <v>S1</v>
      </c>
      <c r="W328" s="117">
        <f t="shared" si="41"/>
        <v>1</v>
      </c>
      <c r="X328" s="107"/>
    </row>
    <row r="329" spans="1:24">
      <c r="A329" s="115">
        <v>327</v>
      </c>
      <c r="B329" s="116">
        <v>11</v>
      </c>
      <c r="C329" s="81" t="s">
        <v>132</v>
      </c>
      <c r="D329" s="111" t="s">
        <v>240</v>
      </c>
      <c r="E329" s="81" t="s">
        <v>99</v>
      </c>
      <c r="F329" s="61">
        <v>5.83</v>
      </c>
      <c r="G329" s="52">
        <f t="shared" si="35"/>
        <v>6.8</v>
      </c>
      <c r="H329" s="110"/>
      <c r="I329" s="81">
        <v>9.61</v>
      </c>
      <c r="J329" s="81">
        <f>VLOOKUP(C329,Recipes!$A$2:$N$4,12,FALSE())</f>
        <v>6.1509461004819709E-2</v>
      </c>
      <c r="K329" s="81">
        <f t="shared" si="36"/>
        <v>9.3947168864831312</v>
      </c>
      <c r="L329" s="81">
        <f t="shared" si="37"/>
        <v>9.8252831135168677</v>
      </c>
      <c r="M329" s="81" t="str">
        <f t="shared" si="39"/>
        <v>NG</v>
      </c>
      <c r="N329" s="117">
        <f t="shared" si="38"/>
        <v>1</v>
      </c>
      <c r="O329" s="81">
        <f t="shared" si="40"/>
        <v>2.8099999999999996</v>
      </c>
      <c r="P329" s="81">
        <f>IF(G329="","",ABS(O329-Components!$C$2)/Components!$D$2)</f>
        <v>8.5742372173657628</v>
      </c>
      <c r="Q329" s="81">
        <f>IF(G329="","",ABS(O329-Components!$C$3)/Components!$D$3)</f>
        <v>88.862787079499313</v>
      </c>
      <c r="R329" s="81">
        <f>IF(G329="","",ABS(O329-Components!$C$4)/Components!$D$4)</f>
        <v>129.96021261426571</v>
      </c>
      <c r="S329" s="81">
        <f>IF(G329="","",ABS(O329-Components!$C$5)/Components!$D$5)</f>
        <v>69.606023629435668</v>
      </c>
      <c r="T329" s="81">
        <f>IF(G329="","",ABS(O329-Components!$C$6)/Components!$D$6)</f>
        <v>59.877809834912227</v>
      </c>
      <c r="U329" s="81">
        <f>IF(G329="","",ABS(O329-Components!$C$7)/Components!$D$7)</f>
        <v>57.094256378148188</v>
      </c>
      <c r="V329" s="81" t="str">
        <f>IF(G329="","",IF(M329="OK","NONE",INDEX({"S1","S2","W1","W2","N1","N2"},MATCH(MIN(P329:U329),P329:U329,0))))</f>
        <v>S1</v>
      </c>
      <c r="W329" s="117">
        <f t="shared" si="41"/>
        <v>1</v>
      </c>
      <c r="X329" s="107"/>
    </row>
    <row r="330" spans="1:24">
      <c r="A330" s="115">
        <v>328</v>
      </c>
      <c r="B330" s="116">
        <v>11</v>
      </c>
      <c r="C330" s="81" t="s">
        <v>132</v>
      </c>
      <c r="D330" s="111" t="s">
        <v>240</v>
      </c>
      <c r="E330" s="81" t="s">
        <v>99</v>
      </c>
      <c r="F330" s="61">
        <v>5.87</v>
      </c>
      <c r="G330" s="52">
        <f t="shared" si="35"/>
        <v>6.84</v>
      </c>
      <c r="H330" s="110"/>
      <c r="I330" s="81">
        <v>9.61</v>
      </c>
      <c r="J330" s="81">
        <f>VLOOKUP(C330,Recipes!$A$2:$N$4,12,FALSE())</f>
        <v>6.1509461004819709E-2</v>
      </c>
      <c r="K330" s="81">
        <f t="shared" si="36"/>
        <v>9.3947168864831312</v>
      </c>
      <c r="L330" s="81">
        <f t="shared" si="37"/>
        <v>9.8252831135168677</v>
      </c>
      <c r="M330" s="81" t="str">
        <f t="shared" si="39"/>
        <v>NG</v>
      </c>
      <c r="N330" s="117">
        <f t="shared" si="38"/>
        <v>1</v>
      </c>
      <c r="O330" s="81">
        <f t="shared" si="40"/>
        <v>2.7699999999999996</v>
      </c>
      <c r="P330" s="81">
        <f>IF(G330="","",ABS(O330-Components!$C$2)/Components!$D$2)</f>
        <v>2.5218344756961364</v>
      </c>
      <c r="Q330" s="81">
        <f>IF(G330="","",ABS(O330-Components!$C$3)/Components!$D$3)</f>
        <v>91.762062351261122</v>
      </c>
      <c r="R330" s="81">
        <f>IF(G330="","",ABS(O330-Components!$C$4)/Components!$D$4)</f>
        <v>127.09870334569472</v>
      </c>
      <c r="S330" s="81">
        <f>IF(G330="","",ABS(O330-Components!$C$5)/Components!$D$5)</f>
        <v>71.194597770845391</v>
      </c>
      <c r="T330" s="81">
        <f>IF(G330="","",ABS(O330-Components!$C$6)/Components!$D$6)</f>
        <v>58.430028819359244</v>
      </c>
      <c r="U330" s="81">
        <f>IF(G330="","",ABS(O330-Components!$C$7)/Components!$D$7)</f>
        <v>55.503517867496278</v>
      </c>
      <c r="V330" s="81" t="str">
        <f>IF(G330="","",IF(M330="OK","NONE",INDEX({"S1","S2","W1","W2","N1","N2"},MATCH(MIN(P330:U330),P330:U330,0))))</f>
        <v>S1</v>
      </c>
      <c r="W330" s="117">
        <f t="shared" si="41"/>
        <v>1</v>
      </c>
      <c r="X330" s="107"/>
    </row>
    <row r="331" spans="1:24">
      <c r="A331" s="115">
        <v>329</v>
      </c>
      <c r="B331" s="116">
        <v>11</v>
      </c>
      <c r="C331" s="81" t="s">
        <v>132</v>
      </c>
      <c r="D331" s="111" t="s">
        <v>240</v>
      </c>
      <c r="E331" s="81" t="s">
        <v>99</v>
      </c>
      <c r="F331" s="61">
        <v>5.8</v>
      </c>
      <c r="G331" s="52">
        <f t="shared" si="35"/>
        <v>6.77</v>
      </c>
      <c r="H331" s="110"/>
      <c r="I331" s="81">
        <v>9.61</v>
      </c>
      <c r="J331" s="81">
        <f>VLOOKUP(C331,Recipes!$A$2:$N$4,12,FALSE())</f>
        <v>6.1509461004819709E-2</v>
      </c>
      <c r="K331" s="81">
        <f t="shared" si="36"/>
        <v>9.3947168864831312</v>
      </c>
      <c r="L331" s="81">
        <f t="shared" si="37"/>
        <v>9.8252831135168677</v>
      </c>
      <c r="M331" s="81" t="str">
        <f t="shared" si="39"/>
        <v>NG</v>
      </c>
      <c r="N331" s="117">
        <f t="shared" si="38"/>
        <v>1</v>
      </c>
      <c r="O331" s="81">
        <f t="shared" si="40"/>
        <v>2.84</v>
      </c>
      <c r="P331" s="81">
        <f>IF(G331="","",ABS(O331-Components!$C$2)/Components!$D$2)</f>
        <v>13.113539273618015</v>
      </c>
      <c r="Q331" s="81">
        <f>IF(G331="","",ABS(O331-Components!$C$3)/Components!$D$3)</f>
        <v>86.688330625677949</v>
      </c>
      <c r="R331" s="81">
        <f>IF(G331="","",ABS(O331-Components!$C$4)/Components!$D$4)</f>
        <v>132.10634456569397</v>
      </c>
      <c r="S331" s="81">
        <f>IF(G331="","",ABS(O331-Components!$C$5)/Components!$D$5)</f>
        <v>68.414593023378387</v>
      </c>
      <c r="T331" s="81">
        <f>IF(G331="","",ABS(O331-Components!$C$6)/Components!$D$6)</f>
        <v>60.963645596576981</v>
      </c>
      <c r="U331" s="81">
        <f>IF(G331="","",ABS(O331-Components!$C$7)/Components!$D$7)</f>
        <v>58.287310261137129</v>
      </c>
      <c r="V331" s="81" t="str">
        <f>IF(G331="","",IF(M331="OK","NONE",INDEX({"S1","S2","W1","W2","N1","N2"},MATCH(MIN(P331:U331),P331:U331,0))))</f>
        <v>S1</v>
      </c>
      <c r="W331" s="117">
        <f t="shared" si="41"/>
        <v>1</v>
      </c>
      <c r="X331" s="107"/>
    </row>
    <row r="332" spans="1:24">
      <c r="A332" s="115">
        <v>330</v>
      </c>
      <c r="B332" s="116">
        <v>11</v>
      </c>
      <c r="C332" s="81" t="s">
        <v>132</v>
      </c>
      <c r="D332" s="111" t="s">
        <v>240</v>
      </c>
      <c r="E332" s="81" t="s">
        <v>99</v>
      </c>
      <c r="F332" s="61">
        <v>5.86</v>
      </c>
      <c r="G332" s="52">
        <f t="shared" si="35"/>
        <v>6.83</v>
      </c>
      <c r="H332" s="110"/>
      <c r="I332" s="81">
        <v>9.61</v>
      </c>
      <c r="J332" s="81">
        <f>VLOOKUP(C332,Recipes!$A$2:$N$4,12,FALSE())</f>
        <v>6.1509461004819709E-2</v>
      </c>
      <c r="K332" s="81">
        <f t="shared" si="36"/>
        <v>9.3947168864831312</v>
      </c>
      <c r="L332" s="81">
        <f t="shared" si="37"/>
        <v>9.8252831135168677</v>
      </c>
      <c r="M332" s="81" t="str">
        <f t="shared" si="39"/>
        <v>NG</v>
      </c>
      <c r="N332" s="117">
        <f t="shared" si="38"/>
        <v>1</v>
      </c>
      <c r="O332" s="81">
        <f t="shared" si="40"/>
        <v>2.7799999999999994</v>
      </c>
      <c r="P332" s="81">
        <f>IF(G332="","",ABS(O332-Components!$C$2)/Components!$D$2)</f>
        <v>4.0349351611135091</v>
      </c>
      <c r="Q332" s="81">
        <f>IF(G332="","",ABS(O332-Components!$C$3)/Components!$D$3)</f>
        <v>91.037243533320691</v>
      </c>
      <c r="R332" s="81">
        <f>IF(G332="","",ABS(O332-Components!$C$4)/Components!$D$4)</f>
        <v>127.81408066283745</v>
      </c>
      <c r="S332" s="81">
        <f>IF(G332="","",ABS(O332-Components!$C$5)/Components!$D$5)</f>
        <v>70.797454235492964</v>
      </c>
      <c r="T332" s="81">
        <f>IF(G332="","",ABS(O332-Components!$C$6)/Components!$D$6)</f>
        <v>58.791974073247481</v>
      </c>
      <c r="U332" s="81">
        <f>IF(G332="","",ABS(O332-Components!$C$7)/Components!$D$7)</f>
        <v>55.901202495159247</v>
      </c>
      <c r="V332" s="81" t="str">
        <f>IF(G332="","",IF(M332="OK","NONE",INDEX({"S1","S2","W1","W2","N1","N2"},MATCH(MIN(P332:U332),P332:U332,0))))</f>
        <v>S1</v>
      </c>
      <c r="W332" s="117">
        <f t="shared" si="41"/>
        <v>1</v>
      </c>
      <c r="X332" s="107"/>
    </row>
    <row r="333" spans="1:24">
      <c r="A333" s="115">
        <v>331</v>
      </c>
      <c r="B333" s="116">
        <v>12</v>
      </c>
      <c r="C333" s="81" t="s">
        <v>132</v>
      </c>
      <c r="D333" s="111" t="s">
        <v>240</v>
      </c>
      <c r="E333" s="81" t="s">
        <v>104</v>
      </c>
      <c r="F333" s="61">
        <v>7.6</v>
      </c>
      <c r="G333" s="52">
        <f t="shared" si="35"/>
        <v>8.57</v>
      </c>
      <c r="H333" s="110"/>
      <c r="I333" s="81">
        <v>9.61</v>
      </c>
      <c r="J333" s="81">
        <f>VLOOKUP(C333,Recipes!$A$2:$N$4,12,FALSE())</f>
        <v>6.1509461004819709E-2</v>
      </c>
      <c r="K333" s="81">
        <f t="shared" si="36"/>
        <v>9.3947168864831312</v>
      </c>
      <c r="L333" s="81">
        <f t="shared" si="37"/>
        <v>9.8252831135168677</v>
      </c>
      <c r="M333" s="81" t="str">
        <f t="shared" si="39"/>
        <v>NG</v>
      </c>
      <c r="N333" s="117">
        <f t="shared" si="38"/>
        <v>1</v>
      </c>
      <c r="O333" s="81">
        <f t="shared" si="40"/>
        <v>1.0399999999999991</v>
      </c>
      <c r="P333" s="81">
        <f>IF(G333="","",ABS(O333-Components!$C$2)/Components!$D$2)</f>
        <v>259.24458410151499</v>
      </c>
      <c r="Q333" s="81">
        <f>IF(G333="","",ABS(O333-Components!$C$3)/Components!$D$3)</f>
        <v>217.15571785495922</v>
      </c>
      <c r="R333" s="81">
        <f>IF(G333="","",ABS(O333-Components!$C$4)/Components!$D$4)</f>
        <v>3.338427479999452</v>
      </c>
      <c r="S333" s="81">
        <f>IF(G333="","",ABS(O333-Components!$C$5)/Components!$D$5)</f>
        <v>139.9004293868154</v>
      </c>
      <c r="T333" s="81">
        <f>IF(G333="","",ABS(O333-Components!$C$6)/Components!$D$6)</f>
        <v>4.1865001033075426</v>
      </c>
      <c r="U333" s="81">
        <f>IF(G333="","",ABS(O333-Components!$C$7)/Components!$D$7)</f>
        <v>13.295922718198771</v>
      </c>
      <c r="V333" s="81" t="str">
        <f>IF(G333="","",IF(M333="OK","NONE",INDEX({"S1","S2","W1","W2","N1","N2"},MATCH(MIN(P333:U333),P333:U333,0))))</f>
        <v>W1</v>
      </c>
      <c r="W333" s="117">
        <f t="shared" si="41"/>
        <v>1</v>
      </c>
      <c r="X333" s="107"/>
    </row>
    <row r="334" spans="1:24">
      <c r="A334" s="115">
        <v>332</v>
      </c>
      <c r="B334" s="116">
        <v>12</v>
      </c>
      <c r="C334" s="81" t="s">
        <v>132</v>
      </c>
      <c r="D334" s="111" t="s">
        <v>240</v>
      </c>
      <c r="E334" s="81" t="s">
        <v>104</v>
      </c>
      <c r="F334" s="61">
        <v>7.68</v>
      </c>
      <c r="G334" s="52">
        <f t="shared" si="35"/>
        <v>8.65</v>
      </c>
      <c r="H334" s="110"/>
      <c r="I334" s="81">
        <v>9.61</v>
      </c>
      <c r="J334" s="81">
        <f>VLOOKUP(C334,Recipes!$A$2:$N$4,12,FALSE())</f>
        <v>6.1509461004819709E-2</v>
      </c>
      <c r="K334" s="81">
        <f t="shared" si="36"/>
        <v>9.3947168864831312</v>
      </c>
      <c r="L334" s="81">
        <f t="shared" si="37"/>
        <v>9.8252831135168677</v>
      </c>
      <c r="M334" s="81" t="str">
        <f t="shared" si="39"/>
        <v>NG</v>
      </c>
      <c r="N334" s="117">
        <f t="shared" si="38"/>
        <v>1</v>
      </c>
      <c r="O334" s="81">
        <f t="shared" si="40"/>
        <v>0.95999999999999908</v>
      </c>
      <c r="P334" s="81">
        <f>IF(G334="","",ABS(O334-Components!$C$2)/Components!$D$2)</f>
        <v>271.34938958485424</v>
      </c>
      <c r="Q334" s="81">
        <f>IF(G334="","",ABS(O334-Components!$C$3)/Components!$D$3)</f>
        <v>222.95426839848284</v>
      </c>
      <c r="R334" s="81">
        <f>IF(G334="","",ABS(O334-Components!$C$4)/Components!$D$4)</f>
        <v>2.3845910571425293</v>
      </c>
      <c r="S334" s="81">
        <f>IF(G334="","",ABS(O334-Components!$C$5)/Components!$D$5)</f>
        <v>143.07757766963482</v>
      </c>
      <c r="T334" s="81">
        <f>IF(G334="","",ABS(O334-Components!$C$6)/Components!$D$6)</f>
        <v>7.0820621344135226</v>
      </c>
      <c r="U334" s="81">
        <f>IF(G334="","",ABS(O334-Components!$C$7)/Components!$D$7)</f>
        <v>16.477399739502591</v>
      </c>
      <c r="V334" s="81" t="str">
        <f>IF(G334="","",IF(M334="OK","NONE",INDEX({"S1","S2","W1","W2","N1","N2"},MATCH(MIN(P334:U334),P334:U334,0))))</f>
        <v>W1</v>
      </c>
      <c r="W334" s="117">
        <f t="shared" si="41"/>
        <v>1</v>
      </c>
      <c r="X334" s="107"/>
    </row>
    <row r="335" spans="1:24">
      <c r="A335" s="115">
        <v>333</v>
      </c>
      <c r="B335" s="116">
        <v>12</v>
      </c>
      <c r="C335" s="81" t="s">
        <v>132</v>
      </c>
      <c r="D335" s="111" t="s">
        <v>240</v>
      </c>
      <c r="E335" s="81" t="s">
        <v>104</v>
      </c>
      <c r="F335" s="61">
        <v>7.4</v>
      </c>
      <c r="G335" s="52">
        <f t="shared" si="35"/>
        <v>8.370000000000001</v>
      </c>
      <c r="H335" s="110"/>
      <c r="I335" s="81">
        <v>9.61</v>
      </c>
      <c r="J335" s="81">
        <f>VLOOKUP(C335,Recipes!$A$2:$N$4,12,FALSE())</f>
        <v>6.1509461004819709E-2</v>
      </c>
      <c r="K335" s="81">
        <f t="shared" si="36"/>
        <v>9.3947168864831312</v>
      </c>
      <c r="L335" s="81">
        <f t="shared" si="37"/>
        <v>9.8252831135168677</v>
      </c>
      <c r="M335" s="81" t="str">
        <f t="shared" si="39"/>
        <v>NG</v>
      </c>
      <c r="N335" s="117">
        <f t="shared" si="38"/>
        <v>1</v>
      </c>
      <c r="O335" s="81">
        <f t="shared" si="40"/>
        <v>1.2399999999999984</v>
      </c>
      <c r="P335" s="81">
        <f>IF(G335="","",ABS(O335-Components!$C$2)/Components!$D$2)</f>
        <v>228.98257039316701</v>
      </c>
      <c r="Q335" s="81">
        <f>IF(G335="","",ABS(O335-Components!$C$3)/Components!$D$3)</f>
        <v>202.65934149615023</v>
      </c>
      <c r="R335" s="81">
        <f>IF(G335="","",ABS(O335-Components!$C$4)/Components!$D$4)</f>
        <v>17.645973822854341</v>
      </c>
      <c r="S335" s="81">
        <f>IF(G335="","",ABS(O335-Components!$C$5)/Components!$D$5)</f>
        <v>131.95755867976689</v>
      </c>
      <c r="T335" s="81">
        <f>IF(G335="","",ABS(O335-Components!$C$6)/Components!$D$6)</f>
        <v>3.0524049744573762</v>
      </c>
      <c r="U335" s="81">
        <f>IF(G335="","",ABS(O335-Components!$C$7)/Components!$D$7)</f>
        <v>5.3422301649392585</v>
      </c>
      <c r="V335" s="81" t="str">
        <f>IF(G335="","",IF(M335="OK","NONE",INDEX({"S1","S2","W1","W2","N1","N2"},MATCH(MIN(P335:U335),P335:U335,0))))</f>
        <v>N1</v>
      </c>
      <c r="W335" s="122">
        <f t="shared" si="41"/>
        <v>0</v>
      </c>
      <c r="X335" s="107"/>
    </row>
    <row r="336" spans="1:24">
      <c r="A336" s="115">
        <v>334</v>
      </c>
      <c r="B336" s="116">
        <v>12</v>
      </c>
      <c r="C336" s="81" t="s">
        <v>132</v>
      </c>
      <c r="D336" s="111" t="s">
        <v>240</v>
      </c>
      <c r="E336" s="81" t="s">
        <v>104</v>
      </c>
      <c r="F336" s="61">
        <v>7.59</v>
      </c>
      <c r="G336" s="52">
        <f t="shared" si="35"/>
        <v>8.56</v>
      </c>
      <c r="H336" s="110"/>
      <c r="I336" s="81">
        <v>9.61</v>
      </c>
      <c r="J336" s="81">
        <f>VLOOKUP(C336,Recipes!$A$2:$N$4,12,FALSE())</f>
        <v>6.1509461004819709E-2</v>
      </c>
      <c r="K336" s="81">
        <f t="shared" si="36"/>
        <v>9.3947168864831312</v>
      </c>
      <c r="L336" s="81">
        <f t="shared" si="37"/>
        <v>9.8252831135168677</v>
      </c>
      <c r="M336" s="81" t="str">
        <f t="shared" si="39"/>
        <v>NG</v>
      </c>
      <c r="N336" s="117">
        <f t="shared" si="38"/>
        <v>1</v>
      </c>
      <c r="O336" s="81">
        <f t="shared" si="40"/>
        <v>1.0499999999999989</v>
      </c>
      <c r="P336" s="81">
        <f>IF(G336="","",ABS(O336-Components!$C$2)/Components!$D$2)</f>
        <v>257.7314834160976</v>
      </c>
      <c r="Q336" s="81">
        <f>IF(G336="","",ABS(O336-Components!$C$3)/Components!$D$3)</f>
        <v>216.43089903701878</v>
      </c>
      <c r="R336" s="81">
        <f>IF(G336="","",ABS(O336-Components!$C$4)/Components!$D$4)</f>
        <v>4.0538047971421838</v>
      </c>
      <c r="S336" s="81">
        <f>IF(G336="","",ABS(O336-Components!$C$5)/Components!$D$5)</f>
        <v>139.50328585146298</v>
      </c>
      <c r="T336" s="81">
        <f>IF(G336="","",ABS(O336-Components!$C$6)/Components!$D$6)</f>
        <v>3.8245548494193029</v>
      </c>
      <c r="U336" s="81">
        <f>IF(G336="","",ABS(O336-Components!$C$7)/Components!$D$7)</f>
        <v>12.898238090535804</v>
      </c>
      <c r="V336" s="81" t="str">
        <f>IF(G336="","",IF(M336="OK","NONE",INDEX({"S1","S2","W1","W2","N1","N2"},MATCH(MIN(P336:U336),P336:U336,0))))</f>
        <v>N1</v>
      </c>
      <c r="W336" s="122">
        <f t="shared" si="41"/>
        <v>0</v>
      </c>
      <c r="X336" s="107"/>
    </row>
    <row r="337" spans="1:24">
      <c r="A337" s="115">
        <v>335</v>
      </c>
      <c r="B337" s="116">
        <v>12</v>
      </c>
      <c r="C337" s="81" t="s">
        <v>132</v>
      </c>
      <c r="D337" s="111" t="s">
        <v>240</v>
      </c>
      <c r="E337" s="81" t="s">
        <v>104</v>
      </c>
      <c r="F337" s="61">
        <v>7.53</v>
      </c>
      <c r="G337" s="52">
        <f t="shared" si="35"/>
        <v>8.5</v>
      </c>
      <c r="H337" s="110"/>
      <c r="I337" s="81">
        <v>9.61</v>
      </c>
      <c r="J337" s="81">
        <f>VLOOKUP(C337,Recipes!$A$2:$N$4,12,FALSE())</f>
        <v>6.1509461004819709E-2</v>
      </c>
      <c r="K337" s="81">
        <f t="shared" si="36"/>
        <v>9.3947168864831312</v>
      </c>
      <c r="L337" s="81">
        <f t="shared" si="37"/>
        <v>9.8252831135168677</v>
      </c>
      <c r="M337" s="81" t="str">
        <f t="shared" si="39"/>
        <v>NG</v>
      </c>
      <c r="N337" s="117">
        <f t="shared" si="38"/>
        <v>1</v>
      </c>
      <c r="O337" s="81">
        <f t="shared" si="40"/>
        <v>1.1099999999999994</v>
      </c>
      <c r="P337" s="81">
        <f>IF(G337="","",ABS(O337-Components!$C$2)/Components!$D$2)</f>
        <v>248.65287930359312</v>
      </c>
      <c r="Q337" s="81">
        <f>IF(G337="","",ABS(O337-Components!$C$3)/Components!$D$3)</f>
        <v>212.08198612937602</v>
      </c>
      <c r="R337" s="81">
        <f>IF(G337="","",ABS(O337-Components!$C$4)/Components!$D$4)</f>
        <v>8.3460686999987015</v>
      </c>
      <c r="S337" s="81">
        <f>IF(G337="","",ABS(O337-Components!$C$5)/Components!$D$5)</f>
        <v>137.12042463934841</v>
      </c>
      <c r="T337" s="81">
        <f>IF(G337="","",ABS(O337-Components!$C$6)/Components!$D$6)</f>
        <v>1.6528833260898017</v>
      </c>
      <c r="U337" s="81">
        <f>IF(G337="","",ABS(O337-Components!$C$7)/Components!$D$7)</f>
        <v>10.512130324557921</v>
      </c>
      <c r="V337" s="81" t="str">
        <f>IF(G337="","",IF(M337="OK","NONE",INDEX({"S1","S2","W1","W2","N1","N2"},MATCH(MIN(P337:U337),P337:U337,0))))</f>
        <v>N1</v>
      </c>
      <c r="W337" s="122">
        <f t="shared" si="41"/>
        <v>0</v>
      </c>
      <c r="X337" s="107"/>
    </row>
    <row r="338" spans="1:24">
      <c r="A338" s="115">
        <v>336</v>
      </c>
      <c r="B338" s="116">
        <v>12</v>
      </c>
      <c r="C338" s="81" t="s">
        <v>132</v>
      </c>
      <c r="D338" s="111" t="s">
        <v>240</v>
      </c>
      <c r="E338" s="81" t="s">
        <v>104</v>
      </c>
      <c r="F338" s="61">
        <v>7.53</v>
      </c>
      <c r="G338" s="52">
        <f t="shared" si="35"/>
        <v>8.5</v>
      </c>
      <c r="H338" s="110"/>
      <c r="I338" s="81">
        <v>9.61</v>
      </c>
      <c r="J338" s="81">
        <f>VLOOKUP(C338,Recipes!$A$2:$N$4,12,FALSE())</f>
        <v>6.1509461004819709E-2</v>
      </c>
      <c r="K338" s="81">
        <f t="shared" si="36"/>
        <v>9.3947168864831312</v>
      </c>
      <c r="L338" s="81">
        <f t="shared" si="37"/>
        <v>9.8252831135168677</v>
      </c>
      <c r="M338" s="81" t="str">
        <f t="shared" si="39"/>
        <v>NG</v>
      </c>
      <c r="N338" s="117">
        <f t="shared" si="38"/>
        <v>1</v>
      </c>
      <c r="O338" s="81">
        <f t="shared" si="40"/>
        <v>1.1099999999999994</v>
      </c>
      <c r="P338" s="81">
        <f>IF(G338="","",ABS(O338-Components!$C$2)/Components!$D$2)</f>
        <v>248.65287930359312</v>
      </c>
      <c r="Q338" s="81">
        <f>IF(G338="","",ABS(O338-Components!$C$3)/Components!$D$3)</f>
        <v>212.08198612937602</v>
      </c>
      <c r="R338" s="81">
        <f>IF(G338="","",ABS(O338-Components!$C$4)/Components!$D$4)</f>
        <v>8.3460686999987015</v>
      </c>
      <c r="S338" s="81">
        <f>IF(G338="","",ABS(O338-Components!$C$5)/Components!$D$5)</f>
        <v>137.12042463934841</v>
      </c>
      <c r="T338" s="81">
        <f>IF(G338="","",ABS(O338-Components!$C$6)/Components!$D$6)</f>
        <v>1.6528833260898017</v>
      </c>
      <c r="U338" s="81">
        <f>IF(G338="","",ABS(O338-Components!$C$7)/Components!$D$7)</f>
        <v>10.512130324557921</v>
      </c>
      <c r="V338" s="81" t="str">
        <f>IF(G338="","",IF(M338="OK","NONE",INDEX({"S1","S2","W1","W2","N1","N2"},MATCH(MIN(P338:U338),P338:U338,0))))</f>
        <v>N1</v>
      </c>
      <c r="W338" s="122">
        <f t="shared" si="41"/>
        <v>0</v>
      </c>
      <c r="X338" s="107"/>
    </row>
    <row r="339" spans="1:24">
      <c r="A339" s="115">
        <v>337</v>
      </c>
      <c r="B339" s="116">
        <v>12</v>
      </c>
      <c r="C339" s="81" t="s">
        <v>132</v>
      </c>
      <c r="D339" s="111" t="s">
        <v>240</v>
      </c>
      <c r="E339" s="81" t="s">
        <v>104</v>
      </c>
      <c r="F339" s="61">
        <v>7.63</v>
      </c>
      <c r="G339" s="52">
        <f t="shared" si="35"/>
        <v>8.6</v>
      </c>
      <c r="H339" s="110"/>
      <c r="I339" s="81">
        <v>9.61</v>
      </c>
      <c r="J339" s="81">
        <f>VLOOKUP(C339,Recipes!$A$2:$N$4,12,FALSE())</f>
        <v>6.1509461004819709E-2</v>
      </c>
      <c r="K339" s="81">
        <f t="shared" si="36"/>
        <v>9.3947168864831312</v>
      </c>
      <c r="L339" s="81">
        <f t="shared" si="37"/>
        <v>9.8252831135168677</v>
      </c>
      <c r="M339" s="81" t="str">
        <f t="shared" si="39"/>
        <v>NG</v>
      </c>
      <c r="N339" s="117">
        <f t="shared" si="38"/>
        <v>1</v>
      </c>
      <c r="O339" s="81">
        <f t="shared" si="40"/>
        <v>1.0099999999999998</v>
      </c>
      <c r="P339" s="81">
        <f>IF(G339="","",ABS(O339-Components!$C$2)/Components!$D$2)</f>
        <v>263.78388615776714</v>
      </c>
      <c r="Q339" s="81">
        <f>IF(G339="","",ABS(O339-Components!$C$3)/Components!$D$3)</f>
        <v>219.33017430878053</v>
      </c>
      <c r="R339" s="81">
        <f>IF(G339="","",ABS(O339-Components!$C$4)/Components!$D$4)</f>
        <v>1.1922955285712566</v>
      </c>
      <c r="S339" s="81">
        <f>IF(G339="","",ABS(O339-Components!$C$5)/Components!$D$5)</f>
        <v>141.09185999287266</v>
      </c>
      <c r="T339" s="81">
        <f>IF(G339="","",ABS(O339-Components!$C$6)/Components!$D$6)</f>
        <v>5.2723358649722609</v>
      </c>
      <c r="U339" s="81">
        <f>IF(G339="","",ABS(O339-Components!$C$7)/Components!$D$7)</f>
        <v>14.488976601187677</v>
      </c>
      <c r="V339" s="81" t="str">
        <f>IF(G339="","",IF(M339="OK","NONE",INDEX({"S1","S2","W1","W2","N1","N2"},MATCH(MIN(P339:U339),P339:U339,0))))</f>
        <v>W1</v>
      </c>
      <c r="W339" s="117">
        <f t="shared" si="41"/>
        <v>1</v>
      </c>
      <c r="X339" s="107"/>
    </row>
    <row r="340" spans="1:24">
      <c r="A340" s="115">
        <v>338</v>
      </c>
      <c r="B340" s="116">
        <v>12</v>
      </c>
      <c r="C340" s="81" t="s">
        <v>132</v>
      </c>
      <c r="D340" s="111" t="s">
        <v>240</v>
      </c>
      <c r="E340" s="81" t="s">
        <v>104</v>
      </c>
      <c r="F340" s="61">
        <v>7.62</v>
      </c>
      <c r="G340" s="52">
        <f t="shared" si="35"/>
        <v>8.59</v>
      </c>
      <c r="H340" s="110"/>
      <c r="I340" s="81">
        <v>9.61</v>
      </c>
      <c r="J340" s="81">
        <f>VLOOKUP(C340,Recipes!$A$2:$N$4,12,FALSE())</f>
        <v>6.1509461004819709E-2</v>
      </c>
      <c r="K340" s="81">
        <f t="shared" si="36"/>
        <v>9.3947168864831312</v>
      </c>
      <c r="L340" s="81">
        <f t="shared" si="37"/>
        <v>9.8252831135168677</v>
      </c>
      <c r="M340" s="81" t="str">
        <f t="shared" si="39"/>
        <v>NG</v>
      </c>
      <c r="N340" s="117">
        <f t="shared" si="38"/>
        <v>1</v>
      </c>
      <c r="O340" s="81">
        <f t="shared" si="40"/>
        <v>1.0199999999999996</v>
      </c>
      <c r="P340" s="81">
        <f>IF(G340="","",ABS(O340-Components!$C$2)/Components!$D$2)</f>
        <v>262.27078547234976</v>
      </c>
      <c r="Q340" s="81">
        <f>IF(G340="","",ABS(O340-Components!$C$3)/Components!$D$3)</f>
        <v>218.60535549084008</v>
      </c>
      <c r="R340" s="81">
        <f>IF(G340="","",ABS(O340-Components!$C$4)/Components!$D$4)</f>
        <v>1.9076728457139884</v>
      </c>
      <c r="S340" s="81">
        <f>IF(G340="","",ABS(O340-Components!$C$5)/Components!$D$5)</f>
        <v>140.69471645752026</v>
      </c>
      <c r="T340" s="81">
        <f>IF(G340="","",ABS(O340-Components!$C$6)/Components!$D$6)</f>
        <v>4.9103906110840212</v>
      </c>
      <c r="U340" s="81">
        <f>IF(G340="","",ABS(O340-Components!$C$7)/Components!$D$7)</f>
        <v>14.091291973524708</v>
      </c>
      <c r="V340" s="81" t="str">
        <f>IF(G340="","",IF(M340="OK","NONE",INDEX({"S1","S2","W1","W2","N1","N2"},MATCH(MIN(P340:U340),P340:U340,0))))</f>
        <v>W1</v>
      </c>
      <c r="W340" s="117">
        <f t="shared" si="41"/>
        <v>1</v>
      </c>
      <c r="X340" s="107"/>
    </row>
    <row r="341" spans="1:24">
      <c r="A341" s="115">
        <v>339</v>
      </c>
      <c r="B341" s="116">
        <v>12</v>
      </c>
      <c r="C341" s="81" t="s">
        <v>132</v>
      </c>
      <c r="D341" s="111" t="s">
        <v>240</v>
      </c>
      <c r="E341" s="81" t="s">
        <v>104</v>
      </c>
      <c r="F341" s="61">
        <v>7.59</v>
      </c>
      <c r="G341" s="52">
        <f t="shared" si="35"/>
        <v>8.56</v>
      </c>
      <c r="H341" s="110"/>
      <c r="I341" s="81">
        <v>9.61</v>
      </c>
      <c r="J341" s="81">
        <f>VLOOKUP(C341,Recipes!$A$2:$N$4,12,FALSE())</f>
        <v>6.1509461004819709E-2</v>
      </c>
      <c r="K341" s="81">
        <f t="shared" si="36"/>
        <v>9.3947168864831312</v>
      </c>
      <c r="L341" s="81">
        <f t="shared" si="37"/>
        <v>9.8252831135168677</v>
      </c>
      <c r="M341" s="81" t="str">
        <f t="shared" si="39"/>
        <v>NG</v>
      </c>
      <c r="N341" s="117">
        <f t="shared" si="38"/>
        <v>1</v>
      </c>
      <c r="O341" s="81">
        <f t="shared" si="40"/>
        <v>1.0499999999999989</v>
      </c>
      <c r="P341" s="81">
        <f>IF(G341="","",ABS(O341-Components!$C$2)/Components!$D$2)</f>
        <v>257.7314834160976</v>
      </c>
      <c r="Q341" s="81">
        <f>IF(G341="","",ABS(O341-Components!$C$3)/Components!$D$3)</f>
        <v>216.43089903701878</v>
      </c>
      <c r="R341" s="81">
        <f>IF(G341="","",ABS(O341-Components!$C$4)/Components!$D$4)</f>
        <v>4.0538047971421838</v>
      </c>
      <c r="S341" s="81">
        <f>IF(G341="","",ABS(O341-Components!$C$5)/Components!$D$5)</f>
        <v>139.50328585146298</v>
      </c>
      <c r="T341" s="81">
        <f>IF(G341="","",ABS(O341-Components!$C$6)/Components!$D$6)</f>
        <v>3.8245548494193029</v>
      </c>
      <c r="U341" s="81">
        <f>IF(G341="","",ABS(O341-Components!$C$7)/Components!$D$7)</f>
        <v>12.898238090535804</v>
      </c>
      <c r="V341" s="81" t="str">
        <f>IF(G341="","",IF(M341="OK","NONE",INDEX({"S1","S2","W1","W2","N1","N2"},MATCH(MIN(P341:U341),P341:U341,0))))</f>
        <v>N1</v>
      </c>
      <c r="W341" s="122">
        <f t="shared" si="41"/>
        <v>0</v>
      </c>
      <c r="X341" s="107"/>
    </row>
    <row r="342" spans="1:24">
      <c r="A342" s="115">
        <v>340</v>
      </c>
      <c r="B342" s="116">
        <v>12</v>
      </c>
      <c r="C342" s="81" t="s">
        <v>132</v>
      </c>
      <c r="D342" s="111" t="s">
        <v>240</v>
      </c>
      <c r="E342" s="81" t="s">
        <v>104</v>
      </c>
      <c r="F342" s="61">
        <v>7.64</v>
      </c>
      <c r="G342" s="52">
        <f t="shared" si="35"/>
        <v>8.61</v>
      </c>
      <c r="H342" s="110"/>
      <c r="I342" s="81">
        <v>9.61</v>
      </c>
      <c r="J342" s="81">
        <f>VLOOKUP(C342,Recipes!$A$2:$N$4,12,FALSE())</f>
        <v>6.1509461004819709E-2</v>
      </c>
      <c r="K342" s="81">
        <f t="shared" si="36"/>
        <v>9.3947168864831312</v>
      </c>
      <c r="L342" s="81">
        <f t="shared" si="37"/>
        <v>9.8252831135168677</v>
      </c>
      <c r="M342" s="81" t="str">
        <f t="shared" si="39"/>
        <v>NG</v>
      </c>
      <c r="N342" s="117">
        <f t="shared" si="38"/>
        <v>1</v>
      </c>
      <c r="O342" s="81">
        <f t="shared" si="40"/>
        <v>1</v>
      </c>
      <c r="P342" s="81">
        <f>IF(G342="","",ABS(O342-Components!$C$2)/Components!$D$2)</f>
        <v>265.29698684318447</v>
      </c>
      <c r="Q342" s="81">
        <f>IF(G342="","",ABS(O342-Components!$C$3)/Components!$D$3)</f>
        <v>220.05499312672094</v>
      </c>
      <c r="R342" s="81">
        <f>IF(G342="","",ABS(O342-Components!$C$4)/Components!$D$4)</f>
        <v>0.47691821142852492</v>
      </c>
      <c r="S342" s="81">
        <f>IF(G342="","",ABS(O342-Components!$C$5)/Components!$D$5)</f>
        <v>141.48900352822508</v>
      </c>
      <c r="T342" s="81">
        <f>IF(G342="","",ABS(O342-Components!$C$6)/Components!$D$6)</f>
        <v>5.6342811188605006</v>
      </c>
      <c r="U342" s="81">
        <f>IF(G342="","",ABS(O342-Components!$C$7)/Components!$D$7)</f>
        <v>14.886661228850645</v>
      </c>
      <c r="V342" s="81" t="str">
        <f>IF(G342="","",IF(M342="OK","NONE",INDEX({"S1","S2","W1","W2","N1","N2"},MATCH(MIN(P342:U342),P342:U342,0))))</f>
        <v>W1</v>
      </c>
      <c r="W342" s="117">
        <f t="shared" si="41"/>
        <v>1</v>
      </c>
      <c r="X342" s="107"/>
    </row>
    <row r="343" spans="1:24">
      <c r="A343" s="115">
        <v>341</v>
      </c>
      <c r="B343" s="116">
        <v>12</v>
      </c>
      <c r="C343" s="81" t="s">
        <v>132</v>
      </c>
      <c r="D343" s="111" t="s">
        <v>240</v>
      </c>
      <c r="E343" s="81" t="s">
        <v>104</v>
      </c>
      <c r="F343" s="61">
        <v>7.65</v>
      </c>
      <c r="G343" s="52">
        <f t="shared" si="35"/>
        <v>8.620000000000001</v>
      </c>
      <c r="H343" s="110"/>
      <c r="I343" s="81">
        <v>9.61</v>
      </c>
      <c r="J343" s="81">
        <f>VLOOKUP(C343,Recipes!$A$2:$N$4,12,FALSE())</f>
        <v>6.1509461004819709E-2</v>
      </c>
      <c r="K343" s="81">
        <f t="shared" si="36"/>
        <v>9.3947168864831312</v>
      </c>
      <c r="L343" s="81">
        <f t="shared" si="37"/>
        <v>9.8252831135168677</v>
      </c>
      <c r="M343" s="81" t="str">
        <f t="shared" si="39"/>
        <v>NG</v>
      </c>
      <c r="N343" s="117">
        <f t="shared" si="38"/>
        <v>1</v>
      </c>
      <c r="O343" s="81">
        <f t="shared" si="40"/>
        <v>0.98999999999999844</v>
      </c>
      <c r="P343" s="81">
        <f>IF(G343="","",ABS(O343-Components!$C$2)/Components!$D$2)</f>
        <v>266.81008752860214</v>
      </c>
      <c r="Q343" s="81">
        <f>IF(G343="","",ABS(O343-Components!$C$3)/Components!$D$3)</f>
        <v>220.77981194466153</v>
      </c>
      <c r="R343" s="81">
        <f>IF(G343="","",ABS(O343-Components!$C$4)/Components!$D$4)</f>
        <v>0.23845910571433393</v>
      </c>
      <c r="S343" s="81">
        <f>IF(G343="","",ABS(O343-Components!$C$5)/Components!$D$5)</f>
        <v>141.88614706357757</v>
      </c>
      <c r="T343" s="81">
        <f>IF(G343="","",ABS(O343-Components!$C$6)/Components!$D$6)</f>
        <v>5.9962263727488043</v>
      </c>
      <c r="U343" s="81">
        <f>IF(G343="","",ABS(O343-Components!$C$7)/Components!$D$7)</f>
        <v>15.284345856513685</v>
      </c>
      <c r="V343" s="81" t="str">
        <f>IF(G343="","",IF(M343="OK","NONE",INDEX({"S1","S2","W1","W2","N1","N2"},MATCH(MIN(P343:U343),P343:U343,0))))</f>
        <v>W1</v>
      </c>
      <c r="W343" s="117">
        <f t="shared" si="41"/>
        <v>1</v>
      </c>
      <c r="X343" s="107"/>
    </row>
    <row r="344" spans="1:24">
      <c r="A344" s="115">
        <v>342</v>
      </c>
      <c r="B344" s="116">
        <v>12</v>
      </c>
      <c r="C344" s="81" t="s">
        <v>132</v>
      </c>
      <c r="D344" s="111" t="s">
        <v>240</v>
      </c>
      <c r="E344" s="81" t="s">
        <v>104</v>
      </c>
      <c r="F344" s="61">
        <v>7.6</v>
      </c>
      <c r="G344" s="52">
        <f t="shared" si="35"/>
        <v>8.57</v>
      </c>
      <c r="H344" s="110"/>
      <c r="I344" s="81">
        <v>9.61</v>
      </c>
      <c r="J344" s="81">
        <f>VLOOKUP(C344,Recipes!$A$2:$N$4,12,FALSE())</f>
        <v>6.1509461004819709E-2</v>
      </c>
      <c r="K344" s="81">
        <f t="shared" si="36"/>
        <v>9.3947168864831312</v>
      </c>
      <c r="L344" s="81">
        <f t="shared" si="37"/>
        <v>9.8252831135168677</v>
      </c>
      <c r="M344" s="81" t="str">
        <f t="shared" si="39"/>
        <v>NG</v>
      </c>
      <c r="N344" s="117">
        <f t="shared" si="38"/>
        <v>1</v>
      </c>
      <c r="O344" s="81">
        <f t="shared" si="40"/>
        <v>1.0399999999999991</v>
      </c>
      <c r="P344" s="81">
        <f>IF(G344="","",ABS(O344-Components!$C$2)/Components!$D$2)</f>
        <v>259.24458410151499</v>
      </c>
      <c r="Q344" s="81">
        <f>IF(G344="","",ABS(O344-Components!$C$3)/Components!$D$3)</f>
        <v>217.15571785495922</v>
      </c>
      <c r="R344" s="81">
        <f>IF(G344="","",ABS(O344-Components!$C$4)/Components!$D$4)</f>
        <v>3.338427479999452</v>
      </c>
      <c r="S344" s="81">
        <f>IF(G344="","",ABS(O344-Components!$C$5)/Components!$D$5)</f>
        <v>139.9004293868154</v>
      </c>
      <c r="T344" s="81">
        <f>IF(G344="","",ABS(O344-Components!$C$6)/Components!$D$6)</f>
        <v>4.1865001033075426</v>
      </c>
      <c r="U344" s="81">
        <f>IF(G344="","",ABS(O344-Components!$C$7)/Components!$D$7)</f>
        <v>13.295922718198771</v>
      </c>
      <c r="V344" s="81" t="str">
        <f>IF(G344="","",IF(M344="OK","NONE",INDEX({"S1","S2","W1","W2","N1","N2"},MATCH(MIN(P344:U344),P344:U344,0))))</f>
        <v>W1</v>
      </c>
      <c r="W344" s="117">
        <f t="shared" si="41"/>
        <v>1</v>
      </c>
      <c r="X344" s="107"/>
    </row>
    <row r="345" spans="1:24">
      <c r="A345" s="115">
        <v>343</v>
      </c>
      <c r="B345" s="116">
        <v>12</v>
      </c>
      <c r="C345" s="81" t="s">
        <v>132</v>
      </c>
      <c r="D345" s="111" t="s">
        <v>240</v>
      </c>
      <c r="E345" s="81" t="s">
        <v>104</v>
      </c>
      <c r="F345" s="61">
        <v>7.6</v>
      </c>
      <c r="G345" s="52">
        <f t="shared" si="35"/>
        <v>8.57</v>
      </c>
      <c r="H345" s="110"/>
      <c r="I345" s="81">
        <v>9.61</v>
      </c>
      <c r="J345" s="81">
        <f>VLOOKUP(C345,Recipes!$A$2:$N$4,12,FALSE())</f>
        <v>6.1509461004819709E-2</v>
      </c>
      <c r="K345" s="81">
        <f t="shared" si="36"/>
        <v>9.3947168864831312</v>
      </c>
      <c r="L345" s="81">
        <f t="shared" si="37"/>
        <v>9.8252831135168677</v>
      </c>
      <c r="M345" s="81" t="str">
        <f t="shared" si="39"/>
        <v>NG</v>
      </c>
      <c r="N345" s="117">
        <f t="shared" si="38"/>
        <v>1</v>
      </c>
      <c r="O345" s="81">
        <f t="shared" si="40"/>
        <v>1.0399999999999991</v>
      </c>
      <c r="P345" s="81">
        <f>IF(G345="","",ABS(O345-Components!$C$2)/Components!$D$2)</f>
        <v>259.24458410151499</v>
      </c>
      <c r="Q345" s="81">
        <f>IF(G345="","",ABS(O345-Components!$C$3)/Components!$D$3)</f>
        <v>217.15571785495922</v>
      </c>
      <c r="R345" s="81">
        <f>IF(G345="","",ABS(O345-Components!$C$4)/Components!$D$4)</f>
        <v>3.338427479999452</v>
      </c>
      <c r="S345" s="81">
        <f>IF(G345="","",ABS(O345-Components!$C$5)/Components!$D$5)</f>
        <v>139.9004293868154</v>
      </c>
      <c r="T345" s="81">
        <f>IF(G345="","",ABS(O345-Components!$C$6)/Components!$D$6)</f>
        <v>4.1865001033075426</v>
      </c>
      <c r="U345" s="81">
        <f>IF(G345="","",ABS(O345-Components!$C$7)/Components!$D$7)</f>
        <v>13.295922718198771</v>
      </c>
      <c r="V345" s="81" t="str">
        <f>IF(G345="","",IF(M345="OK","NONE",INDEX({"S1","S2","W1","W2","N1","N2"},MATCH(MIN(P345:U345),P345:U345,0))))</f>
        <v>W1</v>
      </c>
      <c r="W345" s="117">
        <f t="shared" si="41"/>
        <v>1</v>
      </c>
      <c r="X345" s="107"/>
    </row>
    <row r="346" spans="1:24">
      <c r="A346" s="115">
        <v>344</v>
      </c>
      <c r="B346" s="116">
        <v>12</v>
      </c>
      <c r="C346" s="81" t="s">
        <v>132</v>
      </c>
      <c r="D346" s="111" t="s">
        <v>240</v>
      </c>
      <c r="E346" s="81" t="s">
        <v>104</v>
      </c>
      <c r="F346" s="61">
        <v>7.59</v>
      </c>
      <c r="G346" s="52">
        <f t="shared" si="35"/>
        <v>8.56</v>
      </c>
      <c r="H346" s="110"/>
      <c r="I346" s="81">
        <v>9.61</v>
      </c>
      <c r="J346" s="81">
        <f>VLOOKUP(C346,Recipes!$A$2:$N$4,12,FALSE())</f>
        <v>6.1509461004819709E-2</v>
      </c>
      <c r="K346" s="81">
        <f t="shared" si="36"/>
        <v>9.3947168864831312</v>
      </c>
      <c r="L346" s="81">
        <f t="shared" si="37"/>
        <v>9.8252831135168677</v>
      </c>
      <c r="M346" s="81" t="str">
        <f t="shared" si="39"/>
        <v>NG</v>
      </c>
      <c r="N346" s="117">
        <f t="shared" si="38"/>
        <v>1</v>
      </c>
      <c r="O346" s="81">
        <f t="shared" si="40"/>
        <v>1.0499999999999989</v>
      </c>
      <c r="P346" s="81">
        <f>IF(G346="","",ABS(O346-Components!$C$2)/Components!$D$2)</f>
        <v>257.7314834160976</v>
      </c>
      <c r="Q346" s="81">
        <f>IF(G346="","",ABS(O346-Components!$C$3)/Components!$D$3)</f>
        <v>216.43089903701878</v>
      </c>
      <c r="R346" s="81">
        <f>IF(G346="","",ABS(O346-Components!$C$4)/Components!$D$4)</f>
        <v>4.0538047971421838</v>
      </c>
      <c r="S346" s="81">
        <f>IF(G346="","",ABS(O346-Components!$C$5)/Components!$D$5)</f>
        <v>139.50328585146298</v>
      </c>
      <c r="T346" s="81">
        <f>IF(G346="","",ABS(O346-Components!$C$6)/Components!$D$6)</f>
        <v>3.8245548494193029</v>
      </c>
      <c r="U346" s="81">
        <f>IF(G346="","",ABS(O346-Components!$C$7)/Components!$D$7)</f>
        <v>12.898238090535804</v>
      </c>
      <c r="V346" s="81" t="str">
        <f>IF(G346="","",IF(M346="OK","NONE",INDEX({"S1","S2","W1","W2","N1","N2"},MATCH(MIN(P346:U346),P346:U346,0))))</f>
        <v>N1</v>
      </c>
      <c r="W346" s="122">
        <f t="shared" si="41"/>
        <v>0</v>
      </c>
      <c r="X346" s="107"/>
    </row>
    <row r="347" spans="1:24">
      <c r="A347" s="115">
        <v>345</v>
      </c>
      <c r="B347" s="116">
        <v>12</v>
      </c>
      <c r="C347" s="81" t="s">
        <v>132</v>
      </c>
      <c r="D347" s="111" t="s">
        <v>240</v>
      </c>
      <c r="E347" s="81" t="s">
        <v>104</v>
      </c>
      <c r="F347" s="61">
        <v>7.63</v>
      </c>
      <c r="G347" s="52">
        <f t="shared" si="35"/>
        <v>8.6</v>
      </c>
      <c r="H347" s="110"/>
      <c r="I347" s="81">
        <v>9.61</v>
      </c>
      <c r="J347" s="81">
        <f>VLOOKUP(C347,Recipes!$A$2:$N$4,12,FALSE())</f>
        <v>6.1509461004819709E-2</v>
      </c>
      <c r="K347" s="81">
        <f t="shared" si="36"/>
        <v>9.3947168864831312</v>
      </c>
      <c r="L347" s="81">
        <f t="shared" si="37"/>
        <v>9.8252831135168677</v>
      </c>
      <c r="M347" s="81" t="str">
        <f t="shared" si="39"/>
        <v>NG</v>
      </c>
      <c r="N347" s="117">
        <f t="shared" si="38"/>
        <v>1</v>
      </c>
      <c r="O347" s="81">
        <f t="shared" si="40"/>
        <v>1.0099999999999998</v>
      </c>
      <c r="P347" s="81">
        <f>IF(G347="","",ABS(O347-Components!$C$2)/Components!$D$2)</f>
        <v>263.78388615776714</v>
      </c>
      <c r="Q347" s="81">
        <f>IF(G347="","",ABS(O347-Components!$C$3)/Components!$D$3)</f>
        <v>219.33017430878053</v>
      </c>
      <c r="R347" s="81">
        <f>IF(G347="","",ABS(O347-Components!$C$4)/Components!$D$4)</f>
        <v>1.1922955285712566</v>
      </c>
      <c r="S347" s="81">
        <f>IF(G347="","",ABS(O347-Components!$C$5)/Components!$D$5)</f>
        <v>141.09185999287266</v>
      </c>
      <c r="T347" s="81">
        <f>IF(G347="","",ABS(O347-Components!$C$6)/Components!$D$6)</f>
        <v>5.2723358649722609</v>
      </c>
      <c r="U347" s="81">
        <f>IF(G347="","",ABS(O347-Components!$C$7)/Components!$D$7)</f>
        <v>14.488976601187677</v>
      </c>
      <c r="V347" s="81" t="str">
        <f>IF(G347="","",IF(M347="OK","NONE",INDEX({"S1","S2","W1","W2","N1","N2"},MATCH(MIN(P347:U347),P347:U347,0))))</f>
        <v>W1</v>
      </c>
      <c r="W347" s="117">
        <f t="shared" si="41"/>
        <v>1</v>
      </c>
      <c r="X347" s="107"/>
    </row>
    <row r="348" spans="1:24">
      <c r="A348" s="115">
        <v>346</v>
      </c>
      <c r="B348" s="116">
        <v>12</v>
      </c>
      <c r="C348" s="81" t="s">
        <v>132</v>
      </c>
      <c r="D348" s="111" t="s">
        <v>240</v>
      </c>
      <c r="E348" s="81" t="s">
        <v>104</v>
      </c>
      <c r="F348" s="61">
        <v>7.6</v>
      </c>
      <c r="G348" s="52">
        <f t="shared" si="35"/>
        <v>8.57</v>
      </c>
      <c r="H348" s="110"/>
      <c r="I348" s="81">
        <v>9.61</v>
      </c>
      <c r="J348" s="81">
        <f>VLOOKUP(C348,Recipes!$A$2:$N$4,12,FALSE())</f>
        <v>6.1509461004819709E-2</v>
      </c>
      <c r="K348" s="81">
        <f t="shared" si="36"/>
        <v>9.3947168864831312</v>
      </c>
      <c r="L348" s="81">
        <f t="shared" si="37"/>
        <v>9.8252831135168677</v>
      </c>
      <c r="M348" s="81" t="str">
        <f t="shared" si="39"/>
        <v>NG</v>
      </c>
      <c r="N348" s="117">
        <f t="shared" si="38"/>
        <v>1</v>
      </c>
      <c r="O348" s="81">
        <f t="shared" si="40"/>
        <v>1.0399999999999991</v>
      </c>
      <c r="P348" s="81">
        <f>IF(G348="","",ABS(O348-Components!$C$2)/Components!$D$2)</f>
        <v>259.24458410151499</v>
      </c>
      <c r="Q348" s="81">
        <f>IF(G348="","",ABS(O348-Components!$C$3)/Components!$D$3)</f>
        <v>217.15571785495922</v>
      </c>
      <c r="R348" s="81">
        <f>IF(G348="","",ABS(O348-Components!$C$4)/Components!$D$4)</f>
        <v>3.338427479999452</v>
      </c>
      <c r="S348" s="81">
        <f>IF(G348="","",ABS(O348-Components!$C$5)/Components!$D$5)</f>
        <v>139.9004293868154</v>
      </c>
      <c r="T348" s="81">
        <f>IF(G348="","",ABS(O348-Components!$C$6)/Components!$D$6)</f>
        <v>4.1865001033075426</v>
      </c>
      <c r="U348" s="81">
        <f>IF(G348="","",ABS(O348-Components!$C$7)/Components!$D$7)</f>
        <v>13.295922718198771</v>
      </c>
      <c r="V348" s="81" t="str">
        <f>IF(G348="","",IF(M348="OK","NONE",INDEX({"S1","S2","W1","W2","N1","N2"},MATCH(MIN(P348:U348),P348:U348,0))))</f>
        <v>W1</v>
      </c>
      <c r="W348" s="117">
        <f t="shared" si="41"/>
        <v>1</v>
      </c>
      <c r="X348" s="107"/>
    </row>
    <row r="349" spans="1:24">
      <c r="A349" s="115">
        <v>347</v>
      </c>
      <c r="B349" s="116">
        <v>12</v>
      </c>
      <c r="C349" s="81" t="s">
        <v>132</v>
      </c>
      <c r="D349" s="111" t="s">
        <v>240</v>
      </c>
      <c r="E349" s="81" t="s">
        <v>104</v>
      </c>
      <c r="F349" s="61">
        <v>7.56</v>
      </c>
      <c r="G349" s="52">
        <f t="shared" si="35"/>
        <v>8.5299999999999994</v>
      </c>
      <c r="H349" s="110"/>
      <c r="I349" s="81">
        <v>9.61</v>
      </c>
      <c r="J349" s="81">
        <f>VLOOKUP(C349,Recipes!$A$2:$N$4,12,FALSE())</f>
        <v>6.1509461004819709E-2</v>
      </c>
      <c r="K349" s="81">
        <f t="shared" si="36"/>
        <v>9.3947168864831312</v>
      </c>
      <c r="L349" s="81">
        <f t="shared" si="37"/>
        <v>9.8252831135168677</v>
      </c>
      <c r="M349" s="81" t="str">
        <f t="shared" si="39"/>
        <v>NG</v>
      </c>
      <c r="N349" s="117">
        <f t="shared" si="38"/>
        <v>1</v>
      </c>
      <c r="O349" s="81">
        <f t="shared" si="40"/>
        <v>1.08</v>
      </c>
      <c r="P349" s="81">
        <f>IF(G349="","",ABS(O349-Components!$C$2)/Components!$D$2)</f>
        <v>253.19218135984525</v>
      </c>
      <c r="Q349" s="81">
        <f>IF(G349="","",ABS(O349-Components!$C$3)/Components!$D$3)</f>
        <v>214.25644258319733</v>
      </c>
      <c r="R349" s="81">
        <f>IF(G349="","",ABS(O349-Components!$C$4)/Components!$D$4)</f>
        <v>6.1999367485705061</v>
      </c>
      <c r="S349" s="81">
        <f>IF(G349="","",ABS(O349-Components!$C$5)/Components!$D$5)</f>
        <v>138.31185524540567</v>
      </c>
      <c r="T349" s="81">
        <f>IF(G349="","",ABS(O349-Components!$C$6)/Components!$D$6)</f>
        <v>2.7387190877545202</v>
      </c>
      <c r="U349" s="81">
        <f>IF(G349="","",ABS(O349-Components!$C$7)/Components!$D$7)</f>
        <v>11.705184207546827</v>
      </c>
      <c r="V349" s="81" t="str">
        <f>IF(G349="","",IF(M349="OK","NONE",INDEX({"S1","S2","W1","W2","N1","N2"},MATCH(MIN(P349:U349),P349:U349,0))))</f>
        <v>N1</v>
      </c>
      <c r="W349" s="122">
        <f t="shared" si="41"/>
        <v>0</v>
      </c>
      <c r="X349" s="107"/>
    </row>
    <row r="350" spans="1:24">
      <c r="A350" s="115">
        <v>348</v>
      </c>
      <c r="B350" s="116">
        <v>12</v>
      </c>
      <c r="C350" s="81" t="s">
        <v>132</v>
      </c>
      <c r="D350" s="111" t="s">
        <v>240</v>
      </c>
      <c r="E350" s="81" t="s">
        <v>104</v>
      </c>
      <c r="F350" s="61">
        <v>7.63</v>
      </c>
      <c r="G350" s="52">
        <f t="shared" si="35"/>
        <v>8.6</v>
      </c>
      <c r="H350" s="110"/>
      <c r="I350" s="81">
        <v>9.61</v>
      </c>
      <c r="J350" s="81">
        <f>VLOOKUP(C350,Recipes!$A$2:$N$4,12,FALSE())</f>
        <v>6.1509461004819709E-2</v>
      </c>
      <c r="K350" s="81">
        <f t="shared" si="36"/>
        <v>9.3947168864831312</v>
      </c>
      <c r="L350" s="81">
        <f t="shared" si="37"/>
        <v>9.8252831135168677</v>
      </c>
      <c r="M350" s="81" t="str">
        <f t="shared" si="39"/>
        <v>NG</v>
      </c>
      <c r="N350" s="117">
        <f t="shared" si="38"/>
        <v>1</v>
      </c>
      <c r="O350" s="81">
        <f t="shared" si="40"/>
        <v>1.0099999999999998</v>
      </c>
      <c r="P350" s="81">
        <f>IF(G350="","",ABS(O350-Components!$C$2)/Components!$D$2)</f>
        <v>263.78388615776714</v>
      </c>
      <c r="Q350" s="81">
        <f>IF(G350="","",ABS(O350-Components!$C$3)/Components!$D$3)</f>
        <v>219.33017430878053</v>
      </c>
      <c r="R350" s="81">
        <f>IF(G350="","",ABS(O350-Components!$C$4)/Components!$D$4)</f>
        <v>1.1922955285712566</v>
      </c>
      <c r="S350" s="81">
        <f>IF(G350="","",ABS(O350-Components!$C$5)/Components!$D$5)</f>
        <v>141.09185999287266</v>
      </c>
      <c r="T350" s="81">
        <f>IF(G350="","",ABS(O350-Components!$C$6)/Components!$D$6)</f>
        <v>5.2723358649722609</v>
      </c>
      <c r="U350" s="81">
        <f>IF(G350="","",ABS(O350-Components!$C$7)/Components!$D$7)</f>
        <v>14.488976601187677</v>
      </c>
      <c r="V350" s="81" t="str">
        <f>IF(G350="","",IF(M350="OK","NONE",INDEX({"S1","S2","W1","W2","N1","N2"},MATCH(MIN(P350:U350),P350:U350,0))))</f>
        <v>W1</v>
      </c>
      <c r="W350" s="117">
        <f t="shared" si="41"/>
        <v>1</v>
      </c>
      <c r="X350" s="107"/>
    </row>
    <row r="351" spans="1:24">
      <c r="A351" s="115">
        <v>349</v>
      </c>
      <c r="B351" s="116">
        <v>12</v>
      </c>
      <c r="C351" s="81" t="s">
        <v>132</v>
      </c>
      <c r="D351" s="111" t="s">
        <v>240</v>
      </c>
      <c r="E351" s="81" t="s">
        <v>104</v>
      </c>
      <c r="F351" s="61">
        <v>7.6</v>
      </c>
      <c r="G351" s="52">
        <f t="shared" si="35"/>
        <v>8.57</v>
      </c>
      <c r="H351" s="110"/>
      <c r="I351" s="81">
        <v>9.61</v>
      </c>
      <c r="J351" s="81">
        <f>VLOOKUP(C351,Recipes!$A$2:$N$4,12,FALSE())</f>
        <v>6.1509461004819709E-2</v>
      </c>
      <c r="K351" s="81">
        <f t="shared" si="36"/>
        <v>9.3947168864831312</v>
      </c>
      <c r="L351" s="81">
        <f t="shared" si="37"/>
        <v>9.8252831135168677</v>
      </c>
      <c r="M351" s="81" t="str">
        <f t="shared" si="39"/>
        <v>NG</v>
      </c>
      <c r="N351" s="117">
        <f t="shared" si="38"/>
        <v>1</v>
      </c>
      <c r="O351" s="81">
        <f t="shared" si="40"/>
        <v>1.0399999999999991</v>
      </c>
      <c r="P351" s="81">
        <f>IF(G351="","",ABS(O351-Components!$C$2)/Components!$D$2)</f>
        <v>259.24458410151499</v>
      </c>
      <c r="Q351" s="81">
        <f>IF(G351="","",ABS(O351-Components!$C$3)/Components!$D$3)</f>
        <v>217.15571785495922</v>
      </c>
      <c r="R351" s="81">
        <f>IF(G351="","",ABS(O351-Components!$C$4)/Components!$D$4)</f>
        <v>3.338427479999452</v>
      </c>
      <c r="S351" s="81">
        <f>IF(G351="","",ABS(O351-Components!$C$5)/Components!$D$5)</f>
        <v>139.9004293868154</v>
      </c>
      <c r="T351" s="81">
        <f>IF(G351="","",ABS(O351-Components!$C$6)/Components!$D$6)</f>
        <v>4.1865001033075426</v>
      </c>
      <c r="U351" s="81">
        <f>IF(G351="","",ABS(O351-Components!$C$7)/Components!$D$7)</f>
        <v>13.295922718198771</v>
      </c>
      <c r="V351" s="81" t="str">
        <f>IF(G351="","",IF(M351="OK","NONE",INDEX({"S1","S2","W1","W2","N1","N2"},MATCH(MIN(P351:U351),P351:U351,0))))</f>
        <v>W1</v>
      </c>
      <c r="W351" s="117">
        <f t="shared" si="41"/>
        <v>1</v>
      </c>
      <c r="X351" s="107"/>
    </row>
    <row r="352" spans="1:24">
      <c r="A352" s="115">
        <v>350</v>
      </c>
      <c r="B352" s="116">
        <v>12</v>
      </c>
      <c r="C352" s="81" t="s">
        <v>132</v>
      </c>
      <c r="D352" s="111" t="s">
        <v>240</v>
      </c>
      <c r="E352" s="81" t="s">
        <v>104</v>
      </c>
      <c r="F352" s="61">
        <v>7.58</v>
      </c>
      <c r="G352" s="52">
        <f t="shared" si="35"/>
        <v>8.5500000000000007</v>
      </c>
      <c r="H352" s="110"/>
      <c r="I352" s="81">
        <v>9.61</v>
      </c>
      <c r="J352" s="81">
        <f>VLOOKUP(C352,Recipes!$A$2:$N$4,12,FALSE())</f>
        <v>6.1509461004819709E-2</v>
      </c>
      <c r="K352" s="81">
        <f t="shared" si="36"/>
        <v>9.3947168864831312</v>
      </c>
      <c r="L352" s="81">
        <f t="shared" si="37"/>
        <v>9.8252831135168677</v>
      </c>
      <c r="M352" s="81" t="str">
        <f t="shared" si="39"/>
        <v>NG</v>
      </c>
      <c r="N352" s="117">
        <f t="shared" si="38"/>
        <v>1</v>
      </c>
      <c r="O352" s="81">
        <f t="shared" si="40"/>
        <v>1.0599999999999987</v>
      </c>
      <c r="P352" s="81">
        <f>IF(G352="","",ABS(O352-Components!$C$2)/Components!$D$2)</f>
        <v>256.21838273068028</v>
      </c>
      <c r="Q352" s="81">
        <f>IF(G352="","",ABS(O352-Components!$C$3)/Components!$D$3)</f>
        <v>215.70608021907833</v>
      </c>
      <c r="R352" s="81">
        <f>IF(G352="","",ABS(O352-Components!$C$4)/Components!$D$4)</f>
        <v>4.7691821142849156</v>
      </c>
      <c r="S352" s="81">
        <f>IF(G352="","",ABS(O352-Components!$C$5)/Components!$D$5)</f>
        <v>139.10614231611058</v>
      </c>
      <c r="T352" s="81">
        <f>IF(G352="","",ABS(O352-Components!$C$6)/Components!$D$6)</f>
        <v>3.4626095955310636</v>
      </c>
      <c r="U352" s="81">
        <f>IF(G352="","",ABS(O352-Components!$C$7)/Components!$D$7)</f>
        <v>12.500553462872835</v>
      </c>
      <c r="V352" s="81" t="str">
        <f>IF(G352="","",IF(M352="OK","NONE",INDEX({"S1","S2","W1","W2","N1","N2"},MATCH(MIN(P352:U352),P352:U352,0))))</f>
        <v>N1</v>
      </c>
      <c r="W352" s="122">
        <f t="shared" si="41"/>
        <v>0</v>
      </c>
      <c r="X352" s="107"/>
    </row>
    <row r="353" spans="1:24">
      <c r="A353" s="115">
        <v>351</v>
      </c>
      <c r="B353" s="116">
        <v>12</v>
      </c>
      <c r="C353" s="81" t="s">
        <v>132</v>
      </c>
      <c r="D353" s="111" t="s">
        <v>240</v>
      </c>
      <c r="E353" s="81" t="s">
        <v>104</v>
      </c>
      <c r="F353" s="61">
        <v>7.61</v>
      </c>
      <c r="G353" s="52">
        <f t="shared" si="35"/>
        <v>8.58</v>
      </c>
      <c r="H353" s="110"/>
      <c r="I353" s="81">
        <v>9.61</v>
      </c>
      <c r="J353" s="81">
        <f>VLOOKUP(C353,Recipes!$A$2:$N$4,12,FALSE())</f>
        <v>6.1509461004819709E-2</v>
      </c>
      <c r="K353" s="81">
        <f t="shared" si="36"/>
        <v>9.3947168864831312</v>
      </c>
      <c r="L353" s="81">
        <f t="shared" si="37"/>
        <v>9.8252831135168677</v>
      </c>
      <c r="M353" s="81" t="str">
        <f t="shared" si="39"/>
        <v>NG</v>
      </c>
      <c r="N353" s="117">
        <f t="shared" si="38"/>
        <v>1</v>
      </c>
      <c r="O353" s="81">
        <f t="shared" si="40"/>
        <v>1.0299999999999994</v>
      </c>
      <c r="P353" s="81">
        <f>IF(G353="","",ABS(O353-Components!$C$2)/Components!$D$2)</f>
        <v>260.75768478693237</v>
      </c>
      <c r="Q353" s="81">
        <f>IF(G353="","",ABS(O353-Components!$C$3)/Components!$D$3)</f>
        <v>217.88053667289964</v>
      </c>
      <c r="R353" s="81">
        <f>IF(G353="","",ABS(O353-Components!$C$4)/Components!$D$4)</f>
        <v>2.6230501628567202</v>
      </c>
      <c r="S353" s="81">
        <f>IF(G353="","",ABS(O353-Components!$C$5)/Components!$D$5)</f>
        <v>140.29757292216783</v>
      </c>
      <c r="T353" s="81">
        <f>IF(G353="","",ABS(O353-Components!$C$6)/Components!$D$6)</f>
        <v>4.5484453571957824</v>
      </c>
      <c r="U353" s="81">
        <f>IF(G353="","",ABS(O353-Components!$C$7)/Components!$D$7)</f>
        <v>13.693607345861739</v>
      </c>
      <c r="V353" s="81" t="str">
        <f>IF(G353="","",IF(M353="OK","NONE",INDEX({"S1","S2","W1","W2","N1","N2"},MATCH(MIN(P353:U353),P353:U353,0))))</f>
        <v>W1</v>
      </c>
      <c r="W353" s="117">
        <f t="shared" si="41"/>
        <v>1</v>
      </c>
      <c r="X353" s="107"/>
    </row>
    <row r="354" spans="1:24">
      <c r="A354" s="115">
        <v>352</v>
      </c>
      <c r="B354" s="116">
        <v>12</v>
      </c>
      <c r="C354" s="81" t="s">
        <v>132</v>
      </c>
      <c r="D354" s="111" t="s">
        <v>240</v>
      </c>
      <c r="E354" s="81" t="s">
        <v>104</v>
      </c>
      <c r="F354" s="61">
        <v>7.67</v>
      </c>
      <c r="G354" s="52">
        <f t="shared" si="35"/>
        <v>8.64</v>
      </c>
      <c r="H354" s="110"/>
      <c r="I354" s="81">
        <v>9.61</v>
      </c>
      <c r="J354" s="81">
        <f>VLOOKUP(C354,Recipes!$A$2:$N$4,12,FALSE())</f>
        <v>6.1509461004819709E-2</v>
      </c>
      <c r="K354" s="81">
        <f t="shared" si="36"/>
        <v>9.3947168864831312</v>
      </c>
      <c r="L354" s="81">
        <f t="shared" si="37"/>
        <v>9.8252831135168677</v>
      </c>
      <c r="M354" s="81" t="str">
        <f t="shared" si="39"/>
        <v>NG</v>
      </c>
      <c r="N354" s="117">
        <f t="shared" si="38"/>
        <v>1</v>
      </c>
      <c r="O354" s="81">
        <f t="shared" si="40"/>
        <v>0.96999999999999886</v>
      </c>
      <c r="P354" s="81">
        <f>IF(G354="","",ABS(O354-Components!$C$2)/Components!$D$2)</f>
        <v>269.83628889943691</v>
      </c>
      <c r="Q354" s="81">
        <f>IF(G354="","",ABS(O354-Components!$C$3)/Components!$D$3)</f>
        <v>222.22944958054239</v>
      </c>
      <c r="R354" s="81">
        <f>IF(G354="","",ABS(O354-Components!$C$4)/Components!$D$4)</f>
        <v>1.6692137399997975</v>
      </c>
      <c r="S354" s="81">
        <f>IF(G354="","",ABS(O354-Components!$C$5)/Components!$D$5)</f>
        <v>142.68043413428242</v>
      </c>
      <c r="T354" s="81">
        <f>IF(G354="","",ABS(O354-Components!$C$6)/Components!$D$6)</f>
        <v>6.7201168805252829</v>
      </c>
      <c r="U354" s="81">
        <f>IF(G354="","",ABS(O354-Components!$C$7)/Components!$D$7)</f>
        <v>16.079715111839622</v>
      </c>
      <c r="V354" s="81" t="str">
        <f>IF(G354="","",IF(M354="OK","NONE",INDEX({"S1","S2","W1","W2","N1","N2"},MATCH(MIN(P354:U354),P354:U354,0))))</f>
        <v>W1</v>
      </c>
      <c r="W354" s="117">
        <f t="shared" si="41"/>
        <v>1</v>
      </c>
      <c r="X354" s="107"/>
    </row>
    <row r="355" spans="1:24">
      <c r="A355" s="115">
        <v>353</v>
      </c>
      <c r="B355" s="116">
        <v>12</v>
      </c>
      <c r="C355" s="81" t="s">
        <v>132</v>
      </c>
      <c r="D355" s="111" t="s">
        <v>240</v>
      </c>
      <c r="E355" s="81" t="s">
        <v>104</v>
      </c>
      <c r="F355" s="61">
        <v>7.42</v>
      </c>
      <c r="G355" s="52">
        <f t="shared" si="35"/>
        <v>8.39</v>
      </c>
      <c r="H355" s="110"/>
      <c r="I355" s="81">
        <v>9.61</v>
      </c>
      <c r="J355" s="81">
        <f>VLOOKUP(C355,Recipes!$A$2:$N$4,12,FALSE())</f>
        <v>6.1509461004819709E-2</v>
      </c>
      <c r="K355" s="81">
        <f t="shared" si="36"/>
        <v>9.3947168864831312</v>
      </c>
      <c r="L355" s="81">
        <f t="shared" si="37"/>
        <v>9.8252831135168677</v>
      </c>
      <c r="M355" s="81" t="str">
        <f t="shared" si="39"/>
        <v>NG</v>
      </c>
      <c r="N355" s="117">
        <f t="shared" si="38"/>
        <v>1</v>
      </c>
      <c r="O355" s="81">
        <f t="shared" si="40"/>
        <v>1.2199999999999989</v>
      </c>
      <c r="P355" s="81">
        <f>IF(G355="","",ABS(O355-Components!$C$2)/Components!$D$2)</f>
        <v>232.00877176400175</v>
      </c>
      <c r="Q355" s="81">
        <f>IF(G355="","",ABS(O355-Components!$C$3)/Components!$D$3)</f>
        <v>204.10897913203112</v>
      </c>
      <c r="R355" s="81">
        <f>IF(G355="","",ABS(O355-Components!$C$4)/Components!$D$4)</f>
        <v>16.215219188568877</v>
      </c>
      <c r="S355" s="81">
        <f>IF(G355="","",ABS(O355-Components!$C$5)/Components!$D$5)</f>
        <v>132.75184575047172</v>
      </c>
      <c r="T355" s="81">
        <f>IF(G355="","",ABS(O355-Components!$C$6)/Components!$D$6)</f>
        <v>2.3285144666808972</v>
      </c>
      <c r="U355" s="81">
        <f>IF(G355="","",ABS(O355-Components!$C$7)/Components!$D$7)</f>
        <v>6.1375994202651958</v>
      </c>
      <c r="V355" s="81" t="str">
        <f>IF(G355="","",IF(M355="OK","NONE",INDEX({"S1","S2","W1","W2","N1","N2"},MATCH(MIN(P355:U355),P355:U355,0))))</f>
        <v>N1</v>
      </c>
      <c r="W355" s="122">
        <f t="shared" si="41"/>
        <v>0</v>
      </c>
      <c r="X355" s="107"/>
    </row>
    <row r="356" spans="1:24">
      <c r="A356" s="115">
        <v>354</v>
      </c>
      <c r="B356" s="116">
        <v>12</v>
      </c>
      <c r="C356" s="81" t="s">
        <v>132</v>
      </c>
      <c r="D356" s="111" t="s">
        <v>240</v>
      </c>
      <c r="E356" s="81" t="s">
        <v>104</v>
      </c>
      <c r="F356" s="61">
        <v>7.69</v>
      </c>
      <c r="G356" s="52">
        <f t="shared" si="35"/>
        <v>8.66</v>
      </c>
      <c r="H356" s="110"/>
      <c r="I356" s="81">
        <v>9.61</v>
      </c>
      <c r="J356" s="81">
        <f>VLOOKUP(C356,Recipes!$A$2:$N$4,12,FALSE())</f>
        <v>6.1509461004819709E-2</v>
      </c>
      <c r="K356" s="81">
        <f t="shared" si="36"/>
        <v>9.3947168864831312</v>
      </c>
      <c r="L356" s="81">
        <f t="shared" si="37"/>
        <v>9.8252831135168677</v>
      </c>
      <c r="M356" s="81" t="str">
        <f t="shared" si="39"/>
        <v>NG</v>
      </c>
      <c r="N356" s="117">
        <f t="shared" si="38"/>
        <v>1</v>
      </c>
      <c r="O356" s="81">
        <f t="shared" si="40"/>
        <v>0.94999999999999929</v>
      </c>
      <c r="P356" s="81">
        <f>IF(G356="","",ABS(O356-Components!$C$2)/Components!$D$2)</f>
        <v>272.86249027027162</v>
      </c>
      <c r="Q356" s="81">
        <f>IF(G356="","",ABS(O356-Components!$C$3)/Components!$D$3)</f>
        <v>223.67908721642326</v>
      </c>
      <c r="R356" s="81">
        <f>IF(G356="","",ABS(O356-Components!$C$4)/Components!$D$4)</f>
        <v>3.0999683742852611</v>
      </c>
      <c r="S356" s="81">
        <f>IF(G356="","",ABS(O356-Components!$C$5)/Components!$D$5)</f>
        <v>143.47472120498725</v>
      </c>
      <c r="T356" s="81">
        <f>IF(G356="","",ABS(O356-Components!$C$6)/Components!$D$6)</f>
        <v>7.4440073883017623</v>
      </c>
      <c r="U356" s="81">
        <f>IF(G356="","",ABS(O356-Components!$C$7)/Components!$D$7)</f>
        <v>16.875084367165559</v>
      </c>
      <c r="V356" s="81" t="str">
        <f>IF(G356="","",IF(M356="OK","NONE",INDEX({"S1","S2","W1","W2","N1","N2"},MATCH(MIN(P356:U356),P356:U356,0))))</f>
        <v>W1</v>
      </c>
      <c r="W356" s="117">
        <f t="shared" si="41"/>
        <v>1</v>
      </c>
      <c r="X356" s="107"/>
    </row>
    <row r="357" spans="1:24">
      <c r="A357" s="115">
        <v>355</v>
      </c>
      <c r="B357" s="116">
        <v>12</v>
      </c>
      <c r="C357" s="81" t="s">
        <v>132</v>
      </c>
      <c r="D357" s="111" t="s">
        <v>240</v>
      </c>
      <c r="E357" s="81" t="s">
        <v>104</v>
      </c>
      <c r="F357" s="61">
        <v>7.63</v>
      </c>
      <c r="G357" s="52">
        <f t="shared" si="35"/>
        <v>8.6</v>
      </c>
      <c r="H357" s="110"/>
      <c r="I357" s="81">
        <v>9.61</v>
      </c>
      <c r="J357" s="81">
        <f>VLOOKUP(C357,Recipes!$A$2:$N$4,12,FALSE())</f>
        <v>6.1509461004819709E-2</v>
      </c>
      <c r="K357" s="81">
        <f t="shared" si="36"/>
        <v>9.3947168864831312</v>
      </c>
      <c r="L357" s="81">
        <f t="shared" si="37"/>
        <v>9.8252831135168677</v>
      </c>
      <c r="M357" s="81" t="str">
        <f t="shared" si="39"/>
        <v>NG</v>
      </c>
      <c r="N357" s="117">
        <f t="shared" si="38"/>
        <v>1</v>
      </c>
      <c r="O357" s="81">
        <f t="shared" si="40"/>
        <v>1.0099999999999998</v>
      </c>
      <c r="P357" s="81">
        <f>IF(G357="","",ABS(O357-Components!$C$2)/Components!$D$2)</f>
        <v>263.78388615776714</v>
      </c>
      <c r="Q357" s="81">
        <f>IF(G357="","",ABS(O357-Components!$C$3)/Components!$D$3)</f>
        <v>219.33017430878053</v>
      </c>
      <c r="R357" s="81">
        <f>IF(G357="","",ABS(O357-Components!$C$4)/Components!$D$4)</f>
        <v>1.1922955285712566</v>
      </c>
      <c r="S357" s="81">
        <f>IF(G357="","",ABS(O357-Components!$C$5)/Components!$D$5)</f>
        <v>141.09185999287266</v>
      </c>
      <c r="T357" s="81">
        <f>IF(G357="","",ABS(O357-Components!$C$6)/Components!$D$6)</f>
        <v>5.2723358649722609</v>
      </c>
      <c r="U357" s="81">
        <f>IF(G357="","",ABS(O357-Components!$C$7)/Components!$D$7)</f>
        <v>14.488976601187677</v>
      </c>
      <c r="V357" s="81" t="str">
        <f>IF(G357="","",IF(M357="OK","NONE",INDEX({"S1","S2","W1","W2","N1","N2"},MATCH(MIN(P357:U357),P357:U357,0))))</f>
        <v>W1</v>
      </c>
      <c r="W357" s="117">
        <f t="shared" si="41"/>
        <v>1</v>
      </c>
      <c r="X357" s="107"/>
    </row>
    <row r="358" spans="1:24">
      <c r="A358" s="115">
        <v>356</v>
      </c>
      <c r="B358" s="116">
        <v>12</v>
      </c>
      <c r="C358" s="81" t="s">
        <v>132</v>
      </c>
      <c r="D358" s="111" t="s">
        <v>240</v>
      </c>
      <c r="E358" s="81" t="s">
        <v>104</v>
      </c>
      <c r="F358" s="52">
        <v>7.38</v>
      </c>
      <c r="G358" s="52">
        <f t="shared" si="35"/>
        <v>8.35</v>
      </c>
      <c r="H358" s="110"/>
      <c r="I358" s="81">
        <v>9.61</v>
      </c>
      <c r="J358" s="81">
        <f>VLOOKUP(C358,Recipes!$A$2:$N$4,12,FALSE())</f>
        <v>6.1509461004819709E-2</v>
      </c>
      <c r="K358" s="81">
        <f t="shared" si="36"/>
        <v>9.3947168864831312</v>
      </c>
      <c r="L358" s="81">
        <f t="shared" si="37"/>
        <v>9.8252831135168677</v>
      </c>
      <c r="M358" s="81" t="str">
        <f t="shared" si="39"/>
        <v>NG</v>
      </c>
      <c r="N358" s="117">
        <f t="shared" si="38"/>
        <v>1</v>
      </c>
      <c r="O358" s="81">
        <f t="shared" si="40"/>
        <v>1.2599999999999998</v>
      </c>
      <c r="P358" s="81">
        <f>IF(G358="","",ABS(O358-Components!$C$2)/Components!$D$2)</f>
        <v>225.95636902233198</v>
      </c>
      <c r="Q358" s="81">
        <f>IF(G358="","",ABS(O358-Components!$C$3)/Components!$D$3)</f>
        <v>201.20970386026923</v>
      </c>
      <c r="R358" s="81">
        <f>IF(G358="","",ABS(O358-Components!$C$4)/Components!$D$4)</f>
        <v>19.076728457139932</v>
      </c>
      <c r="S358" s="81">
        <f>IF(G358="","",ABS(O358-Components!$C$5)/Components!$D$5)</f>
        <v>131.16327160906198</v>
      </c>
      <c r="T358" s="81">
        <f>IF(G358="","",ABS(O358-Components!$C$6)/Components!$D$6)</f>
        <v>3.7762954822339192</v>
      </c>
      <c r="U358" s="81">
        <f>IF(G358="","",ABS(O358-Components!$C$7)/Components!$D$7)</f>
        <v>4.5468609096132502</v>
      </c>
      <c r="V358" s="81" t="str">
        <f>IF(G358="","",IF(M358="OK","NONE",INDEX({"S1","S2","W1","W2","N1","N2"},MATCH(MIN(P358:U358),P358:U358,0))))</f>
        <v>N1</v>
      </c>
      <c r="W358" s="122">
        <f t="shared" si="41"/>
        <v>0</v>
      </c>
      <c r="X358" s="107"/>
    </row>
    <row r="359" spans="1:24">
      <c r="A359" s="115">
        <v>357</v>
      </c>
      <c r="B359" s="116">
        <v>12</v>
      </c>
      <c r="C359" s="81" t="s">
        <v>132</v>
      </c>
      <c r="D359" s="111" t="s">
        <v>240</v>
      </c>
      <c r="E359" s="81" t="s">
        <v>104</v>
      </c>
      <c r="F359" s="52">
        <v>7.54</v>
      </c>
      <c r="G359" s="52">
        <f t="shared" si="35"/>
        <v>8.51</v>
      </c>
      <c r="H359" s="110"/>
      <c r="I359" s="81">
        <v>9.61</v>
      </c>
      <c r="J359" s="81">
        <f>VLOOKUP(C359,Recipes!$A$2:$N$4,12,FALSE())</f>
        <v>6.1509461004819709E-2</v>
      </c>
      <c r="K359" s="81">
        <f t="shared" si="36"/>
        <v>9.3947168864831312</v>
      </c>
      <c r="L359" s="81">
        <f t="shared" si="37"/>
        <v>9.8252831135168677</v>
      </c>
      <c r="M359" s="81" t="str">
        <f t="shared" si="39"/>
        <v>NG</v>
      </c>
      <c r="N359" s="117">
        <f t="shared" si="38"/>
        <v>1</v>
      </c>
      <c r="O359" s="81">
        <f t="shared" si="40"/>
        <v>1.0999999999999996</v>
      </c>
      <c r="P359" s="81">
        <f>IF(G359="","",ABS(O359-Components!$C$2)/Components!$D$2)</f>
        <v>250.16597998901051</v>
      </c>
      <c r="Q359" s="81">
        <f>IF(G359="","",ABS(O359-Components!$C$3)/Components!$D$3)</f>
        <v>212.80680494731646</v>
      </c>
      <c r="R359" s="81">
        <f>IF(G359="","",ABS(O359-Components!$C$4)/Components!$D$4)</f>
        <v>7.6306913828559697</v>
      </c>
      <c r="S359" s="81">
        <f>IF(G359="","",ABS(O359-Components!$C$5)/Components!$D$5)</f>
        <v>137.51756817470081</v>
      </c>
      <c r="T359" s="81">
        <f>IF(G359="","",ABS(O359-Components!$C$6)/Components!$D$6)</f>
        <v>2.0148285799780412</v>
      </c>
      <c r="U359" s="81">
        <f>IF(G359="","",ABS(O359-Components!$C$7)/Components!$D$7)</f>
        <v>10.90981495222089</v>
      </c>
      <c r="V359" s="81" t="str">
        <f>IF(G359="","",IF(M359="OK","NONE",INDEX({"S1","S2","W1","W2","N1","N2"},MATCH(MIN(P359:U359),P359:U359,0))))</f>
        <v>N1</v>
      </c>
      <c r="W359" s="122">
        <f t="shared" si="41"/>
        <v>0</v>
      </c>
      <c r="X359" s="107"/>
    </row>
    <row r="360" spans="1:24">
      <c r="A360" s="115">
        <v>358</v>
      </c>
      <c r="B360" s="116">
        <v>12</v>
      </c>
      <c r="C360" s="81" t="s">
        <v>132</v>
      </c>
      <c r="D360" s="111" t="s">
        <v>240</v>
      </c>
      <c r="E360" s="81" t="s">
        <v>104</v>
      </c>
      <c r="F360" s="52">
        <v>7.65</v>
      </c>
      <c r="G360" s="52">
        <f t="shared" si="35"/>
        <v>8.620000000000001</v>
      </c>
      <c r="H360" s="110"/>
      <c r="I360" s="81">
        <v>9.61</v>
      </c>
      <c r="J360" s="81">
        <f>VLOOKUP(C360,Recipes!$A$2:$N$4,12,FALSE())</f>
        <v>6.1509461004819709E-2</v>
      </c>
      <c r="K360" s="81">
        <f t="shared" si="36"/>
        <v>9.3947168864831312</v>
      </c>
      <c r="L360" s="81">
        <f t="shared" si="37"/>
        <v>9.8252831135168677</v>
      </c>
      <c r="M360" s="81" t="str">
        <f t="shared" si="39"/>
        <v>NG</v>
      </c>
      <c r="N360" s="117">
        <f t="shared" si="38"/>
        <v>1</v>
      </c>
      <c r="O360" s="81">
        <f t="shared" si="40"/>
        <v>0.98999999999999844</v>
      </c>
      <c r="P360" s="81">
        <f>IF(G360="","",ABS(O360-Components!$C$2)/Components!$D$2)</f>
        <v>266.81008752860214</v>
      </c>
      <c r="Q360" s="81">
        <f>IF(G360="","",ABS(O360-Components!$C$3)/Components!$D$3)</f>
        <v>220.77981194466153</v>
      </c>
      <c r="R360" s="81">
        <f>IF(G360="","",ABS(O360-Components!$C$4)/Components!$D$4)</f>
        <v>0.23845910571433393</v>
      </c>
      <c r="S360" s="81">
        <f>IF(G360="","",ABS(O360-Components!$C$5)/Components!$D$5)</f>
        <v>141.88614706357757</v>
      </c>
      <c r="T360" s="81">
        <f>IF(G360="","",ABS(O360-Components!$C$6)/Components!$D$6)</f>
        <v>5.9962263727488043</v>
      </c>
      <c r="U360" s="81">
        <f>IF(G360="","",ABS(O360-Components!$C$7)/Components!$D$7)</f>
        <v>15.284345856513685</v>
      </c>
      <c r="V360" s="81" t="str">
        <f>IF(G360="","",IF(M360="OK","NONE",INDEX({"S1","S2","W1","W2","N1","N2"},MATCH(MIN(P360:U360),P360:U360,0))))</f>
        <v>W1</v>
      </c>
      <c r="W360" s="117">
        <f t="shared" si="41"/>
        <v>1</v>
      </c>
      <c r="X360" s="107"/>
    </row>
    <row r="361" spans="1:24">
      <c r="A361" s="115">
        <v>359</v>
      </c>
      <c r="B361" s="116">
        <v>12</v>
      </c>
      <c r="C361" s="81" t="s">
        <v>132</v>
      </c>
      <c r="D361" s="111" t="s">
        <v>240</v>
      </c>
      <c r="E361" s="81" t="s">
        <v>104</v>
      </c>
      <c r="F361" s="52">
        <v>7.34</v>
      </c>
      <c r="G361" s="52">
        <f t="shared" si="35"/>
        <v>8.31</v>
      </c>
      <c r="H361" s="110"/>
      <c r="I361" s="81">
        <v>9.61</v>
      </c>
      <c r="J361" s="81">
        <f>VLOOKUP(C361,Recipes!$A$2:$N$4,12,FALSE())</f>
        <v>6.1509461004819709E-2</v>
      </c>
      <c r="K361" s="81">
        <f t="shared" si="36"/>
        <v>9.3947168864831312</v>
      </c>
      <c r="L361" s="81">
        <f t="shared" si="37"/>
        <v>9.8252831135168677</v>
      </c>
      <c r="M361" s="81" t="str">
        <f t="shared" si="39"/>
        <v>NG</v>
      </c>
      <c r="N361" s="117">
        <f t="shared" si="38"/>
        <v>1</v>
      </c>
      <c r="O361" s="81">
        <f t="shared" si="40"/>
        <v>1.2999999999999989</v>
      </c>
      <c r="P361" s="81">
        <f>IF(G361="","",ABS(O361-Components!$C$2)/Components!$D$2)</f>
        <v>219.9039662806625</v>
      </c>
      <c r="Q361" s="81">
        <f>IF(G361="","",ABS(O361-Components!$C$3)/Components!$D$3)</f>
        <v>198.31042858850751</v>
      </c>
      <c r="R361" s="81">
        <f>IF(G361="","",ABS(O361-Components!$C$4)/Components!$D$4)</f>
        <v>21.938237725710859</v>
      </c>
      <c r="S361" s="81">
        <f>IF(G361="","",ABS(O361-Components!$C$5)/Components!$D$5)</f>
        <v>129.5746974676523</v>
      </c>
      <c r="T361" s="81">
        <f>IF(G361="","",ABS(O361-Components!$C$6)/Components!$D$6)</f>
        <v>5.2240764977868777</v>
      </c>
      <c r="U361" s="81">
        <f>IF(G361="","",ABS(O361-Components!$C$7)/Components!$D$7)</f>
        <v>2.9561223989613756</v>
      </c>
      <c r="V361" s="81" t="str">
        <f>IF(G361="","",IF(M361="OK","NONE",INDEX({"S1","S2","W1","W2","N1","N2"},MATCH(MIN(P361:U361),P361:U361,0))))</f>
        <v>N2</v>
      </c>
      <c r="W361" s="122">
        <f t="shared" si="41"/>
        <v>0</v>
      </c>
      <c r="X361" s="107"/>
    </row>
    <row r="362" spans="1:24">
      <c r="A362" s="115">
        <v>360</v>
      </c>
      <c r="B362" s="116">
        <v>12</v>
      </c>
      <c r="C362" s="81" t="s">
        <v>132</v>
      </c>
      <c r="D362" s="111" t="s">
        <v>240</v>
      </c>
      <c r="E362" s="81" t="s">
        <v>104</v>
      </c>
      <c r="F362" s="52">
        <v>7.68</v>
      </c>
      <c r="G362" s="52">
        <f t="shared" si="35"/>
        <v>8.65</v>
      </c>
      <c r="H362" s="110"/>
      <c r="I362" s="81">
        <v>9.61</v>
      </c>
      <c r="J362" s="81">
        <f>VLOOKUP(C362,Recipes!$A$2:$N$4,12,FALSE())</f>
        <v>6.1509461004819709E-2</v>
      </c>
      <c r="K362" s="81">
        <f t="shared" si="36"/>
        <v>9.3947168864831312</v>
      </c>
      <c r="L362" s="81">
        <f t="shared" si="37"/>
        <v>9.8252831135168677</v>
      </c>
      <c r="M362" s="81" t="str">
        <f t="shared" si="39"/>
        <v>NG</v>
      </c>
      <c r="N362" s="117">
        <f t="shared" si="38"/>
        <v>1</v>
      </c>
      <c r="O362" s="81">
        <f t="shared" si="40"/>
        <v>0.95999999999999908</v>
      </c>
      <c r="P362" s="81">
        <f>IF(G362="","",ABS(O362-Components!$C$2)/Components!$D$2)</f>
        <v>271.34938958485424</v>
      </c>
      <c r="Q362" s="81">
        <f>IF(G362="","",ABS(O362-Components!$C$3)/Components!$D$3)</f>
        <v>222.95426839848284</v>
      </c>
      <c r="R362" s="81">
        <f>IF(G362="","",ABS(O362-Components!$C$4)/Components!$D$4)</f>
        <v>2.3845910571425293</v>
      </c>
      <c r="S362" s="81">
        <f>IF(G362="","",ABS(O362-Components!$C$5)/Components!$D$5)</f>
        <v>143.07757766963482</v>
      </c>
      <c r="T362" s="81">
        <f>IF(G362="","",ABS(O362-Components!$C$6)/Components!$D$6)</f>
        <v>7.0820621344135226</v>
      </c>
      <c r="U362" s="81">
        <f>IF(G362="","",ABS(O362-Components!$C$7)/Components!$D$7)</f>
        <v>16.477399739502591</v>
      </c>
      <c r="V362" s="81" t="str">
        <f>IF(G362="","",IF(M362="OK","NONE",INDEX({"S1","S2","W1","W2","N1","N2"},MATCH(MIN(P362:U362),P362:U362,0))))</f>
        <v>W1</v>
      </c>
      <c r="W362" s="117">
        <f t="shared" si="41"/>
        <v>1</v>
      </c>
      <c r="X362" s="107"/>
    </row>
    <row r="363" spans="1:24">
      <c r="A363" s="115">
        <v>361</v>
      </c>
      <c r="B363" s="116">
        <v>13</v>
      </c>
      <c r="C363" s="81" t="s">
        <v>132</v>
      </c>
      <c r="D363" s="111" t="s">
        <v>240</v>
      </c>
      <c r="E363" s="81" t="s">
        <v>110</v>
      </c>
      <c r="F363" s="61">
        <v>7.21</v>
      </c>
      <c r="G363" s="52">
        <f t="shared" si="35"/>
        <v>8.18</v>
      </c>
      <c r="H363" s="110"/>
      <c r="I363" s="81">
        <v>9.61</v>
      </c>
      <c r="J363" s="81">
        <f>VLOOKUP(C363,Recipes!$A$2:$N$4,12,FALSE())</f>
        <v>6.1509461004819709E-2</v>
      </c>
      <c r="K363" s="81">
        <f t="shared" si="36"/>
        <v>9.3947168864831312</v>
      </c>
      <c r="L363" s="81">
        <f t="shared" si="37"/>
        <v>9.8252831135168677</v>
      </c>
      <c r="M363" s="81" t="str">
        <f t="shared" si="39"/>
        <v>NG</v>
      </c>
      <c r="N363" s="117">
        <f t="shared" si="38"/>
        <v>1</v>
      </c>
      <c r="O363" s="81">
        <f t="shared" si="40"/>
        <v>1.4299999999999997</v>
      </c>
      <c r="P363" s="81">
        <f>IF(G363="","",ABS(O363-Components!$C$2)/Components!$D$2)</f>
        <v>200.23365737023613</v>
      </c>
      <c r="Q363" s="81">
        <f>IF(G363="","",ABS(O363-Components!$C$3)/Components!$D$3)</f>
        <v>188.88778395528158</v>
      </c>
      <c r="R363" s="81">
        <f>IF(G363="","",ABS(O363-Components!$C$4)/Components!$D$4)</f>
        <v>31.238142848566628</v>
      </c>
      <c r="S363" s="81">
        <f>IF(G363="","",ABS(O363-Components!$C$5)/Components!$D$5)</f>
        <v>124.4118315080707</v>
      </c>
      <c r="T363" s="81">
        <f>IF(G363="","",ABS(O363-Components!$C$6)/Components!$D$6)</f>
        <v>9.9293647983341184</v>
      </c>
      <c r="U363" s="81">
        <f>IF(G363="","",ABS(O363-Components!$C$7)/Components!$D$7)</f>
        <v>2.2137777606573574</v>
      </c>
      <c r="V363" s="81" t="str">
        <f>IF(G363="","",IF(M363="OK","NONE",INDEX({"S1","S2","W1","W2","N1","N2"},MATCH(MIN(P363:U363),P363:U363,0))))</f>
        <v>N2</v>
      </c>
      <c r="W363" s="117">
        <f t="shared" si="41"/>
        <v>1</v>
      </c>
      <c r="X363" s="107"/>
    </row>
    <row r="364" spans="1:24">
      <c r="A364" s="115">
        <v>362</v>
      </c>
      <c r="B364" s="116">
        <v>13</v>
      </c>
      <c r="C364" s="81" t="s">
        <v>132</v>
      </c>
      <c r="D364" s="111" t="s">
        <v>240</v>
      </c>
      <c r="E364" s="81" t="s">
        <v>110</v>
      </c>
      <c r="F364" s="61">
        <v>7.27</v>
      </c>
      <c r="G364" s="52">
        <f t="shared" si="35"/>
        <v>8.24</v>
      </c>
      <c r="H364" s="110"/>
      <c r="I364" s="81">
        <v>9.61</v>
      </c>
      <c r="J364" s="81">
        <f>VLOOKUP(C364,Recipes!$A$2:$N$4,12,FALSE())</f>
        <v>6.1509461004819709E-2</v>
      </c>
      <c r="K364" s="81">
        <f t="shared" si="36"/>
        <v>9.3947168864831312</v>
      </c>
      <c r="L364" s="81">
        <f t="shared" si="37"/>
        <v>9.8252831135168677</v>
      </c>
      <c r="M364" s="81" t="str">
        <f t="shared" si="39"/>
        <v>NG</v>
      </c>
      <c r="N364" s="117">
        <f t="shared" si="38"/>
        <v>1</v>
      </c>
      <c r="O364" s="81">
        <f t="shared" si="40"/>
        <v>1.3699999999999992</v>
      </c>
      <c r="P364" s="81">
        <f>IF(G364="","",ABS(O364-Components!$C$2)/Components!$D$2)</f>
        <v>209.31226148274064</v>
      </c>
      <c r="Q364" s="81">
        <f>IF(G364="","",ABS(O364-Components!$C$3)/Components!$D$3)</f>
        <v>193.2366968629243</v>
      </c>
      <c r="R364" s="81">
        <f>IF(G364="","",ABS(O364-Components!$C$4)/Components!$D$4)</f>
        <v>26.94587894571011</v>
      </c>
      <c r="S364" s="81">
        <f>IF(G364="","",ABS(O364-Components!$C$5)/Components!$D$5)</f>
        <v>126.7946927201853</v>
      </c>
      <c r="T364" s="81">
        <f>IF(G364="","",ABS(O364-Components!$C$6)/Components!$D$6)</f>
        <v>7.7576932750046179</v>
      </c>
      <c r="U364" s="81">
        <f>IF(G364="","",ABS(O364-Components!$C$7)/Components!$D$7)</f>
        <v>0.17233000532052495</v>
      </c>
      <c r="V364" s="81" t="str">
        <f>IF(G364="","",IF(M364="OK","NONE",INDEX({"S1","S2","W1","W2","N1","N2"},MATCH(MIN(P364:U364),P364:U364,0))))</f>
        <v>N2</v>
      </c>
      <c r="W364" s="117">
        <f t="shared" si="41"/>
        <v>1</v>
      </c>
      <c r="X364" s="107"/>
    </row>
    <row r="365" spans="1:24">
      <c r="A365" s="115">
        <v>363</v>
      </c>
      <c r="B365" s="116">
        <v>13</v>
      </c>
      <c r="C365" s="81" t="s">
        <v>132</v>
      </c>
      <c r="D365" s="111" t="s">
        <v>240</v>
      </c>
      <c r="E365" s="81" t="s">
        <v>110</v>
      </c>
      <c r="F365" s="61">
        <v>7.3</v>
      </c>
      <c r="G365" s="52">
        <f t="shared" si="35"/>
        <v>8.27</v>
      </c>
      <c r="H365" s="110"/>
      <c r="I365" s="81">
        <v>9.61</v>
      </c>
      <c r="J365" s="81">
        <f>VLOOKUP(C365,Recipes!$A$2:$N$4,12,FALSE())</f>
        <v>6.1509461004819709E-2</v>
      </c>
      <c r="K365" s="81">
        <f t="shared" si="36"/>
        <v>9.3947168864831312</v>
      </c>
      <c r="L365" s="81">
        <f t="shared" si="37"/>
        <v>9.8252831135168677</v>
      </c>
      <c r="M365" s="81" t="str">
        <f t="shared" si="39"/>
        <v>NG</v>
      </c>
      <c r="N365" s="117">
        <f t="shared" si="38"/>
        <v>1</v>
      </c>
      <c r="O365" s="81">
        <f t="shared" si="40"/>
        <v>1.3399999999999999</v>
      </c>
      <c r="P365" s="81">
        <f>IF(G365="","",ABS(O365-Components!$C$2)/Components!$D$2)</f>
        <v>213.85156353899274</v>
      </c>
      <c r="Q365" s="81">
        <f>IF(G365="","",ABS(O365-Components!$C$3)/Components!$D$3)</f>
        <v>195.41115331674561</v>
      </c>
      <c r="R365" s="81">
        <f>IF(G365="","",ABS(O365-Components!$C$4)/Components!$D$4)</f>
        <v>24.799746994281914</v>
      </c>
      <c r="S365" s="81">
        <f>IF(G365="","",ABS(O365-Components!$C$5)/Components!$D$5)</f>
        <v>127.98612332624255</v>
      </c>
      <c r="T365" s="81">
        <f>IF(G365="","",ABS(O365-Components!$C$6)/Components!$D$6)</f>
        <v>6.6718575133398996</v>
      </c>
      <c r="U365" s="81">
        <f>IF(G365="","",ABS(O365-Components!$C$7)/Components!$D$7)</f>
        <v>1.3653838883094307</v>
      </c>
      <c r="V365" s="81" t="str">
        <f>IF(G365="","",IF(M365="OK","NONE",INDEX({"S1","S2","W1","W2","N1","N2"},MATCH(MIN(P365:U365),P365:U365,0))))</f>
        <v>N2</v>
      </c>
      <c r="W365" s="117">
        <f t="shared" si="41"/>
        <v>1</v>
      </c>
      <c r="X365" s="107"/>
    </row>
    <row r="366" spans="1:24">
      <c r="A366" s="115">
        <v>364</v>
      </c>
      <c r="B366" s="116">
        <v>13</v>
      </c>
      <c r="C366" s="81" t="s">
        <v>132</v>
      </c>
      <c r="D366" s="111" t="s">
        <v>240</v>
      </c>
      <c r="E366" s="81" t="s">
        <v>110</v>
      </c>
      <c r="F366" s="61">
        <v>7.31</v>
      </c>
      <c r="G366" s="52">
        <f t="shared" si="35"/>
        <v>8.2799999999999994</v>
      </c>
      <c r="H366" s="110"/>
      <c r="I366" s="81">
        <v>9.61</v>
      </c>
      <c r="J366" s="81">
        <f>VLOOKUP(C366,Recipes!$A$2:$N$4,12,FALSE())</f>
        <v>6.1509461004819709E-2</v>
      </c>
      <c r="K366" s="81">
        <f t="shared" si="36"/>
        <v>9.3947168864831312</v>
      </c>
      <c r="L366" s="81">
        <f t="shared" si="37"/>
        <v>9.8252831135168677</v>
      </c>
      <c r="M366" s="81" t="str">
        <f t="shared" si="39"/>
        <v>NG</v>
      </c>
      <c r="N366" s="117">
        <f t="shared" si="38"/>
        <v>1</v>
      </c>
      <c r="O366" s="81">
        <f t="shared" si="40"/>
        <v>1.33</v>
      </c>
      <c r="P366" s="81">
        <f>IF(G366="","",ABS(O366-Components!$C$2)/Components!$D$2)</f>
        <v>215.36466422441012</v>
      </c>
      <c r="Q366" s="81">
        <f>IF(G366="","",ABS(O366-Components!$C$3)/Components!$D$3)</f>
        <v>196.13597213468606</v>
      </c>
      <c r="R366" s="81">
        <f>IF(G366="","",ABS(O366-Components!$C$4)/Components!$D$4)</f>
        <v>24.084369677139183</v>
      </c>
      <c r="S366" s="81">
        <f>IF(G366="","",ABS(O366-Components!$C$5)/Components!$D$5)</f>
        <v>128.38326686159496</v>
      </c>
      <c r="T366" s="81">
        <f>IF(G366="","",ABS(O366-Components!$C$6)/Components!$D$6)</f>
        <v>6.3099122594516599</v>
      </c>
      <c r="U366" s="81">
        <f>IF(G366="","",ABS(O366-Components!$C$7)/Components!$D$7)</f>
        <v>1.7630685159723993</v>
      </c>
      <c r="V366" s="81" t="str">
        <f>IF(G366="","",IF(M366="OK","NONE",INDEX({"S1","S2","W1","W2","N1","N2"},MATCH(MIN(P366:U366),P366:U366,0))))</f>
        <v>N2</v>
      </c>
      <c r="W366" s="117">
        <f t="shared" si="41"/>
        <v>1</v>
      </c>
      <c r="X366" s="107"/>
    </row>
    <row r="367" spans="1:24">
      <c r="A367" s="115">
        <v>365</v>
      </c>
      <c r="B367" s="116">
        <v>13</v>
      </c>
      <c r="C367" s="81" t="s">
        <v>132</v>
      </c>
      <c r="D367" s="111" t="s">
        <v>240</v>
      </c>
      <c r="E367" s="81" t="s">
        <v>110</v>
      </c>
      <c r="F367" s="61">
        <v>7.17</v>
      </c>
      <c r="G367" s="52">
        <f t="shared" si="35"/>
        <v>8.14</v>
      </c>
      <c r="H367" s="110"/>
      <c r="I367" s="81">
        <v>9.61</v>
      </c>
      <c r="J367" s="81">
        <f>VLOOKUP(C367,Recipes!$A$2:$N$4,12,FALSE())</f>
        <v>6.1509461004819709E-2</v>
      </c>
      <c r="K367" s="81">
        <f t="shared" si="36"/>
        <v>9.3947168864831312</v>
      </c>
      <c r="L367" s="81">
        <f t="shared" si="37"/>
        <v>9.8252831135168677</v>
      </c>
      <c r="M367" s="81" t="str">
        <f t="shared" si="39"/>
        <v>NG</v>
      </c>
      <c r="N367" s="117">
        <f t="shared" si="38"/>
        <v>1</v>
      </c>
      <c r="O367" s="81">
        <f t="shared" si="40"/>
        <v>1.4699999999999989</v>
      </c>
      <c r="P367" s="81">
        <f>IF(G367="","",ABS(O367-Components!$C$2)/Components!$D$2)</f>
        <v>194.18125462856662</v>
      </c>
      <c r="Q367" s="81">
        <f>IF(G367="","",ABS(O367-Components!$C$3)/Components!$D$3)</f>
        <v>185.98850868351983</v>
      </c>
      <c r="R367" s="81">
        <f>IF(G367="","",ABS(O367-Components!$C$4)/Components!$D$4)</f>
        <v>34.099652117137552</v>
      </c>
      <c r="S367" s="81">
        <f>IF(G367="","",ABS(O367-Components!$C$5)/Components!$D$5)</f>
        <v>122.82325736666103</v>
      </c>
      <c r="T367" s="81">
        <f>IF(G367="","",ABS(O367-Components!$C$6)/Components!$D$6)</f>
        <v>11.377145813887077</v>
      </c>
      <c r="U367" s="81">
        <f>IF(G367="","",ABS(O367-Components!$C$7)/Components!$D$7)</f>
        <v>3.804516271309232</v>
      </c>
      <c r="V367" s="81" t="str">
        <f>IF(G367="","",IF(M367="OK","NONE",INDEX({"S1","S2","W1","W2","N1","N2"},MATCH(MIN(P367:U367),P367:U367,0))))</f>
        <v>N2</v>
      </c>
      <c r="W367" s="117">
        <f t="shared" si="41"/>
        <v>1</v>
      </c>
      <c r="X367" s="107"/>
    </row>
    <row r="368" spans="1:24">
      <c r="A368" s="115">
        <v>366</v>
      </c>
      <c r="B368" s="116">
        <v>13</v>
      </c>
      <c r="C368" s="81" t="s">
        <v>132</v>
      </c>
      <c r="D368" s="111" t="s">
        <v>240</v>
      </c>
      <c r="E368" s="81" t="s">
        <v>110</v>
      </c>
      <c r="F368" s="61">
        <v>7.23</v>
      </c>
      <c r="G368" s="52">
        <f t="shared" si="35"/>
        <v>8.2000000000000011</v>
      </c>
      <c r="H368" s="110"/>
      <c r="I368" s="81">
        <v>9.61</v>
      </c>
      <c r="J368" s="81">
        <f>VLOOKUP(C368,Recipes!$A$2:$N$4,12,FALSE())</f>
        <v>6.1509461004819709E-2</v>
      </c>
      <c r="K368" s="81">
        <f t="shared" si="36"/>
        <v>9.3947168864831312</v>
      </c>
      <c r="L368" s="81">
        <f t="shared" si="37"/>
        <v>9.8252831135168677</v>
      </c>
      <c r="M368" s="81" t="str">
        <f t="shared" si="39"/>
        <v>NG</v>
      </c>
      <c r="N368" s="117">
        <f t="shared" si="38"/>
        <v>1</v>
      </c>
      <c r="O368" s="81">
        <f t="shared" si="40"/>
        <v>1.4099999999999984</v>
      </c>
      <c r="P368" s="81">
        <f>IF(G368="","",ABS(O368-Components!$C$2)/Components!$D$2)</f>
        <v>203.25985874107113</v>
      </c>
      <c r="Q368" s="81">
        <f>IF(G368="","",ABS(O368-Components!$C$3)/Components!$D$3)</f>
        <v>190.33742159116258</v>
      </c>
      <c r="R368" s="81">
        <f>IF(G368="","",ABS(O368-Components!$C$4)/Components!$D$4)</f>
        <v>29.807388214281037</v>
      </c>
      <c r="S368" s="81">
        <f>IF(G368="","",ABS(O368-Components!$C$5)/Components!$D$5)</f>
        <v>125.20611857877562</v>
      </c>
      <c r="T368" s="81">
        <f>IF(G368="","",ABS(O368-Components!$C$6)/Components!$D$6)</f>
        <v>9.2054742905575768</v>
      </c>
      <c r="U368" s="81">
        <f>IF(G368="","",ABS(O368-Components!$C$7)/Components!$D$7)</f>
        <v>1.4184085053313495</v>
      </c>
      <c r="V368" s="81" t="str">
        <f>IF(G368="","",IF(M368="OK","NONE",INDEX({"S1","S2","W1","W2","N1","N2"},MATCH(MIN(P368:U368),P368:U368,0))))</f>
        <v>N2</v>
      </c>
      <c r="W368" s="117">
        <f t="shared" si="41"/>
        <v>1</v>
      </c>
      <c r="X368" s="107"/>
    </row>
    <row r="369" spans="1:24">
      <c r="A369" s="115">
        <v>367</v>
      </c>
      <c r="B369" s="116">
        <v>13</v>
      </c>
      <c r="C369" s="81" t="s">
        <v>132</v>
      </c>
      <c r="D369" s="111" t="s">
        <v>240</v>
      </c>
      <c r="E369" s="81" t="s">
        <v>110</v>
      </c>
      <c r="F369" s="61">
        <v>7.23</v>
      </c>
      <c r="G369" s="52">
        <f t="shared" si="35"/>
        <v>8.2000000000000011</v>
      </c>
      <c r="H369" s="110"/>
      <c r="I369" s="81">
        <v>9.61</v>
      </c>
      <c r="J369" s="81">
        <f>VLOOKUP(C369,Recipes!$A$2:$N$4,12,FALSE())</f>
        <v>6.1509461004819709E-2</v>
      </c>
      <c r="K369" s="81">
        <f t="shared" si="36"/>
        <v>9.3947168864831312</v>
      </c>
      <c r="L369" s="81">
        <f t="shared" si="37"/>
        <v>9.8252831135168677</v>
      </c>
      <c r="M369" s="81" t="str">
        <f t="shared" si="39"/>
        <v>NG</v>
      </c>
      <c r="N369" s="117">
        <f t="shared" si="38"/>
        <v>1</v>
      </c>
      <c r="O369" s="81">
        <f t="shared" si="40"/>
        <v>1.4099999999999984</v>
      </c>
      <c r="P369" s="81">
        <f>IF(G369="","",ABS(O369-Components!$C$2)/Components!$D$2)</f>
        <v>203.25985874107113</v>
      </c>
      <c r="Q369" s="81">
        <f>IF(G369="","",ABS(O369-Components!$C$3)/Components!$D$3)</f>
        <v>190.33742159116258</v>
      </c>
      <c r="R369" s="81">
        <f>IF(G369="","",ABS(O369-Components!$C$4)/Components!$D$4)</f>
        <v>29.807388214281037</v>
      </c>
      <c r="S369" s="81">
        <f>IF(G369="","",ABS(O369-Components!$C$5)/Components!$D$5)</f>
        <v>125.20611857877562</v>
      </c>
      <c r="T369" s="81">
        <f>IF(G369="","",ABS(O369-Components!$C$6)/Components!$D$6)</f>
        <v>9.2054742905575768</v>
      </c>
      <c r="U369" s="81">
        <f>IF(G369="","",ABS(O369-Components!$C$7)/Components!$D$7)</f>
        <v>1.4184085053313495</v>
      </c>
      <c r="V369" s="81" t="str">
        <f>IF(G369="","",IF(M369="OK","NONE",INDEX({"S1","S2","W1","W2","N1","N2"},MATCH(MIN(P369:U369),P369:U369,0))))</f>
        <v>N2</v>
      </c>
      <c r="W369" s="117">
        <f t="shared" si="41"/>
        <v>1</v>
      </c>
      <c r="X369" s="107"/>
    </row>
    <row r="370" spans="1:24">
      <c r="A370" s="115">
        <v>368</v>
      </c>
      <c r="B370" s="116">
        <v>13</v>
      </c>
      <c r="C370" s="81" t="s">
        <v>132</v>
      </c>
      <c r="D370" s="111" t="s">
        <v>240</v>
      </c>
      <c r="E370" s="81" t="s">
        <v>110</v>
      </c>
      <c r="F370" s="61">
        <v>7.3</v>
      </c>
      <c r="G370" s="52">
        <f t="shared" si="35"/>
        <v>8.27</v>
      </c>
      <c r="H370" s="110"/>
      <c r="I370" s="81">
        <v>9.61</v>
      </c>
      <c r="J370" s="81">
        <f>VLOOKUP(C370,Recipes!$A$2:$N$4,12,FALSE())</f>
        <v>6.1509461004819709E-2</v>
      </c>
      <c r="K370" s="81">
        <f t="shared" si="36"/>
        <v>9.3947168864831312</v>
      </c>
      <c r="L370" s="81">
        <f t="shared" si="37"/>
        <v>9.8252831135168677</v>
      </c>
      <c r="M370" s="81" t="str">
        <f t="shared" si="39"/>
        <v>NG</v>
      </c>
      <c r="N370" s="117">
        <f t="shared" si="38"/>
        <v>1</v>
      </c>
      <c r="O370" s="81">
        <f t="shared" si="40"/>
        <v>1.3399999999999999</v>
      </c>
      <c r="P370" s="81">
        <f>IF(G370="","",ABS(O370-Components!$C$2)/Components!$D$2)</f>
        <v>213.85156353899274</v>
      </c>
      <c r="Q370" s="81">
        <f>IF(G370="","",ABS(O370-Components!$C$3)/Components!$D$3)</f>
        <v>195.41115331674561</v>
      </c>
      <c r="R370" s="81">
        <f>IF(G370="","",ABS(O370-Components!$C$4)/Components!$D$4)</f>
        <v>24.799746994281914</v>
      </c>
      <c r="S370" s="81">
        <f>IF(G370="","",ABS(O370-Components!$C$5)/Components!$D$5)</f>
        <v>127.98612332624255</v>
      </c>
      <c r="T370" s="81">
        <f>IF(G370="","",ABS(O370-Components!$C$6)/Components!$D$6)</f>
        <v>6.6718575133398996</v>
      </c>
      <c r="U370" s="81">
        <f>IF(G370="","",ABS(O370-Components!$C$7)/Components!$D$7)</f>
        <v>1.3653838883094307</v>
      </c>
      <c r="V370" s="81" t="str">
        <f>IF(G370="","",IF(M370="OK","NONE",INDEX({"S1","S2","W1","W2","N1","N2"},MATCH(MIN(P370:U370),P370:U370,0))))</f>
        <v>N2</v>
      </c>
      <c r="W370" s="117">
        <f t="shared" si="41"/>
        <v>1</v>
      </c>
      <c r="X370" s="107"/>
    </row>
    <row r="371" spans="1:24">
      <c r="A371" s="115">
        <v>369</v>
      </c>
      <c r="B371" s="116">
        <v>13</v>
      </c>
      <c r="C371" s="81" t="s">
        <v>132</v>
      </c>
      <c r="D371" s="111" t="s">
        <v>240</v>
      </c>
      <c r="E371" s="81" t="s">
        <v>110</v>
      </c>
      <c r="F371" s="61">
        <v>7.25</v>
      </c>
      <c r="G371" s="52">
        <f t="shared" si="35"/>
        <v>8.2200000000000006</v>
      </c>
      <c r="H371" s="110"/>
      <c r="I371" s="81">
        <v>9.61</v>
      </c>
      <c r="J371" s="81">
        <f>VLOOKUP(C371,Recipes!$A$2:$N$4,12,FALSE())</f>
        <v>6.1509461004819709E-2</v>
      </c>
      <c r="K371" s="81">
        <f t="shared" si="36"/>
        <v>9.3947168864831312</v>
      </c>
      <c r="L371" s="81">
        <f t="shared" si="37"/>
        <v>9.8252831135168677</v>
      </c>
      <c r="M371" s="81" t="str">
        <f t="shared" si="39"/>
        <v>NG</v>
      </c>
      <c r="N371" s="117">
        <f t="shared" si="38"/>
        <v>1</v>
      </c>
      <c r="O371" s="81">
        <f t="shared" si="40"/>
        <v>1.3899999999999988</v>
      </c>
      <c r="P371" s="81">
        <f>IF(G371="","",ABS(O371-Components!$C$2)/Components!$D$2)</f>
        <v>206.28606011190587</v>
      </c>
      <c r="Q371" s="81">
        <f>IF(G371="","",ABS(O371-Components!$C$3)/Components!$D$3)</f>
        <v>191.78705922704344</v>
      </c>
      <c r="R371" s="81">
        <f>IF(G371="","",ABS(O371-Components!$C$4)/Components!$D$4)</f>
        <v>28.376633579995573</v>
      </c>
      <c r="S371" s="81">
        <f>IF(G371="","",ABS(O371-Components!$C$5)/Components!$D$5)</f>
        <v>126.00040564948046</v>
      </c>
      <c r="T371" s="81">
        <f>IF(G371="","",ABS(O371-Components!$C$6)/Components!$D$6)</f>
        <v>8.4815837827810974</v>
      </c>
      <c r="U371" s="81">
        <f>IF(G371="","",ABS(O371-Components!$C$7)/Components!$D$7)</f>
        <v>0.62303925000541227</v>
      </c>
      <c r="V371" s="81" t="str">
        <f>IF(G371="","",IF(M371="OK","NONE",INDEX({"S1","S2","W1","W2","N1","N2"},MATCH(MIN(P371:U371),P371:U371,0))))</f>
        <v>N2</v>
      </c>
      <c r="W371" s="117">
        <f t="shared" si="41"/>
        <v>1</v>
      </c>
      <c r="X371" s="107"/>
    </row>
    <row r="372" spans="1:24">
      <c r="A372" s="115">
        <v>370</v>
      </c>
      <c r="B372" s="116">
        <v>13</v>
      </c>
      <c r="C372" s="81" t="s">
        <v>132</v>
      </c>
      <c r="D372" s="111" t="s">
        <v>240</v>
      </c>
      <c r="E372" s="81" t="s">
        <v>110</v>
      </c>
      <c r="F372" s="61">
        <v>7.25</v>
      </c>
      <c r="G372" s="52">
        <f t="shared" si="35"/>
        <v>8.2200000000000006</v>
      </c>
      <c r="H372" s="110"/>
      <c r="I372" s="81">
        <v>9.61</v>
      </c>
      <c r="J372" s="81">
        <f>VLOOKUP(C372,Recipes!$A$2:$N$4,12,FALSE())</f>
        <v>6.1509461004819709E-2</v>
      </c>
      <c r="K372" s="81">
        <f t="shared" si="36"/>
        <v>9.3947168864831312</v>
      </c>
      <c r="L372" s="81">
        <f t="shared" si="37"/>
        <v>9.8252831135168677</v>
      </c>
      <c r="M372" s="81" t="str">
        <f t="shared" si="39"/>
        <v>NG</v>
      </c>
      <c r="N372" s="117">
        <f t="shared" si="38"/>
        <v>1</v>
      </c>
      <c r="O372" s="81">
        <f t="shared" si="40"/>
        <v>1.3899999999999988</v>
      </c>
      <c r="P372" s="81">
        <f>IF(G372="","",ABS(O372-Components!$C$2)/Components!$D$2)</f>
        <v>206.28606011190587</v>
      </c>
      <c r="Q372" s="81">
        <f>IF(G372="","",ABS(O372-Components!$C$3)/Components!$D$3)</f>
        <v>191.78705922704344</v>
      </c>
      <c r="R372" s="81">
        <f>IF(G372="","",ABS(O372-Components!$C$4)/Components!$D$4)</f>
        <v>28.376633579995573</v>
      </c>
      <c r="S372" s="81">
        <f>IF(G372="","",ABS(O372-Components!$C$5)/Components!$D$5)</f>
        <v>126.00040564948046</v>
      </c>
      <c r="T372" s="81">
        <f>IF(G372="","",ABS(O372-Components!$C$6)/Components!$D$6)</f>
        <v>8.4815837827810974</v>
      </c>
      <c r="U372" s="81">
        <f>IF(G372="","",ABS(O372-Components!$C$7)/Components!$D$7)</f>
        <v>0.62303925000541227</v>
      </c>
      <c r="V372" s="81" t="str">
        <f>IF(G372="","",IF(M372="OK","NONE",INDEX({"S1","S2","W1","W2","N1","N2"},MATCH(MIN(P372:U372),P372:U372,0))))</f>
        <v>N2</v>
      </c>
      <c r="W372" s="117">
        <f t="shared" si="41"/>
        <v>1</v>
      </c>
      <c r="X372" s="107"/>
    </row>
    <row r="373" spans="1:24">
      <c r="A373" s="115">
        <v>371</v>
      </c>
      <c r="B373" s="116">
        <v>13</v>
      </c>
      <c r="C373" s="81" t="s">
        <v>132</v>
      </c>
      <c r="D373" s="111" t="s">
        <v>240</v>
      </c>
      <c r="E373" s="81" t="s">
        <v>110</v>
      </c>
      <c r="F373" s="61">
        <v>7.19</v>
      </c>
      <c r="G373" s="52">
        <f t="shared" si="35"/>
        <v>8.16</v>
      </c>
      <c r="H373" s="110"/>
      <c r="I373" s="81">
        <v>9.61</v>
      </c>
      <c r="J373" s="81">
        <f>VLOOKUP(C373,Recipes!$A$2:$N$4,12,FALSE())</f>
        <v>6.1509461004819709E-2</v>
      </c>
      <c r="K373" s="81">
        <f t="shared" si="36"/>
        <v>9.3947168864831312</v>
      </c>
      <c r="L373" s="81">
        <f t="shared" si="37"/>
        <v>9.8252831135168677</v>
      </c>
      <c r="M373" s="81" t="str">
        <f t="shared" si="39"/>
        <v>NG</v>
      </c>
      <c r="N373" s="117">
        <f t="shared" si="38"/>
        <v>1</v>
      </c>
      <c r="O373" s="81">
        <f t="shared" si="40"/>
        <v>1.4499999999999993</v>
      </c>
      <c r="P373" s="81">
        <f>IF(G373="","",ABS(O373-Components!$C$2)/Components!$D$2)</f>
        <v>197.20745599940136</v>
      </c>
      <c r="Q373" s="81">
        <f>IF(G373="","",ABS(O373-Components!$C$3)/Components!$D$3)</f>
        <v>187.43814631940072</v>
      </c>
      <c r="R373" s="81">
        <f>IF(G373="","",ABS(O373-Components!$C$4)/Components!$D$4)</f>
        <v>32.668897482852088</v>
      </c>
      <c r="S373" s="81">
        <f>IF(G373="","",ABS(O373-Components!$C$5)/Components!$D$5)</f>
        <v>123.61754443736586</v>
      </c>
      <c r="T373" s="81">
        <f>IF(G373="","",ABS(O373-Components!$C$6)/Components!$D$6)</f>
        <v>10.653255306110598</v>
      </c>
      <c r="U373" s="81">
        <f>IF(G373="","",ABS(O373-Components!$C$7)/Components!$D$7)</f>
        <v>3.0091470159832947</v>
      </c>
      <c r="V373" s="81" t="str">
        <f>IF(G373="","",IF(M373="OK","NONE",INDEX({"S1","S2","W1","W2","N1","N2"},MATCH(MIN(P373:U373),P373:U373,0))))</f>
        <v>N2</v>
      </c>
      <c r="W373" s="117">
        <f t="shared" si="41"/>
        <v>1</v>
      </c>
      <c r="X373" s="107"/>
    </row>
    <row r="374" spans="1:24">
      <c r="A374" s="115">
        <v>372</v>
      </c>
      <c r="B374" s="116">
        <v>13</v>
      </c>
      <c r="C374" s="81" t="s">
        <v>132</v>
      </c>
      <c r="D374" s="111" t="s">
        <v>240</v>
      </c>
      <c r="E374" s="81" t="s">
        <v>110</v>
      </c>
      <c r="F374" s="61">
        <v>7.26</v>
      </c>
      <c r="G374" s="52">
        <f t="shared" si="35"/>
        <v>8.23</v>
      </c>
      <c r="H374" s="110"/>
      <c r="I374" s="81">
        <v>9.61</v>
      </c>
      <c r="J374" s="81">
        <f>VLOOKUP(C374,Recipes!$A$2:$N$4,12,FALSE())</f>
        <v>6.1509461004819709E-2</v>
      </c>
      <c r="K374" s="81">
        <f t="shared" si="36"/>
        <v>9.3947168864831312</v>
      </c>
      <c r="L374" s="81">
        <f t="shared" si="37"/>
        <v>9.8252831135168677</v>
      </c>
      <c r="M374" s="81" t="str">
        <f t="shared" si="39"/>
        <v>NG</v>
      </c>
      <c r="N374" s="117">
        <f t="shared" si="38"/>
        <v>1</v>
      </c>
      <c r="O374" s="81">
        <f t="shared" si="40"/>
        <v>1.379999999999999</v>
      </c>
      <c r="P374" s="81">
        <f>IF(G374="","",ABS(O374-Components!$C$2)/Components!$D$2)</f>
        <v>207.79916079732325</v>
      </c>
      <c r="Q374" s="81">
        <f>IF(G374="","",ABS(O374-Components!$C$3)/Components!$D$3)</f>
        <v>192.51187804498389</v>
      </c>
      <c r="R374" s="81">
        <f>IF(G374="","",ABS(O374-Components!$C$4)/Components!$D$4)</f>
        <v>27.661256262852842</v>
      </c>
      <c r="S374" s="81">
        <f>IF(G374="","",ABS(O374-Components!$C$5)/Components!$D$5)</f>
        <v>126.39754918483287</v>
      </c>
      <c r="T374" s="81">
        <f>IF(G374="","",ABS(O374-Components!$C$6)/Components!$D$6)</f>
        <v>8.1196385288928568</v>
      </c>
      <c r="U374" s="81">
        <f>IF(G374="","",ABS(O374-Components!$C$7)/Components!$D$7)</f>
        <v>0.22535462234244366</v>
      </c>
      <c r="V374" s="81" t="str">
        <f>IF(G374="","",IF(M374="OK","NONE",INDEX({"S1","S2","W1","W2","N1","N2"},MATCH(MIN(P374:U374),P374:U374,0))))</f>
        <v>N2</v>
      </c>
      <c r="W374" s="117">
        <f t="shared" si="41"/>
        <v>1</v>
      </c>
      <c r="X374" s="107"/>
    </row>
    <row r="375" spans="1:24">
      <c r="A375" s="115">
        <v>373</v>
      </c>
      <c r="B375" s="116">
        <v>13</v>
      </c>
      <c r="C375" s="81" t="s">
        <v>132</v>
      </c>
      <c r="D375" s="111" t="s">
        <v>240</v>
      </c>
      <c r="E375" s="81" t="s">
        <v>110</v>
      </c>
      <c r="F375" s="61">
        <v>7.23</v>
      </c>
      <c r="G375" s="52">
        <f t="shared" si="35"/>
        <v>8.2000000000000011</v>
      </c>
      <c r="H375" s="110"/>
      <c r="I375" s="81">
        <v>9.61</v>
      </c>
      <c r="J375" s="81">
        <f>VLOOKUP(C375,Recipes!$A$2:$N$4,12,FALSE())</f>
        <v>6.1509461004819709E-2</v>
      </c>
      <c r="K375" s="81">
        <f t="shared" si="36"/>
        <v>9.3947168864831312</v>
      </c>
      <c r="L375" s="81">
        <f t="shared" si="37"/>
        <v>9.8252831135168677</v>
      </c>
      <c r="M375" s="81" t="str">
        <f t="shared" si="39"/>
        <v>NG</v>
      </c>
      <c r="N375" s="117">
        <f t="shared" si="38"/>
        <v>1</v>
      </c>
      <c r="O375" s="81">
        <f t="shared" si="40"/>
        <v>1.4099999999999984</v>
      </c>
      <c r="P375" s="81">
        <f>IF(G375="","",ABS(O375-Components!$C$2)/Components!$D$2)</f>
        <v>203.25985874107113</v>
      </c>
      <c r="Q375" s="81">
        <f>IF(G375="","",ABS(O375-Components!$C$3)/Components!$D$3)</f>
        <v>190.33742159116258</v>
      </c>
      <c r="R375" s="81">
        <f>IF(G375="","",ABS(O375-Components!$C$4)/Components!$D$4)</f>
        <v>29.807388214281037</v>
      </c>
      <c r="S375" s="81">
        <f>IF(G375="","",ABS(O375-Components!$C$5)/Components!$D$5)</f>
        <v>125.20611857877562</v>
      </c>
      <c r="T375" s="81">
        <f>IF(G375="","",ABS(O375-Components!$C$6)/Components!$D$6)</f>
        <v>9.2054742905575768</v>
      </c>
      <c r="U375" s="81">
        <f>IF(G375="","",ABS(O375-Components!$C$7)/Components!$D$7)</f>
        <v>1.4184085053313495</v>
      </c>
      <c r="V375" s="81" t="str">
        <f>IF(G375="","",IF(M375="OK","NONE",INDEX({"S1","S2","W1","W2","N1","N2"},MATCH(MIN(P375:U375),P375:U375,0))))</f>
        <v>N2</v>
      </c>
      <c r="W375" s="117">
        <f t="shared" si="41"/>
        <v>1</v>
      </c>
      <c r="X375" s="107"/>
    </row>
    <row r="376" spans="1:24">
      <c r="A376" s="115">
        <v>374</v>
      </c>
      <c r="B376" s="116">
        <v>13</v>
      </c>
      <c r="C376" s="81" t="s">
        <v>132</v>
      </c>
      <c r="D376" s="111" t="s">
        <v>240</v>
      </c>
      <c r="E376" s="81" t="s">
        <v>110</v>
      </c>
      <c r="F376" s="61">
        <v>7.06</v>
      </c>
      <c r="G376" s="52">
        <f t="shared" si="35"/>
        <v>8.0299999999999994</v>
      </c>
      <c r="H376" s="110"/>
      <c r="I376" s="81">
        <v>9.61</v>
      </c>
      <c r="J376" s="81">
        <f>VLOOKUP(C376,Recipes!$A$2:$N$4,12,FALSE())</f>
        <v>6.1509461004819709E-2</v>
      </c>
      <c r="K376" s="81">
        <f t="shared" si="36"/>
        <v>9.3947168864831312</v>
      </c>
      <c r="L376" s="81">
        <f t="shared" si="37"/>
        <v>9.8252831135168677</v>
      </c>
      <c r="M376" s="81" t="str">
        <f t="shared" si="39"/>
        <v>NG</v>
      </c>
      <c r="N376" s="117">
        <f t="shared" si="38"/>
        <v>1</v>
      </c>
      <c r="O376" s="81">
        <f t="shared" si="40"/>
        <v>1.58</v>
      </c>
      <c r="P376" s="81">
        <f>IF(G376="","",ABS(O376-Components!$C$2)/Components!$D$2)</f>
        <v>177.53714708897499</v>
      </c>
      <c r="Q376" s="81">
        <f>IF(G376="","",ABS(O376-Components!$C$3)/Components!$D$3)</f>
        <v>178.01550168617479</v>
      </c>
      <c r="R376" s="81">
        <f>IF(G376="","",ABS(O376-Components!$C$4)/Components!$D$4)</f>
        <v>41.968802605707857</v>
      </c>
      <c r="S376" s="81">
        <f>IF(G376="","",ABS(O376-Components!$C$5)/Components!$D$5)</f>
        <v>118.45467847778427</v>
      </c>
      <c r="T376" s="81">
        <f>IF(G376="","",ABS(O376-Components!$C$6)/Components!$D$6)</f>
        <v>15.35854360665784</v>
      </c>
      <c r="U376" s="81">
        <f>IF(G376="","",ABS(O376-Components!$C$7)/Components!$D$7)</f>
        <v>8.1790471756020278</v>
      </c>
      <c r="V376" s="81" t="str">
        <f>IF(G376="","",IF(M376="OK","NONE",INDEX({"S1","S2","W1","W2","N1","N2"},MATCH(MIN(P376:U376),P376:U376,0))))</f>
        <v>N2</v>
      </c>
      <c r="W376" s="117">
        <f t="shared" si="41"/>
        <v>1</v>
      </c>
      <c r="X376" s="107"/>
    </row>
    <row r="377" spans="1:24">
      <c r="A377" s="115">
        <v>375</v>
      </c>
      <c r="B377" s="116">
        <v>13</v>
      </c>
      <c r="C377" s="81" t="s">
        <v>132</v>
      </c>
      <c r="D377" s="111" t="s">
        <v>240</v>
      </c>
      <c r="E377" s="81" t="s">
        <v>110</v>
      </c>
      <c r="F377" s="61">
        <v>7.2</v>
      </c>
      <c r="G377" s="52">
        <f t="shared" si="35"/>
        <v>8.17</v>
      </c>
      <c r="H377" s="110"/>
      <c r="I377" s="81">
        <v>9.61</v>
      </c>
      <c r="J377" s="81">
        <f>VLOOKUP(C377,Recipes!$A$2:$N$4,12,FALSE())</f>
        <v>6.1509461004819709E-2</v>
      </c>
      <c r="K377" s="81">
        <f t="shared" si="36"/>
        <v>9.3947168864831312</v>
      </c>
      <c r="L377" s="81">
        <f t="shared" si="37"/>
        <v>9.8252831135168677</v>
      </c>
      <c r="M377" s="81" t="str">
        <f t="shared" si="39"/>
        <v>NG</v>
      </c>
      <c r="N377" s="117">
        <f t="shared" si="38"/>
        <v>1</v>
      </c>
      <c r="O377" s="81">
        <f t="shared" si="40"/>
        <v>1.4399999999999995</v>
      </c>
      <c r="P377" s="81">
        <f>IF(G377="","",ABS(O377-Components!$C$2)/Components!$D$2)</f>
        <v>198.72055668481875</v>
      </c>
      <c r="Q377" s="81">
        <f>IF(G377="","",ABS(O377-Components!$C$3)/Components!$D$3)</f>
        <v>188.16296513734113</v>
      </c>
      <c r="R377" s="81">
        <f>IF(G377="","",ABS(O377-Components!$C$4)/Components!$D$4)</f>
        <v>31.95352016570936</v>
      </c>
      <c r="S377" s="81">
        <f>IF(G377="","",ABS(O377-Components!$C$5)/Components!$D$5)</f>
        <v>124.01468797271828</v>
      </c>
      <c r="T377" s="81">
        <f>IF(G377="","",ABS(O377-Components!$C$6)/Components!$D$6)</f>
        <v>10.291310052222359</v>
      </c>
      <c r="U377" s="81">
        <f>IF(G377="","",ABS(O377-Components!$C$7)/Components!$D$7)</f>
        <v>2.6114623883203261</v>
      </c>
      <c r="V377" s="81" t="str">
        <f>IF(G377="","",IF(M377="OK","NONE",INDEX({"S1","S2","W1","W2","N1","N2"},MATCH(MIN(P377:U377),P377:U377,0))))</f>
        <v>N2</v>
      </c>
      <c r="W377" s="117">
        <f t="shared" si="41"/>
        <v>1</v>
      </c>
      <c r="X377" s="107"/>
    </row>
    <row r="378" spans="1:24">
      <c r="A378" s="115">
        <v>376</v>
      </c>
      <c r="B378" s="116">
        <v>13</v>
      </c>
      <c r="C378" s="81" t="s">
        <v>132</v>
      </c>
      <c r="D378" s="111" t="s">
        <v>240</v>
      </c>
      <c r="E378" s="81" t="s">
        <v>110</v>
      </c>
      <c r="F378" s="61">
        <v>7.21</v>
      </c>
      <c r="G378" s="52">
        <f t="shared" si="35"/>
        <v>8.18</v>
      </c>
      <c r="H378" s="110"/>
      <c r="I378" s="81">
        <v>9.61</v>
      </c>
      <c r="J378" s="81">
        <f>VLOOKUP(C378,Recipes!$A$2:$N$4,12,FALSE())</f>
        <v>6.1509461004819709E-2</v>
      </c>
      <c r="K378" s="81">
        <f t="shared" si="36"/>
        <v>9.3947168864831312</v>
      </c>
      <c r="L378" s="81">
        <f t="shared" si="37"/>
        <v>9.8252831135168677</v>
      </c>
      <c r="M378" s="81" t="str">
        <f t="shared" si="39"/>
        <v>NG</v>
      </c>
      <c r="N378" s="117">
        <f t="shared" si="38"/>
        <v>1</v>
      </c>
      <c r="O378" s="81">
        <f t="shared" si="40"/>
        <v>1.4299999999999997</v>
      </c>
      <c r="P378" s="81">
        <f>IF(G378="","",ABS(O378-Components!$C$2)/Components!$D$2)</f>
        <v>200.23365737023613</v>
      </c>
      <c r="Q378" s="81">
        <f>IF(G378="","",ABS(O378-Components!$C$3)/Components!$D$3)</f>
        <v>188.88778395528158</v>
      </c>
      <c r="R378" s="81">
        <f>IF(G378="","",ABS(O378-Components!$C$4)/Components!$D$4)</f>
        <v>31.238142848566628</v>
      </c>
      <c r="S378" s="81">
        <f>IF(G378="","",ABS(O378-Components!$C$5)/Components!$D$5)</f>
        <v>124.4118315080707</v>
      </c>
      <c r="T378" s="81">
        <f>IF(G378="","",ABS(O378-Components!$C$6)/Components!$D$6)</f>
        <v>9.9293647983341184</v>
      </c>
      <c r="U378" s="81">
        <f>IF(G378="","",ABS(O378-Components!$C$7)/Components!$D$7)</f>
        <v>2.2137777606573574</v>
      </c>
      <c r="V378" s="81" t="str">
        <f>IF(G378="","",IF(M378="OK","NONE",INDEX({"S1","S2","W1","W2","N1","N2"},MATCH(MIN(P378:U378),P378:U378,0))))</f>
        <v>N2</v>
      </c>
      <c r="W378" s="117">
        <f t="shared" si="41"/>
        <v>1</v>
      </c>
      <c r="X378" s="107"/>
    </row>
    <row r="379" spans="1:24">
      <c r="A379" s="115">
        <v>377</v>
      </c>
      <c r="B379" s="116">
        <v>13</v>
      </c>
      <c r="C379" s="81" t="s">
        <v>132</v>
      </c>
      <c r="D379" s="111" t="s">
        <v>240</v>
      </c>
      <c r="E379" s="81" t="s">
        <v>110</v>
      </c>
      <c r="F379" s="61">
        <v>7.22</v>
      </c>
      <c r="G379" s="52">
        <f t="shared" si="35"/>
        <v>8.19</v>
      </c>
      <c r="H379" s="110"/>
      <c r="I379" s="81">
        <v>9.61</v>
      </c>
      <c r="J379" s="81">
        <f>VLOOKUP(C379,Recipes!$A$2:$N$4,12,FALSE())</f>
        <v>6.1509461004819709E-2</v>
      </c>
      <c r="K379" s="81">
        <f t="shared" si="36"/>
        <v>9.3947168864831312</v>
      </c>
      <c r="L379" s="81">
        <f t="shared" si="37"/>
        <v>9.8252831135168677</v>
      </c>
      <c r="M379" s="81" t="str">
        <f t="shared" si="39"/>
        <v>NG</v>
      </c>
      <c r="N379" s="117">
        <f t="shared" si="38"/>
        <v>1</v>
      </c>
      <c r="O379" s="81">
        <f t="shared" si="40"/>
        <v>1.42</v>
      </c>
      <c r="P379" s="81">
        <f>IF(G379="","",ABS(O379-Components!$C$2)/Components!$D$2)</f>
        <v>201.74675805565349</v>
      </c>
      <c r="Q379" s="81">
        <f>IF(G379="","",ABS(O379-Components!$C$3)/Components!$D$3)</f>
        <v>189.61260277322202</v>
      </c>
      <c r="R379" s="81">
        <f>IF(G379="","",ABS(O379-Components!$C$4)/Components!$D$4)</f>
        <v>30.522765531423897</v>
      </c>
      <c r="S379" s="81">
        <f>IF(G379="","",ABS(O379-Components!$C$5)/Components!$D$5)</f>
        <v>124.80897504342312</v>
      </c>
      <c r="T379" s="81">
        <f>IF(G379="","",ABS(O379-Components!$C$6)/Components!$D$6)</f>
        <v>9.5674195444458796</v>
      </c>
      <c r="U379" s="81">
        <f>IF(G379="","",ABS(O379-Components!$C$7)/Components!$D$7)</f>
        <v>1.8160931329943888</v>
      </c>
      <c r="V379" s="81" t="str">
        <f>IF(G379="","",IF(M379="OK","NONE",INDEX({"S1","S2","W1","W2","N1","N2"},MATCH(MIN(P379:U379),P379:U379,0))))</f>
        <v>N2</v>
      </c>
      <c r="W379" s="117">
        <f t="shared" si="41"/>
        <v>1</v>
      </c>
      <c r="X379" s="107"/>
    </row>
    <row r="380" spans="1:24">
      <c r="A380" s="115">
        <v>378</v>
      </c>
      <c r="B380" s="116">
        <v>13</v>
      </c>
      <c r="C380" s="81" t="s">
        <v>132</v>
      </c>
      <c r="D380" s="111" t="s">
        <v>240</v>
      </c>
      <c r="E380" s="81" t="s">
        <v>110</v>
      </c>
      <c r="F380" s="61">
        <v>7.15</v>
      </c>
      <c r="G380" s="52">
        <f t="shared" si="35"/>
        <v>8.120000000000001</v>
      </c>
      <c r="H380" s="110"/>
      <c r="I380" s="81">
        <v>9.61</v>
      </c>
      <c r="J380" s="81">
        <f>VLOOKUP(C380,Recipes!$A$2:$N$4,12,FALSE())</f>
        <v>6.1509461004819709E-2</v>
      </c>
      <c r="K380" s="81">
        <f t="shared" si="36"/>
        <v>9.3947168864831312</v>
      </c>
      <c r="L380" s="81">
        <f t="shared" si="37"/>
        <v>9.8252831135168677</v>
      </c>
      <c r="M380" s="81" t="str">
        <f t="shared" si="39"/>
        <v>NG</v>
      </c>
      <c r="N380" s="117">
        <f t="shared" si="38"/>
        <v>1</v>
      </c>
      <c r="O380" s="81">
        <f t="shared" si="40"/>
        <v>1.4899999999999984</v>
      </c>
      <c r="P380" s="81">
        <f>IF(G380="","",ABS(O380-Components!$C$2)/Components!$D$2)</f>
        <v>191.15505325773188</v>
      </c>
      <c r="Q380" s="81">
        <f>IF(G380="","",ABS(O380-Components!$C$3)/Components!$D$3)</f>
        <v>184.53887104763896</v>
      </c>
      <c r="R380" s="81">
        <f>IF(G380="","",ABS(O380-Components!$C$4)/Components!$D$4)</f>
        <v>35.530406751423016</v>
      </c>
      <c r="S380" s="81">
        <f>IF(G380="","",ABS(O380-Components!$C$5)/Components!$D$5)</f>
        <v>122.02897029595619</v>
      </c>
      <c r="T380" s="81">
        <f>IF(G380="","",ABS(O380-Components!$C$6)/Components!$D$6)</f>
        <v>12.101036321663557</v>
      </c>
      <c r="U380" s="81">
        <f>IF(G380="","",ABS(O380-Components!$C$7)/Components!$D$7)</f>
        <v>4.5998855266351688</v>
      </c>
      <c r="V380" s="81" t="str">
        <f>IF(G380="","",IF(M380="OK","NONE",INDEX({"S1","S2","W1","W2","N1","N2"},MATCH(MIN(P380:U380),P380:U380,0))))</f>
        <v>N2</v>
      </c>
      <c r="W380" s="117">
        <f t="shared" si="41"/>
        <v>1</v>
      </c>
      <c r="X380" s="107"/>
    </row>
    <row r="381" spans="1:24">
      <c r="A381" s="115">
        <v>379</v>
      </c>
      <c r="B381" s="116">
        <v>13</v>
      </c>
      <c r="C381" s="81" t="s">
        <v>132</v>
      </c>
      <c r="D381" s="111" t="s">
        <v>240</v>
      </c>
      <c r="E381" s="81" t="s">
        <v>110</v>
      </c>
      <c r="F381" s="61">
        <v>7.28</v>
      </c>
      <c r="G381" s="52">
        <f t="shared" si="35"/>
        <v>8.25</v>
      </c>
      <c r="H381" s="110"/>
      <c r="I381" s="81">
        <v>9.61</v>
      </c>
      <c r="J381" s="81">
        <f>VLOOKUP(C381,Recipes!$A$2:$N$4,12,FALSE())</f>
        <v>6.1509461004819709E-2</v>
      </c>
      <c r="K381" s="81">
        <f t="shared" si="36"/>
        <v>9.3947168864831312</v>
      </c>
      <c r="L381" s="81">
        <f t="shared" si="37"/>
        <v>9.8252831135168677</v>
      </c>
      <c r="M381" s="81" t="str">
        <f t="shared" si="39"/>
        <v>NG</v>
      </c>
      <c r="N381" s="117">
        <f t="shared" si="38"/>
        <v>1</v>
      </c>
      <c r="O381" s="81">
        <f t="shared" si="40"/>
        <v>1.3599999999999994</v>
      </c>
      <c r="P381" s="81">
        <f>IF(G381="","",ABS(O381-Components!$C$2)/Components!$D$2)</f>
        <v>210.82536216815799</v>
      </c>
      <c r="Q381" s="81">
        <f>IF(G381="","",ABS(O381-Components!$C$3)/Components!$D$3)</f>
        <v>193.96151568086475</v>
      </c>
      <c r="R381" s="81">
        <f>IF(G381="","",ABS(O381-Components!$C$4)/Components!$D$4)</f>
        <v>26.230501628567378</v>
      </c>
      <c r="S381" s="81">
        <f>IF(G381="","",ABS(O381-Components!$C$5)/Components!$D$5)</f>
        <v>127.19183625553771</v>
      </c>
      <c r="T381" s="81">
        <f>IF(G381="","",ABS(O381-Components!$C$6)/Components!$D$6)</f>
        <v>7.3957480211163782</v>
      </c>
      <c r="U381" s="81">
        <f>IF(G381="","",ABS(O381-Components!$C$7)/Components!$D$7)</f>
        <v>0.57001463298349353</v>
      </c>
      <c r="V381" s="81" t="str">
        <f>IF(G381="","",IF(M381="OK","NONE",INDEX({"S1","S2","W1","W2","N1","N2"},MATCH(MIN(P381:U381),P381:U381,0))))</f>
        <v>N2</v>
      </c>
      <c r="W381" s="117">
        <f t="shared" si="41"/>
        <v>1</v>
      </c>
      <c r="X381" s="107"/>
    </row>
    <row r="382" spans="1:24">
      <c r="A382" s="115">
        <v>380</v>
      </c>
      <c r="B382" s="116">
        <v>13</v>
      </c>
      <c r="C382" s="81" t="s">
        <v>132</v>
      </c>
      <c r="D382" s="111" t="s">
        <v>240</v>
      </c>
      <c r="E382" s="81" t="s">
        <v>110</v>
      </c>
      <c r="F382" s="61">
        <v>7.23</v>
      </c>
      <c r="G382" s="52">
        <f t="shared" si="35"/>
        <v>8.2000000000000011</v>
      </c>
      <c r="H382" s="110"/>
      <c r="I382" s="81">
        <v>9.61</v>
      </c>
      <c r="J382" s="81">
        <f>VLOOKUP(C382,Recipes!$A$2:$N$4,12,FALSE())</f>
        <v>6.1509461004819709E-2</v>
      </c>
      <c r="K382" s="81">
        <f t="shared" si="36"/>
        <v>9.3947168864831312</v>
      </c>
      <c r="L382" s="81">
        <f t="shared" si="37"/>
        <v>9.8252831135168677</v>
      </c>
      <c r="M382" s="81" t="str">
        <f t="shared" si="39"/>
        <v>NG</v>
      </c>
      <c r="N382" s="117">
        <f t="shared" si="38"/>
        <v>1</v>
      </c>
      <c r="O382" s="81">
        <f t="shared" si="40"/>
        <v>1.4099999999999984</v>
      </c>
      <c r="P382" s="81">
        <f>IF(G382="","",ABS(O382-Components!$C$2)/Components!$D$2)</f>
        <v>203.25985874107113</v>
      </c>
      <c r="Q382" s="81">
        <f>IF(G382="","",ABS(O382-Components!$C$3)/Components!$D$3)</f>
        <v>190.33742159116258</v>
      </c>
      <c r="R382" s="81">
        <f>IF(G382="","",ABS(O382-Components!$C$4)/Components!$D$4)</f>
        <v>29.807388214281037</v>
      </c>
      <c r="S382" s="81">
        <f>IF(G382="","",ABS(O382-Components!$C$5)/Components!$D$5)</f>
        <v>125.20611857877562</v>
      </c>
      <c r="T382" s="81">
        <f>IF(G382="","",ABS(O382-Components!$C$6)/Components!$D$6)</f>
        <v>9.2054742905575768</v>
      </c>
      <c r="U382" s="81">
        <f>IF(G382="","",ABS(O382-Components!$C$7)/Components!$D$7)</f>
        <v>1.4184085053313495</v>
      </c>
      <c r="V382" s="81" t="str">
        <f>IF(G382="","",IF(M382="OK","NONE",INDEX({"S1","S2","W1","W2","N1","N2"},MATCH(MIN(P382:U382),P382:U382,0))))</f>
        <v>N2</v>
      </c>
      <c r="W382" s="117">
        <f t="shared" si="41"/>
        <v>1</v>
      </c>
      <c r="X382" s="107"/>
    </row>
    <row r="383" spans="1:24">
      <c r="A383" s="115">
        <v>381</v>
      </c>
      <c r="B383" s="116">
        <v>13</v>
      </c>
      <c r="C383" s="81" t="s">
        <v>132</v>
      </c>
      <c r="D383" s="111" t="s">
        <v>240</v>
      </c>
      <c r="E383" s="81" t="s">
        <v>110</v>
      </c>
      <c r="F383" s="61">
        <v>7.26</v>
      </c>
      <c r="G383" s="52">
        <f t="shared" si="35"/>
        <v>8.23</v>
      </c>
      <c r="H383" s="110"/>
      <c r="I383" s="81">
        <v>9.61</v>
      </c>
      <c r="J383" s="81">
        <f>VLOOKUP(C383,Recipes!$A$2:$N$4,12,FALSE())</f>
        <v>6.1509461004819709E-2</v>
      </c>
      <c r="K383" s="81">
        <f t="shared" si="36"/>
        <v>9.3947168864831312</v>
      </c>
      <c r="L383" s="81">
        <f t="shared" si="37"/>
        <v>9.8252831135168677</v>
      </c>
      <c r="M383" s="81" t="str">
        <f t="shared" si="39"/>
        <v>NG</v>
      </c>
      <c r="N383" s="117">
        <f t="shared" si="38"/>
        <v>1</v>
      </c>
      <c r="O383" s="81">
        <f t="shared" si="40"/>
        <v>1.379999999999999</v>
      </c>
      <c r="P383" s="81">
        <f>IF(G383="","",ABS(O383-Components!$C$2)/Components!$D$2)</f>
        <v>207.79916079732325</v>
      </c>
      <c r="Q383" s="81">
        <f>IF(G383="","",ABS(O383-Components!$C$3)/Components!$D$3)</f>
        <v>192.51187804498389</v>
      </c>
      <c r="R383" s="81">
        <f>IF(G383="","",ABS(O383-Components!$C$4)/Components!$D$4)</f>
        <v>27.661256262852842</v>
      </c>
      <c r="S383" s="81">
        <f>IF(G383="","",ABS(O383-Components!$C$5)/Components!$D$5)</f>
        <v>126.39754918483287</v>
      </c>
      <c r="T383" s="81">
        <f>IF(G383="","",ABS(O383-Components!$C$6)/Components!$D$6)</f>
        <v>8.1196385288928568</v>
      </c>
      <c r="U383" s="81">
        <f>IF(G383="","",ABS(O383-Components!$C$7)/Components!$D$7)</f>
        <v>0.22535462234244366</v>
      </c>
      <c r="V383" s="81" t="str">
        <f>IF(G383="","",IF(M383="OK","NONE",INDEX({"S1","S2","W1","W2","N1","N2"},MATCH(MIN(P383:U383),P383:U383,0))))</f>
        <v>N2</v>
      </c>
      <c r="W383" s="117">
        <f t="shared" si="41"/>
        <v>1</v>
      </c>
      <c r="X383" s="107"/>
    </row>
    <row r="384" spans="1:24">
      <c r="A384" s="115">
        <v>382</v>
      </c>
      <c r="B384" s="116">
        <v>13</v>
      </c>
      <c r="C384" s="81" t="s">
        <v>132</v>
      </c>
      <c r="D384" s="111" t="s">
        <v>240</v>
      </c>
      <c r="E384" s="81" t="s">
        <v>110</v>
      </c>
      <c r="F384" s="61">
        <v>7.26</v>
      </c>
      <c r="G384" s="52">
        <f t="shared" si="35"/>
        <v>8.23</v>
      </c>
      <c r="H384" s="110"/>
      <c r="I384" s="81">
        <v>9.61</v>
      </c>
      <c r="J384" s="81">
        <f>VLOOKUP(C384,Recipes!$A$2:$N$4,12,FALSE())</f>
        <v>6.1509461004819709E-2</v>
      </c>
      <c r="K384" s="81">
        <f t="shared" si="36"/>
        <v>9.3947168864831312</v>
      </c>
      <c r="L384" s="81">
        <f t="shared" si="37"/>
        <v>9.8252831135168677</v>
      </c>
      <c r="M384" s="81" t="str">
        <f t="shared" si="39"/>
        <v>NG</v>
      </c>
      <c r="N384" s="117">
        <f t="shared" si="38"/>
        <v>1</v>
      </c>
      <c r="O384" s="81">
        <f t="shared" si="40"/>
        <v>1.379999999999999</v>
      </c>
      <c r="P384" s="81">
        <f>IF(G384="","",ABS(O384-Components!$C$2)/Components!$D$2)</f>
        <v>207.79916079732325</v>
      </c>
      <c r="Q384" s="81">
        <f>IF(G384="","",ABS(O384-Components!$C$3)/Components!$D$3)</f>
        <v>192.51187804498389</v>
      </c>
      <c r="R384" s="81">
        <f>IF(G384="","",ABS(O384-Components!$C$4)/Components!$D$4)</f>
        <v>27.661256262852842</v>
      </c>
      <c r="S384" s="81">
        <f>IF(G384="","",ABS(O384-Components!$C$5)/Components!$D$5)</f>
        <v>126.39754918483287</v>
      </c>
      <c r="T384" s="81">
        <f>IF(G384="","",ABS(O384-Components!$C$6)/Components!$D$6)</f>
        <v>8.1196385288928568</v>
      </c>
      <c r="U384" s="81">
        <f>IF(G384="","",ABS(O384-Components!$C$7)/Components!$D$7)</f>
        <v>0.22535462234244366</v>
      </c>
      <c r="V384" s="81" t="str">
        <f>IF(G384="","",IF(M384="OK","NONE",INDEX({"S1","S2","W1","W2","N1","N2"},MATCH(MIN(P384:U384),P384:U384,0))))</f>
        <v>N2</v>
      </c>
      <c r="W384" s="117">
        <f t="shared" si="41"/>
        <v>1</v>
      </c>
      <c r="X384" s="107"/>
    </row>
    <row r="385" spans="1:24">
      <c r="A385" s="115">
        <v>383</v>
      </c>
      <c r="B385" s="116">
        <v>13</v>
      </c>
      <c r="C385" s="81" t="s">
        <v>132</v>
      </c>
      <c r="D385" s="111" t="s">
        <v>240</v>
      </c>
      <c r="E385" s="81" t="s">
        <v>110</v>
      </c>
      <c r="F385" s="61">
        <v>7.27</v>
      </c>
      <c r="G385" s="52">
        <f t="shared" si="35"/>
        <v>8.24</v>
      </c>
      <c r="H385" s="110"/>
      <c r="I385" s="81">
        <v>9.61</v>
      </c>
      <c r="J385" s="81">
        <f>VLOOKUP(C385,Recipes!$A$2:$N$4,12,FALSE())</f>
        <v>6.1509461004819709E-2</v>
      </c>
      <c r="K385" s="81">
        <f t="shared" si="36"/>
        <v>9.3947168864831312</v>
      </c>
      <c r="L385" s="81">
        <f t="shared" si="37"/>
        <v>9.8252831135168677</v>
      </c>
      <c r="M385" s="81" t="str">
        <f t="shared" si="39"/>
        <v>NG</v>
      </c>
      <c r="N385" s="117">
        <f t="shared" si="38"/>
        <v>1</v>
      </c>
      <c r="O385" s="81">
        <f t="shared" si="40"/>
        <v>1.3699999999999992</v>
      </c>
      <c r="P385" s="81">
        <f>IF(G385="","",ABS(O385-Components!$C$2)/Components!$D$2)</f>
        <v>209.31226148274064</v>
      </c>
      <c r="Q385" s="81">
        <f>IF(G385="","",ABS(O385-Components!$C$3)/Components!$D$3)</f>
        <v>193.2366968629243</v>
      </c>
      <c r="R385" s="81">
        <f>IF(G385="","",ABS(O385-Components!$C$4)/Components!$D$4)</f>
        <v>26.94587894571011</v>
      </c>
      <c r="S385" s="81">
        <f>IF(G385="","",ABS(O385-Components!$C$5)/Components!$D$5)</f>
        <v>126.7946927201853</v>
      </c>
      <c r="T385" s="81">
        <f>IF(G385="","",ABS(O385-Components!$C$6)/Components!$D$6)</f>
        <v>7.7576932750046179</v>
      </c>
      <c r="U385" s="81">
        <f>IF(G385="","",ABS(O385-Components!$C$7)/Components!$D$7)</f>
        <v>0.17233000532052495</v>
      </c>
      <c r="V385" s="81" t="str">
        <f>IF(G385="","",IF(M385="OK","NONE",INDEX({"S1","S2","W1","W2","N1","N2"},MATCH(MIN(P385:U385),P385:U385,0))))</f>
        <v>N2</v>
      </c>
      <c r="W385" s="117">
        <f t="shared" si="41"/>
        <v>1</v>
      </c>
      <c r="X385" s="107"/>
    </row>
    <row r="386" spans="1:24">
      <c r="A386" s="115">
        <v>384</v>
      </c>
      <c r="B386" s="116">
        <v>13</v>
      </c>
      <c r="C386" s="81" t="s">
        <v>132</v>
      </c>
      <c r="D386" s="111" t="s">
        <v>240</v>
      </c>
      <c r="E386" s="81" t="s">
        <v>110</v>
      </c>
      <c r="F386" s="61">
        <v>7.14</v>
      </c>
      <c r="G386" s="52">
        <f t="shared" si="35"/>
        <v>8.11</v>
      </c>
      <c r="H386" s="110"/>
      <c r="I386" s="81">
        <v>9.61</v>
      </c>
      <c r="J386" s="81">
        <f>VLOOKUP(C386,Recipes!$A$2:$N$4,12,FALSE())</f>
        <v>6.1509461004819709E-2</v>
      </c>
      <c r="K386" s="81">
        <f t="shared" si="36"/>
        <v>9.3947168864831312</v>
      </c>
      <c r="L386" s="81">
        <f t="shared" si="37"/>
        <v>9.8252831135168677</v>
      </c>
      <c r="M386" s="81" t="str">
        <f t="shared" si="39"/>
        <v>NG</v>
      </c>
      <c r="N386" s="117">
        <f t="shared" si="38"/>
        <v>1</v>
      </c>
      <c r="O386" s="81">
        <f t="shared" si="40"/>
        <v>1.5</v>
      </c>
      <c r="P386" s="81">
        <f>IF(G386="","",ABS(O386-Components!$C$2)/Components!$D$2)</f>
        <v>189.64195257231424</v>
      </c>
      <c r="Q386" s="81">
        <f>IF(G386="","",ABS(O386-Components!$C$3)/Components!$D$3)</f>
        <v>183.8140522296984</v>
      </c>
      <c r="R386" s="81">
        <f>IF(G386="","",ABS(O386-Components!$C$4)/Components!$D$4)</f>
        <v>36.245784068565875</v>
      </c>
      <c r="S386" s="81">
        <f>IF(G386="","",ABS(O386-Components!$C$5)/Components!$D$5)</f>
        <v>121.6318267606037</v>
      </c>
      <c r="T386" s="81">
        <f>IF(G386="","",ABS(O386-Components!$C$6)/Components!$D$6)</f>
        <v>12.46298157555186</v>
      </c>
      <c r="U386" s="81">
        <f>IF(G386="","",ABS(O386-Components!$C$7)/Components!$D$7)</f>
        <v>4.9975701542982085</v>
      </c>
      <c r="V386" s="81" t="str">
        <f>IF(G386="","",IF(M386="OK","NONE",INDEX({"S1","S2","W1","W2","N1","N2"},MATCH(MIN(P386:U386),P386:U386,0))))</f>
        <v>N2</v>
      </c>
      <c r="W386" s="117">
        <f t="shared" si="41"/>
        <v>1</v>
      </c>
      <c r="X386" s="107"/>
    </row>
    <row r="387" spans="1:24">
      <c r="A387" s="115">
        <v>385</v>
      </c>
      <c r="B387" s="116">
        <v>13</v>
      </c>
      <c r="C387" s="81" t="s">
        <v>132</v>
      </c>
      <c r="D387" s="111" t="s">
        <v>240</v>
      </c>
      <c r="E387" s="81" t="s">
        <v>110</v>
      </c>
      <c r="F387" s="61">
        <v>6.97</v>
      </c>
      <c r="G387" s="52">
        <f t="shared" ref="G387:G422" si="42">0.97+F387</f>
        <v>7.9399999999999995</v>
      </c>
      <c r="H387" s="110"/>
      <c r="I387" s="81">
        <v>9.61</v>
      </c>
      <c r="J387" s="81">
        <f>VLOOKUP(C387,Recipes!$A$2:$N$4,12,FALSE())</f>
        <v>6.1509461004819709E-2</v>
      </c>
      <c r="K387" s="81">
        <f t="shared" ref="K387:K422" si="43">I387-3.5*J387</f>
        <v>9.3947168864831312</v>
      </c>
      <c r="L387" s="81">
        <f t="shared" ref="L387:L422" si="44">I387+3.5*J387</f>
        <v>9.8252831135168677</v>
      </c>
      <c r="M387" s="81" t="str">
        <f t="shared" si="39"/>
        <v>NG</v>
      </c>
      <c r="N387" s="117">
        <f t="shared" ref="N387:N422" si="45">IF(M387="","",IF(M387=D387,1,0))</f>
        <v>1</v>
      </c>
      <c r="O387" s="81">
        <f t="shared" si="40"/>
        <v>1.67</v>
      </c>
      <c r="P387" s="81">
        <f>IF(G387="","",ABS(O387-Components!$C$2)/Components!$D$2)</f>
        <v>163.91924092021836</v>
      </c>
      <c r="Q387" s="81">
        <f>IF(G387="","",ABS(O387-Components!$C$3)/Components!$D$3)</f>
        <v>171.49213232471072</v>
      </c>
      <c r="R387" s="81">
        <f>IF(G387="","",ABS(O387-Components!$C$4)/Components!$D$4)</f>
        <v>48.407198459992571</v>
      </c>
      <c r="S387" s="81">
        <f>IF(G387="","",ABS(O387-Components!$C$5)/Components!$D$5)</f>
        <v>114.88038665961243</v>
      </c>
      <c r="T387" s="81">
        <f>IF(G387="","",ABS(O387-Components!$C$6)/Components!$D$6)</f>
        <v>18.616050891652058</v>
      </c>
      <c r="U387" s="81">
        <f>IF(G387="","",ABS(O387-Components!$C$7)/Components!$D$7)</f>
        <v>11.758208824568817</v>
      </c>
      <c r="V387" s="81" t="str">
        <f>IF(G387="","",IF(M387="OK","NONE",INDEX({"S1","S2","W1","W2","N1","N2"},MATCH(MIN(P387:U387),P387:U387,0))))</f>
        <v>N2</v>
      </c>
      <c r="W387" s="117">
        <f t="shared" si="41"/>
        <v>1</v>
      </c>
      <c r="X387" s="107"/>
    </row>
    <row r="388" spans="1:24">
      <c r="A388" s="115">
        <v>386</v>
      </c>
      <c r="B388" s="116">
        <v>13</v>
      </c>
      <c r="C388" s="81" t="s">
        <v>132</v>
      </c>
      <c r="D388" s="111" t="s">
        <v>240</v>
      </c>
      <c r="E388" s="81" t="s">
        <v>110</v>
      </c>
      <c r="F388" s="52">
        <v>7.29</v>
      </c>
      <c r="G388" s="52">
        <f t="shared" si="42"/>
        <v>8.26</v>
      </c>
      <c r="H388" s="110"/>
      <c r="I388" s="81">
        <v>9.61</v>
      </c>
      <c r="J388" s="81">
        <f>VLOOKUP(C388,Recipes!$A$2:$N$4,12,FALSE())</f>
        <v>6.1509461004819709E-2</v>
      </c>
      <c r="K388" s="81">
        <f t="shared" si="43"/>
        <v>9.3947168864831312</v>
      </c>
      <c r="L388" s="81">
        <f t="shared" si="44"/>
        <v>9.8252831135168677</v>
      </c>
      <c r="M388" s="81" t="str">
        <f t="shared" ref="M388:M422" si="46">IF(G388="","",IF(AND(G388&gt;=K388,G388&lt;=L388),"OK","NG"))</f>
        <v>NG</v>
      </c>
      <c r="N388" s="117">
        <f t="shared" si="45"/>
        <v>1</v>
      </c>
      <c r="O388" s="81">
        <f t="shared" ref="O388:O422" si="47">IF(G388="","",I388-G388)</f>
        <v>1.3499999999999996</v>
      </c>
      <c r="P388" s="81">
        <f>IF(G388="","",ABS(O388-Components!$C$2)/Components!$D$2)</f>
        <v>212.33846285357538</v>
      </c>
      <c r="Q388" s="81">
        <f>IF(G388="","",ABS(O388-Components!$C$3)/Components!$D$3)</f>
        <v>194.68633449880519</v>
      </c>
      <c r="R388" s="81">
        <f>IF(G388="","",ABS(O388-Components!$C$4)/Components!$D$4)</f>
        <v>25.515124311424646</v>
      </c>
      <c r="S388" s="81">
        <f>IF(G388="","",ABS(O388-Components!$C$5)/Components!$D$5)</f>
        <v>127.58897979089012</v>
      </c>
      <c r="T388" s="81">
        <f>IF(G388="","",ABS(O388-Components!$C$6)/Components!$D$6)</f>
        <v>7.0338027672281394</v>
      </c>
      <c r="U388" s="81">
        <f>IF(G388="","",ABS(O388-Components!$C$7)/Components!$D$7)</f>
        <v>0.96769926064646217</v>
      </c>
      <c r="V388" s="81" t="str">
        <f>IF(G388="","",IF(M388="OK","NONE",INDEX({"S1","S2","W1","W2","N1","N2"},MATCH(MIN(P388:U388),P388:U388,0))))</f>
        <v>N2</v>
      </c>
      <c r="W388" s="117">
        <f t="shared" ref="W388:W422" si="48">IF(G388="","",IF(V388=E388,1,0))</f>
        <v>1</v>
      </c>
      <c r="X388" s="107"/>
    </row>
    <row r="389" spans="1:24">
      <c r="A389" s="115">
        <v>387</v>
      </c>
      <c r="B389" s="116">
        <v>13</v>
      </c>
      <c r="C389" s="81" t="s">
        <v>132</v>
      </c>
      <c r="D389" s="111" t="s">
        <v>240</v>
      </c>
      <c r="E389" s="81" t="s">
        <v>110</v>
      </c>
      <c r="F389" s="52">
        <v>7.16</v>
      </c>
      <c r="G389" s="52">
        <f t="shared" si="42"/>
        <v>8.1300000000000008</v>
      </c>
      <c r="H389" s="110"/>
      <c r="I389" s="81">
        <v>9.61</v>
      </c>
      <c r="J389" s="81">
        <f>VLOOKUP(C389,Recipes!$A$2:$N$4,12,FALSE())</f>
        <v>6.1509461004819709E-2</v>
      </c>
      <c r="K389" s="81">
        <f t="shared" si="43"/>
        <v>9.3947168864831312</v>
      </c>
      <c r="L389" s="81">
        <f t="shared" si="44"/>
        <v>9.8252831135168677</v>
      </c>
      <c r="M389" s="81" t="str">
        <f t="shared" si="46"/>
        <v>NG</v>
      </c>
      <c r="N389" s="117">
        <f t="shared" si="45"/>
        <v>1</v>
      </c>
      <c r="O389" s="81">
        <f t="shared" si="47"/>
        <v>1.4799999999999986</v>
      </c>
      <c r="P389" s="81">
        <f>IF(G389="","",ABS(O389-Components!$C$2)/Components!$D$2)</f>
        <v>192.66815394314926</v>
      </c>
      <c r="Q389" s="81">
        <f>IF(G389="","",ABS(O389-Components!$C$3)/Components!$D$3)</f>
        <v>185.26368986557938</v>
      </c>
      <c r="R389" s="81">
        <f>IF(G389="","",ABS(O389-Components!$C$4)/Components!$D$4)</f>
        <v>34.815029434280284</v>
      </c>
      <c r="S389" s="81">
        <f>IF(G389="","",ABS(O389-Components!$C$5)/Components!$D$5)</f>
        <v>122.42611383130861</v>
      </c>
      <c r="T389" s="81">
        <f>IF(G389="","",ABS(O389-Components!$C$6)/Components!$D$6)</f>
        <v>11.739091067775316</v>
      </c>
      <c r="U389" s="81">
        <f>IF(G389="","",ABS(O389-Components!$C$7)/Components!$D$7)</f>
        <v>4.2022008989722002</v>
      </c>
      <c r="V389" s="81" t="str">
        <f>IF(G389="","",IF(M389="OK","NONE",INDEX({"S1","S2","W1","W2","N1","N2"},MATCH(MIN(P389:U389),P389:U389,0))))</f>
        <v>N2</v>
      </c>
      <c r="W389" s="117">
        <f t="shared" si="48"/>
        <v>1</v>
      </c>
      <c r="X389" s="107"/>
    </row>
    <row r="390" spans="1:24">
      <c r="A390" s="115">
        <v>388</v>
      </c>
      <c r="B390" s="116">
        <v>13</v>
      </c>
      <c r="C390" s="81" t="s">
        <v>132</v>
      </c>
      <c r="D390" s="111" t="s">
        <v>240</v>
      </c>
      <c r="E390" s="81" t="s">
        <v>110</v>
      </c>
      <c r="F390" s="52">
        <v>7.23</v>
      </c>
      <c r="G390" s="52">
        <f t="shared" si="42"/>
        <v>8.2000000000000011</v>
      </c>
      <c r="H390" s="110"/>
      <c r="I390" s="81">
        <v>9.61</v>
      </c>
      <c r="J390" s="81">
        <f>VLOOKUP(C390,Recipes!$A$2:$N$4,12,FALSE())</f>
        <v>6.1509461004819709E-2</v>
      </c>
      <c r="K390" s="81">
        <f t="shared" si="43"/>
        <v>9.3947168864831312</v>
      </c>
      <c r="L390" s="81">
        <f t="shared" si="44"/>
        <v>9.8252831135168677</v>
      </c>
      <c r="M390" s="81" t="str">
        <f t="shared" si="46"/>
        <v>NG</v>
      </c>
      <c r="N390" s="117">
        <f t="shared" si="45"/>
        <v>1</v>
      </c>
      <c r="O390" s="81">
        <f t="shared" si="47"/>
        <v>1.4099999999999984</v>
      </c>
      <c r="P390" s="81">
        <f>IF(G390="","",ABS(O390-Components!$C$2)/Components!$D$2)</f>
        <v>203.25985874107113</v>
      </c>
      <c r="Q390" s="81">
        <f>IF(G390="","",ABS(O390-Components!$C$3)/Components!$D$3)</f>
        <v>190.33742159116258</v>
      </c>
      <c r="R390" s="81">
        <f>IF(G390="","",ABS(O390-Components!$C$4)/Components!$D$4)</f>
        <v>29.807388214281037</v>
      </c>
      <c r="S390" s="81">
        <f>IF(G390="","",ABS(O390-Components!$C$5)/Components!$D$5)</f>
        <v>125.20611857877562</v>
      </c>
      <c r="T390" s="81">
        <f>IF(G390="","",ABS(O390-Components!$C$6)/Components!$D$6)</f>
        <v>9.2054742905575768</v>
      </c>
      <c r="U390" s="81">
        <f>IF(G390="","",ABS(O390-Components!$C$7)/Components!$D$7)</f>
        <v>1.4184085053313495</v>
      </c>
      <c r="V390" s="81" t="str">
        <f>IF(G390="","",IF(M390="OK","NONE",INDEX({"S1","S2","W1","W2","N1","N2"},MATCH(MIN(P390:U390),P390:U390,0))))</f>
        <v>N2</v>
      </c>
      <c r="W390" s="117">
        <f t="shared" si="48"/>
        <v>1</v>
      </c>
      <c r="X390" s="107"/>
    </row>
    <row r="391" spans="1:24">
      <c r="A391" s="115">
        <v>389</v>
      </c>
      <c r="B391" s="116">
        <v>13</v>
      </c>
      <c r="C391" s="61" t="s">
        <v>132</v>
      </c>
      <c r="D391" s="61" t="s">
        <v>240</v>
      </c>
      <c r="E391" s="61" t="s">
        <v>110</v>
      </c>
      <c r="F391" s="61">
        <v>7.25</v>
      </c>
      <c r="G391" s="52">
        <f t="shared" si="42"/>
        <v>8.2200000000000006</v>
      </c>
      <c r="H391" s="110"/>
      <c r="I391" s="81">
        <v>9.61</v>
      </c>
      <c r="J391" s="81">
        <f>VLOOKUP(C391,Recipes!$A$2:$N$4,12,FALSE())</f>
        <v>6.1509461004819709E-2</v>
      </c>
      <c r="K391" s="81">
        <f t="shared" si="43"/>
        <v>9.3947168864831312</v>
      </c>
      <c r="L391" s="81">
        <f t="shared" si="44"/>
        <v>9.8252831135168677</v>
      </c>
      <c r="M391" s="81" t="str">
        <f t="shared" si="46"/>
        <v>NG</v>
      </c>
      <c r="N391" s="117">
        <f t="shared" si="45"/>
        <v>1</v>
      </c>
      <c r="O391" s="81">
        <f t="shared" si="47"/>
        <v>1.3899999999999988</v>
      </c>
      <c r="P391" s="81">
        <f>IF(G391="","",ABS(O391-Components!$C$2)/Components!$D$2)</f>
        <v>206.28606011190587</v>
      </c>
      <c r="Q391" s="81">
        <f>IF(G391="","",ABS(O391-Components!$C$3)/Components!$D$3)</f>
        <v>191.78705922704344</v>
      </c>
      <c r="R391" s="81">
        <f>IF(G391="","",ABS(O391-Components!$C$4)/Components!$D$4)</f>
        <v>28.376633579995573</v>
      </c>
      <c r="S391" s="81">
        <f>IF(G391="","",ABS(O391-Components!$C$5)/Components!$D$5)</f>
        <v>126.00040564948046</v>
      </c>
      <c r="T391" s="81">
        <f>IF(G391="","",ABS(O391-Components!$C$6)/Components!$D$6)</f>
        <v>8.4815837827810974</v>
      </c>
      <c r="U391" s="81">
        <f>IF(G391="","",ABS(O391-Components!$C$7)/Components!$D$7)</f>
        <v>0.62303925000541227</v>
      </c>
      <c r="V391" s="81" t="str">
        <f>IF(G391="","",IF(M391="OK","NONE",INDEX({"S1","S2","W1","W2","N1","N2"},MATCH(MIN(P391:U391),P391:U391,0))))</f>
        <v>N2</v>
      </c>
      <c r="W391" s="117">
        <f t="shared" si="48"/>
        <v>1</v>
      </c>
      <c r="X391" s="107"/>
    </row>
    <row r="392" spans="1:24">
      <c r="A392" s="115">
        <v>390</v>
      </c>
      <c r="B392" s="116">
        <v>13</v>
      </c>
      <c r="C392" s="61" t="s">
        <v>132</v>
      </c>
      <c r="D392" s="61" t="s">
        <v>240</v>
      </c>
      <c r="E392" s="61" t="s">
        <v>110</v>
      </c>
      <c r="F392" s="61">
        <v>7.2</v>
      </c>
      <c r="G392" s="52">
        <f t="shared" si="42"/>
        <v>8.17</v>
      </c>
      <c r="H392" s="110"/>
      <c r="I392" s="81">
        <v>9.61</v>
      </c>
      <c r="J392" s="81">
        <f>VLOOKUP(C392,Recipes!$A$2:$N$4,12,FALSE())</f>
        <v>6.1509461004819709E-2</v>
      </c>
      <c r="K392" s="81">
        <f t="shared" si="43"/>
        <v>9.3947168864831312</v>
      </c>
      <c r="L392" s="81">
        <f t="shared" si="44"/>
        <v>9.8252831135168677</v>
      </c>
      <c r="M392" s="81" t="str">
        <f t="shared" si="46"/>
        <v>NG</v>
      </c>
      <c r="N392" s="117">
        <f t="shared" si="45"/>
        <v>1</v>
      </c>
      <c r="O392" s="81">
        <f t="shared" si="47"/>
        <v>1.4399999999999995</v>
      </c>
      <c r="P392" s="81">
        <f>IF(G392="","",ABS(O392-Components!$C$2)/Components!$D$2)</f>
        <v>198.72055668481875</v>
      </c>
      <c r="Q392" s="81">
        <f>IF(G392="","",ABS(O392-Components!$C$3)/Components!$D$3)</f>
        <v>188.16296513734113</v>
      </c>
      <c r="R392" s="81">
        <f>IF(G392="","",ABS(O392-Components!$C$4)/Components!$D$4)</f>
        <v>31.95352016570936</v>
      </c>
      <c r="S392" s="81">
        <f>IF(G392="","",ABS(O392-Components!$C$5)/Components!$D$5)</f>
        <v>124.01468797271828</v>
      </c>
      <c r="T392" s="81">
        <f>IF(G392="","",ABS(O392-Components!$C$6)/Components!$D$6)</f>
        <v>10.291310052222359</v>
      </c>
      <c r="U392" s="81">
        <f>IF(G392="","",ABS(O392-Components!$C$7)/Components!$D$7)</f>
        <v>2.6114623883203261</v>
      </c>
      <c r="V392" s="81" t="str">
        <f>IF(G392="","",IF(M392="OK","NONE",INDEX({"S1","S2","W1","W2","N1","N2"},MATCH(MIN(P392:U392),P392:U392,0))))</f>
        <v>N2</v>
      </c>
      <c r="W392" s="117">
        <f t="shared" si="48"/>
        <v>1</v>
      </c>
      <c r="X392" s="107"/>
    </row>
    <row r="393" spans="1:24">
      <c r="A393" s="115">
        <v>391</v>
      </c>
      <c r="B393" s="116">
        <v>14</v>
      </c>
      <c r="C393" s="81" t="s">
        <v>132</v>
      </c>
      <c r="D393" s="111" t="s">
        <v>240</v>
      </c>
      <c r="E393" s="81" t="s">
        <v>108</v>
      </c>
      <c r="F393" s="61">
        <v>7.39</v>
      </c>
      <c r="G393" s="52">
        <f t="shared" si="42"/>
        <v>8.36</v>
      </c>
      <c r="H393" s="110"/>
      <c r="I393" s="81">
        <v>9.61</v>
      </c>
      <c r="J393" s="81">
        <f>VLOOKUP(C393,Recipes!$A$2:$N$4,12,FALSE())</f>
        <v>6.1509461004819709E-2</v>
      </c>
      <c r="K393" s="81">
        <f t="shared" si="43"/>
        <v>9.3947168864831312</v>
      </c>
      <c r="L393" s="81">
        <f t="shared" si="44"/>
        <v>9.8252831135168677</v>
      </c>
      <c r="M393" s="81" t="str">
        <f t="shared" si="46"/>
        <v>NG</v>
      </c>
      <c r="N393" s="117">
        <f t="shared" si="45"/>
        <v>1</v>
      </c>
      <c r="O393" s="81">
        <f t="shared" si="47"/>
        <v>1.25</v>
      </c>
      <c r="P393" s="81">
        <f>IF(G393="","",ABS(O393-Components!$C$2)/Components!$D$2)</f>
        <v>227.46946970774937</v>
      </c>
      <c r="Q393" s="81">
        <f>IF(G393="","",ABS(O393-Components!$C$3)/Components!$D$3)</f>
        <v>201.93452267820967</v>
      </c>
      <c r="R393" s="81">
        <f>IF(G393="","",ABS(O393-Components!$C$4)/Components!$D$4)</f>
        <v>18.3613511399972</v>
      </c>
      <c r="S393" s="81">
        <f>IF(G393="","",ABS(O393-Components!$C$5)/Components!$D$5)</f>
        <v>131.56041514441438</v>
      </c>
      <c r="T393" s="81">
        <f>IF(G393="","",ABS(O393-Components!$C$6)/Components!$D$6)</f>
        <v>3.4143502283456799</v>
      </c>
      <c r="U393" s="81">
        <f>IF(G393="","",ABS(O393-Components!$C$7)/Components!$D$7)</f>
        <v>4.9445455372762188</v>
      </c>
      <c r="V393" s="81" t="str">
        <f>IF(G393="","",IF(M393="OK","NONE",INDEX({"S1","S2","W1","W2","N1","N2"},MATCH(MIN(P393:U393),P393:U393,0))))</f>
        <v>N1</v>
      </c>
      <c r="W393" s="117">
        <f t="shared" si="48"/>
        <v>1</v>
      </c>
      <c r="X393" s="107"/>
    </row>
    <row r="394" spans="1:24">
      <c r="A394" s="115">
        <v>392</v>
      </c>
      <c r="B394" s="116">
        <v>14</v>
      </c>
      <c r="C394" s="81" t="s">
        <v>132</v>
      </c>
      <c r="D394" s="111" t="s">
        <v>240</v>
      </c>
      <c r="E394" s="81" t="s">
        <v>108</v>
      </c>
      <c r="F394" s="61">
        <v>7.49</v>
      </c>
      <c r="G394" s="52">
        <f t="shared" si="42"/>
        <v>8.4600000000000009</v>
      </c>
      <c r="H394" s="110"/>
      <c r="I394" s="81">
        <v>9.61</v>
      </c>
      <c r="J394" s="81">
        <f>VLOOKUP(C394,Recipes!$A$2:$N$4,12,FALSE())</f>
        <v>6.1509461004819709E-2</v>
      </c>
      <c r="K394" s="81">
        <f t="shared" si="43"/>
        <v>9.3947168864831312</v>
      </c>
      <c r="L394" s="81">
        <f t="shared" si="44"/>
        <v>9.8252831135168677</v>
      </c>
      <c r="M394" s="81" t="str">
        <f t="shared" si="46"/>
        <v>NG</v>
      </c>
      <c r="N394" s="117">
        <f t="shared" si="45"/>
        <v>1</v>
      </c>
      <c r="O394" s="81">
        <f t="shared" si="47"/>
        <v>1.1499999999999986</v>
      </c>
      <c r="P394" s="81">
        <f>IF(G394="","",ABS(O394-Components!$C$2)/Components!$D$2)</f>
        <v>242.60047656192364</v>
      </c>
      <c r="Q394" s="81">
        <f>IF(G394="","",ABS(O394-Components!$C$3)/Components!$D$3)</f>
        <v>209.1827108576143</v>
      </c>
      <c r="R394" s="81">
        <f>IF(G394="","",ABS(O394-Components!$C$4)/Components!$D$4)</f>
        <v>11.207577968569629</v>
      </c>
      <c r="S394" s="81">
        <f>IF(G394="","",ABS(O394-Components!$C$5)/Components!$D$5)</f>
        <v>135.53185049793873</v>
      </c>
      <c r="T394" s="81">
        <f>IF(G394="","",ABS(O394-Components!$C$6)/Components!$D$6)</f>
        <v>0.20510231053684372</v>
      </c>
      <c r="U394" s="81">
        <f>IF(G394="","",ABS(O394-Components!$C$7)/Components!$D$7)</f>
        <v>8.9213918139060464</v>
      </c>
      <c r="V394" s="81" t="str">
        <f>IF(G394="","",IF(M394="OK","NONE",INDEX({"S1","S2","W1","W2","N1","N2"},MATCH(MIN(P394:U394),P394:U394,0))))</f>
        <v>N1</v>
      </c>
      <c r="W394" s="117">
        <f t="shared" si="48"/>
        <v>1</v>
      </c>
      <c r="X394" s="107"/>
    </row>
    <row r="395" spans="1:24">
      <c r="A395" s="115">
        <v>393</v>
      </c>
      <c r="B395" s="116">
        <v>14</v>
      </c>
      <c r="C395" s="81" t="s">
        <v>132</v>
      </c>
      <c r="D395" s="111" t="s">
        <v>240</v>
      </c>
      <c r="E395" s="81" t="s">
        <v>108</v>
      </c>
      <c r="F395" s="61">
        <v>7.43</v>
      </c>
      <c r="G395" s="52">
        <f t="shared" si="42"/>
        <v>8.4</v>
      </c>
      <c r="H395" s="110"/>
      <c r="I395" s="81">
        <v>9.61</v>
      </c>
      <c r="J395" s="81">
        <f>VLOOKUP(C395,Recipes!$A$2:$N$4,12,FALSE())</f>
        <v>6.1509461004819709E-2</v>
      </c>
      <c r="K395" s="81">
        <f t="shared" si="43"/>
        <v>9.3947168864831312</v>
      </c>
      <c r="L395" s="81">
        <f t="shared" si="44"/>
        <v>9.8252831135168677</v>
      </c>
      <c r="M395" s="81" t="str">
        <f t="shared" si="46"/>
        <v>NG</v>
      </c>
      <c r="N395" s="117">
        <f t="shared" si="45"/>
        <v>1</v>
      </c>
      <c r="O395" s="81">
        <f t="shared" si="47"/>
        <v>1.2099999999999991</v>
      </c>
      <c r="P395" s="81">
        <f>IF(G395="","",ABS(O395-Components!$C$2)/Components!$D$2)</f>
        <v>233.52187244941913</v>
      </c>
      <c r="Q395" s="81">
        <f>IF(G395="","",ABS(O395-Components!$C$3)/Components!$D$3)</f>
        <v>204.83379794997154</v>
      </c>
      <c r="R395" s="81">
        <f>IF(G395="","",ABS(O395-Components!$C$4)/Components!$D$4)</f>
        <v>15.499841871426147</v>
      </c>
      <c r="S395" s="81">
        <f>IF(G395="","",ABS(O395-Components!$C$5)/Components!$D$5)</f>
        <v>133.14898928582414</v>
      </c>
      <c r="T395" s="81">
        <f>IF(G395="","",ABS(O395-Components!$C$6)/Components!$D$6)</f>
        <v>1.9665692127926575</v>
      </c>
      <c r="U395" s="81">
        <f>IF(G395="","",ABS(O395-Components!$C$7)/Components!$D$7)</f>
        <v>6.5352840479281635</v>
      </c>
      <c r="V395" s="81" t="str">
        <f>IF(G395="","",IF(M395="OK","NONE",INDEX({"S1","S2","W1","W2","N1","N2"},MATCH(MIN(P395:U395),P395:U395,0))))</f>
        <v>N1</v>
      </c>
      <c r="W395" s="117">
        <f t="shared" si="48"/>
        <v>1</v>
      </c>
      <c r="X395" s="107"/>
    </row>
    <row r="396" spans="1:24">
      <c r="A396" s="115">
        <v>394</v>
      </c>
      <c r="B396" s="116">
        <v>14</v>
      </c>
      <c r="C396" s="81" t="s">
        <v>132</v>
      </c>
      <c r="D396" s="111" t="s">
        <v>240</v>
      </c>
      <c r="E396" s="81" t="s">
        <v>108</v>
      </c>
      <c r="F396" s="61">
        <v>7.39</v>
      </c>
      <c r="G396" s="52">
        <f t="shared" si="42"/>
        <v>8.36</v>
      </c>
      <c r="H396" s="110"/>
      <c r="I396" s="81">
        <v>9.61</v>
      </c>
      <c r="J396" s="81">
        <f>VLOOKUP(C396,Recipes!$A$2:$N$4,12,FALSE())</f>
        <v>6.1509461004819709E-2</v>
      </c>
      <c r="K396" s="81">
        <f t="shared" si="43"/>
        <v>9.3947168864831312</v>
      </c>
      <c r="L396" s="81">
        <f t="shared" si="44"/>
        <v>9.8252831135168677</v>
      </c>
      <c r="M396" s="81" t="str">
        <f t="shared" si="46"/>
        <v>NG</v>
      </c>
      <c r="N396" s="117">
        <f t="shared" si="45"/>
        <v>1</v>
      </c>
      <c r="O396" s="81">
        <f t="shared" si="47"/>
        <v>1.25</v>
      </c>
      <c r="P396" s="81">
        <f>IF(G396="","",ABS(O396-Components!$C$2)/Components!$D$2)</f>
        <v>227.46946970774937</v>
      </c>
      <c r="Q396" s="81">
        <f>IF(G396="","",ABS(O396-Components!$C$3)/Components!$D$3)</f>
        <v>201.93452267820967</v>
      </c>
      <c r="R396" s="81">
        <f>IF(G396="","",ABS(O396-Components!$C$4)/Components!$D$4)</f>
        <v>18.3613511399972</v>
      </c>
      <c r="S396" s="81">
        <f>IF(G396="","",ABS(O396-Components!$C$5)/Components!$D$5)</f>
        <v>131.56041514441438</v>
      </c>
      <c r="T396" s="81">
        <f>IF(G396="","",ABS(O396-Components!$C$6)/Components!$D$6)</f>
        <v>3.4143502283456799</v>
      </c>
      <c r="U396" s="81">
        <f>IF(G396="","",ABS(O396-Components!$C$7)/Components!$D$7)</f>
        <v>4.9445455372762188</v>
      </c>
      <c r="V396" s="81" t="str">
        <f>IF(G396="","",IF(M396="OK","NONE",INDEX({"S1","S2","W1","W2","N1","N2"},MATCH(MIN(P396:U396),P396:U396,0))))</f>
        <v>N1</v>
      </c>
      <c r="W396" s="117">
        <f t="shared" si="48"/>
        <v>1</v>
      </c>
      <c r="X396" s="107"/>
    </row>
    <row r="397" spans="1:24">
      <c r="A397" s="115">
        <v>395</v>
      </c>
      <c r="B397" s="116">
        <v>14</v>
      </c>
      <c r="C397" s="81" t="s">
        <v>132</v>
      </c>
      <c r="D397" s="111" t="s">
        <v>240</v>
      </c>
      <c r="E397" s="81" t="s">
        <v>108</v>
      </c>
      <c r="F397" s="61">
        <v>7.49</v>
      </c>
      <c r="G397" s="52">
        <f t="shared" si="42"/>
        <v>8.4600000000000009</v>
      </c>
      <c r="H397" s="110"/>
      <c r="I397" s="81">
        <v>9.61</v>
      </c>
      <c r="J397" s="81">
        <f>VLOOKUP(C397,Recipes!$A$2:$N$4,12,FALSE())</f>
        <v>6.1509461004819709E-2</v>
      </c>
      <c r="K397" s="81">
        <f t="shared" si="43"/>
        <v>9.3947168864831312</v>
      </c>
      <c r="L397" s="81">
        <f t="shared" si="44"/>
        <v>9.8252831135168677</v>
      </c>
      <c r="M397" s="81" t="str">
        <f t="shared" si="46"/>
        <v>NG</v>
      </c>
      <c r="N397" s="117">
        <f t="shared" si="45"/>
        <v>1</v>
      </c>
      <c r="O397" s="81">
        <f t="shared" si="47"/>
        <v>1.1499999999999986</v>
      </c>
      <c r="P397" s="81">
        <f>IF(G397="","",ABS(O397-Components!$C$2)/Components!$D$2)</f>
        <v>242.60047656192364</v>
      </c>
      <c r="Q397" s="81">
        <f>IF(G397="","",ABS(O397-Components!$C$3)/Components!$D$3)</f>
        <v>209.1827108576143</v>
      </c>
      <c r="R397" s="81">
        <f>IF(G397="","",ABS(O397-Components!$C$4)/Components!$D$4)</f>
        <v>11.207577968569629</v>
      </c>
      <c r="S397" s="81">
        <f>IF(G397="","",ABS(O397-Components!$C$5)/Components!$D$5)</f>
        <v>135.53185049793873</v>
      </c>
      <c r="T397" s="81">
        <f>IF(G397="","",ABS(O397-Components!$C$6)/Components!$D$6)</f>
        <v>0.20510231053684372</v>
      </c>
      <c r="U397" s="81">
        <f>IF(G397="","",ABS(O397-Components!$C$7)/Components!$D$7)</f>
        <v>8.9213918139060464</v>
      </c>
      <c r="V397" s="81" t="str">
        <f>IF(G397="","",IF(M397="OK","NONE",INDEX({"S1","S2","W1","W2","N1","N2"},MATCH(MIN(P397:U397),P397:U397,0))))</f>
        <v>N1</v>
      </c>
      <c r="W397" s="117">
        <f t="shared" si="48"/>
        <v>1</v>
      </c>
      <c r="X397" s="107"/>
    </row>
    <row r="398" spans="1:24">
      <c r="A398" s="115">
        <v>396</v>
      </c>
      <c r="B398" s="116">
        <v>14</v>
      </c>
      <c r="C398" s="81" t="s">
        <v>132</v>
      </c>
      <c r="D398" s="111" t="s">
        <v>240</v>
      </c>
      <c r="E398" s="81" t="s">
        <v>108</v>
      </c>
      <c r="F398" s="61">
        <v>7.48</v>
      </c>
      <c r="G398" s="52">
        <f t="shared" si="42"/>
        <v>8.4500000000000011</v>
      </c>
      <c r="H398" s="110"/>
      <c r="I398" s="81">
        <v>9.61</v>
      </c>
      <c r="J398" s="81">
        <f>VLOOKUP(C398,Recipes!$A$2:$N$4,12,FALSE())</f>
        <v>6.1509461004819709E-2</v>
      </c>
      <c r="K398" s="81">
        <f t="shared" si="43"/>
        <v>9.3947168864831312</v>
      </c>
      <c r="L398" s="81">
        <f t="shared" si="44"/>
        <v>9.8252831135168677</v>
      </c>
      <c r="M398" s="81" t="str">
        <f t="shared" si="46"/>
        <v>NG</v>
      </c>
      <c r="N398" s="117">
        <f t="shared" si="45"/>
        <v>1</v>
      </c>
      <c r="O398" s="81">
        <f t="shared" si="47"/>
        <v>1.1599999999999984</v>
      </c>
      <c r="P398" s="81">
        <f>IF(G398="","",ABS(O398-Components!$C$2)/Components!$D$2)</f>
        <v>241.08737587650626</v>
      </c>
      <c r="Q398" s="81">
        <f>IF(G398="","",ABS(O398-Components!$C$3)/Components!$D$3)</f>
        <v>208.45789203967385</v>
      </c>
      <c r="R398" s="81">
        <f>IF(G398="","",ABS(O398-Components!$C$4)/Components!$D$4)</f>
        <v>11.92295528571236</v>
      </c>
      <c r="S398" s="81">
        <f>IF(G398="","",ABS(O398-Components!$C$5)/Components!$D$5)</f>
        <v>135.13470696258631</v>
      </c>
      <c r="T398" s="81">
        <f>IF(G398="","",ABS(O398-Components!$C$6)/Components!$D$6)</f>
        <v>0.15684294335139579</v>
      </c>
      <c r="U398" s="81">
        <f>IF(G398="","",ABS(O398-Components!$C$7)/Components!$D$7)</f>
        <v>8.5237071862430778</v>
      </c>
      <c r="V398" s="81" t="str">
        <f>IF(G398="","",IF(M398="OK","NONE",INDEX({"S1","S2","W1","W2","N1","N2"},MATCH(MIN(P398:U398),P398:U398,0))))</f>
        <v>N1</v>
      </c>
      <c r="W398" s="117">
        <f t="shared" si="48"/>
        <v>1</v>
      </c>
      <c r="X398" s="107"/>
    </row>
    <row r="399" spans="1:24">
      <c r="A399" s="115">
        <v>397</v>
      </c>
      <c r="B399" s="116">
        <v>14</v>
      </c>
      <c r="C399" s="81" t="s">
        <v>132</v>
      </c>
      <c r="D399" s="111" t="s">
        <v>240</v>
      </c>
      <c r="E399" s="81" t="s">
        <v>108</v>
      </c>
      <c r="F399" s="61">
        <v>7.46</v>
      </c>
      <c r="G399" s="52">
        <f t="shared" si="42"/>
        <v>8.43</v>
      </c>
      <c r="H399" s="110"/>
      <c r="I399" s="81">
        <v>9.61</v>
      </c>
      <c r="J399" s="81">
        <f>VLOOKUP(C399,Recipes!$A$2:$N$4,12,FALSE())</f>
        <v>6.1509461004819709E-2</v>
      </c>
      <c r="K399" s="81">
        <f t="shared" si="43"/>
        <v>9.3947168864831312</v>
      </c>
      <c r="L399" s="81">
        <f t="shared" si="44"/>
        <v>9.8252831135168677</v>
      </c>
      <c r="M399" s="81" t="str">
        <f t="shared" si="46"/>
        <v>NG</v>
      </c>
      <c r="N399" s="117">
        <f t="shared" si="45"/>
        <v>1</v>
      </c>
      <c r="O399" s="81">
        <f t="shared" si="47"/>
        <v>1.1799999999999997</v>
      </c>
      <c r="P399" s="81">
        <f>IF(G399="","",ABS(O399-Components!$C$2)/Components!$D$2)</f>
        <v>238.06117450567126</v>
      </c>
      <c r="Q399" s="81">
        <f>IF(G399="","",ABS(O399-Components!$C$3)/Components!$D$3)</f>
        <v>207.00825440379285</v>
      </c>
      <c r="R399" s="81">
        <f>IF(G399="","",ABS(O399-Components!$C$4)/Components!$D$4)</f>
        <v>13.353709919997952</v>
      </c>
      <c r="S399" s="81">
        <f>IF(G399="","",ABS(O399-Components!$C$5)/Components!$D$5)</f>
        <v>134.3404198918814</v>
      </c>
      <c r="T399" s="81">
        <f>IF(G399="","",ABS(O399-Components!$C$6)/Components!$D$6)</f>
        <v>0.8807334511279391</v>
      </c>
      <c r="U399" s="81">
        <f>IF(G399="","",ABS(O399-Components!$C$7)/Components!$D$7)</f>
        <v>7.7283379309170694</v>
      </c>
      <c r="V399" s="81" t="str">
        <f>IF(G399="","",IF(M399="OK","NONE",INDEX({"S1","S2","W1","W2","N1","N2"},MATCH(MIN(P399:U399),P399:U399,0))))</f>
        <v>N1</v>
      </c>
      <c r="W399" s="117">
        <f t="shared" si="48"/>
        <v>1</v>
      </c>
      <c r="X399" s="107"/>
    </row>
    <row r="400" spans="1:24">
      <c r="A400" s="115">
        <v>398</v>
      </c>
      <c r="B400" s="116">
        <v>14</v>
      </c>
      <c r="C400" s="81" t="s">
        <v>132</v>
      </c>
      <c r="D400" s="111" t="s">
        <v>240</v>
      </c>
      <c r="E400" s="81" t="s">
        <v>108</v>
      </c>
      <c r="F400" s="61">
        <v>7.48</v>
      </c>
      <c r="G400" s="52">
        <f t="shared" si="42"/>
        <v>8.4500000000000011</v>
      </c>
      <c r="H400" s="110"/>
      <c r="I400" s="81">
        <v>9.61</v>
      </c>
      <c r="J400" s="81">
        <f>VLOOKUP(C400,Recipes!$A$2:$N$4,12,FALSE())</f>
        <v>6.1509461004819709E-2</v>
      </c>
      <c r="K400" s="81">
        <f t="shared" si="43"/>
        <v>9.3947168864831312</v>
      </c>
      <c r="L400" s="81">
        <f t="shared" si="44"/>
        <v>9.8252831135168677</v>
      </c>
      <c r="M400" s="81" t="str">
        <f t="shared" si="46"/>
        <v>NG</v>
      </c>
      <c r="N400" s="117">
        <f t="shared" si="45"/>
        <v>1</v>
      </c>
      <c r="O400" s="81">
        <f t="shared" si="47"/>
        <v>1.1599999999999984</v>
      </c>
      <c r="P400" s="81">
        <f>IF(G400="","",ABS(O400-Components!$C$2)/Components!$D$2)</f>
        <v>241.08737587650626</v>
      </c>
      <c r="Q400" s="81">
        <f>IF(G400="","",ABS(O400-Components!$C$3)/Components!$D$3)</f>
        <v>208.45789203967385</v>
      </c>
      <c r="R400" s="81">
        <f>IF(G400="","",ABS(O400-Components!$C$4)/Components!$D$4)</f>
        <v>11.92295528571236</v>
      </c>
      <c r="S400" s="81">
        <f>IF(G400="","",ABS(O400-Components!$C$5)/Components!$D$5)</f>
        <v>135.13470696258631</v>
      </c>
      <c r="T400" s="81">
        <f>IF(G400="","",ABS(O400-Components!$C$6)/Components!$D$6)</f>
        <v>0.15684294335139579</v>
      </c>
      <c r="U400" s="81">
        <f>IF(G400="","",ABS(O400-Components!$C$7)/Components!$D$7)</f>
        <v>8.5237071862430778</v>
      </c>
      <c r="V400" s="81" t="str">
        <f>IF(G400="","",IF(M400="OK","NONE",INDEX({"S1","S2","W1","W2","N1","N2"},MATCH(MIN(P400:U400),P400:U400,0))))</f>
        <v>N1</v>
      </c>
      <c r="W400" s="117">
        <f t="shared" si="48"/>
        <v>1</v>
      </c>
      <c r="X400" s="107"/>
    </row>
    <row r="401" spans="1:24">
      <c r="A401" s="115">
        <v>399</v>
      </c>
      <c r="B401" s="116">
        <v>14</v>
      </c>
      <c r="C401" s="81" t="s">
        <v>132</v>
      </c>
      <c r="D401" s="111" t="s">
        <v>240</v>
      </c>
      <c r="E401" s="81" t="s">
        <v>108</v>
      </c>
      <c r="F401" s="61">
        <v>7.45</v>
      </c>
      <c r="G401" s="52">
        <f t="shared" si="42"/>
        <v>8.42</v>
      </c>
      <c r="H401" s="110"/>
      <c r="I401" s="81">
        <v>9.61</v>
      </c>
      <c r="J401" s="81">
        <f>VLOOKUP(C401,Recipes!$A$2:$N$4,12,FALSE())</f>
        <v>6.1509461004819709E-2</v>
      </c>
      <c r="K401" s="81">
        <f t="shared" si="43"/>
        <v>9.3947168864831312</v>
      </c>
      <c r="L401" s="81">
        <f t="shared" si="44"/>
        <v>9.8252831135168677</v>
      </c>
      <c r="M401" s="81" t="str">
        <f t="shared" si="46"/>
        <v>NG</v>
      </c>
      <c r="N401" s="117">
        <f t="shared" si="45"/>
        <v>1</v>
      </c>
      <c r="O401" s="81">
        <f t="shared" si="47"/>
        <v>1.1899999999999995</v>
      </c>
      <c r="P401" s="81">
        <f>IF(G401="","",ABS(O401-Components!$C$2)/Components!$D$2)</f>
        <v>236.54807382025388</v>
      </c>
      <c r="Q401" s="81">
        <f>IF(G401="","",ABS(O401-Components!$C$3)/Components!$D$3)</f>
        <v>206.28343558585243</v>
      </c>
      <c r="R401" s="81">
        <f>IF(G401="","",ABS(O401-Components!$C$4)/Components!$D$4)</f>
        <v>14.069087237140684</v>
      </c>
      <c r="S401" s="81">
        <f>IF(G401="","",ABS(O401-Components!$C$5)/Components!$D$5)</f>
        <v>133.94327635652897</v>
      </c>
      <c r="T401" s="81">
        <f>IF(G401="","",ABS(O401-Components!$C$6)/Components!$D$6)</f>
        <v>1.2426787050161785</v>
      </c>
      <c r="U401" s="81">
        <f>IF(G401="","",ABS(O401-Components!$C$7)/Components!$D$7)</f>
        <v>7.3306533032541008</v>
      </c>
      <c r="V401" s="81" t="str">
        <f>IF(G401="","",IF(M401="OK","NONE",INDEX({"S1","S2","W1","W2","N1","N2"},MATCH(MIN(P401:U401),P401:U401,0))))</f>
        <v>N1</v>
      </c>
      <c r="W401" s="117">
        <f t="shared" si="48"/>
        <v>1</v>
      </c>
      <c r="X401" s="107"/>
    </row>
    <row r="402" spans="1:24">
      <c r="A402" s="115">
        <v>400</v>
      </c>
      <c r="B402" s="116">
        <v>14</v>
      </c>
      <c r="C402" s="81" t="s">
        <v>132</v>
      </c>
      <c r="D402" s="111" t="s">
        <v>240</v>
      </c>
      <c r="E402" s="81" t="s">
        <v>108</v>
      </c>
      <c r="F402" s="61">
        <v>7.43</v>
      </c>
      <c r="G402" s="52">
        <f t="shared" si="42"/>
        <v>8.4</v>
      </c>
      <c r="H402" s="110"/>
      <c r="I402" s="81">
        <v>9.61</v>
      </c>
      <c r="J402" s="81">
        <f>VLOOKUP(C402,Recipes!$A$2:$N$4,12,FALSE())</f>
        <v>6.1509461004819709E-2</v>
      </c>
      <c r="K402" s="81">
        <f t="shared" si="43"/>
        <v>9.3947168864831312</v>
      </c>
      <c r="L402" s="81">
        <f t="shared" si="44"/>
        <v>9.8252831135168677</v>
      </c>
      <c r="M402" s="81" t="str">
        <f t="shared" si="46"/>
        <v>NG</v>
      </c>
      <c r="N402" s="117">
        <f t="shared" si="45"/>
        <v>1</v>
      </c>
      <c r="O402" s="81">
        <f t="shared" si="47"/>
        <v>1.2099999999999991</v>
      </c>
      <c r="P402" s="81">
        <f>IF(G402="","",ABS(O402-Components!$C$2)/Components!$D$2)</f>
        <v>233.52187244941913</v>
      </c>
      <c r="Q402" s="81">
        <f>IF(G402="","",ABS(O402-Components!$C$3)/Components!$D$3)</f>
        <v>204.83379794997154</v>
      </c>
      <c r="R402" s="81">
        <f>IF(G402="","",ABS(O402-Components!$C$4)/Components!$D$4)</f>
        <v>15.499841871426147</v>
      </c>
      <c r="S402" s="81">
        <f>IF(G402="","",ABS(O402-Components!$C$5)/Components!$D$5)</f>
        <v>133.14898928582414</v>
      </c>
      <c r="T402" s="81">
        <f>IF(G402="","",ABS(O402-Components!$C$6)/Components!$D$6)</f>
        <v>1.9665692127926575</v>
      </c>
      <c r="U402" s="81">
        <f>IF(G402="","",ABS(O402-Components!$C$7)/Components!$D$7)</f>
        <v>6.5352840479281635</v>
      </c>
      <c r="V402" s="81" t="str">
        <f>IF(G402="","",IF(M402="OK","NONE",INDEX({"S1","S2","W1","W2","N1","N2"},MATCH(MIN(P402:U402),P402:U402,0))))</f>
        <v>N1</v>
      </c>
      <c r="W402" s="117">
        <f t="shared" si="48"/>
        <v>1</v>
      </c>
      <c r="X402" s="107"/>
    </row>
    <row r="403" spans="1:24">
      <c r="A403" s="115">
        <v>401</v>
      </c>
      <c r="B403" s="116">
        <v>14</v>
      </c>
      <c r="C403" s="81" t="s">
        <v>132</v>
      </c>
      <c r="D403" s="111" t="s">
        <v>240</v>
      </c>
      <c r="E403" s="81" t="s">
        <v>108</v>
      </c>
      <c r="F403" s="61">
        <v>7.48</v>
      </c>
      <c r="G403" s="52">
        <f t="shared" si="42"/>
        <v>8.4500000000000011</v>
      </c>
      <c r="H403" s="110"/>
      <c r="I403" s="81">
        <v>9.61</v>
      </c>
      <c r="J403" s="81">
        <f>VLOOKUP(C403,Recipes!$A$2:$N$4,12,FALSE())</f>
        <v>6.1509461004819709E-2</v>
      </c>
      <c r="K403" s="81">
        <f t="shared" si="43"/>
        <v>9.3947168864831312</v>
      </c>
      <c r="L403" s="81">
        <f t="shared" si="44"/>
        <v>9.8252831135168677</v>
      </c>
      <c r="M403" s="81" t="str">
        <f t="shared" si="46"/>
        <v>NG</v>
      </c>
      <c r="N403" s="117">
        <f t="shared" si="45"/>
        <v>1</v>
      </c>
      <c r="O403" s="81">
        <f t="shared" si="47"/>
        <v>1.1599999999999984</v>
      </c>
      <c r="P403" s="81">
        <f>IF(G403="","",ABS(O403-Components!$C$2)/Components!$D$2)</f>
        <v>241.08737587650626</v>
      </c>
      <c r="Q403" s="81">
        <f>IF(G403="","",ABS(O403-Components!$C$3)/Components!$D$3)</f>
        <v>208.45789203967385</v>
      </c>
      <c r="R403" s="81">
        <f>IF(G403="","",ABS(O403-Components!$C$4)/Components!$D$4)</f>
        <v>11.92295528571236</v>
      </c>
      <c r="S403" s="81">
        <f>IF(G403="","",ABS(O403-Components!$C$5)/Components!$D$5)</f>
        <v>135.13470696258631</v>
      </c>
      <c r="T403" s="81">
        <f>IF(G403="","",ABS(O403-Components!$C$6)/Components!$D$6)</f>
        <v>0.15684294335139579</v>
      </c>
      <c r="U403" s="81">
        <f>IF(G403="","",ABS(O403-Components!$C$7)/Components!$D$7)</f>
        <v>8.5237071862430778</v>
      </c>
      <c r="V403" s="81" t="str">
        <f>IF(G403="","",IF(M403="OK","NONE",INDEX({"S1","S2","W1","W2","N1","N2"},MATCH(MIN(P403:U403),P403:U403,0))))</f>
        <v>N1</v>
      </c>
      <c r="W403" s="117">
        <f t="shared" si="48"/>
        <v>1</v>
      </c>
      <c r="X403" s="107"/>
    </row>
    <row r="404" spans="1:24">
      <c r="A404" s="115">
        <v>402</v>
      </c>
      <c r="B404" s="116">
        <v>14</v>
      </c>
      <c r="C404" s="81" t="s">
        <v>132</v>
      </c>
      <c r="D404" s="111" t="s">
        <v>240</v>
      </c>
      <c r="E404" s="81" t="s">
        <v>108</v>
      </c>
      <c r="F404" s="61">
        <v>7.46</v>
      </c>
      <c r="G404" s="52">
        <f t="shared" si="42"/>
        <v>8.43</v>
      </c>
      <c r="H404" s="110"/>
      <c r="I404" s="81">
        <v>9.61</v>
      </c>
      <c r="J404" s="81">
        <f>VLOOKUP(C404,Recipes!$A$2:$N$4,12,FALSE())</f>
        <v>6.1509461004819709E-2</v>
      </c>
      <c r="K404" s="81">
        <f t="shared" si="43"/>
        <v>9.3947168864831312</v>
      </c>
      <c r="L404" s="81">
        <f t="shared" si="44"/>
        <v>9.8252831135168677</v>
      </c>
      <c r="M404" s="81" t="str">
        <f t="shared" si="46"/>
        <v>NG</v>
      </c>
      <c r="N404" s="117">
        <f t="shared" si="45"/>
        <v>1</v>
      </c>
      <c r="O404" s="81">
        <f t="shared" si="47"/>
        <v>1.1799999999999997</v>
      </c>
      <c r="P404" s="81">
        <f>IF(G404="","",ABS(O404-Components!$C$2)/Components!$D$2)</f>
        <v>238.06117450567126</v>
      </c>
      <c r="Q404" s="81">
        <f>IF(G404="","",ABS(O404-Components!$C$3)/Components!$D$3)</f>
        <v>207.00825440379285</v>
      </c>
      <c r="R404" s="81">
        <f>IF(G404="","",ABS(O404-Components!$C$4)/Components!$D$4)</f>
        <v>13.353709919997952</v>
      </c>
      <c r="S404" s="81">
        <f>IF(G404="","",ABS(O404-Components!$C$5)/Components!$D$5)</f>
        <v>134.3404198918814</v>
      </c>
      <c r="T404" s="81">
        <f>IF(G404="","",ABS(O404-Components!$C$6)/Components!$D$6)</f>
        <v>0.8807334511279391</v>
      </c>
      <c r="U404" s="81">
        <f>IF(G404="","",ABS(O404-Components!$C$7)/Components!$D$7)</f>
        <v>7.7283379309170694</v>
      </c>
      <c r="V404" s="81" t="str">
        <f>IF(G404="","",IF(M404="OK","NONE",INDEX({"S1","S2","W1","W2","N1","N2"},MATCH(MIN(P404:U404),P404:U404,0))))</f>
        <v>N1</v>
      </c>
      <c r="W404" s="117">
        <f t="shared" si="48"/>
        <v>1</v>
      </c>
      <c r="X404" s="107"/>
    </row>
    <row r="405" spans="1:24">
      <c r="A405" s="115">
        <v>403</v>
      </c>
      <c r="B405" s="116">
        <v>14</v>
      </c>
      <c r="C405" s="81" t="s">
        <v>132</v>
      </c>
      <c r="D405" s="111" t="s">
        <v>240</v>
      </c>
      <c r="E405" s="81" t="s">
        <v>108</v>
      </c>
      <c r="F405" s="61">
        <v>7.47</v>
      </c>
      <c r="G405" s="52">
        <f t="shared" si="42"/>
        <v>8.44</v>
      </c>
      <c r="H405" s="110"/>
      <c r="I405" s="81">
        <v>9.61</v>
      </c>
      <c r="J405" s="81">
        <f>VLOOKUP(C405,Recipes!$A$2:$N$4,12,FALSE())</f>
        <v>6.1509461004819709E-2</v>
      </c>
      <c r="K405" s="81">
        <f t="shared" si="43"/>
        <v>9.3947168864831312</v>
      </c>
      <c r="L405" s="81">
        <f t="shared" si="44"/>
        <v>9.8252831135168677</v>
      </c>
      <c r="M405" s="81" t="str">
        <f t="shared" si="46"/>
        <v>NG</v>
      </c>
      <c r="N405" s="117">
        <f t="shared" si="45"/>
        <v>1</v>
      </c>
      <c r="O405" s="81">
        <f t="shared" si="47"/>
        <v>1.17</v>
      </c>
      <c r="P405" s="81">
        <f>IF(G405="","",ABS(O405-Components!$C$2)/Components!$D$2)</f>
        <v>239.57427519108862</v>
      </c>
      <c r="Q405" s="81">
        <f>IF(G405="","",ABS(O405-Components!$C$3)/Components!$D$3)</f>
        <v>207.73307322173329</v>
      </c>
      <c r="R405" s="81">
        <f>IF(G405="","",ABS(O405-Components!$C$4)/Components!$D$4)</f>
        <v>12.63833260285522</v>
      </c>
      <c r="S405" s="81">
        <f>IF(G405="","",ABS(O405-Components!$C$5)/Components!$D$5)</f>
        <v>134.73756342723382</v>
      </c>
      <c r="T405" s="81">
        <f>IF(G405="","",ABS(O405-Components!$C$6)/Components!$D$6)</f>
        <v>0.5187881972396996</v>
      </c>
      <c r="U405" s="81">
        <f>IF(G405="","",ABS(O405-Components!$C$7)/Components!$D$7)</f>
        <v>8.1260225585800381</v>
      </c>
      <c r="V405" s="81" t="str">
        <f>IF(G405="","",IF(M405="OK","NONE",INDEX({"S1","S2","W1","W2","N1","N2"},MATCH(MIN(P405:U405),P405:U405,0))))</f>
        <v>N1</v>
      </c>
      <c r="W405" s="117">
        <f t="shared" si="48"/>
        <v>1</v>
      </c>
      <c r="X405" s="107"/>
    </row>
    <row r="406" spans="1:24">
      <c r="A406" s="115">
        <v>404</v>
      </c>
      <c r="B406" s="116">
        <v>14</v>
      </c>
      <c r="C406" s="81" t="s">
        <v>132</v>
      </c>
      <c r="D406" s="111" t="s">
        <v>240</v>
      </c>
      <c r="E406" s="81" t="s">
        <v>108</v>
      </c>
      <c r="F406" s="61">
        <v>7.3</v>
      </c>
      <c r="G406" s="52">
        <f t="shared" si="42"/>
        <v>8.27</v>
      </c>
      <c r="H406" s="110"/>
      <c r="I406" s="81">
        <v>9.61</v>
      </c>
      <c r="J406" s="81">
        <f>VLOOKUP(C406,Recipes!$A$2:$N$4,12,FALSE())</f>
        <v>6.1509461004819709E-2</v>
      </c>
      <c r="K406" s="81">
        <f t="shared" si="43"/>
        <v>9.3947168864831312</v>
      </c>
      <c r="L406" s="81">
        <f t="shared" si="44"/>
        <v>9.8252831135168677</v>
      </c>
      <c r="M406" s="81" t="str">
        <f t="shared" si="46"/>
        <v>NG</v>
      </c>
      <c r="N406" s="117">
        <f t="shared" si="45"/>
        <v>1</v>
      </c>
      <c r="O406" s="81">
        <f t="shared" si="47"/>
        <v>1.3399999999999999</v>
      </c>
      <c r="P406" s="81">
        <f>IF(G406="","",ABS(O406-Components!$C$2)/Components!$D$2)</f>
        <v>213.85156353899274</v>
      </c>
      <c r="Q406" s="81">
        <f>IF(G406="","",ABS(O406-Components!$C$3)/Components!$D$3)</f>
        <v>195.41115331674561</v>
      </c>
      <c r="R406" s="81">
        <f>IF(G406="","",ABS(O406-Components!$C$4)/Components!$D$4)</f>
        <v>24.799746994281914</v>
      </c>
      <c r="S406" s="81">
        <f>IF(G406="","",ABS(O406-Components!$C$5)/Components!$D$5)</f>
        <v>127.98612332624255</v>
      </c>
      <c r="T406" s="81">
        <f>IF(G406="","",ABS(O406-Components!$C$6)/Components!$D$6)</f>
        <v>6.6718575133398996</v>
      </c>
      <c r="U406" s="81">
        <f>IF(G406="","",ABS(O406-Components!$C$7)/Components!$D$7)</f>
        <v>1.3653838883094307</v>
      </c>
      <c r="V406" s="81" t="str">
        <f>IF(G406="","",IF(M406="OK","NONE",INDEX({"S1","S2","W1","W2","N1","N2"},MATCH(MIN(P406:U406),P406:U406,0))))</f>
        <v>N2</v>
      </c>
      <c r="W406" s="122">
        <f t="shared" si="48"/>
        <v>0</v>
      </c>
      <c r="X406" s="107"/>
    </row>
    <row r="407" spans="1:24">
      <c r="A407" s="115">
        <v>405</v>
      </c>
      <c r="B407" s="116">
        <v>14</v>
      </c>
      <c r="C407" s="81" t="s">
        <v>132</v>
      </c>
      <c r="D407" s="111" t="s">
        <v>240</v>
      </c>
      <c r="E407" s="81" t="s">
        <v>108</v>
      </c>
      <c r="F407" s="61">
        <v>7.44</v>
      </c>
      <c r="G407" s="52">
        <f t="shared" si="42"/>
        <v>8.41</v>
      </c>
      <c r="H407" s="110"/>
      <c r="I407" s="81">
        <v>9.61</v>
      </c>
      <c r="J407" s="81">
        <f>VLOOKUP(C407,Recipes!$A$2:$N$4,12,FALSE())</f>
        <v>6.1509461004819709E-2</v>
      </c>
      <c r="K407" s="81">
        <f t="shared" si="43"/>
        <v>9.3947168864831312</v>
      </c>
      <c r="L407" s="81">
        <f t="shared" si="44"/>
        <v>9.8252831135168677</v>
      </c>
      <c r="M407" s="81" t="str">
        <f t="shared" si="46"/>
        <v>NG</v>
      </c>
      <c r="N407" s="117">
        <f t="shared" si="45"/>
        <v>1</v>
      </c>
      <c r="O407" s="81">
        <f t="shared" si="47"/>
        <v>1.1999999999999993</v>
      </c>
      <c r="P407" s="81">
        <f>IF(G407="","",ABS(O407-Components!$C$2)/Components!$D$2)</f>
        <v>235.03497313483649</v>
      </c>
      <c r="Q407" s="81">
        <f>IF(G407="","",ABS(O407-Components!$C$3)/Components!$D$3)</f>
        <v>205.55861676791199</v>
      </c>
      <c r="R407" s="81">
        <f>IF(G407="","",ABS(O407-Components!$C$4)/Components!$D$4)</f>
        <v>14.784464554283415</v>
      </c>
      <c r="S407" s="81">
        <f>IF(G407="","",ABS(O407-Components!$C$5)/Components!$D$5)</f>
        <v>133.54613282117657</v>
      </c>
      <c r="T407" s="81">
        <f>IF(G407="","",ABS(O407-Components!$C$6)/Components!$D$6)</f>
        <v>1.604623958904418</v>
      </c>
      <c r="U407" s="81">
        <f>IF(G407="","",ABS(O407-Components!$C$7)/Components!$D$7)</f>
        <v>6.9329686755911322</v>
      </c>
      <c r="V407" s="81" t="str">
        <f>IF(G407="","",IF(M407="OK","NONE",INDEX({"S1","S2","W1","W2","N1","N2"},MATCH(MIN(P407:U407),P407:U407,0))))</f>
        <v>N1</v>
      </c>
      <c r="W407" s="117">
        <f t="shared" si="48"/>
        <v>1</v>
      </c>
      <c r="X407" s="107"/>
    </row>
    <row r="408" spans="1:24">
      <c r="A408" s="115">
        <v>406</v>
      </c>
      <c r="B408" s="116">
        <v>14</v>
      </c>
      <c r="C408" s="81" t="s">
        <v>132</v>
      </c>
      <c r="D408" s="111" t="s">
        <v>240</v>
      </c>
      <c r="E408" s="81" t="s">
        <v>108</v>
      </c>
      <c r="F408" s="61">
        <v>7.45</v>
      </c>
      <c r="G408" s="52">
        <f t="shared" si="42"/>
        <v>8.42</v>
      </c>
      <c r="H408" s="110"/>
      <c r="I408" s="81">
        <v>9.61</v>
      </c>
      <c r="J408" s="81">
        <f>VLOOKUP(C408,Recipes!$A$2:$N$4,12,FALSE())</f>
        <v>6.1509461004819709E-2</v>
      </c>
      <c r="K408" s="81">
        <f t="shared" si="43"/>
        <v>9.3947168864831312</v>
      </c>
      <c r="L408" s="81">
        <f t="shared" si="44"/>
        <v>9.8252831135168677</v>
      </c>
      <c r="M408" s="81" t="str">
        <f t="shared" si="46"/>
        <v>NG</v>
      </c>
      <c r="N408" s="117">
        <f t="shared" si="45"/>
        <v>1</v>
      </c>
      <c r="O408" s="81">
        <f t="shared" si="47"/>
        <v>1.1899999999999995</v>
      </c>
      <c r="P408" s="81">
        <f>IF(G408="","",ABS(O408-Components!$C$2)/Components!$D$2)</f>
        <v>236.54807382025388</v>
      </c>
      <c r="Q408" s="81">
        <f>IF(G408="","",ABS(O408-Components!$C$3)/Components!$D$3)</f>
        <v>206.28343558585243</v>
      </c>
      <c r="R408" s="81">
        <f>IF(G408="","",ABS(O408-Components!$C$4)/Components!$D$4)</f>
        <v>14.069087237140684</v>
      </c>
      <c r="S408" s="81">
        <f>IF(G408="","",ABS(O408-Components!$C$5)/Components!$D$5)</f>
        <v>133.94327635652897</v>
      </c>
      <c r="T408" s="81">
        <f>IF(G408="","",ABS(O408-Components!$C$6)/Components!$D$6)</f>
        <v>1.2426787050161785</v>
      </c>
      <c r="U408" s="81">
        <f>IF(G408="","",ABS(O408-Components!$C$7)/Components!$D$7)</f>
        <v>7.3306533032541008</v>
      </c>
      <c r="V408" s="81" t="str">
        <f>IF(G408="","",IF(M408="OK","NONE",INDEX({"S1","S2","W1","W2","N1","N2"},MATCH(MIN(P408:U408),P408:U408,0))))</f>
        <v>N1</v>
      </c>
      <c r="W408" s="117">
        <f t="shared" si="48"/>
        <v>1</v>
      </c>
      <c r="X408" s="107"/>
    </row>
    <row r="409" spans="1:24">
      <c r="A409" s="115">
        <v>407</v>
      </c>
      <c r="B409" s="116">
        <v>14</v>
      </c>
      <c r="C409" s="81" t="s">
        <v>132</v>
      </c>
      <c r="D409" s="111" t="s">
        <v>240</v>
      </c>
      <c r="E409" s="81" t="s">
        <v>108</v>
      </c>
      <c r="F409" s="61">
        <v>7.45</v>
      </c>
      <c r="G409" s="52">
        <f t="shared" si="42"/>
        <v>8.42</v>
      </c>
      <c r="H409" s="110"/>
      <c r="I409" s="81">
        <v>9.61</v>
      </c>
      <c r="J409" s="81">
        <f>VLOOKUP(C409,Recipes!$A$2:$N$4,12,FALSE())</f>
        <v>6.1509461004819709E-2</v>
      </c>
      <c r="K409" s="81">
        <f t="shared" si="43"/>
        <v>9.3947168864831312</v>
      </c>
      <c r="L409" s="81">
        <f t="shared" si="44"/>
        <v>9.8252831135168677</v>
      </c>
      <c r="M409" s="81" t="str">
        <f t="shared" si="46"/>
        <v>NG</v>
      </c>
      <c r="N409" s="117">
        <f t="shared" si="45"/>
        <v>1</v>
      </c>
      <c r="O409" s="81">
        <f t="shared" si="47"/>
        <v>1.1899999999999995</v>
      </c>
      <c r="P409" s="81">
        <f>IF(G409="","",ABS(O409-Components!$C$2)/Components!$D$2)</f>
        <v>236.54807382025388</v>
      </c>
      <c r="Q409" s="81">
        <f>IF(G409="","",ABS(O409-Components!$C$3)/Components!$D$3)</f>
        <v>206.28343558585243</v>
      </c>
      <c r="R409" s="81">
        <f>IF(G409="","",ABS(O409-Components!$C$4)/Components!$D$4)</f>
        <v>14.069087237140684</v>
      </c>
      <c r="S409" s="81">
        <f>IF(G409="","",ABS(O409-Components!$C$5)/Components!$D$5)</f>
        <v>133.94327635652897</v>
      </c>
      <c r="T409" s="81">
        <f>IF(G409="","",ABS(O409-Components!$C$6)/Components!$D$6)</f>
        <v>1.2426787050161785</v>
      </c>
      <c r="U409" s="81">
        <f>IF(G409="","",ABS(O409-Components!$C$7)/Components!$D$7)</f>
        <v>7.3306533032541008</v>
      </c>
      <c r="V409" s="81" t="str">
        <f>IF(G409="","",IF(M409="OK","NONE",INDEX({"S1","S2","W1","W2","N1","N2"},MATCH(MIN(P409:U409),P409:U409,0))))</f>
        <v>N1</v>
      </c>
      <c r="W409" s="117">
        <f t="shared" si="48"/>
        <v>1</v>
      </c>
      <c r="X409" s="107"/>
    </row>
    <row r="410" spans="1:24">
      <c r="A410" s="115">
        <v>408</v>
      </c>
      <c r="B410" s="116">
        <v>14</v>
      </c>
      <c r="C410" s="81" t="s">
        <v>132</v>
      </c>
      <c r="D410" s="111" t="s">
        <v>240</v>
      </c>
      <c r="E410" s="81" t="s">
        <v>108</v>
      </c>
      <c r="F410" s="61">
        <v>7.44</v>
      </c>
      <c r="G410" s="52">
        <f t="shared" si="42"/>
        <v>8.41</v>
      </c>
      <c r="H410" s="110"/>
      <c r="I410" s="81">
        <v>9.61</v>
      </c>
      <c r="J410" s="81">
        <f>VLOOKUP(C410,Recipes!$A$2:$N$4,12,FALSE())</f>
        <v>6.1509461004819709E-2</v>
      </c>
      <c r="K410" s="81">
        <f t="shared" si="43"/>
        <v>9.3947168864831312</v>
      </c>
      <c r="L410" s="81">
        <f t="shared" si="44"/>
        <v>9.8252831135168677</v>
      </c>
      <c r="M410" s="81" t="str">
        <f t="shared" si="46"/>
        <v>NG</v>
      </c>
      <c r="N410" s="117">
        <f t="shared" si="45"/>
        <v>1</v>
      </c>
      <c r="O410" s="81">
        <f t="shared" si="47"/>
        <v>1.1999999999999993</v>
      </c>
      <c r="P410" s="81">
        <f>IF(G410="","",ABS(O410-Components!$C$2)/Components!$D$2)</f>
        <v>235.03497313483649</v>
      </c>
      <c r="Q410" s="81">
        <f>IF(G410="","",ABS(O410-Components!$C$3)/Components!$D$3)</f>
        <v>205.55861676791199</v>
      </c>
      <c r="R410" s="81">
        <f>IF(G410="","",ABS(O410-Components!$C$4)/Components!$D$4)</f>
        <v>14.784464554283415</v>
      </c>
      <c r="S410" s="81">
        <f>IF(G410="","",ABS(O410-Components!$C$5)/Components!$D$5)</f>
        <v>133.54613282117657</v>
      </c>
      <c r="T410" s="81">
        <f>IF(G410="","",ABS(O410-Components!$C$6)/Components!$D$6)</f>
        <v>1.604623958904418</v>
      </c>
      <c r="U410" s="81">
        <f>IF(G410="","",ABS(O410-Components!$C$7)/Components!$D$7)</f>
        <v>6.9329686755911322</v>
      </c>
      <c r="V410" s="81" t="str">
        <f>IF(G410="","",IF(M410="OK","NONE",INDEX({"S1","S2","W1","W2","N1","N2"},MATCH(MIN(P410:U410),P410:U410,0))))</f>
        <v>N1</v>
      </c>
      <c r="W410" s="117">
        <f t="shared" si="48"/>
        <v>1</v>
      </c>
      <c r="X410" s="107"/>
    </row>
    <row r="411" spans="1:24">
      <c r="A411" s="115">
        <v>409</v>
      </c>
      <c r="B411" s="116">
        <v>14</v>
      </c>
      <c r="C411" s="81" t="s">
        <v>132</v>
      </c>
      <c r="D411" s="111" t="s">
        <v>240</v>
      </c>
      <c r="E411" s="81" t="s">
        <v>108</v>
      </c>
      <c r="F411" s="61">
        <v>7.47</v>
      </c>
      <c r="G411" s="52">
        <f t="shared" si="42"/>
        <v>8.44</v>
      </c>
      <c r="H411" s="110"/>
      <c r="I411" s="81">
        <v>9.61</v>
      </c>
      <c r="J411" s="81">
        <f>VLOOKUP(C411,Recipes!$A$2:$N$4,12,FALSE())</f>
        <v>6.1509461004819709E-2</v>
      </c>
      <c r="K411" s="81">
        <f t="shared" si="43"/>
        <v>9.3947168864831312</v>
      </c>
      <c r="L411" s="81">
        <f t="shared" si="44"/>
        <v>9.8252831135168677</v>
      </c>
      <c r="M411" s="81" t="str">
        <f t="shared" si="46"/>
        <v>NG</v>
      </c>
      <c r="N411" s="117">
        <f t="shared" si="45"/>
        <v>1</v>
      </c>
      <c r="O411" s="81">
        <f t="shared" si="47"/>
        <v>1.17</v>
      </c>
      <c r="P411" s="81">
        <f>IF(G411="","",ABS(O411-Components!$C$2)/Components!$D$2)</f>
        <v>239.57427519108862</v>
      </c>
      <c r="Q411" s="81">
        <f>IF(G411="","",ABS(O411-Components!$C$3)/Components!$D$3)</f>
        <v>207.73307322173329</v>
      </c>
      <c r="R411" s="81">
        <f>IF(G411="","",ABS(O411-Components!$C$4)/Components!$D$4)</f>
        <v>12.63833260285522</v>
      </c>
      <c r="S411" s="81">
        <f>IF(G411="","",ABS(O411-Components!$C$5)/Components!$D$5)</f>
        <v>134.73756342723382</v>
      </c>
      <c r="T411" s="81">
        <f>IF(G411="","",ABS(O411-Components!$C$6)/Components!$D$6)</f>
        <v>0.5187881972396996</v>
      </c>
      <c r="U411" s="81">
        <f>IF(G411="","",ABS(O411-Components!$C$7)/Components!$D$7)</f>
        <v>8.1260225585800381</v>
      </c>
      <c r="V411" s="81" t="str">
        <f>IF(G411="","",IF(M411="OK","NONE",INDEX({"S1","S2","W1","W2","N1","N2"},MATCH(MIN(P411:U411),P411:U411,0))))</f>
        <v>N1</v>
      </c>
      <c r="W411" s="117">
        <f t="shared" si="48"/>
        <v>1</v>
      </c>
      <c r="X411" s="107"/>
    </row>
    <row r="412" spans="1:24">
      <c r="A412" s="115">
        <v>410</v>
      </c>
      <c r="B412" s="116">
        <v>14</v>
      </c>
      <c r="C412" s="81" t="s">
        <v>132</v>
      </c>
      <c r="D412" s="111" t="s">
        <v>240</v>
      </c>
      <c r="E412" s="81" t="s">
        <v>108</v>
      </c>
      <c r="F412" s="61">
        <v>7.38</v>
      </c>
      <c r="G412" s="52">
        <f t="shared" si="42"/>
        <v>8.35</v>
      </c>
      <c r="H412" s="110"/>
      <c r="I412" s="81">
        <v>9.61</v>
      </c>
      <c r="J412" s="81">
        <f>VLOOKUP(C412,Recipes!$A$2:$N$4,12,FALSE())</f>
        <v>6.1509461004819709E-2</v>
      </c>
      <c r="K412" s="81">
        <f t="shared" si="43"/>
        <v>9.3947168864831312</v>
      </c>
      <c r="L412" s="81">
        <f t="shared" si="44"/>
        <v>9.8252831135168677</v>
      </c>
      <c r="M412" s="81" t="str">
        <f t="shared" si="46"/>
        <v>NG</v>
      </c>
      <c r="N412" s="117">
        <f t="shared" si="45"/>
        <v>1</v>
      </c>
      <c r="O412" s="81">
        <f t="shared" si="47"/>
        <v>1.2599999999999998</v>
      </c>
      <c r="P412" s="81">
        <f>IF(G412="","",ABS(O412-Components!$C$2)/Components!$D$2)</f>
        <v>225.95636902233198</v>
      </c>
      <c r="Q412" s="81">
        <f>IF(G412="","",ABS(O412-Components!$C$3)/Components!$D$3)</f>
        <v>201.20970386026923</v>
      </c>
      <c r="R412" s="81">
        <f>IF(G412="","",ABS(O412-Components!$C$4)/Components!$D$4)</f>
        <v>19.076728457139932</v>
      </c>
      <c r="S412" s="81">
        <f>IF(G412="","",ABS(O412-Components!$C$5)/Components!$D$5)</f>
        <v>131.16327160906198</v>
      </c>
      <c r="T412" s="81">
        <f>IF(G412="","",ABS(O412-Components!$C$6)/Components!$D$6)</f>
        <v>3.7762954822339192</v>
      </c>
      <c r="U412" s="81">
        <f>IF(G412="","",ABS(O412-Components!$C$7)/Components!$D$7)</f>
        <v>4.5468609096132502</v>
      </c>
      <c r="V412" s="81" t="str">
        <f>IF(G412="","",IF(M412="OK","NONE",INDEX({"S1","S2","W1","W2","N1","N2"},MATCH(MIN(P412:U412),P412:U412,0))))</f>
        <v>N1</v>
      </c>
      <c r="W412" s="117">
        <f t="shared" si="48"/>
        <v>1</v>
      </c>
      <c r="X412" s="107"/>
    </row>
    <row r="413" spans="1:24">
      <c r="A413" s="115">
        <v>411</v>
      </c>
      <c r="B413" s="116">
        <v>14</v>
      </c>
      <c r="C413" s="81" t="s">
        <v>132</v>
      </c>
      <c r="D413" s="111" t="s">
        <v>240</v>
      </c>
      <c r="E413" s="81" t="s">
        <v>108</v>
      </c>
      <c r="F413" s="61">
        <v>7.45</v>
      </c>
      <c r="G413" s="52">
        <f t="shared" si="42"/>
        <v>8.42</v>
      </c>
      <c r="H413" s="110"/>
      <c r="I413" s="81">
        <v>9.61</v>
      </c>
      <c r="J413" s="81">
        <f>VLOOKUP(C413,Recipes!$A$2:$N$4,12,FALSE())</f>
        <v>6.1509461004819709E-2</v>
      </c>
      <c r="K413" s="81">
        <f t="shared" si="43"/>
        <v>9.3947168864831312</v>
      </c>
      <c r="L413" s="81">
        <f t="shared" si="44"/>
        <v>9.8252831135168677</v>
      </c>
      <c r="M413" s="81" t="str">
        <f t="shared" si="46"/>
        <v>NG</v>
      </c>
      <c r="N413" s="117">
        <f t="shared" si="45"/>
        <v>1</v>
      </c>
      <c r="O413" s="81">
        <f t="shared" si="47"/>
        <v>1.1899999999999995</v>
      </c>
      <c r="P413" s="81">
        <f>IF(G413="","",ABS(O413-Components!$C$2)/Components!$D$2)</f>
        <v>236.54807382025388</v>
      </c>
      <c r="Q413" s="81">
        <f>IF(G413="","",ABS(O413-Components!$C$3)/Components!$D$3)</f>
        <v>206.28343558585243</v>
      </c>
      <c r="R413" s="81">
        <f>IF(G413="","",ABS(O413-Components!$C$4)/Components!$D$4)</f>
        <v>14.069087237140684</v>
      </c>
      <c r="S413" s="81">
        <f>IF(G413="","",ABS(O413-Components!$C$5)/Components!$D$5)</f>
        <v>133.94327635652897</v>
      </c>
      <c r="T413" s="81">
        <f>IF(G413="","",ABS(O413-Components!$C$6)/Components!$D$6)</f>
        <v>1.2426787050161785</v>
      </c>
      <c r="U413" s="81">
        <f>IF(G413="","",ABS(O413-Components!$C$7)/Components!$D$7)</f>
        <v>7.3306533032541008</v>
      </c>
      <c r="V413" s="81" t="str">
        <f>IF(G413="","",IF(M413="OK","NONE",INDEX({"S1","S2","W1","W2","N1","N2"},MATCH(MIN(P413:U413),P413:U413,0))))</f>
        <v>N1</v>
      </c>
      <c r="W413" s="117">
        <f t="shared" si="48"/>
        <v>1</v>
      </c>
      <c r="X413" s="107"/>
    </row>
    <row r="414" spans="1:24">
      <c r="A414" s="115">
        <v>412</v>
      </c>
      <c r="B414" s="116">
        <v>14</v>
      </c>
      <c r="C414" s="81" t="s">
        <v>132</v>
      </c>
      <c r="D414" s="111" t="s">
        <v>240</v>
      </c>
      <c r="E414" s="81" t="s">
        <v>108</v>
      </c>
      <c r="F414" s="61">
        <v>7.45</v>
      </c>
      <c r="G414" s="52">
        <f t="shared" si="42"/>
        <v>8.42</v>
      </c>
      <c r="H414" s="110"/>
      <c r="I414" s="81">
        <v>9.61</v>
      </c>
      <c r="J414" s="81">
        <f>VLOOKUP(C414,Recipes!$A$2:$N$4,12,FALSE())</f>
        <v>6.1509461004819709E-2</v>
      </c>
      <c r="K414" s="81">
        <f t="shared" si="43"/>
        <v>9.3947168864831312</v>
      </c>
      <c r="L414" s="81">
        <f t="shared" si="44"/>
        <v>9.8252831135168677</v>
      </c>
      <c r="M414" s="81" t="str">
        <f t="shared" si="46"/>
        <v>NG</v>
      </c>
      <c r="N414" s="117">
        <f t="shared" si="45"/>
        <v>1</v>
      </c>
      <c r="O414" s="81">
        <f t="shared" si="47"/>
        <v>1.1899999999999995</v>
      </c>
      <c r="P414" s="81">
        <f>IF(G414="","",ABS(O414-Components!$C$2)/Components!$D$2)</f>
        <v>236.54807382025388</v>
      </c>
      <c r="Q414" s="81">
        <f>IF(G414="","",ABS(O414-Components!$C$3)/Components!$D$3)</f>
        <v>206.28343558585243</v>
      </c>
      <c r="R414" s="81">
        <f>IF(G414="","",ABS(O414-Components!$C$4)/Components!$D$4)</f>
        <v>14.069087237140684</v>
      </c>
      <c r="S414" s="81">
        <f>IF(G414="","",ABS(O414-Components!$C$5)/Components!$D$5)</f>
        <v>133.94327635652897</v>
      </c>
      <c r="T414" s="81">
        <f>IF(G414="","",ABS(O414-Components!$C$6)/Components!$D$6)</f>
        <v>1.2426787050161785</v>
      </c>
      <c r="U414" s="81">
        <f>IF(G414="","",ABS(O414-Components!$C$7)/Components!$D$7)</f>
        <v>7.3306533032541008</v>
      </c>
      <c r="V414" s="81" t="str">
        <f>IF(G414="","",IF(M414="OK","NONE",INDEX({"S1","S2","W1","W2","N1","N2"},MATCH(MIN(P414:U414),P414:U414,0))))</f>
        <v>N1</v>
      </c>
      <c r="W414" s="117">
        <f t="shared" si="48"/>
        <v>1</v>
      </c>
      <c r="X414" s="107"/>
    </row>
    <row r="415" spans="1:24">
      <c r="A415" s="115">
        <v>413</v>
      </c>
      <c r="B415" s="116">
        <v>14</v>
      </c>
      <c r="C415" s="81" t="s">
        <v>132</v>
      </c>
      <c r="D415" s="111" t="s">
        <v>240</v>
      </c>
      <c r="E415" s="81" t="s">
        <v>108</v>
      </c>
      <c r="F415" s="61">
        <v>7.45</v>
      </c>
      <c r="G415" s="52">
        <f t="shared" si="42"/>
        <v>8.42</v>
      </c>
      <c r="H415" s="110"/>
      <c r="I415" s="81">
        <v>9.61</v>
      </c>
      <c r="J415" s="81">
        <f>VLOOKUP(C415,Recipes!$A$2:$N$4,12,FALSE())</f>
        <v>6.1509461004819709E-2</v>
      </c>
      <c r="K415" s="81">
        <f t="shared" si="43"/>
        <v>9.3947168864831312</v>
      </c>
      <c r="L415" s="81">
        <f t="shared" si="44"/>
        <v>9.8252831135168677</v>
      </c>
      <c r="M415" s="81" t="str">
        <f t="shared" si="46"/>
        <v>NG</v>
      </c>
      <c r="N415" s="117">
        <f t="shared" si="45"/>
        <v>1</v>
      </c>
      <c r="O415" s="81">
        <f t="shared" si="47"/>
        <v>1.1899999999999995</v>
      </c>
      <c r="P415" s="81">
        <f>IF(G415="","",ABS(O415-Components!$C$2)/Components!$D$2)</f>
        <v>236.54807382025388</v>
      </c>
      <c r="Q415" s="81">
        <f>IF(G415="","",ABS(O415-Components!$C$3)/Components!$D$3)</f>
        <v>206.28343558585243</v>
      </c>
      <c r="R415" s="81">
        <f>IF(G415="","",ABS(O415-Components!$C$4)/Components!$D$4)</f>
        <v>14.069087237140684</v>
      </c>
      <c r="S415" s="81">
        <f>IF(G415="","",ABS(O415-Components!$C$5)/Components!$D$5)</f>
        <v>133.94327635652897</v>
      </c>
      <c r="T415" s="81">
        <f>IF(G415="","",ABS(O415-Components!$C$6)/Components!$D$6)</f>
        <v>1.2426787050161785</v>
      </c>
      <c r="U415" s="81">
        <f>IF(G415="","",ABS(O415-Components!$C$7)/Components!$D$7)</f>
        <v>7.3306533032541008</v>
      </c>
      <c r="V415" s="81" t="str">
        <f>IF(G415="","",IF(M415="OK","NONE",INDEX({"S1","S2","W1","W2","N1","N2"},MATCH(MIN(P415:U415),P415:U415,0))))</f>
        <v>N1</v>
      </c>
      <c r="W415" s="117">
        <f t="shared" si="48"/>
        <v>1</v>
      </c>
      <c r="X415" s="107"/>
    </row>
    <row r="416" spans="1:24">
      <c r="A416" s="115">
        <v>414</v>
      </c>
      <c r="B416" s="116">
        <v>14</v>
      </c>
      <c r="C416" s="81" t="s">
        <v>132</v>
      </c>
      <c r="D416" s="111" t="s">
        <v>240</v>
      </c>
      <c r="E416" s="81" t="s">
        <v>108</v>
      </c>
      <c r="F416" s="61">
        <v>7.44</v>
      </c>
      <c r="G416" s="52">
        <f t="shared" si="42"/>
        <v>8.41</v>
      </c>
      <c r="H416" s="110"/>
      <c r="I416" s="81">
        <v>9.61</v>
      </c>
      <c r="J416" s="81">
        <f>VLOOKUP(C416,Recipes!$A$2:$N$4,12,FALSE())</f>
        <v>6.1509461004819709E-2</v>
      </c>
      <c r="K416" s="81">
        <f t="shared" si="43"/>
        <v>9.3947168864831312</v>
      </c>
      <c r="L416" s="81">
        <f t="shared" si="44"/>
        <v>9.8252831135168677</v>
      </c>
      <c r="M416" s="81" t="str">
        <f t="shared" si="46"/>
        <v>NG</v>
      </c>
      <c r="N416" s="117">
        <f t="shared" si="45"/>
        <v>1</v>
      </c>
      <c r="O416" s="81">
        <f t="shared" si="47"/>
        <v>1.1999999999999993</v>
      </c>
      <c r="P416" s="81">
        <f>IF(G416="","",ABS(O416-Components!$C$2)/Components!$D$2)</f>
        <v>235.03497313483649</v>
      </c>
      <c r="Q416" s="81">
        <f>IF(G416="","",ABS(O416-Components!$C$3)/Components!$D$3)</f>
        <v>205.55861676791199</v>
      </c>
      <c r="R416" s="81">
        <f>IF(G416="","",ABS(O416-Components!$C$4)/Components!$D$4)</f>
        <v>14.784464554283415</v>
      </c>
      <c r="S416" s="81">
        <f>IF(G416="","",ABS(O416-Components!$C$5)/Components!$D$5)</f>
        <v>133.54613282117657</v>
      </c>
      <c r="T416" s="81">
        <f>IF(G416="","",ABS(O416-Components!$C$6)/Components!$D$6)</f>
        <v>1.604623958904418</v>
      </c>
      <c r="U416" s="81">
        <f>IF(G416="","",ABS(O416-Components!$C$7)/Components!$D$7)</f>
        <v>6.9329686755911322</v>
      </c>
      <c r="V416" s="81" t="str">
        <f>IF(G416="","",IF(M416="OK","NONE",INDEX({"S1","S2","W1","W2","N1","N2"},MATCH(MIN(P416:U416),P416:U416,0))))</f>
        <v>N1</v>
      </c>
      <c r="W416" s="117">
        <f t="shared" si="48"/>
        <v>1</v>
      </c>
      <c r="X416" s="107"/>
    </row>
    <row r="417" spans="1:24">
      <c r="A417" s="115">
        <v>415</v>
      </c>
      <c r="B417" s="116">
        <v>14</v>
      </c>
      <c r="C417" s="81" t="s">
        <v>132</v>
      </c>
      <c r="D417" s="111" t="s">
        <v>240</v>
      </c>
      <c r="E417" s="81" t="s">
        <v>108</v>
      </c>
      <c r="F417" s="52">
        <v>7.45</v>
      </c>
      <c r="G417" s="52">
        <f t="shared" si="42"/>
        <v>8.42</v>
      </c>
      <c r="H417" s="110"/>
      <c r="I417" s="81">
        <v>9.61</v>
      </c>
      <c r="J417" s="81">
        <f>VLOOKUP(C417,Recipes!$A$2:$N$4,12,FALSE())</f>
        <v>6.1509461004819709E-2</v>
      </c>
      <c r="K417" s="81">
        <f t="shared" si="43"/>
        <v>9.3947168864831312</v>
      </c>
      <c r="L417" s="81">
        <f t="shared" si="44"/>
        <v>9.8252831135168677</v>
      </c>
      <c r="M417" s="81" t="str">
        <f t="shared" si="46"/>
        <v>NG</v>
      </c>
      <c r="N417" s="117">
        <f t="shared" si="45"/>
        <v>1</v>
      </c>
      <c r="O417" s="81">
        <f t="shared" si="47"/>
        <v>1.1899999999999995</v>
      </c>
      <c r="P417" s="81">
        <f>IF(G417="","",ABS(O417-Components!$C$2)/Components!$D$2)</f>
        <v>236.54807382025388</v>
      </c>
      <c r="Q417" s="81">
        <f>IF(G417="","",ABS(O417-Components!$C$3)/Components!$D$3)</f>
        <v>206.28343558585243</v>
      </c>
      <c r="R417" s="81">
        <f>IF(G417="","",ABS(O417-Components!$C$4)/Components!$D$4)</f>
        <v>14.069087237140684</v>
      </c>
      <c r="S417" s="81">
        <f>IF(G417="","",ABS(O417-Components!$C$5)/Components!$D$5)</f>
        <v>133.94327635652897</v>
      </c>
      <c r="T417" s="81">
        <f>IF(G417="","",ABS(O417-Components!$C$6)/Components!$D$6)</f>
        <v>1.2426787050161785</v>
      </c>
      <c r="U417" s="81">
        <f>IF(G417="","",ABS(O417-Components!$C$7)/Components!$D$7)</f>
        <v>7.3306533032541008</v>
      </c>
      <c r="V417" s="81" t="str">
        <f>IF(G417="","",IF(M417="OK","NONE",INDEX({"S1","S2","W1","W2","N1","N2"},MATCH(MIN(P417:U417),P417:U417,0))))</f>
        <v>N1</v>
      </c>
      <c r="W417" s="117">
        <f t="shared" si="48"/>
        <v>1</v>
      </c>
      <c r="X417" s="107"/>
    </row>
    <row r="418" spans="1:24">
      <c r="A418" s="115">
        <v>416</v>
      </c>
      <c r="B418" s="116">
        <v>14</v>
      </c>
      <c r="C418" s="81" t="s">
        <v>132</v>
      </c>
      <c r="D418" s="111" t="s">
        <v>240</v>
      </c>
      <c r="E418" s="81" t="s">
        <v>108</v>
      </c>
      <c r="F418" s="52">
        <v>7.45</v>
      </c>
      <c r="G418" s="52">
        <f t="shared" si="42"/>
        <v>8.42</v>
      </c>
      <c r="H418" s="110"/>
      <c r="I418" s="81">
        <v>9.61</v>
      </c>
      <c r="J418" s="81">
        <f>VLOOKUP(C418,Recipes!$A$2:$N$4,12,FALSE())</f>
        <v>6.1509461004819709E-2</v>
      </c>
      <c r="K418" s="81">
        <f t="shared" si="43"/>
        <v>9.3947168864831312</v>
      </c>
      <c r="L418" s="81">
        <f t="shared" si="44"/>
        <v>9.8252831135168677</v>
      </c>
      <c r="M418" s="81" t="str">
        <f t="shared" si="46"/>
        <v>NG</v>
      </c>
      <c r="N418" s="117">
        <f t="shared" si="45"/>
        <v>1</v>
      </c>
      <c r="O418" s="81">
        <f t="shared" si="47"/>
        <v>1.1899999999999995</v>
      </c>
      <c r="P418" s="81">
        <f>IF(G418="","",ABS(O418-Components!$C$2)/Components!$D$2)</f>
        <v>236.54807382025388</v>
      </c>
      <c r="Q418" s="81">
        <f>IF(G418="","",ABS(O418-Components!$C$3)/Components!$D$3)</f>
        <v>206.28343558585243</v>
      </c>
      <c r="R418" s="81">
        <f>IF(G418="","",ABS(O418-Components!$C$4)/Components!$D$4)</f>
        <v>14.069087237140684</v>
      </c>
      <c r="S418" s="81">
        <f>IF(G418="","",ABS(O418-Components!$C$5)/Components!$D$5)</f>
        <v>133.94327635652897</v>
      </c>
      <c r="T418" s="81">
        <f>IF(G418="","",ABS(O418-Components!$C$6)/Components!$D$6)</f>
        <v>1.2426787050161785</v>
      </c>
      <c r="U418" s="81">
        <f>IF(G418="","",ABS(O418-Components!$C$7)/Components!$D$7)</f>
        <v>7.3306533032541008</v>
      </c>
      <c r="V418" s="81" t="str">
        <f>IF(G418="","",IF(M418="OK","NONE",INDEX({"S1","S2","W1","W2","N1","N2"},MATCH(MIN(P418:U418),P418:U418,0))))</f>
        <v>N1</v>
      </c>
      <c r="W418" s="117">
        <f t="shared" si="48"/>
        <v>1</v>
      </c>
      <c r="X418" s="107"/>
    </row>
    <row r="419" spans="1:24">
      <c r="A419" s="115">
        <v>417</v>
      </c>
      <c r="B419" s="116">
        <v>14</v>
      </c>
      <c r="C419" s="61" t="s">
        <v>132</v>
      </c>
      <c r="D419" s="61" t="s">
        <v>240</v>
      </c>
      <c r="E419" s="61" t="s">
        <v>108</v>
      </c>
      <c r="F419" s="61">
        <v>7.44</v>
      </c>
      <c r="G419" s="52">
        <f t="shared" si="42"/>
        <v>8.41</v>
      </c>
      <c r="H419" s="110"/>
      <c r="I419" s="81">
        <v>9.61</v>
      </c>
      <c r="J419" s="81">
        <f>VLOOKUP(C419,Recipes!$A$2:$N$4,12,FALSE())</f>
        <v>6.1509461004819709E-2</v>
      </c>
      <c r="K419" s="81">
        <f t="shared" si="43"/>
        <v>9.3947168864831312</v>
      </c>
      <c r="L419" s="81">
        <f t="shared" si="44"/>
        <v>9.8252831135168677</v>
      </c>
      <c r="M419" s="81" t="str">
        <f t="shared" si="46"/>
        <v>NG</v>
      </c>
      <c r="N419" s="117">
        <f t="shared" si="45"/>
        <v>1</v>
      </c>
      <c r="O419" s="81">
        <f t="shared" si="47"/>
        <v>1.1999999999999993</v>
      </c>
      <c r="P419" s="81">
        <f>IF(G419="","",ABS(O419-Components!$C$2)/Components!$D$2)</f>
        <v>235.03497313483649</v>
      </c>
      <c r="Q419" s="81">
        <f>IF(G419="","",ABS(O419-Components!$C$3)/Components!$D$3)</f>
        <v>205.55861676791199</v>
      </c>
      <c r="R419" s="81">
        <f>IF(G419="","",ABS(O419-Components!$C$4)/Components!$D$4)</f>
        <v>14.784464554283415</v>
      </c>
      <c r="S419" s="81">
        <f>IF(G419="","",ABS(O419-Components!$C$5)/Components!$D$5)</f>
        <v>133.54613282117657</v>
      </c>
      <c r="T419" s="81">
        <f>IF(G419="","",ABS(O419-Components!$C$6)/Components!$D$6)</f>
        <v>1.604623958904418</v>
      </c>
      <c r="U419" s="81">
        <f>IF(G419="","",ABS(O419-Components!$C$7)/Components!$D$7)</f>
        <v>6.9329686755911322</v>
      </c>
      <c r="V419" s="81" t="str">
        <f>IF(G419="","",IF(M419="OK","NONE",INDEX({"S1","S2","W1","W2","N1","N2"},MATCH(MIN(P419:U419),P419:U419,0))))</f>
        <v>N1</v>
      </c>
      <c r="W419" s="117">
        <f t="shared" si="48"/>
        <v>1</v>
      </c>
      <c r="X419" s="107"/>
    </row>
    <row r="420" spans="1:24">
      <c r="A420" s="115">
        <v>418</v>
      </c>
      <c r="B420" s="116">
        <v>14</v>
      </c>
      <c r="C420" s="61" t="s">
        <v>132</v>
      </c>
      <c r="D420" s="61" t="s">
        <v>240</v>
      </c>
      <c r="E420" s="61" t="s">
        <v>108</v>
      </c>
      <c r="F420" s="61">
        <v>7.46</v>
      </c>
      <c r="G420" s="52">
        <f t="shared" si="42"/>
        <v>8.43</v>
      </c>
      <c r="H420" s="110"/>
      <c r="I420" s="81">
        <v>9.61</v>
      </c>
      <c r="J420" s="81">
        <f>VLOOKUP(C420,Recipes!$A$2:$N$4,12,FALSE())</f>
        <v>6.1509461004819709E-2</v>
      </c>
      <c r="K420" s="81">
        <f t="shared" si="43"/>
        <v>9.3947168864831312</v>
      </c>
      <c r="L420" s="81">
        <f t="shared" si="44"/>
        <v>9.8252831135168677</v>
      </c>
      <c r="M420" s="81" t="str">
        <f t="shared" si="46"/>
        <v>NG</v>
      </c>
      <c r="N420" s="117">
        <f t="shared" si="45"/>
        <v>1</v>
      </c>
      <c r="O420" s="81">
        <f t="shared" si="47"/>
        <v>1.1799999999999997</v>
      </c>
      <c r="P420" s="81">
        <f>IF(G420="","",ABS(O420-Components!$C$2)/Components!$D$2)</f>
        <v>238.06117450567126</v>
      </c>
      <c r="Q420" s="81">
        <f>IF(G420="","",ABS(O420-Components!$C$3)/Components!$D$3)</f>
        <v>207.00825440379285</v>
      </c>
      <c r="R420" s="81">
        <f>IF(G420="","",ABS(O420-Components!$C$4)/Components!$D$4)</f>
        <v>13.353709919997952</v>
      </c>
      <c r="S420" s="81">
        <f>IF(G420="","",ABS(O420-Components!$C$5)/Components!$D$5)</f>
        <v>134.3404198918814</v>
      </c>
      <c r="T420" s="81">
        <f>IF(G420="","",ABS(O420-Components!$C$6)/Components!$D$6)</f>
        <v>0.8807334511279391</v>
      </c>
      <c r="U420" s="81">
        <f>IF(G420="","",ABS(O420-Components!$C$7)/Components!$D$7)</f>
        <v>7.7283379309170694</v>
      </c>
      <c r="V420" s="81" t="str">
        <f>IF(G420="","",IF(M420="OK","NONE",INDEX({"S1","S2","W1","W2","N1","N2"},MATCH(MIN(P420:U420),P420:U420,0))))</f>
        <v>N1</v>
      </c>
      <c r="W420" s="117">
        <f t="shared" si="48"/>
        <v>1</v>
      </c>
      <c r="X420" s="107"/>
    </row>
    <row r="421" spans="1:24">
      <c r="A421" s="115">
        <v>419</v>
      </c>
      <c r="B421" s="116">
        <v>14</v>
      </c>
      <c r="C421" s="81" t="s">
        <v>132</v>
      </c>
      <c r="D421" s="111" t="s">
        <v>240</v>
      </c>
      <c r="E421" s="81" t="s">
        <v>108</v>
      </c>
      <c r="F421" s="61">
        <v>7.25</v>
      </c>
      <c r="G421" s="52">
        <f t="shared" si="42"/>
        <v>8.2200000000000006</v>
      </c>
      <c r="H421" s="110"/>
      <c r="I421" s="81">
        <v>9.61</v>
      </c>
      <c r="J421" s="81">
        <f>VLOOKUP(C421,Recipes!$A$2:$N$4,12,FALSE())</f>
        <v>6.1509461004819709E-2</v>
      </c>
      <c r="K421" s="81">
        <f t="shared" si="43"/>
        <v>9.3947168864831312</v>
      </c>
      <c r="L421" s="81">
        <f t="shared" si="44"/>
        <v>9.8252831135168677</v>
      </c>
      <c r="M421" s="81" t="str">
        <f t="shared" si="46"/>
        <v>NG</v>
      </c>
      <c r="N421" s="117">
        <f t="shared" si="45"/>
        <v>1</v>
      </c>
      <c r="O421" s="81">
        <f t="shared" si="47"/>
        <v>1.3899999999999988</v>
      </c>
      <c r="P421" s="81">
        <f>IF(G421="","",ABS(O421-Components!$C$2)/Components!$D$2)</f>
        <v>206.28606011190587</v>
      </c>
      <c r="Q421" s="81">
        <f>IF(G421="","",ABS(O421-Components!$C$3)/Components!$D$3)</f>
        <v>191.78705922704344</v>
      </c>
      <c r="R421" s="81">
        <f>IF(G421="","",ABS(O421-Components!$C$4)/Components!$D$4)</f>
        <v>28.376633579995573</v>
      </c>
      <c r="S421" s="81">
        <f>IF(G421="","",ABS(O421-Components!$C$5)/Components!$D$5)</f>
        <v>126.00040564948046</v>
      </c>
      <c r="T421" s="81">
        <f>IF(G421="","",ABS(O421-Components!$C$6)/Components!$D$6)</f>
        <v>8.4815837827810974</v>
      </c>
      <c r="U421" s="81">
        <f>IF(G421="","",ABS(O421-Components!$C$7)/Components!$D$7)</f>
        <v>0.62303925000541227</v>
      </c>
      <c r="V421" s="81" t="str">
        <f>IF(G421="","",IF(M421="OK","NONE",INDEX({"S1","S2","W1","W2","N1","N2"},MATCH(MIN(P421:U421),P421:U421,0))))</f>
        <v>N2</v>
      </c>
      <c r="W421" s="122">
        <f t="shared" si="48"/>
        <v>0</v>
      </c>
      <c r="X421" s="107"/>
    </row>
    <row r="422" spans="1:24">
      <c r="A422" s="115">
        <v>420</v>
      </c>
      <c r="B422" s="116">
        <v>14</v>
      </c>
      <c r="C422" s="61" t="s">
        <v>132</v>
      </c>
      <c r="D422" s="61" t="s">
        <v>240</v>
      </c>
      <c r="E422" s="61" t="s">
        <v>108</v>
      </c>
      <c r="F422" s="61">
        <v>7.47</v>
      </c>
      <c r="G422" s="112">
        <f t="shared" si="42"/>
        <v>8.44</v>
      </c>
      <c r="H422" s="113"/>
      <c r="I422" s="81">
        <v>9.61</v>
      </c>
      <c r="J422" s="81">
        <f>VLOOKUP(C422,Recipes!$A$2:$N$4,12,FALSE())</f>
        <v>6.1509461004819709E-2</v>
      </c>
      <c r="K422" s="81">
        <f t="shared" si="43"/>
        <v>9.3947168864831312</v>
      </c>
      <c r="L422" s="81">
        <f t="shared" si="44"/>
        <v>9.8252831135168677</v>
      </c>
      <c r="M422" s="81" t="str">
        <f t="shared" si="46"/>
        <v>NG</v>
      </c>
      <c r="N422" s="117">
        <f t="shared" si="45"/>
        <v>1</v>
      </c>
      <c r="O422" s="81">
        <f t="shared" si="47"/>
        <v>1.17</v>
      </c>
      <c r="P422" s="81">
        <f>IF(G422="","",ABS(O422-Components!$C$2)/Components!$D$2)</f>
        <v>239.57427519108862</v>
      </c>
      <c r="Q422" s="81">
        <f>IF(G422="","",ABS(O422-Components!$C$3)/Components!$D$3)</f>
        <v>207.73307322173329</v>
      </c>
      <c r="R422" s="81">
        <f>IF(G422="","",ABS(O422-Components!$C$4)/Components!$D$4)</f>
        <v>12.63833260285522</v>
      </c>
      <c r="S422" s="81">
        <f>IF(G422="","",ABS(O422-Components!$C$5)/Components!$D$5)</f>
        <v>134.73756342723382</v>
      </c>
      <c r="T422" s="81">
        <f>IF(G422="","",ABS(O422-Components!$C$6)/Components!$D$6)</f>
        <v>0.5187881972396996</v>
      </c>
      <c r="U422" s="81">
        <f>IF(G422="","",ABS(O422-Components!$C$7)/Components!$D$7)</f>
        <v>8.1260225585800381</v>
      </c>
      <c r="V422" s="81" t="str">
        <f>IF(G422="","",IF(M422="OK","NONE",INDEX({"S1","S2","W1","W2","N1","N2"},MATCH(MIN(P422:U422),P422:U422,0))))</f>
        <v>N1</v>
      </c>
      <c r="W422" s="117">
        <f t="shared" si="48"/>
        <v>1</v>
      </c>
      <c r="X422" s="107"/>
    </row>
    <row r="423" spans="1:24">
      <c r="A423" s="7"/>
      <c r="B423" s="66"/>
      <c r="C423" s="7"/>
      <c r="D423" s="7"/>
      <c r="E423" s="7"/>
      <c r="F423" s="67"/>
      <c r="G423" s="68"/>
      <c r="H423" s="69"/>
      <c r="I423" s="70"/>
      <c r="J423" s="70"/>
      <c r="K423" s="71"/>
      <c r="L423" s="71"/>
      <c r="M423" s="7"/>
      <c r="N423" s="7"/>
      <c r="O423" s="71"/>
      <c r="P423" s="72"/>
      <c r="Q423" s="72"/>
      <c r="R423" s="72"/>
      <c r="S423" s="72"/>
      <c r="T423" s="72"/>
      <c r="U423" s="72"/>
      <c r="V423" s="7"/>
      <c r="W423" s="7"/>
    </row>
    <row r="424" spans="1:24">
      <c r="A424" s="7"/>
      <c r="B424" s="66"/>
      <c r="C424" s="7"/>
      <c r="D424" s="7"/>
      <c r="E424" s="7"/>
      <c r="F424" s="67"/>
      <c r="G424" s="68"/>
      <c r="H424" s="69"/>
      <c r="I424" s="70"/>
      <c r="J424" s="70"/>
      <c r="K424" s="71"/>
      <c r="L424" s="71"/>
      <c r="M424" s="7"/>
      <c r="N424" s="7"/>
      <c r="O424" s="71"/>
      <c r="P424" s="72"/>
      <c r="Q424" s="72"/>
      <c r="R424" s="72"/>
      <c r="S424" s="72"/>
      <c r="T424" s="72"/>
      <c r="U424" s="72"/>
      <c r="V424" s="7"/>
      <c r="W424" s="7"/>
    </row>
  </sheetData>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1503-E190-49EC-83B2-E619009D269A}">
  <sheetPr>
    <tabColor rgb="FF00B050"/>
  </sheetPr>
  <dimension ref="A1:X424"/>
  <sheetViews>
    <sheetView topLeftCell="F1" zoomScaleNormal="100" workbookViewId="0">
      <pane ySplit="2" topLeftCell="A3" activePane="bottomLeft" state="frozen"/>
      <selection activeCell="K27" sqref="K27"/>
      <selection pane="bottomLeft" activeCell="W290" sqref="W290"/>
    </sheetView>
  </sheetViews>
  <sheetFormatPr defaultColWidth="8.7109375" defaultRowHeight="15"/>
  <cols>
    <col min="1" max="1" width="8" customWidth="1"/>
    <col min="2" max="2" width="17" customWidth="1"/>
    <col min="3" max="3" width="8" customWidth="1"/>
    <col min="4" max="4" width="11" customWidth="1"/>
    <col min="5" max="6" width="19" customWidth="1"/>
    <col min="7" max="7" width="30.7109375" customWidth="1"/>
    <col min="8" max="8" width="8" customWidth="1"/>
    <col min="9" max="9" width="17" customWidth="1"/>
    <col min="10" max="10" width="14" customWidth="1"/>
    <col min="11" max="12" width="13" customWidth="1"/>
    <col min="13" max="13" width="17" customWidth="1"/>
    <col min="14" max="14" width="12" customWidth="1"/>
    <col min="15" max="15" width="19" customWidth="1"/>
    <col min="16" max="21" width="10" customWidth="1"/>
    <col min="22" max="22" width="19" customWidth="1"/>
    <col min="23" max="23" width="12" customWidth="1"/>
    <col min="24" max="24" width="17.5703125" bestFit="1" customWidth="1"/>
  </cols>
  <sheetData>
    <row r="1" spans="1:24" ht="15.75" customHeight="1" thickBot="1"/>
    <row r="2" spans="1:24" ht="30" customHeight="1" thickBot="1">
      <c r="A2" s="48" t="s">
        <v>216</v>
      </c>
      <c r="B2" s="48" t="s">
        <v>217</v>
      </c>
      <c r="C2" s="48" t="s">
        <v>218</v>
      </c>
      <c r="D2" s="48" t="s">
        <v>219</v>
      </c>
      <c r="E2" s="48" t="s">
        <v>220</v>
      </c>
      <c r="F2" s="48" t="s">
        <v>221</v>
      </c>
      <c r="G2" s="48" t="s">
        <v>445</v>
      </c>
      <c r="H2" s="48" t="s">
        <v>98</v>
      </c>
      <c r="I2" s="48" t="s">
        <v>223</v>
      </c>
      <c r="J2" s="48" t="s">
        <v>224</v>
      </c>
      <c r="K2" s="48" t="s">
        <v>225</v>
      </c>
      <c r="L2" s="48" t="s">
        <v>226</v>
      </c>
      <c r="M2" s="48" t="s">
        <v>227</v>
      </c>
      <c r="N2" s="48" t="s">
        <v>228</v>
      </c>
      <c r="O2" s="48" t="s">
        <v>229</v>
      </c>
      <c r="P2" s="48" t="s">
        <v>230</v>
      </c>
      <c r="Q2" s="48" t="s">
        <v>231</v>
      </c>
      <c r="R2" s="48" t="s">
        <v>232</v>
      </c>
      <c r="S2" s="48" t="s">
        <v>233</v>
      </c>
      <c r="T2" s="48" t="s">
        <v>234</v>
      </c>
      <c r="U2" s="48" t="s">
        <v>235</v>
      </c>
      <c r="V2" s="48" t="s">
        <v>236</v>
      </c>
      <c r="W2" s="48" t="s">
        <v>237</v>
      </c>
      <c r="X2" s="123" t="s">
        <v>447</v>
      </c>
    </row>
    <row r="3" spans="1:24">
      <c r="A3" s="115">
        <v>1</v>
      </c>
      <c r="B3" s="116">
        <v>1</v>
      </c>
      <c r="C3" s="81" t="s">
        <v>128</v>
      </c>
      <c r="D3" s="109" t="s">
        <v>238</v>
      </c>
      <c r="E3" s="81" t="s">
        <v>239</v>
      </c>
      <c r="F3" s="52">
        <v>9.91</v>
      </c>
      <c r="G3" s="52">
        <f t="shared" ref="G3:G66" si="0">0.97+F3</f>
        <v>10.88</v>
      </c>
      <c r="H3" s="110"/>
      <c r="I3" s="81">
        <f>VLOOKUP(C3,Recipes!$A$2:$N$4,10,FALSE())</f>
        <v>10.940000000000001</v>
      </c>
      <c r="J3" s="81">
        <f>VLOOKUP(C3,Recipes!$A$2:$N$4,12,FALSE())</f>
        <v>5.2703573566378441E-2</v>
      </c>
      <c r="K3" s="81">
        <f t="shared" ref="K3:K66" si="1">I3-6*J3</f>
        <v>10.62377855860173</v>
      </c>
      <c r="L3" s="81">
        <f t="shared" ref="L3:L66" si="2">I3+6*J3</f>
        <v>11.256221441398273</v>
      </c>
      <c r="M3" s="81" t="str">
        <f>IF(G3="","",IF(AND(G3&gt;=K3,G3&lt;=L3),"OK","NG"))</f>
        <v>OK</v>
      </c>
      <c r="N3" s="117">
        <f t="shared" ref="N3:N66" si="3">IF(M3="","",IF(M3=D3,1,0))</f>
        <v>1</v>
      </c>
      <c r="O3" s="81">
        <f>IF(G3="","",I3-G3)</f>
        <v>6.0000000000000497E-2</v>
      </c>
      <c r="P3" s="81">
        <f>IF(G3="","",ABS(O3-Components!$C$2)/Components!$D$2)</f>
        <v>407.52845127242051</v>
      </c>
      <c r="Q3" s="81">
        <f>IF(G3="","",ABS(O3-Components!$C$3)/Components!$D$3)</f>
        <v>288.18796201312335</v>
      </c>
      <c r="R3" s="81">
        <f>IF(G3="","",ABS(O3-Components!$C$4)/Components!$D$4)</f>
        <v>66.768549599989655</v>
      </c>
      <c r="S3" s="81">
        <f>IF(G3="","",ABS(O3-Components!$C$5)/Components!$D$5)</f>
        <v>178.82049585135329</v>
      </c>
      <c r="T3" s="81">
        <f>IF(G3="","",ABS(O3-Components!$C$6)/Components!$D$6)</f>
        <v>39.657134984355721</v>
      </c>
      <c r="U3" s="81">
        <f>IF(G3="","",ABS(O3-Components!$C$7)/Components!$D$7)</f>
        <v>52.269016229170475</v>
      </c>
      <c r="V3" s="81" t="str">
        <f>IF(G3="","",IF(M3="OK","NONE",INDEX({"S1","S2","W1","W2","N1","N2"},MATCH(MIN(P3:U3),P3:U3,0))))</f>
        <v>NONE</v>
      </c>
      <c r="W3" s="117">
        <f>IF(G3="","",IF(V3=E3,1,0))</f>
        <v>1</v>
      </c>
      <c r="X3" s="107"/>
    </row>
    <row r="4" spans="1:24">
      <c r="A4" s="115">
        <v>2</v>
      </c>
      <c r="B4" s="116">
        <v>1</v>
      </c>
      <c r="C4" s="81" t="s">
        <v>128</v>
      </c>
      <c r="D4" s="109" t="s">
        <v>238</v>
      </c>
      <c r="E4" s="81" t="s">
        <v>239</v>
      </c>
      <c r="F4" s="52">
        <v>10</v>
      </c>
      <c r="G4" s="52">
        <f t="shared" si="0"/>
        <v>10.97</v>
      </c>
      <c r="H4" s="110"/>
      <c r="I4" s="81">
        <f>VLOOKUP(C4,Recipes!$A$2:$N$4,10,FALSE())</f>
        <v>10.940000000000001</v>
      </c>
      <c r="J4" s="81">
        <f>VLOOKUP(C4,Recipes!$A$2:$N$4,12,FALSE())</f>
        <v>5.2703573566378441E-2</v>
      </c>
      <c r="K4" s="81">
        <f t="shared" si="1"/>
        <v>10.62377855860173</v>
      </c>
      <c r="L4" s="81">
        <f t="shared" si="2"/>
        <v>11.256221441398273</v>
      </c>
      <c r="M4" s="81" t="str">
        <f t="shared" ref="M4:M67" si="4">IF(G4="","",IF(AND(G4&gt;=K4,G4&lt;=L4),"OK","NG"))</f>
        <v>OK</v>
      </c>
      <c r="N4" s="117">
        <f t="shared" si="3"/>
        <v>1</v>
      </c>
      <c r="O4" s="81">
        <f t="shared" ref="O4:O67" si="5">IF(G4="","",I4-G4)</f>
        <v>-2.9999999999999361E-2</v>
      </c>
      <c r="P4" s="81">
        <f>IF(G4="","",ABS(O4-Components!$C$2)/Components!$D$2)</f>
        <v>421.14635744117714</v>
      </c>
      <c r="Q4" s="81">
        <f>IF(G4="","",ABS(O4-Components!$C$3)/Components!$D$3)</f>
        <v>294.71133137458736</v>
      </c>
      <c r="R4" s="81">
        <f>IF(G4="","",ABS(O4-Components!$C$4)/Components!$D$4)</f>
        <v>73.206945454274376</v>
      </c>
      <c r="S4" s="81">
        <f>IF(G4="","",ABS(O4-Components!$C$5)/Components!$D$5)</f>
        <v>182.39478766952513</v>
      </c>
      <c r="T4" s="81">
        <f>IF(G4="","",ABS(O4-Components!$C$6)/Components!$D$6)</f>
        <v>42.91464226934994</v>
      </c>
      <c r="U4" s="81">
        <f>IF(G4="","",ABS(O4-Components!$C$7)/Components!$D$7)</f>
        <v>55.848177878137257</v>
      </c>
      <c r="V4" s="81" t="str">
        <f>IF(G4="","",IF(M4="OK","NONE",INDEX({"S1","S2","W1","W2","N1","N2"},MATCH(MIN(P4:U4),P4:U4,0))))</f>
        <v>NONE</v>
      </c>
      <c r="W4" s="117">
        <f t="shared" ref="W4:W67" si="6">IF(G4="","",IF(V4=E4,1,0))</f>
        <v>1</v>
      </c>
      <c r="X4" s="107"/>
    </row>
    <row r="5" spans="1:24">
      <c r="A5" s="115">
        <v>3</v>
      </c>
      <c r="B5" s="116">
        <v>1</v>
      </c>
      <c r="C5" s="81" t="s">
        <v>128</v>
      </c>
      <c r="D5" s="109" t="s">
        <v>238</v>
      </c>
      <c r="E5" s="81" t="s">
        <v>239</v>
      </c>
      <c r="F5" s="52">
        <v>10</v>
      </c>
      <c r="G5" s="52">
        <f t="shared" si="0"/>
        <v>10.97</v>
      </c>
      <c r="H5" s="110"/>
      <c r="I5" s="81">
        <f>VLOOKUP(C5,Recipes!$A$2:$N$4,10,FALSE())</f>
        <v>10.940000000000001</v>
      </c>
      <c r="J5" s="81">
        <f>VLOOKUP(C5,Recipes!$A$2:$N$4,12,FALSE())</f>
        <v>5.2703573566378441E-2</v>
      </c>
      <c r="K5" s="81">
        <f t="shared" si="1"/>
        <v>10.62377855860173</v>
      </c>
      <c r="L5" s="81">
        <f t="shared" si="2"/>
        <v>11.256221441398273</v>
      </c>
      <c r="M5" s="81" t="str">
        <f t="shared" si="4"/>
        <v>OK</v>
      </c>
      <c r="N5" s="117">
        <f t="shared" si="3"/>
        <v>1</v>
      </c>
      <c r="O5" s="81">
        <f t="shared" si="5"/>
        <v>-2.9999999999999361E-2</v>
      </c>
      <c r="P5" s="81">
        <f>IF(G5="","",ABS(O5-Components!$C$2)/Components!$D$2)</f>
        <v>421.14635744117714</v>
      </c>
      <c r="Q5" s="81">
        <f>IF(G5="","",ABS(O5-Components!$C$3)/Components!$D$3)</f>
        <v>294.71133137458736</v>
      </c>
      <c r="R5" s="81">
        <f>IF(G5="","",ABS(O5-Components!$C$4)/Components!$D$4)</f>
        <v>73.206945454274376</v>
      </c>
      <c r="S5" s="81">
        <f>IF(G5="","",ABS(O5-Components!$C$5)/Components!$D$5)</f>
        <v>182.39478766952513</v>
      </c>
      <c r="T5" s="81">
        <f>IF(G5="","",ABS(O5-Components!$C$6)/Components!$D$6)</f>
        <v>42.91464226934994</v>
      </c>
      <c r="U5" s="81">
        <f>IF(G5="","",ABS(O5-Components!$C$7)/Components!$D$7)</f>
        <v>55.848177878137257</v>
      </c>
      <c r="V5" s="81" t="str">
        <f>IF(G5="","",IF(M5="OK","NONE",INDEX({"S1","S2","W1","W2","N1","N2"},MATCH(MIN(P5:U5),P5:U5,0))))</f>
        <v>NONE</v>
      </c>
      <c r="W5" s="117">
        <f t="shared" si="6"/>
        <v>1</v>
      </c>
      <c r="X5" s="107"/>
    </row>
    <row r="6" spans="1:24">
      <c r="A6" s="115">
        <v>4</v>
      </c>
      <c r="B6" s="116">
        <v>1</v>
      </c>
      <c r="C6" s="81" t="s">
        <v>128</v>
      </c>
      <c r="D6" s="109" t="s">
        <v>238</v>
      </c>
      <c r="E6" s="81" t="s">
        <v>239</v>
      </c>
      <c r="F6" s="52">
        <v>9.91</v>
      </c>
      <c r="G6" s="52">
        <f t="shared" si="0"/>
        <v>10.88</v>
      </c>
      <c r="H6" s="110"/>
      <c r="I6" s="81">
        <f>VLOOKUP(C6,Recipes!$A$2:$N$4,10,FALSE())</f>
        <v>10.940000000000001</v>
      </c>
      <c r="J6" s="81">
        <f>VLOOKUP(C6,Recipes!$A$2:$N$4,12,FALSE())</f>
        <v>5.2703573566378441E-2</v>
      </c>
      <c r="K6" s="81">
        <f t="shared" si="1"/>
        <v>10.62377855860173</v>
      </c>
      <c r="L6" s="81">
        <f t="shared" si="2"/>
        <v>11.256221441398273</v>
      </c>
      <c r="M6" s="81" t="str">
        <f t="shared" si="4"/>
        <v>OK</v>
      </c>
      <c r="N6" s="117">
        <f t="shared" si="3"/>
        <v>1</v>
      </c>
      <c r="O6" s="81">
        <f t="shared" si="5"/>
        <v>6.0000000000000497E-2</v>
      </c>
      <c r="P6" s="81">
        <f>IF(G6="","",ABS(O6-Components!$C$2)/Components!$D$2)</f>
        <v>407.52845127242051</v>
      </c>
      <c r="Q6" s="81">
        <f>IF(G6="","",ABS(O6-Components!$C$3)/Components!$D$3)</f>
        <v>288.18796201312335</v>
      </c>
      <c r="R6" s="81">
        <f>IF(G6="","",ABS(O6-Components!$C$4)/Components!$D$4)</f>
        <v>66.768549599989655</v>
      </c>
      <c r="S6" s="81">
        <f>IF(G6="","",ABS(O6-Components!$C$5)/Components!$D$5)</f>
        <v>178.82049585135329</v>
      </c>
      <c r="T6" s="81">
        <f>IF(G6="","",ABS(O6-Components!$C$6)/Components!$D$6)</f>
        <v>39.657134984355721</v>
      </c>
      <c r="U6" s="81">
        <f>IF(G6="","",ABS(O6-Components!$C$7)/Components!$D$7)</f>
        <v>52.269016229170475</v>
      </c>
      <c r="V6" s="81" t="str">
        <f>IF(G6="","",IF(M6="OK","NONE",INDEX({"S1","S2","W1","W2","N1","N2"},MATCH(MIN(P6:U6),P6:U6,0))))</f>
        <v>NONE</v>
      </c>
      <c r="W6" s="117">
        <f t="shared" si="6"/>
        <v>1</v>
      </c>
      <c r="X6" s="107"/>
    </row>
    <row r="7" spans="1:24">
      <c r="A7" s="115">
        <v>5</v>
      </c>
      <c r="B7" s="116">
        <v>1</v>
      </c>
      <c r="C7" s="81" t="s">
        <v>128</v>
      </c>
      <c r="D7" s="109" t="s">
        <v>238</v>
      </c>
      <c r="E7" s="81" t="s">
        <v>239</v>
      </c>
      <c r="F7" s="52">
        <v>10.039999999999999</v>
      </c>
      <c r="G7" s="52">
        <f t="shared" si="0"/>
        <v>11.01</v>
      </c>
      <c r="H7" s="110"/>
      <c r="I7" s="81">
        <f>VLOOKUP(C7,Recipes!$A$2:$N$4,10,FALSE())</f>
        <v>10.940000000000001</v>
      </c>
      <c r="J7" s="81">
        <f>VLOOKUP(C7,Recipes!$A$2:$N$4,12,FALSE())</f>
        <v>5.2703573566378441E-2</v>
      </c>
      <c r="K7" s="81">
        <f t="shared" si="1"/>
        <v>10.62377855860173</v>
      </c>
      <c r="L7" s="81">
        <f t="shared" si="2"/>
        <v>11.256221441398273</v>
      </c>
      <c r="M7" s="81" t="str">
        <f t="shared" si="4"/>
        <v>OK</v>
      </c>
      <c r="N7" s="117">
        <f t="shared" si="3"/>
        <v>1</v>
      </c>
      <c r="O7" s="81">
        <f t="shared" si="5"/>
        <v>-6.9999999999998508E-2</v>
      </c>
      <c r="P7" s="81">
        <f>IF(G7="","",ABS(O7-Components!$C$2)/Components!$D$2)</f>
        <v>427.19876018284663</v>
      </c>
      <c r="Q7" s="81">
        <f>IF(G7="","",ABS(O7-Components!$C$3)/Components!$D$3)</f>
        <v>297.61060664634914</v>
      </c>
      <c r="R7" s="81">
        <f>IF(G7="","",ABS(O7-Components!$C$4)/Components!$D$4)</f>
        <v>76.068454722845303</v>
      </c>
      <c r="S7" s="81">
        <f>IF(G7="","",ABS(O7-Components!$C$5)/Components!$D$5)</f>
        <v>183.98336181093481</v>
      </c>
      <c r="T7" s="81">
        <f>IF(G7="","",ABS(O7-Components!$C$6)/Components!$D$6)</f>
        <v>44.362423284902896</v>
      </c>
      <c r="U7" s="81">
        <f>IF(G7="","",ABS(O7-Components!$C$7)/Components!$D$7)</f>
        <v>57.438916388789131</v>
      </c>
      <c r="V7" s="81" t="str">
        <f>IF(G7="","",IF(M7="OK","NONE",INDEX({"S1","S2","W1","W2","N1","N2"},MATCH(MIN(P7:U7),P7:U7,0))))</f>
        <v>NONE</v>
      </c>
      <c r="W7" s="117">
        <f t="shared" si="6"/>
        <v>1</v>
      </c>
      <c r="X7" s="107"/>
    </row>
    <row r="8" spans="1:24">
      <c r="A8" s="115">
        <v>6</v>
      </c>
      <c r="B8" s="116">
        <v>1</v>
      </c>
      <c r="C8" s="81" t="s">
        <v>128</v>
      </c>
      <c r="D8" s="109" t="s">
        <v>238</v>
      </c>
      <c r="E8" s="81" t="s">
        <v>239</v>
      </c>
      <c r="F8" s="52">
        <v>9.84</v>
      </c>
      <c r="G8" s="52">
        <f t="shared" si="0"/>
        <v>10.81</v>
      </c>
      <c r="H8" s="110"/>
      <c r="I8" s="81">
        <f>VLOOKUP(C8,Recipes!$A$2:$N$4,10,FALSE())</f>
        <v>10.940000000000001</v>
      </c>
      <c r="J8" s="81">
        <f>VLOOKUP(C8,Recipes!$A$2:$N$4,12,FALSE())</f>
        <v>5.2703573566378441E-2</v>
      </c>
      <c r="K8" s="81">
        <f t="shared" si="1"/>
        <v>10.62377855860173</v>
      </c>
      <c r="L8" s="81">
        <f t="shared" si="2"/>
        <v>11.256221441398273</v>
      </c>
      <c r="M8" s="81" t="str">
        <f t="shared" si="4"/>
        <v>OK</v>
      </c>
      <c r="N8" s="117">
        <f t="shared" si="3"/>
        <v>1</v>
      </c>
      <c r="O8" s="81">
        <f t="shared" si="5"/>
        <v>0.13000000000000078</v>
      </c>
      <c r="P8" s="81">
        <f>IF(G8="","",ABS(O8-Components!$C$2)/Components!$D$2)</f>
        <v>396.93674647449859</v>
      </c>
      <c r="Q8" s="81">
        <f>IF(G8="","",ABS(O8-Components!$C$3)/Components!$D$3)</f>
        <v>283.11423028754012</v>
      </c>
      <c r="R8" s="81">
        <f>IF(G8="","",ABS(O8-Components!$C$4)/Components!$D$4)</f>
        <v>61.760908379990411</v>
      </c>
      <c r="S8" s="81">
        <f>IF(G8="","",ABS(O8-Components!$C$5)/Components!$D$5)</f>
        <v>176.04049110388627</v>
      </c>
      <c r="T8" s="81">
        <f>IF(G8="","",ABS(O8-Components!$C$6)/Components!$D$6)</f>
        <v>37.123518207137977</v>
      </c>
      <c r="U8" s="81">
        <f>IF(G8="","",ABS(O8-Components!$C$7)/Components!$D$7)</f>
        <v>49.485223835529624</v>
      </c>
      <c r="V8" s="81" t="str">
        <f>IF(G8="","",IF(M8="OK","NONE",INDEX({"S1","S2","W1","W2","N1","N2"},MATCH(MIN(P8:U8),P8:U8,0))))</f>
        <v>NONE</v>
      </c>
      <c r="W8" s="117">
        <f t="shared" si="6"/>
        <v>1</v>
      </c>
      <c r="X8" s="107"/>
    </row>
    <row r="9" spans="1:24">
      <c r="A9" s="115">
        <v>7</v>
      </c>
      <c r="B9" s="116">
        <v>1</v>
      </c>
      <c r="C9" s="81" t="s">
        <v>128</v>
      </c>
      <c r="D9" s="109" t="s">
        <v>238</v>
      </c>
      <c r="E9" s="81" t="s">
        <v>239</v>
      </c>
      <c r="F9" s="52">
        <v>9.9</v>
      </c>
      <c r="G9" s="52">
        <f t="shared" si="0"/>
        <v>10.870000000000001</v>
      </c>
      <c r="H9" s="110"/>
      <c r="I9" s="81">
        <f>VLOOKUP(C9,Recipes!$A$2:$N$4,10,FALSE())</f>
        <v>10.940000000000001</v>
      </c>
      <c r="J9" s="81">
        <f>VLOOKUP(C9,Recipes!$A$2:$N$4,12,FALSE())</f>
        <v>5.2703573566378441E-2</v>
      </c>
      <c r="K9" s="81">
        <f t="shared" si="1"/>
        <v>10.62377855860173</v>
      </c>
      <c r="L9" s="81">
        <f t="shared" si="2"/>
        <v>11.256221441398273</v>
      </c>
      <c r="M9" s="81" t="str">
        <f t="shared" si="4"/>
        <v>OK</v>
      </c>
      <c r="N9" s="117">
        <f t="shared" si="3"/>
        <v>1</v>
      </c>
      <c r="O9" s="81">
        <f t="shared" si="5"/>
        <v>7.0000000000000284E-2</v>
      </c>
      <c r="P9" s="81">
        <f>IF(G9="","",ABS(O9-Components!$C$2)/Components!$D$2)</f>
        <v>406.01535058700313</v>
      </c>
      <c r="Q9" s="81">
        <f>IF(G9="","",ABS(O9-Components!$C$3)/Components!$D$3)</f>
        <v>287.46314319518291</v>
      </c>
      <c r="R9" s="81">
        <f>IF(G9="","",ABS(O9-Components!$C$4)/Components!$D$4)</f>
        <v>66.05317228284693</v>
      </c>
      <c r="S9" s="81">
        <f>IF(G9="","",ABS(O9-Components!$C$5)/Components!$D$5)</f>
        <v>178.42335231600086</v>
      </c>
      <c r="T9" s="81">
        <f>IF(G9="","",ABS(O9-Components!$C$6)/Components!$D$6)</f>
        <v>39.295189730467477</v>
      </c>
      <c r="U9" s="81">
        <f>IF(G9="","",ABS(O9-Components!$C$7)/Components!$D$7)</f>
        <v>51.871331601507507</v>
      </c>
      <c r="V9" s="81" t="str">
        <f>IF(G9="","",IF(M9="OK","NONE",INDEX({"S1","S2","W1","W2","N1","N2"},MATCH(MIN(P9:U9),P9:U9,0))))</f>
        <v>NONE</v>
      </c>
      <c r="W9" s="117">
        <f t="shared" si="6"/>
        <v>1</v>
      </c>
      <c r="X9" s="107"/>
    </row>
    <row r="10" spans="1:24">
      <c r="A10" s="115">
        <v>8</v>
      </c>
      <c r="B10" s="116">
        <v>1</v>
      </c>
      <c r="C10" s="81" t="s">
        <v>128</v>
      </c>
      <c r="D10" s="109" t="s">
        <v>238</v>
      </c>
      <c r="E10" s="81" t="s">
        <v>239</v>
      </c>
      <c r="F10" s="52">
        <v>9.92</v>
      </c>
      <c r="G10" s="52">
        <f t="shared" si="0"/>
        <v>10.89</v>
      </c>
      <c r="H10" s="110"/>
      <c r="I10" s="81">
        <f>VLOOKUP(C10,Recipes!$A$2:$N$4,10,FALSE())</f>
        <v>10.940000000000001</v>
      </c>
      <c r="J10" s="81">
        <f>VLOOKUP(C10,Recipes!$A$2:$N$4,12,FALSE())</f>
        <v>5.2703573566378441E-2</v>
      </c>
      <c r="K10" s="61">
        <f t="shared" si="1"/>
        <v>10.62377855860173</v>
      </c>
      <c r="L10" s="61">
        <f t="shared" si="2"/>
        <v>11.256221441398273</v>
      </c>
      <c r="M10" s="81" t="str">
        <f t="shared" si="4"/>
        <v>OK</v>
      </c>
      <c r="N10" s="117">
        <f t="shared" si="3"/>
        <v>1</v>
      </c>
      <c r="O10" s="81">
        <f t="shared" si="5"/>
        <v>5.0000000000000711E-2</v>
      </c>
      <c r="P10" s="81">
        <f>IF(G10="","",ABS(O10-Components!$C$2)/Components!$D$2)</f>
        <v>409.0415519578379</v>
      </c>
      <c r="Q10" s="81">
        <f>IF(G10="","",ABS(O10-Components!$C$3)/Components!$D$3)</f>
        <v>288.91278083106374</v>
      </c>
      <c r="R10" s="81">
        <f>IF(G10="","",ABS(O10-Components!$C$4)/Components!$D$4)</f>
        <v>67.483926917132393</v>
      </c>
      <c r="S10" s="81">
        <f>IF(G10="","",ABS(O10-Components!$C$5)/Components!$D$5)</f>
        <v>179.21763938670568</v>
      </c>
      <c r="T10" s="81">
        <f>IF(G10="","",ABS(O10-Components!$C$6)/Components!$D$6)</f>
        <v>40.019080238243959</v>
      </c>
      <c r="U10" s="81">
        <f>IF(G10="","",ABS(O10-Components!$C$7)/Components!$D$7)</f>
        <v>52.666700856833444</v>
      </c>
      <c r="V10" s="81" t="str">
        <f>IF(G10="","",IF(M10="OK","NONE",INDEX({"S1","S2","W1","W2","N1","N2"},MATCH(MIN(P10:U10),P10:U10,0))))</f>
        <v>NONE</v>
      </c>
      <c r="W10" s="117">
        <f t="shared" si="6"/>
        <v>1</v>
      </c>
      <c r="X10" s="107"/>
    </row>
    <row r="11" spans="1:24">
      <c r="A11" s="115">
        <v>9</v>
      </c>
      <c r="B11" s="116">
        <v>1</v>
      </c>
      <c r="C11" s="81" t="s">
        <v>128</v>
      </c>
      <c r="D11" s="109" t="s">
        <v>238</v>
      </c>
      <c r="E11" s="81" t="s">
        <v>239</v>
      </c>
      <c r="F11" s="52">
        <v>9.9499999999999993</v>
      </c>
      <c r="G11" s="52">
        <f t="shared" si="0"/>
        <v>10.92</v>
      </c>
      <c r="H11" s="110"/>
      <c r="I11" s="81">
        <f>VLOOKUP(C11,Recipes!$A$2:$N$4,10,FALSE())</f>
        <v>10.940000000000001</v>
      </c>
      <c r="J11" s="81">
        <f>VLOOKUP(C11,Recipes!$A$2:$N$4,12,FALSE())</f>
        <v>5.2703573566378441E-2</v>
      </c>
      <c r="K11" s="81">
        <f t="shared" si="1"/>
        <v>10.62377855860173</v>
      </c>
      <c r="L11" s="81">
        <f t="shared" si="2"/>
        <v>11.256221441398273</v>
      </c>
      <c r="M11" s="81" t="str">
        <f t="shared" si="4"/>
        <v>OK</v>
      </c>
      <c r="N11" s="117">
        <f t="shared" si="3"/>
        <v>1</v>
      </c>
      <c r="O11" s="81">
        <f t="shared" si="5"/>
        <v>2.000000000000135E-2</v>
      </c>
      <c r="P11" s="81">
        <f>IF(G11="","",ABS(O11-Components!$C$2)/Components!$D$2)</f>
        <v>413.58085401408999</v>
      </c>
      <c r="Q11" s="81">
        <f>IF(G11="","",ABS(O11-Components!$C$3)/Components!$D$3)</f>
        <v>291.08723728488508</v>
      </c>
      <c r="R11" s="81">
        <f>IF(G11="","",ABS(O11-Components!$C$4)/Components!$D$4)</f>
        <v>69.630058868560582</v>
      </c>
      <c r="S11" s="81">
        <f>IF(G11="","",ABS(O11-Components!$C$5)/Components!$D$5)</f>
        <v>180.40906999276297</v>
      </c>
      <c r="T11" s="81">
        <f>IF(G11="","",ABS(O11-Components!$C$6)/Components!$D$6)</f>
        <v>41.104915999908677</v>
      </c>
      <c r="U11" s="81">
        <f>IF(G11="","",ABS(O11-Components!$C$7)/Components!$D$7)</f>
        <v>53.85975473982235</v>
      </c>
      <c r="V11" s="81" t="str">
        <f>IF(G11="","",IF(M11="OK","NONE",INDEX({"S1","S2","W1","W2","N1","N2"},MATCH(MIN(P11:U11),P11:U11,0))))</f>
        <v>NONE</v>
      </c>
      <c r="W11" s="117">
        <f t="shared" si="6"/>
        <v>1</v>
      </c>
      <c r="X11" s="107"/>
    </row>
    <row r="12" spans="1:24">
      <c r="A12" s="115">
        <v>10</v>
      </c>
      <c r="B12" s="116">
        <v>1</v>
      </c>
      <c r="C12" s="81" t="s">
        <v>128</v>
      </c>
      <c r="D12" s="109" t="s">
        <v>238</v>
      </c>
      <c r="E12" s="81" t="s">
        <v>239</v>
      </c>
      <c r="F12" s="52">
        <v>9.8699999999999992</v>
      </c>
      <c r="G12" s="52">
        <f t="shared" si="0"/>
        <v>10.84</v>
      </c>
      <c r="H12" s="110"/>
      <c r="I12" s="81">
        <f>VLOOKUP(C12,Recipes!$A$2:$N$4,10,FALSE())</f>
        <v>10.940000000000001</v>
      </c>
      <c r="J12" s="81">
        <f>VLOOKUP(C12,Recipes!$A$2:$N$4,12,FALSE())</f>
        <v>5.2703573566378441E-2</v>
      </c>
      <c r="K12" s="81">
        <f t="shared" si="1"/>
        <v>10.62377855860173</v>
      </c>
      <c r="L12" s="81">
        <f t="shared" si="2"/>
        <v>11.256221441398273</v>
      </c>
      <c r="M12" s="81" t="str">
        <f t="shared" si="4"/>
        <v>OK</v>
      </c>
      <c r="N12" s="117">
        <f t="shared" si="3"/>
        <v>1</v>
      </c>
      <c r="O12" s="81">
        <f t="shared" si="5"/>
        <v>0.10000000000000142</v>
      </c>
      <c r="P12" s="81">
        <f>IF(G12="","",ABS(O12-Components!$C$2)/Components!$D$2)</f>
        <v>401.47604853075075</v>
      </c>
      <c r="Q12" s="81">
        <f>IF(G12="","",ABS(O12-Components!$C$3)/Components!$D$3)</f>
        <v>285.28868674136146</v>
      </c>
      <c r="R12" s="81">
        <f>IF(G12="","",ABS(O12-Components!$C$4)/Components!$D$4)</f>
        <v>63.907040331418607</v>
      </c>
      <c r="S12" s="81">
        <f>IF(G12="","",ABS(O12-Components!$C$5)/Components!$D$5)</f>
        <v>177.23192170994352</v>
      </c>
      <c r="T12" s="81">
        <f>IF(G12="","",ABS(O12-Components!$C$6)/Components!$D$6)</f>
        <v>38.209353968802695</v>
      </c>
      <c r="U12" s="81">
        <f>IF(G12="","",ABS(O12-Components!$C$7)/Components!$D$7)</f>
        <v>50.67827771851853</v>
      </c>
      <c r="V12" s="81" t="str">
        <f>IF(G12="","",IF(M12="OK","NONE",INDEX({"S1","S2","W1","W2","N1","N2"},MATCH(MIN(P12:U12),P12:U12,0))))</f>
        <v>NONE</v>
      </c>
      <c r="W12" s="117">
        <f t="shared" si="6"/>
        <v>1</v>
      </c>
      <c r="X12" s="107"/>
    </row>
    <row r="13" spans="1:24">
      <c r="A13" s="115">
        <v>11</v>
      </c>
      <c r="B13" s="116">
        <v>1</v>
      </c>
      <c r="C13" s="81" t="s">
        <v>128</v>
      </c>
      <c r="D13" s="109" t="s">
        <v>238</v>
      </c>
      <c r="E13" s="81" t="s">
        <v>239</v>
      </c>
      <c r="F13" s="52">
        <v>9.8800000000000008</v>
      </c>
      <c r="G13" s="52">
        <f t="shared" si="0"/>
        <v>10.850000000000001</v>
      </c>
      <c r="H13" s="110"/>
      <c r="I13" s="81">
        <f>VLOOKUP(C13,Recipes!$A$2:$N$4,10,FALSE())</f>
        <v>10.940000000000001</v>
      </c>
      <c r="J13" s="81">
        <f>VLOOKUP(C13,Recipes!$A$2:$N$4,12,FALSE())</f>
        <v>5.2703573566378441E-2</v>
      </c>
      <c r="K13" s="81">
        <f t="shared" si="1"/>
        <v>10.62377855860173</v>
      </c>
      <c r="L13" s="81">
        <f t="shared" si="2"/>
        <v>11.256221441398273</v>
      </c>
      <c r="M13" s="81" t="str">
        <f t="shared" si="4"/>
        <v>OK</v>
      </c>
      <c r="N13" s="117">
        <f t="shared" si="3"/>
        <v>1</v>
      </c>
      <c r="O13" s="81">
        <f t="shared" si="5"/>
        <v>8.9999999999999858E-2</v>
      </c>
      <c r="P13" s="81">
        <f>IF(G13="","",ABS(O13-Components!$C$2)/Components!$D$2)</f>
        <v>402.98914921616836</v>
      </c>
      <c r="Q13" s="81">
        <f>IF(G13="","",ABS(O13-Components!$C$3)/Components!$D$3)</f>
        <v>286.01350555930202</v>
      </c>
      <c r="R13" s="81">
        <f>IF(G13="","",ABS(O13-Components!$C$4)/Components!$D$4)</f>
        <v>64.622417648561466</v>
      </c>
      <c r="S13" s="81">
        <f>IF(G13="","",ABS(O13-Components!$C$5)/Components!$D$5)</f>
        <v>177.62906524529603</v>
      </c>
      <c r="T13" s="81">
        <f>IF(G13="","",ABS(O13-Components!$C$6)/Components!$D$6)</f>
        <v>38.571299222691003</v>
      </c>
      <c r="U13" s="81">
        <f>IF(G13="","",ABS(O13-Components!$C$7)/Components!$D$7)</f>
        <v>51.075962346181569</v>
      </c>
      <c r="V13" s="81" t="str">
        <f>IF(G13="","",IF(M13="OK","NONE",INDEX({"S1","S2","W1","W2","N1","N2"},MATCH(MIN(P13:U13),P13:U13,0))))</f>
        <v>NONE</v>
      </c>
      <c r="W13" s="117">
        <f t="shared" si="6"/>
        <v>1</v>
      </c>
      <c r="X13" s="107"/>
    </row>
    <row r="14" spans="1:24">
      <c r="A14" s="115">
        <v>12</v>
      </c>
      <c r="B14" s="116">
        <v>1</v>
      </c>
      <c r="C14" s="81" t="s">
        <v>128</v>
      </c>
      <c r="D14" s="109" t="s">
        <v>238</v>
      </c>
      <c r="E14" s="81" t="s">
        <v>239</v>
      </c>
      <c r="F14" s="52">
        <v>9.91</v>
      </c>
      <c r="G14" s="52">
        <f t="shared" si="0"/>
        <v>10.88</v>
      </c>
      <c r="H14" s="110"/>
      <c r="I14" s="81">
        <f>VLOOKUP(C14,Recipes!$A$2:$N$4,10,FALSE())</f>
        <v>10.940000000000001</v>
      </c>
      <c r="J14" s="81">
        <f>VLOOKUP(C14,Recipes!$A$2:$N$4,12,FALSE())</f>
        <v>5.2703573566378441E-2</v>
      </c>
      <c r="K14" s="81">
        <f t="shared" si="1"/>
        <v>10.62377855860173</v>
      </c>
      <c r="L14" s="81">
        <f t="shared" si="2"/>
        <v>11.256221441398273</v>
      </c>
      <c r="M14" s="81" t="str">
        <f t="shared" si="4"/>
        <v>OK</v>
      </c>
      <c r="N14" s="117">
        <f t="shared" si="3"/>
        <v>1</v>
      </c>
      <c r="O14" s="81">
        <f t="shared" si="5"/>
        <v>6.0000000000000497E-2</v>
      </c>
      <c r="P14" s="81">
        <f>IF(G14="","",ABS(O14-Components!$C$2)/Components!$D$2)</f>
        <v>407.52845127242051</v>
      </c>
      <c r="Q14" s="81">
        <f>IF(G14="","",ABS(O14-Components!$C$3)/Components!$D$3)</f>
        <v>288.18796201312335</v>
      </c>
      <c r="R14" s="81">
        <f>IF(G14="","",ABS(O14-Components!$C$4)/Components!$D$4)</f>
        <v>66.768549599989655</v>
      </c>
      <c r="S14" s="81">
        <f>IF(G14="","",ABS(O14-Components!$C$5)/Components!$D$5)</f>
        <v>178.82049585135329</v>
      </c>
      <c r="T14" s="81">
        <f>IF(G14="","",ABS(O14-Components!$C$6)/Components!$D$6)</f>
        <v>39.657134984355721</v>
      </c>
      <c r="U14" s="81">
        <f>IF(G14="","",ABS(O14-Components!$C$7)/Components!$D$7)</f>
        <v>52.269016229170475</v>
      </c>
      <c r="V14" s="81" t="str">
        <f>IF(G14="","",IF(M14="OK","NONE",INDEX({"S1","S2","W1","W2","N1","N2"},MATCH(MIN(P14:U14),P14:U14,0))))</f>
        <v>NONE</v>
      </c>
      <c r="W14" s="117">
        <f t="shared" si="6"/>
        <v>1</v>
      </c>
      <c r="X14" s="107"/>
    </row>
    <row r="15" spans="1:24">
      <c r="A15" s="115">
        <v>13</v>
      </c>
      <c r="B15" s="116">
        <v>1</v>
      </c>
      <c r="C15" s="81" t="s">
        <v>128</v>
      </c>
      <c r="D15" s="109" t="s">
        <v>238</v>
      </c>
      <c r="E15" s="81" t="s">
        <v>239</v>
      </c>
      <c r="F15" s="52">
        <v>9.9</v>
      </c>
      <c r="G15" s="52">
        <f t="shared" si="0"/>
        <v>10.870000000000001</v>
      </c>
      <c r="H15" s="110"/>
      <c r="I15" s="81">
        <f>VLOOKUP(C15,Recipes!$A$2:$N$4,10,FALSE())</f>
        <v>10.940000000000001</v>
      </c>
      <c r="J15" s="81">
        <f>VLOOKUP(C15,Recipes!$A$2:$N$4,12,FALSE())</f>
        <v>5.2703573566378441E-2</v>
      </c>
      <c r="K15" s="81">
        <f t="shared" si="1"/>
        <v>10.62377855860173</v>
      </c>
      <c r="L15" s="81">
        <f t="shared" si="2"/>
        <v>11.256221441398273</v>
      </c>
      <c r="M15" s="81" t="str">
        <f t="shared" si="4"/>
        <v>OK</v>
      </c>
      <c r="N15" s="117">
        <f t="shared" si="3"/>
        <v>1</v>
      </c>
      <c r="O15" s="81">
        <f t="shared" si="5"/>
        <v>7.0000000000000284E-2</v>
      </c>
      <c r="P15" s="81">
        <f>IF(G15="","",ABS(O15-Components!$C$2)/Components!$D$2)</f>
        <v>406.01535058700313</v>
      </c>
      <c r="Q15" s="81">
        <f>IF(G15="","",ABS(O15-Components!$C$3)/Components!$D$3)</f>
        <v>287.46314319518291</v>
      </c>
      <c r="R15" s="81">
        <f>IF(G15="","",ABS(O15-Components!$C$4)/Components!$D$4)</f>
        <v>66.05317228284693</v>
      </c>
      <c r="S15" s="81">
        <f>IF(G15="","",ABS(O15-Components!$C$5)/Components!$D$5)</f>
        <v>178.42335231600086</v>
      </c>
      <c r="T15" s="81">
        <f>IF(G15="","",ABS(O15-Components!$C$6)/Components!$D$6)</f>
        <v>39.295189730467477</v>
      </c>
      <c r="U15" s="81">
        <f>IF(G15="","",ABS(O15-Components!$C$7)/Components!$D$7)</f>
        <v>51.871331601507507</v>
      </c>
      <c r="V15" s="81" t="str">
        <f>IF(G15="","",IF(M15="OK","NONE",INDEX({"S1","S2","W1","W2","N1","N2"},MATCH(MIN(P15:U15),P15:U15,0))))</f>
        <v>NONE</v>
      </c>
      <c r="W15" s="117">
        <f t="shared" si="6"/>
        <v>1</v>
      </c>
      <c r="X15" s="107"/>
    </row>
    <row r="16" spans="1:24">
      <c r="A16" s="115">
        <v>14</v>
      </c>
      <c r="B16" s="116">
        <v>1</v>
      </c>
      <c r="C16" s="81" t="s">
        <v>128</v>
      </c>
      <c r="D16" s="109" t="s">
        <v>238</v>
      </c>
      <c r="E16" s="81" t="s">
        <v>239</v>
      </c>
      <c r="F16" s="52">
        <v>9.92</v>
      </c>
      <c r="G16" s="52">
        <f t="shared" si="0"/>
        <v>10.89</v>
      </c>
      <c r="H16" s="110"/>
      <c r="I16" s="81">
        <f>VLOOKUP(C16,Recipes!$A$2:$N$4,10,FALSE())</f>
        <v>10.940000000000001</v>
      </c>
      <c r="J16" s="81">
        <f>VLOOKUP(C16,Recipes!$A$2:$N$4,12,FALSE())</f>
        <v>5.2703573566378441E-2</v>
      </c>
      <c r="K16" s="81">
        <f t="shared" si="1"/>
        <v>10.62377855860173</v>
      </c>
      <c r="L16" s="81">
        <f t="shared" si="2"/>
        <v>11.256221441398273</v>
      </c>
      <c r="M16" s="81" t="str">
        <f t="shared" si="4"/>
        <v>OK</v>
      </c>
      <c r="N16" s="117">
        <f t="shared" si="3"/>
        <v>1</v>
      </c>
      <c r="O16" s="81">
        <f t="shared" si="5"/>
        <v>5.0000000000000711E-2</v>
      </c>
      <c r="P16" s="81">
        <f>IF(G16="","",ABS(O16-Components!$C$2)/Components!$D$2)</f>
        <v>409.0415519578379</v>
      </c>
      <c r="Q16" s="81">
        <f>IF(G16="","",ABS(O16-Components!$C$3)/Components!$D$3)</f>
        <v>288.91278083106374</v>
      </c>
      <c r="R16" s="81">
        <f>IF(G16="","",ABS(O16-Components!$C$4)/Components!$D$4)</f>
        <v>67.483926917132393</v>
      </c>
      <c r="S16" s="81">
        <f>IF(G16="","",ABS(O16-Components!$C$5)/Components!$D$5)</f>
        <v>179.21763938670568</v>
      </c>
      <c r="T16" s="81">
        <f>IF(G16="","",ABS(O16-Components!$C$6)/Components!$D$6)</f>
        <v>40.019080238243959</v>
      </c>
      <c r="U16" s="81">
        <f>IF(G16="","",ABS(O16-Components!$C$7)/Components!$D$7)</f>
        <v>52.666700856833444</v>
      </c>
      <c r="V16" s="81" t="str">
        <f>IF(G16="","",IF(M16="OK","NONE",INDEX({"S1","S2","W1","W2","N1","N2"},MATCH(MIN(P16:U16),P16:U16,0))))</f>
        <v>NONE</v>
      </c>
      <c r="W16" s="117">
        <f t="shared" si="6"/>
        <v>1</v>
      </c>
      <c r="X16" s="107"/>
    </row>
    <row r="17" spans="1:24">
      <c r="A17" s="115">
        <v>15</v>
      </c>
      <c r="B17" s="116">
        <v>1</v>
      </c>
      <c r="C17" s="81" t="s">
        <v>128</v>
      </c>
      <c r="D17" s="109" t="s">
        <v>238</v>
      </c>
      <c r="E17" s="81" t="s">
        <v>239</v>
      </c>
      <c r="F17" s="52">
        <v>9.94</v>
      </c>
      <c r="G17" s="52">
        <f t="shared" si="0"/>
        <v>10.91</v>
      </c>
      <c r="H17" s="110"/>
      <c r="I17" s="81">
        <f>VLOOKUP(C17,Recipes!$A$2:$N$4,10,FALSE())</f>
        <v>10.940000000000001</v>
      </c>
      <c r="J17" s="81">
        <f>VLOOKUP(C17,Recipes!$A$2:$N$4,12,FALSE())</f>
        <v>5.2703573566378441E-2</v>
      </c>
      <c r="K17" s="81">
        <f t="shared" si="1"/>
        <v>10.62377855860173</v>
      </c>
      <c r="L17" s="81">
        <f t="shared" si="2"/>
        <v>11.256221441398273</v>
      </c>
      <c r="M17" s="81" t="str">
        <f t="shared" si="4"/>
        <v>OK</v>
      </c>
      <c r="N17" s="117">
        <f t="shared" si="3"/>
        <v>1</v>
      </c>
      <c r="O17" s="81">
        <f t="shared" si="5"/>
        <v>3.0000000000001137E-2</v>
      </c>
      <c r="P17" s="81">
        <f>IF(G17="","",ABS(O17-Components!$C$2)/Components!$D$2)</f>
        <v>412.06775332867261</v>
      </c>
      <c r="Q17" s="81">
        <f>IF(G17="","",ABS(O17-Components!$C$3)/Components!$D$3)</f>
        <v>290.36241846694463</v>
      </c>
      <c r="R17" s="81">
        <f>IF(G17="","",ABS(O17-Components!$C$4)/Components!$D$4)</f>
        <v>68.914681551417857</v>
      </c>
      <c r="S17" s="81">
        <f>IF(G17="","",ABS(O17-Components!$C$5)/Components!$D$5)</f>
        <v>180.01192645741054</v>
      </c>
      <c r="T17" s="81">
        <f>IF(G17="","",ABS(O17-Components!$C$6)/Components!$D$6)</f>
        <v>40.74297074602044</v>
      </c>
      <c r="U17" s="81">
        <f>IF(G17="","",ABS(O17-Components!$C$7)/Components!$D$7)</f>
        <v>53.462070112159381</v>
      </c>
      <c r="V17" s="81" t="str">
        <f>IF(G17="","",IF(M17="OK","NONE",INDEX({"S1","S2","W1","W2","N1","N2"},MATCH(MIN(P17:U17),P17:U17,0))))</f>
        <v>NONE</v>
      </c>
      <c r="W17" s="117">
        <f t="shared" si="6"/>
        <v>1</v>
      </c>
      <c r="X17" s="107"/>
    </row>
    <row r="18" spans="1:24">
      <c r="A18" s="115">
        <v>16</v>
      </c>
      <c r="B18" s="116">
        <v>1</v>
      </c>
      <c r="C18" s="81" t="s">
        <v>128</v>
      </c>
      <c r="D18" s="109" t="s">
        <v>238</v>
      </c>
      <c r="E18" s="81" t="s">
        <v>239</v>
      </c>
      <c r="F18" s="52">
        <v>9.92</v>
      </c>
      <c r="G18" s="52">
        <f t="shared" si="0"/>
        <v>10.89</v>
      </c>
      <c r="H18" s="110"/>
      <c r="I18" s="81">
        <f>VLOOKUP(C18,Recipes!$A$2:$N$4,10,FALSE())</f>
        <v>10.940000000000001</v>
      </c>
      <c r="J18" s="81">
        <f>VLOOKUP(C18,Recipes!$A$2:$N$4,12,FALSE())</f>
        <v>5.2703573566378441E-2</v>
      </c>
      <c r="K18" s="81">
        <f t="shared" si="1"/>
        <v>10.62377855860173</v>
      </c>
      <c r="L18" s="81">
        <f t="shared" si="2"/>
        <v>11.256221441398273</v>
      </c>
      <c r="M18" s="81" t="str">
        <f t="shared" si="4"/>
        <v>OK</v>
      </c>
      <c r="N18" s="117">
        <f t="shared" si="3"/>
        <v>1</v>
      </c>
      <c r="O18" s="81">
        <f t="shared" si="5"/>
        <v>5.0000000000000711E-2</v>
      </c>
      <c r="P18" s="81">
        <f>IF(G18="","",ABS(O18-Components!$C$2)/Components!$D$2)</f>
        <v>409.0415519578379</v>
      </c>
      <c r="Q18" s="81">
        <f>IF(G18="","",ABS(O18-Components!$C$3)/Components!$D$3)</f>
        <v>288.91278083106374</v>
      </c>
      <c r="R18" s="81">
        <f>IF(G18="","",ABS(O18-Components!$C$4)/Components!$D$4)</f>
        <v>67.483926917132393</v>
      </c>
      <c r="S18" s="81">
        <f>IF(G18="","",ABS(O18-Components!$C$5)/Components!$D$5)</f>
        <v>179.21763938670568</v>
      </c>
      <c r="T18" s="81">
        <f>IF(G18="","",ABS(O18-Components!$C$6)/Components!$D$6)</f>
        <v>40.019080238243959</v>
      </c>
      <c r="U18" s="81">
        <f>IF(G18="","",ABS(O18-Components!$C$7)/Components!$D$7)</f>
        <v>52.666700856833444</v>
      </c>
      <c r="V18" s="81" t="str">
        <f>IF(G18="","",IF(M18="OK","NONE",INDEX({"S1","S2","W1","W2","N1","N2"},MATCH(MIN(P18:U18),P18:U18,0))))</f>
        <v>NONE</v>
      </c>
      <c r="W18" s="117">
        <f t="shared" si="6"/>
        <v>1</v>
      </c>
      <c r="X18" s="107"/>
    </row>
    <row r="19" spans="1:24">
      <c r="A19" s="115">
        <v>17</v>
      </c>
      <c r="B19" s="116">
        <v>1</v>
      </c>
      <c r="C19" s="81" t="s">
        <v>128</v>
      </c>
      <c r="D19" s="109" t="s">
        <v>238</v>
      </c>
      <c r="E19" s="81" t="s">
        <v>239</v>
      </c>
      <c r="F19" s="52">
        <v>9.89</v>
      </c>
      <c r="G19" s="52">
        <f t="shared" si="0"/>
        <v>10.860000000000001</v>
      </c>
      <c r="H19" s="110"/>
      <c r="I19" s="81">
        <f>VLOOKUP(C19,Recipes!$A$2:$N$4,10,FALSE())</f>
        <v>10.940000000000001</v>
      </c>
      <c r="J19" s="81">
        <f>VLOOKUP(C19,Recipes!$A$2:$N$4,12,FALSE())</f>
        <v>5.2703573566378441E-2</v>
      </c>
      <c r="K19" s="81">
        <f t="shared" si="1"/>
        <v>10.62377855860173</v>
      </c>
      <c r="L19" s="81">
        <f t="shared" si="2"/>
        <v>11.256221441398273</v>
      </c>
      <c r="M19" s="81" t="str">
        <f t="shared" si="4"/>
        <v>OK</v>
      </c>
      <c r="N19" s="117">
        <f t="shared" si="3"/>
        <v>1</v>
      </c>
      <c r="O19" s="81">
        <f t="shared" si="5"/>
        <v>8.0000000000000071E-2</v>
      </c>
      <c r="P19" s="81">
        <f>IF(G19="","",ABS(O19-Components!$C$2)/Components!$D$2)</f>
        <v>404.50224990158574</v>
      </c>
      <c r="Q19" s="81">
        <f>IF(G19="","",ABS(O19-Components!$C$3)/Components!$D$3)</f>
        <v>286.73832437724246</v>
      </c>
      <c r="R19" s="81">
        <f>IF(G19="","",ABS(O19-Components!$C$4)/Components!$D$4)</f>
        <v>65.337794965704191</v>
      </c>
      <c r="S19" s="81">
        <f>IF(G19="","",ABS(O19-Components!$C$5)/Components!$D$5)</f>
        <v>178.02620878064843</v>
      </c>
      <c r="T19" s="81">
        <f>IF(G19="","",ABS(O19-Components!$C$6)/Components!$D$6)</f>
        <v>38.93324447657924</v>
      </c>
      <c r="U19" s="81">
        <f>IF(G19="","",ABS(O19-Components!$C$7)/Components!$D$7)</f>
        <v>51.473646973844538</v>
      </c>
      <c r="V19" s="81" t="str">
        <f>IF(G19="","",IF(M19="OK","NONE",INDEX({"S1","S2","W1","W2","N1","N2"},MATCH(MIN(P19:U19),P19:U19,0))))</f>
        <v>NONE</v>
      </c>
      <c r="W19" s="117">
        <f t="shared" si="6"/>
        <v>1</v>
      </c>
      <c r="X19" s="107"/>
    </row>
    <row r="20" spans="1:24">
      <c r="A20" s="115">
        <v>18</v>
      </c>
      <c r="B20" s="116">
        <v>1</v>
      </c>
      <c r="C20" s="81" t="s">
        <v>128</v>
      </c>
      <c r="D20" s="109" t="s">
        <v>238</v>
      </c>
      <c r="E20" s="81" t="s">
        <v>239</v>
      </c>
      <c r="F20" s="52">
        <v>9.92</v>
      </c>
      <c r="G20" s="52">
        <f t="shared" si="0"/>
        <v>10.89</v>
      </c>
      <c r="H20" s="110"/>
      <c r="I20" s="81">
        <f>VLOOKUP(C20,Recipes!$A$2:$N$4,10,FALSE())</f>
        <v>10.940000000000001</v>
      </c>
      <c r="J20" s="81">
        <f>VLOOKUP(C20,Recipes!$A$2:$N$4,12,FALSE())</f>
        <v>5.2703573566378441E-2</v>
      </c>
      <c r="K20" s="81">
        <f t="shared" si="1"/>
        <v>10.62377855860173</v>
      </c>
      <c r="L20" s="81">
        <f t="shared" si="2"/>
        <v>11.256221441398273</v>
      </c>
      <c r="M20" s="81" t="str">
        <f t="shared" si="4"/>
        <v>OK</v>
      </c>
      <c r="N20" s="117">
        <f t="shared" si="3"/>
        <v>1</v>
      </c>
      <c r="O20" s="81">
        <f t="shared" si="5"/>
        <v>5.0000000000000711E-2</v>
      </c>
      <c r="P20" s="81">
        <f>IF(G20="","",ABS(O20-Components!$C$2)/Components!$D$2)</f>
        <v>409.0415519578379</v>
      </c>
      <c r="Q20" s="81">
        <f>IF(G20="","",ABS(O20-Components!$C$3)/Components!$D$3)</f>
        <v>288.91278083106374</v>
      </c>
      <c r="R20" s="81">
        <f>IF(G20="","",ABS(O20-Components!$C$4)/Components!$D$4)</f>
        <v>67.483926917132393</v>
      </c>
      <c r="S20" s="81">
        <f>IF(G20="","",ABS(O20-Components!$C$5)/Components!$D$5)</f>
        <v>179.21763938670568</v>
      </c>
      <c r="T20" s="81">
        <f>IF(G20="","",ABS(O20-Components!$C$6)/Components!$D$6)</f>
        <v>40.019080238243959</v>
      </c>
      <c r="U20" s="81">
        <f>IF(G20="","",ABS(O20-Components!$C$7)/Components!$D$7)</f>
        <v>52.666700856833444</v>
      </c>
      <c r="V20" s="81" t="str">
        <f>IF(G20="","",IF(M20="OK","NONE",INDEX({"S1","S2","W1","W2","N1","N2"},MATCH(MIN(P20:U20),P20:U20,0))))</f>
        <v>NONE</v>
      </c>
      <c r="W20" s="117">
        <f t="shared" si="6"/>
        <v>1</v>
      </c>
      <c r="X20" s="107"/>
    </row>
    <row r="21" spans="1:24">
      <c r="A21" s="115">
        <v>19</v>
      </c>
      <c r="B21" s="116">
        <v>1</v>
      </c>
      <c r="C21" s="81" t="s">
        <v>128</v>
      </c>
      <c r="D21" s="109" t="s">
        <v>238</v>
      </c>
      <c r="E21" s="81" t="s">
        <v>239</v>
      </c>
      <c r="F21" s="52">
        <v>9.9499999999999993</v>
      </c>
      <c r="G21" s="52">
        <f t="shared" si="0"/>
        <v>10.92</v>
      </c>
      <c r="H21" s="110"/>
      <c r="I21" s="81">
        <f>VLOOKUP(C21,Recipes!$A$2:$N$4,10,FALSE())</f>
        <v>10.940000000000001</v>
      </c>
      <c r="J21" s="81">
        <f>VLOOKUP(C21,Recipes!$A$2:$N$4,12,FALSE())</f>
        <v>5.2703573566378441E-2</v>
      </c>
      <c r="K21" s="81">
        <f t="shared" si="1"/>
        <v>10.62377855860173</v>
      </c>
      <c r="L21" s="81">
        <f t="shared" si="2"/>
        <v>11.256221441398273</v>
      </c>
      <c r="M21" s="81" t="str">
        <f t="shared" si="4"/>
        <v>OK</v>
      </c>
      <c r="N21" s="117">
        <f t="shared" si="3"/>
        <v>1</v>
      </c>
      <c r="O21" s="81">
        <f t="shared" si="5"/>
        <v>2.000000000000135E-2</v>
      </c>
      <c r="P21" s="81">
        <f>IF(G21="","",ABS(O21-Components!$C$2)/Components!$D$2)</f>
        <v>413.58085401408999</v>
      </c>
      <c r="Q21" s="81">
        <f>IF(G21="","",ABS(O21-Components!$C$3)/Components!$D$3)</f>
        <v>291.08723728488508</v>
      </c>
      <c r="R21" s="81">
        <f>IF(G21="","",ABS(O21-Components!$C$4)/Components!$D$4)</f>
        <v>69.630058868560582</v>
      </c>
      <c r="S21" s="81">
        <f>IF(G21="","",ABS(O21-Components!$C$5)/Components!$D$5)</f>
        <v>180.40906999276297</v>
      </c>
      <c r="T21" s="81">
        <f>IF(G21="","",ABS(O21-Components!$C$6)/Components!$D$6)</f>
        <v>41.104915999908677</v>
      </c>
      <c r="U21" s="81">
        <f>IF(G21="","",ABS(O21-Components!$C$7)/Components!$D$7)</f>
        <v>53.85975473982235</v>
      </c>
      <c r="V21" s="81" t="str">
        <f>IF(G21="","",IF(M21="OK","NONE",INDEX({"S1","S2","W1","W2","N1","N2"},MATCH(MIN(P21:U21),P21:U21,0))))</f>
        <v>NONE</v>
      </c>
      <c r="W21" s="117">
        <f t="shared" si="6"/>
        <v>1</v>
      </c>
      <c r="X21" s="107"/>
    </row>
    <row r="22" spans="1:24">
      <c r="A22" s="115">
        <v>20</v>
      </c>
      <c r="B22" s="116">
        <v>1</v>
      </c>
      <c r="C22" s="81" t="s">
        <v>128</v>
      </c>
      <c r="D22" s="109" t="s">
        <v>238</v>
      </c>
      <c r="E22" s="81" t="s">
        <v>239</v>
      </c>
      <c r="F22" s="52">
        <v>9.98</v>
      </c>
      <c r="G22" s="52">
        <f t="shared" si="0"/>
        <v>10.950000000000001</v>
      </c>
      <c r="H22" s="110"/>
      <c r="I22" s="81">
        <f>VLOOKUP(C22,Recipes!$A$2:$N$4,10,FALSE())</f>
        <v>10.940000000000001</v>
      </c>
      <c r="J22" s="81">
        <f>VLOOKUP(C22,Recipes!$A$2:$N$4,12,FALSE())</f>
        <v>5.2703573566378441E-2</v>
      </c>
      <c r="K22" s="81">
        <f t="shared" si="1"/>
        <v>10.62377855860173</v>
      </c>
      <c r="L22" s="81">
        <f t="shared" si="2"/>
        <v>11.256221441398273</v>
      </c>
      <c r="M22" s="81" t="str">
        <f t="shared" si="4"/>
        <v>OK</v>
      </c>
      <c r="N22" s="117">
        <f t="shared" si="3"/>
        <v>1</v>
      </c>
      <c r="O22" s="81">
        <f t="shared" si="5"/>
        <v>-9.9999999999997868E-3</v>
      </c>
      <c r="P22" s="81">
        <f>IF(G22="","",ABS(O22-Components!$C$2)/Components!$D$2)</f>
        <v>418.12015607034238</v>
      </c>
      <c r="Q22" s="81">
        <f>IF(G22="","",ABS(O22-Components!$C$3)/Components!$D$3)</f>
        <v>293.26169373870653</v>
      </c>
      <c r="R22" s="81">
        <f>IF(G22="","",ABS(O22-Components!$C$4)/Components!$D$4)</f>
        <v>71.776190819988912</v>
      </c>
      <c r="S22" s="81">
        <f>IF(G22="","",ABS(O22-Components!$C$5)/Components!$D$5)</f>
        <v>181.60050059882028</v>
      </c>
      <c r="T22" s="81">
        <f>IF(G22="","",ABS(O22-Components!$C$6)/Components!$D$6)</f>
        <v>42.190751761573459</v>
      </c>
      <c r="U22" s="81">
        <f>IF(G22="","",ABS(O22-Components!$C$7)/Components!$D$7)</f>
        <v>55.05280862281132</v>
      </c>
      <c r="V22" s="81" t="str">
        <f>IF(G22="","",IF(M22="OK","NONE",INDEX({"S1","S2","W1","W2","N1","N2"},MATCH(MIN(P22:U22),P22:U22,0))))</f>
        <v>NONE</v>
      </c>
      <c r="W22" s="117">
        <f t="shared" si="6"/>
        <v>1</v>
      </c>
      <c r="X22" s="107"/>
    </row>
    <row r="23" spans="1:24">
      <c r="A23" s="115">
        <v>21</v>
      </c>
      <c r="B23" s="116">
        <v>1</v>
      </c>
      <c r="C23" s="81" t="s">
        <v>128</v>
      </c>
      <c r="D23" s="109" t="s">
        <v>238</v>
      </c>
      <c r="E23" s="81" t="s">
        <v>239</v>
      </c>
      <c r="F23" s="52">
        <v>9.99</v>
      </c>
      <c r="G23" s="52">
        <f t="shared" si="0"/>
        <v>10.96</v>
      </c>
      <c r="H23" s="110"/>
      <c r="I23" s="81">
        <f>VLOOKUP(C23,Recipes!$A$2:$N$4,10,FALSE())</f>
        <v>10.940000000000001</v>
      </c>
      <c r="J23" s="81">
        <f>VLOOKUP(C23,Recipes!$A$2:$N$4,12,FALSE())</f>
        <v>5.2703573566378441E-2</v>
      </c>
      <c r="K23" s="81">
        <f t="shared" si="1"/>
        <v>10.62377855860173</v>
      </c>
      <c r="L23" s="81">
        <f t="shared" si="2"/>
        <v>11.256221441398273</v>
      </c>
      <c r="M23" s="81" t="str">
        <f t="shared" si="4"/>
        <v>OK</v>
      </c>
      <c r="N23" s="117">
        <f t="shared" si="3"/>
        <v>1</v>
      </c>
      <c r="O23" s="81">
        <f t="shared" si="5"/>
        <v>-1.9999999999999574E-2</v>
      </c>
      <c r="P23" s="81">
        <f>IF(G23="","",ABS(O23-Components!$C$2)/Components!$D$2)</f>
        <v>419.63325675575976</v>
      </c>
      <c r="Q23" s="81">
        <f>IF(G23="","",ABS(O23-Components!$C$3)/Components!$D$3)</f>
        <v>293.98651255664697</v>
      </c>
      <c r="R23" s="81">
        <f>IF(G23="","",ABS(O23-Components!$C$4)/Components!$D$4)</f>
        <v>72.491568137131637</v>
      </c>
      <c r="S23" s="81">
        <f>IF(G23="","",ABS(O23-Components!$C$5)/Components!$D$5)</f>
        <v>181.9976441341727</v>
      </c>
      <c r="T23" s="81">
        <f>IF(G23="","",ABS(O23-Components!$C$6)/Components!$D$6)</f>
        <v>42.552697015461703</v>
      </c>
      <c r="U23" s="81">
        <f>IF(G23="","",ABS(O23-Components!$C$7)/Components!$D$7)</f>
        <v>55.450493250474288</v>
      </c>
      <c r="V23" s="81" t="str">
        <f>IF(G23="","",IF(M23="OK","NONE",INDEX({"S1","S2","W1","W2","N1","N2"},MATCH(MIN(P23:U23),P23:U23,0))))</f>
        <v>NONE</v>
      </c>
      <c r="W23" s="117">
        <f t="shared" si="6"/>
        <v>1</v>
      </c>
      <c r="X23" s="107"/>
    </row>
    <row r="24" spans="1:24">
      <c r="A24" s="115">
        <v>22</v>
      </c>
      <c r="B24" s="116">
        <v>1</v>
      </c>
      <c r="C24" s="81" t="s">
        <v>128</v>
      </c>
      <c r="D24" s="109" t="s">
        <v>238</v>
      </c>
      <c r="E24" s="81" t="s">
        <v>239</v>
      </c>
      <c r="F24" s="52">
        <v>9.9</v>
      </c>
      <c r="G24" s="52">
        <f t="shared" si="0"/>
        <v>10.870000000000001</v>
      </c>
      <c r="H24" s="110"/>
      <c r="I24" s="81">
        <f>VLOOKUP(C24,Recipes!$A$2:$N$4,10,FALSE())</f>
        <v>10.940000000000001</v>
      </c>
      <c r="J24" s="81">
        <f>VLOOKUP(C24,Recipes!$A$2:$N$4,12,FALSE())</f>
        <v>5.2703573566378441E-2</v>
      </c>
      <c r="K24" s="81">
        <f t="shared" si="1"/>
        <v>10.62377855860173</v>
      </c>
      <c r="L24" s="81">
        <f t="shared" si="2"/>
        <v>11.256221441398273</v>
      </c>
      <c r="M24" s="81" t="str">
        <f t="shared" si="4"/>
        <v>OK</v>
      </c>
      <c r="N24" s="117">
        <f t="shared" si="3"/>
        <v>1</v>
      </c>
      <c r="O24" s="81">
        <f t="shared" si="5"/>
        <v>7.0000000000000284E-2</v>
      </c>
      <c r="P24" s="81">
        <f>IF(G24="","",ABS(O24-Components!$C$2)/Components!$D$2)</f>
        <v>406.01535058700313</v>
      </c>
      <c r="Q24" s="81">
        <f>IF(G24="","",ABS(O24-Components!$C$3)/Components!$D$3)</f>
        <v>287.46314319518291</v>
      </c>
      <c r="R24" s="81">
        <f>IF(G24="","",ABS(O24-Components!$C$4)/Components!$D$4)</f>
        <v>66.05317228284693</v>
      </c>
      <c r="S24" s="81">
        <f>IF(G24="","",ABS(O24-Components!$C$5)/Components!$D$5)</f>
        <v>178.42335231600086</v>
      </c>
      <c r="T24" s="81">
        <f>IF(G24="","",ABS(O24-Components!$C$6)/Components!$D$6)</f>
        <v>39.295189730467477</v>
      </c>
      <c r="U24" s="81">
        <f>IF(G24="","",ABS(O24-Components!$C$7)/Components!$D$7)</f>
        <v>51.871331601507507</v>
      </c>
      <c r="V24" s="81" t="str">
        <f>IF(G24="","",IF(M24="OK","NONE",INDEX({"S1","S2","W1","W2","N1","N2"},MATCH(MIN(P24:U24),P24:U24,0))))</f>
        <v>NONE</v>
      </c>
      <c r="W24" s="117">
        <f t="shared" si="6"/>
        <v>1</v>
      </c>
      <c r="X24" s="107"/>
    </row>
    <row r="25" spans="1:24">
      <c r="A25" s="115">
        <v>23</v>
      </c>
      <c r="B25" s="116">
        <v>1</v>
      </c>
      <c r="C25" s="81" t="s">
        <v>128</v>
      </c>
      <c r="D25" s="109" t="s">
        <v>238</v>
      </c>
      <c r="E25" s="81" t="s">
        <v>239</v>
      </c>
      <c r="F25" s="52">
        <v>9.9700000000000006</v>
      </c>
      <c r="G25" s="52">
        <f t="shared" si="0"/>
        <v>10.940000000000001</v>
      </c>
      <c r="H25" s="110"/>
      <c r="I25" s="81">
        <f>VLOOKUP(C25,Recipes!$A$2:$N$4,10,FALSE())</f>
        <v>10.940000000000001</v>
      </c>
      <c r="J25" s="81">
        <f>VLOOKUP(C25,Recipes!$A$2:$N$4,12,FALSE())</f>
        <v>5.2703573566378441E-2</v>
      </c>
      <c r="K25" s="81">
        <f t="shared" si="1"/>
        <v>10.62377855860173</v>
      </c>
      <c r="L25" s="81">
        <f t="shared" si="2"/>
        <v>11.256221441398273</v>
      </c>
      <c r="M25" s="81" t="str">
        <f t="shared" si="4"/>
        <v>OK</v>
      </c>
      <c r="N25" s="117">
        <f t="shared" si="3"/>
        <v>1</v>
      </c>
      <c r="O25" s="81">
        <f t="shared" si="5"/>
        <v>0</v>
      </c>
      <c r="P25" s="81">
        <f>IF(G25="","",ABS(O25-Components!$C$2)/Components!$D$2)</f>
        <v>416.60705538492499</v>
      </c>
      <c r="Q25" s="81">
        <f>IF(G25="","",ABS(O25-Components!$C$3)/Components!$D$3)</f>
        <v>292.53687492076608</v>
      </c>
      <c r="R25" s="81">
        <f>IF(G25="","",ABS(O25-Components!$C$4)/Components!$D$4)</f>
        <v>71.060813502846173</v>
      </c>
      <c r="S25" s="81">
        <f>IF(G25="","",ABS(O25-Components!$C$5)/Components!$D$5)</f>
        <v>181.20335706346788</v>
      </c>
      <c r="T25" s="81">
        <f>IF(G25="","",ABS(O25-Components!$C$6)/Components!$D$6)</f>
        <v>41.828806507685222</v>
      </c>
      <c r="U25" s="81">
        <f>IF(G25="","",ABS(O25-Components!$C$7)/Components!$D$7)</f>
        <v>54.655123995148351</v>
      </c>
      <c r="V25" s="81" t="str">
        <f>IF(G25="","",IF(M25="OK","NONE",INDEX({"S1","S2","W1","W2","N1","N2"},MATCH(MIN(P25:U25),P25:U25,0))))</f>
        <v>NONE</v>
      </c>
      <c r="W25" s="117">
        <f t="shared" si="6"/>
        <v>1</v>
      </c>
      <c r="X25" s="107"/>
    </row>
    <row r="26" spans="1:24">
      <c r="A26" s="115">
        <v>24</v>
      </c>
      <c r="B26" s="116">
        <v>1</v>
      </c>
      <c r="C26" s="81" t="s">
        <v>128</v>
      </c>
      <c r="D26" s="109" t="s">
        <v>238</v>
      </c>
      <c r="E26" s="81" t="s">
        <v>239</v>
      </c>
      <c r="F26" s="52">
        <v>10.02</v>
      </c>
      <c r="G26" s="52">
        <f t="shared" si="0"/>
        <v>10.99</v>
      </c>
      <c r="H26" s="110"/>
      <c r="I26" s="81">
        <f>VLOOKUP(C26,Recipes!$A$2:$N$4,10,FALSE())</f>
        <v>10.940000000000001</v>
      </c>
      <c r="J26" s="81">
        <f>VLOOKUP(C26,Recipes!$A$2:$N$4,12,FALSE())</f>
        <v>5.2703573566378441E-2</v>
      </c>
      <c r="K26" s="81">
        <f t="shared" si="1"/>
        <v>10.62377855860173</v>
      </c>
      <c r="L26" s="81">
        <f t="shared" si="2"/>
        <v>11.256221441398273</v>
      </c>
      <c r="M26" s="81" t="str">
        <f t="shared" si="4"/>
        <v>OK</v>
      </c>
      <c r="N26" s="117">
        <f t="shared" si="3"/>
        <v>1</v>
      </c>
      <c r="O26" s="81">
        <f t="shared" si="5"/>
        <v>-4.9999999999998934E-2</v>
      </c>
      <c r="P26" s="81">
        <f>IF(G26="","",ABS(O26-Components!$C$2)/Components!$D$2)</f>
        <v>424.17255881201186</v>
      </c>
      <c r="Q26" s="81">
        <f>IF(G26="","",ABS(O26-Components!$C$3)/Components!$D$3)</f>
        <v>296.16096901046825</v>
      </c>
      <c r="R26" s="81">
        <f>IF(G26="","",ABS(O26-Components!$C$4)/Components!$D$4)</f>
        <v>74.637700088559839</v>
      </c>
      <c r="S26" s="81">
        <f>IF(G26="","",ABS(O26-Components!$C$5)/Components!$D$5)</f>
        <v>183.18907474022996</v>
      </c>
      <c r="T26" s="81">
        <f>IF(G26="","",ABS(O26-Components!$C$6)/Components!$D$6)</f>
        <v>43.638532777126422</v>
      </c>
      <c r="U26" s="81">
        <f>IF(G26="","",ABS(O26-Components!$C$7)/Components!$D$7)</f>
        <v>56.643547133463194</v>
      </c>
      <c r="V26" s="81" t="str">
        <f>IF(G26="","",IF(M26="OK","NONE",INDEX({"S1","S2","W1","W2","N1","N2"},MATCH(MIN(P26:U26),P26:U26,0))))</f>
        <v>NONE</v>
      </c>
      <c r="W26" s="117">
        <f t="shared" si="6"/>
        <v>1</v>
      </c>
      <c r="X26" s="107"/>
    </row>
    <row r="27" spans="1:24">
      <c r="A27" s="115">
        <v>25</v>
      </c>
      <c r="B27" s="116">
        <v>1</v>
      </c>
      <c r="C27" s="81" t="s">
        <v>128</v>
      </c>
      <c r="D27" s="109" t="s">
        <v>238</v>
      </c>
      <c r="E27" s="81" t="s">
        <v>239</v>
      </c>
      <c r="F27" s="52">
        <v>10</v>
      </c>
      <c r="G27" s="52">
        <f t="shared" si="0"/>
        <v>10.97</v>
      </c>
      <c r="H27" s="110"/>
      <c r="I27" s="81">
        <f>VLOOKUP(C27,Recipes!$A$2:$N$4,10,FALSE())</f>
        <v>10.940000000000001</v>
      </c>
      <c r="J27" s="81">
        <f>VLOOKUP(C27,Recipes!$A$2:$N$4,12,FALSE())</f>
        <v>5.2703573566378441E-2</v>
      </c>
      <c r="K27" s="81">
        <f t="shared" si="1"/>
        <v>10.62377855860173</v>
      </c>
      <c r="L27" s="81">
        <f t="shared" si="2"/>
        <v>11.256221441398273</v>
      </c>
      <c r="M27" s="81" t="str">
        <f t="shared" si="4"/>
        <v>OK</v>
      </c>
      <c r="N27" s="117">
        <f t="shared" si="3"/>
        <v>1</v>
      </c>
      <c r="O27" s="81">
        <f t="shared" si="5"/>
        <v>-2.9999999999999361E-2</v>
      </c>
      <c r="P27" s="81">
        <f>IF(G27="","",ABS(O27-Components!$C$2)/Components!$D$2)</f>
        <v>421.14635744117714</v>
      </c>
      <c r="Q27" s="81">
        <f>IF(G27="","",ABS(O27-Components!$C$3)/Components!$D$3)</f>
        <v>294.71133137458736</v>
      </c>
      <c r="R27" s="81">
        <f>IF(G27="","",ABS(O27-Components!$C$4)/Components!$D$4)</f>
        <v>73.206945454274376</v>
      </c>
      <c r="S27" s="81">
        <f>IF(G27="","",ABS(O27-Components!$C$5)/Components!$D$5)</f>
        <v>182.39478766952513</v>
      </c>
      <c r="T27" s="81">
        <f>IF(G27="","",ABS(O27-Components!$C$6)/Components!$D$6)</f>
        <v>42.91464226934994</v>
      </c>
      <c r="U27" s="81">
        <f>IF(G27="","",ABS(O27-Components!$C$7)/Components!$D$7)</f>
        <v>55.848177878137257</v>
      </c>
      <c r="V27" s="81" t="str">
        <f>IF(G27="","",IF(M27="OK","NONE",INDEX({"S1","S2","W1","W2","N1","N2"},MATCH(MIN(P27:U27),P27:U27,0))))</f>
        <v>NONE</v>
      </c>
      <c r="W27" s="117">
        <f t="shared" si="6"/>
        <v>1</v>
      </c>
      <c r="X27" s="107"/>
    </row>
    <row r="28" spans="1:24">
      <c r="A28" s="115">
        <v>26</v>
      </c>
      <c r="B28" s="116">
        <v>1</v>
      </c>
      <c r="C28" s="81" t="s">
        <v>128</v>
      </c>
      <c r="D28" s="109" t="s">
        <v>238</v>
      </c>
      <c r="E28" s="81" t="s">
        <v>239</v>
      </c>
      <c r="F28" s="52">
        <v>9.93</v>
      </c>
      <c r="G28" s="52">
        <f t="shared" si="0"/>
        <v>10.9</v>
      </c>
      <c r="H28" s="110"/>
      <c r="I28" s="81">
        <f>VLOOKUP(C28,Recipes!$A$2:$N$4,10,FALSE())</f>
        <v>10.940000000000001</v>
      </c>
      <c r="J28" s="81">
        <f>VLOOKUP(C28,Recipes!$A$2:$N$4,12,FALSE())</f>
        <v>5.2703573566378441E-2</v>
      </c>
      <c r="K28" s="81">
        <f t="shared" si="1"/>
        <v>10.62377855860173</v>
      </c>
      <c r="L28" s="81">
        <f t="shared" si="2"/>
        <v>11.256221441398273</v>
      </c>
      <c r="M28" s="81" t="str">
        <f t="shared" si="4"/>
        <v>OK</v>
      </c>
      <c r="N28" s="117">
        <f t="shared" si="3"/>
        <v>1</v>
      </c>
      <c r="O28" s="81">
        <f t="shared" si="5"/>
        <v>4.0000000000000924E-2</v>
      </c>
      <c r="P28" s="81">
        <f>IF(G28="","",ABS(O28-Components!$C$2)/Components!$D$2)</f>
        <v>410.55465264325522</v>
      </c>
      <c r="Q28" s="81">
        <f>IF(G28="","",ABS(O28-Components!$C$3)/Components!$D$3)</f>
        <v>289.63759964900419</v>
      </c>
      <c r="R28" s="81">
        <f>IF(G28="","",ABS(O28-Components!$C$4)/Components!$D$4)</f>
        <v>68.199304234275118</v>
      </c>
      <c r="S28" s="81">
        <f>IF(G28="","",ABS(O28-Components!$C$5)/Components!$D$5)</f>
        <v>179.61478292205811</v>
      </c>
      <c r="T28" s="81">
        <f>IF(G28="","",ABS(O28-Components!$C$6)/Components!$D$6)</f>
        <v>40.381025492132196</v>
      </c>
      <c r="U28" s="81">
        <f>IF(G28="","",ABS(O28-Components!$C$7)/Components!$D$7)</f>
        <v>53.064385484496412</v>
      </c>
      <c r="V28" s="81" t="str">
        <f>IF(G28="","",IF(M28="OK","NONE",INDEX({"S1","S2","W1","W2","N1","N2"},MATCH(MIN(P28:U28),P28:U28,0))))</f>
        <v>NONE</v>
      </c>
      <c r="W28" s="117">
        <f t="shared" si="6"/>
        <v>1</v>
      </c>
      <c r="X28" s="107"/>
    </row>
    <row r="29" spans="1:24">
      <c r="A29" s="115">
        <v>27</v>
      </c>
      <c r="B29" s="116">
        <v>1</v>
      </c>
      <c r="C29" s="81" t="s">
        <v>128</v>
      </c>
      <c r="D29" s="109" t="s">
        <v>238</v>
      </c>
      <c r="E29" s="81" t="s">
        <v>239</v>
      </c>
      <c r="F29" s="52">
        <v>9.9700000000000006</v>
      </c>
      <c r="G29" s="52">
        <f t="shared" si="0"/>
        <v>10.940000000000001</v>
      </c>
      <c r="H29" s="110"/>
      <c r="I29" s="81">
        <f>VLOOKUP(C29,Recipes!$A$2:$N$4,10,FALSE())</f>
        <v>10.940000000000001</v>
      </c>
      <c r="J29" s="81">
        <f>VLOOKUP(C29,Recipes!$A$2:$N$4,12,FALSE())</f>
        <v>5.2703573566378441E-2</v>
      </c>
      <c r="K29" s="81">
        <f t="shared" si="1"/>
        <v>10.62377855860173</v>
      </c>
      <c r="L29" s="81">
        <f t="shared" si="2"/>
        <v>11.256221441398273</v>
      </c>
      <c r="M29" s="81" t="str">
        <f t="shared" si="4"/>
        <v>OK</v>
      </c>
      <c r="N29" s="117">
        <f t="shared" si="3"/>
        <v>1</v>
      </c>
      <c r="O29" s="81">
        <f t="shared" si="5"/>
        <v>0</v>
      </c>
      <c r="P29" s="81">
        <f>IF(G29="","",ABS(O29-Components!$C$2)/Components!$D$2)</f>
        <v>416.60705538492499</v>
      </c>
      <c r="Q29" s="81">
        <f>IF(G29="","",ABS(O29-Components!$C$3)/Components!$D$3)</f>
        <v>292.53687492076608</v>
      </c>
      <c r="R29" s="81">
        <f>IF(G29="","",ABS(O29-Components!$C$4)/Components!$D$4)</f>
        <v>71.060813502846173</v>
      </c>
      <c r="S29" s="81">
        <f>IF(G29="","",ABS(O29-Components!$C$5)/Components!$D$5)</f>
        <v>181.20335706346788</v>
      </c>
      <c r="T29" s="81">
        <f>IF(G29="","",ABS(O29-Components!$C$6)/Components!$D$6)</f>
        <v>41.828806507685222</v>
      </c>
      <c r="U29" s="81">
        <f>IF(G29="","",ABS(O29-Components!$C$7)/Components!$D$7)</f>
        <v>54.655123995148351</v>
      </c>
      <c r="V29" s="81" t="str">
        <f>IF(G29="","",IF(M29="OK","NONE",INDEX({"S1","S2","W1","W2","N1","N2"},MATCH(MIN(P29:U29),P29:U29,0))))</f>
        <v>NONE</v>
      </c>
      <c r="W29" s="117">
        <f t="shared" si="6"/>
        <v>1</v>
      </c>
      <c r="X29" s="107"/>
    </row>
    <row r="30" spans="1:24">
      <c r="A30" s="115">
        <v>28</v>
      </c>
      <c r="B30" s="116">
        <v>1</v>
      </c>
      <c r="C30" s="81" t="s">
        <v>128</v>
      </c>
      <c r="D30" s="109" t="s">
        <v>238</v>
      </c>
      <c r="E30" s="81" t="s">
        <v>239</v>
      </c>
      <c r="F30" s="52">
        <v>9.94</v>
      </c>
      <c r="G30" s="52">
        <f t="shared" si="0"/>
        <v>10.91</v>
      </c>
      <c r="H30" s="110"/>
      <c r="I30" s="81">
        <f>VLOOKUP(C30,Recipes!$A$2:$N$4,10,FALSE())</f>
        <v>10.940000000000001</v>
      </c>
      <c r="J30" s="81">
        <f>VLOOKUP(C30,Recipes!$A$2:$N$4,12,FALSE())</f>
        <v>5.2703573566378441E-2</v>
      </c>
      <c r="K30" s="81">
        <f t="shared" si="1"/>
        <v>10.62377855860173</v>
      </c>
      <c r="L30" s="81">
        <f t="shared" si="2"/>
        <v>11.256221441398273</v>
      </c>
      <c r="M30" s="81" t="str">
        <f t="shared" si="4"/>
        <v>OK</v>
      </c>
      <c r="N30" s="117">
        <f t="shared" si="3"/>
        <v>1</v>
      </c>
      <c r="O30" s="81">
        <f t="shared" si="5"/>
        <v>3.0000000000001137E-2</v>
      </c>
      <c r="P30" s="81">
        <f>IF(G30="","",ABS(O30-Components!$C$2)/Components!$D$2)</f>
        <v>412.06775332867261</v>
      </c>
      <c r="Q30" s="81">
        <f>IF(G30="","",ABS(O30-Components!$C$3)/Components!$D$3)</f>
        <v>290.36241846694463</v>
      </c>
      <c r="R30" s="81">
        <f>IF(G30="","",ABS(O30-Components!$C$4)/Components!$D$4)</f>
        <v>68.914681551417857</v>
      </c>
      <c r="S30" s="81">
        <f>IF(G30="","",ABS(O30-Components!$C$5)/Components!$D$5)</f>
        <v>180.01192645741054</v>
      </c>
      <c r="T30" s="81">
        <f>IF(G30="","",ABS(O30-Components!$C$6)/Components!$D$6)</f>
        <v>40.74297074602044</v>
      </c>
      <c r="U30" s="81">
        <f>IF(G30="","",ABS(O30-Components!$C$7)/Components!$D$7)</f>
        <v>53.462070112159381</v>
      </c>
      <c r="V30" s="81" t="str">
        <f>IF(G30="","",IF(M30="OK","NONE",INDEX({"S1","S2","W1","W2","N1","N2"},MATCH(MIN(P30:U30),P30:U30,0))))</f>
        <v>NONE</v>
      </c>
      <c r="W30" s="117">
        <f t="shared" si="6"/>
        <v>1</v>
      </c>
      <c r="X30" s="107"/>
    </row>
    <row r="31" spans="1:24">
      <c r="A31" s="115">
        <v>29</v>
      </c>
      <c r="B31" s="116">
        <v>1</v>
      </c>
      <c r="C31" s="81" t="s">
        <v>128</v>
      </c>
      <c r="D31" s="109" t="s">
        <v>238</v>
      </c>
      <c r="E31" s="81" t="s">
        <v>239</v>
      </c>
      <c r="F31" s="52">
        <v>9.99</v>
      </c>
      <c r="G31" s="52">
        <f t="shared" si="0"/>
        <v>10.96</v>
      </c>
      <c r="H31" s="110"/>
      <c r="I31" s="81">
        <f>VLOOKUP(C31,Recipes!$A$2:$N$4,10,FALSE())</f>
        <v>10.940000000000001</v>
      </c>
      <c r="J31" s="81">
        <f>VLOOKUP(C31,Recipes!$A$2:$N$4,12,FALSE())</f>
        <v>5.2703573566378441E-2</v>
      </c>
      <c r="K31" s="81">
        <f t="shared" si="1"/>
        <v>10.62377855860173</v>
      </c>
      <c r="L31" s="81">
        <f t="shared" si="2"/>
        <v>11.256221441398273</v>
      </c>
      <c r="M31" s="81" t="str">
        <f t="shared" si="4"/>
        <v>OK</v>
      </c>
      <c r="N31" s="117">
        <f t="shared" si="3"/>
        <v>1</v>
      </c>
      <c r="O31" s="81">
        <f t="shared" si="5"/>
        <v>-1.9999999999999574E-2</v>
      </c>
      <c r="P31" s="81">
        <f>IF(G31="","",ABS(O31-Components!$C$2)/Components!$D$2)</f>
        <v>419.63325675575976</v>
      </c>
      <c r="Q31" s="81">
        <f>IF(G31="","",ABS(O31-Components!$C$3)/Components!$D$3)</f>
        <v>293.98651255664697</v>
      </c>
      <c r="R31" s="81">
        <f>IF(G31="","",ABS(O31-Components!$C$4)/Components!$D$4)</f>
        <v>72.491568137131637</v>
      </c>
      <c r="S31" s="81">
        <f>IF(G31="","",ABS(O31-Components!$C$5)/Components!$D$5)</f>
        <v>181.9976441341727</v>
      </c>
      <c r="T31" s="81">
        <f>IF(G31="","",ABS(O31-Components!$C$6)/Components!$D$6)</f>
        <v>42.552697015461703</v>
      </c>
      <c r="U31" s="81">
        <f>IF(G31="","",ABS(O31-Components!$C$7)/Components!$D$7)</f>
        <v>55.450493250474288</v>
      </c>
      <c r="V31" s="81" t="str">
        <f>IF(G31="","",IF(M31="OK","NONE",INDEX({"S1","S2","W1","W2","N1","N2"},MATCH(MIN(P31:U31),P31:U31,0))))</f>
        <v>NONE</v>
      </c>
      <c r="W31" s="117">
        <f t="shared" si="6"/>
        <v>1</v>
      </c>
      <c r="X31" s="107"/>
    </row>
    <row r="32" spans="1:24">
      <c r="A32" s="115">
        <v>30</v>
      </c>
      <c r="B32" s="116">
        <v>1</v>
      </c>
      <c r="C32" s="81" t="s">
        <v>128</v>
      </c>
      <c r="D32" s="109" t="s">
        <v>238</v>
      </c>
      <c r="E32" s="81" t="s">
        <v>239</v>
      </c>
      <c r="F32" s="61">
        <v>9.48</v>
      </c>
      <c r="G32" s="52">
        <f t="shared" si="0"/>
        <v>10.450000000000001</v>
      </c>
      <c r="H32" s="110"/>
      <c r="I32" s="81">
        <f>VLOOKUP(C32,Recipes!$A$2:$N$4,10,FALSE())</f>
        <v>10.940000000000001</v>
      </c>
      <c r="J32" s="81">
        <f>VLOOKUP(C32,Recipes!$A$2:$N$4,12,FALSE())</f>
        <v>5.2703573566378441E-2</v>
      </c>
      <c r="K32" s="81">
        <f t="shared" si="1"/>
        <v>10.62377855860173</v>
      </c>
      <c r="L32" s="81">
        <f t="shared" si="2"/>
        <v>11.256221441398273</v>
      </c>
      <c r="M32" s="81" t="str">
        <f t="shared" si="4"/>
        <v>NG</v>
      </c>
      <c r="N32" s="122">
        <f t="shared" si="3"/>
        <v>0</v>
      </c>
      <c r="O32" s="81">
        <f t="shared" si="5"/>
        <v>0.49000000000000021</v>
      </c>
      <c r="P32" s="81">
        <f>IF(G32="","",ABS(O32-Components!$C$2)/Components!$D$2)</f>
        <v>342.46512179947212</v>
      </c>
      <c r="Q32" s="81">
        <f>IF(G32="","",ABS(O32-Components!$C$3)/Components!$D$3)</f>
        <v>257.02075284168393</v>
      </c>
      <c r="R32" s="81">
        <f>IF(G32="","",ABS(O32-Components!$C$4)/Components!$D$4)</f>
        <v>36.007324962851555</v>
      </c>
      <c r="S32" s="81">
        <f>IF(G32="","",ABS(O32-Components!$C$5)/Components!$D$5)</f>
        <v>161.74332383119889</v>
      </c>
      <c r="T32" s="81">
        <f>IF(G32="","",ABS(O32-Components!$C$6)/Components!$D$6)</f>
        <v>24.093489067161102</v>
      </c>
      <c r="U32" s="81">
        <f>IF(G32="","",ABS(O32-Components!$C$7)/Components!$D$7)</f>
        <v>35.168577239662469</v>
      </c>
      <c r="V32" s="81" t="str">
        <f>IF(G32="","",IF(M32="OK","NONE",INDEX({"S1","S2","W1","W2","N1","N2"},MATCH(MIN(P32:U32),P32:U32,0))))</f>
        <v>N1</v>
      </c>
      <c r="W32" s="122">
        <f t="shared" si="6"/>
        <v>0</v>
      </c>
      <c r="X32" s="107"/>
    </row>
    <row r="33" spans="1:24">
      <c r="A33" s="115">
        <v>31</v>
      </c>
      <c r="B33" s="116">
        <v>2</v>
      </c>
      <c r="C33" s="81" t="s">
        <v>128</v>
      </c>
      <c r="D33" s="111" t="s">
        <v>240</v>
      </c>
      <c r="E33" s="81" t="s">
        <v>102</v>
      </c>
      <c r="F33" s="52">
        <v>5.91</v>
      </c>
      <c r="G33" s="52">
        <f t="shared" si="0"/>
        <v>6.88</v>
      </c>
      <c r="H33" s="110"/>
      <c r="I33" s="81">
        <f>VLOOKUP(C33,Recipes!$A$2:$N$4,10,FALSE())</f>
        <v>10.940000000000001</v>
      </c>
      <c r="J33" s="81">
        <f>VLOOKUP(C33,Recipes!$A$2:$N$4,12,FALSE())</f>
        <v>5.2703573566378441E-2</v>
      </c>
      <c r="K33" s="81">
        <f t="shared" si="1"/>
        <v>10.62377855860173</v>
      </c>
      <c r="L33" s="81">
        <f t="shared" si="2"/>
        <v>11.256221441398273</v>
      </c>
      <c r="M33" s="81" t="str">
        <f t="shared" si="4"/>
        <v>NG</v>
      </c>
      <c r="N33" s="117">
        <f t="shared" si="3"/>
        <v>1</v>
      </c>
      <c r="O33" s="81">
        <f t="shared" si="5"/>
        <v>4.0600000000000014</v>
      </c>
      <c r="P33" s="81">
        <f>IF(G33="","",ABS(O33-Components!$C$2)/Components!$D$2)</f>
        <v>197.71182289454165</v>
      </c>
      <c r="Q33" s="81">
        <f>IF(G33="","",ABS(O33-Components!$C$3)/Components!$D$3)</f>
        <v>1.7395651630572131</v>
      </c>
      <c r="R33" s="81">
        <f>IF(G33="","",ABS(O33-Components!$C$4)/Components!$D$4)</f>
        <v>219.3823772571092</v>
      </c>
      <c r="S33" s="81">
        <f>IF(G33="","",ABS(O33-Components!$C$5)/Components!$D$5)</f>
        <v>19.963081710382131</v>
      </c>
      <c r="T33" s="81">
        <f>IF(G33="","",ABS(O33-Components!$C$6)/Components!$D$6)</f>
        <v>105.1209665709432</v>
      </c>
      <c r="U33" s="81">
        <f>IF(G33="","",ABS(O33-Components!$C$7)/Components!$D$7)</f>
        <v>106.8048348360204</v>
      </c>
      <c r="V33" s="81" t="str">
        <f>IF(G33="","",IF(M33="OK","NONE",INDEX({"S1","S2","W1","W2","N1","N2"},MATCH(MIN(P33:U33),P33:U33,0))))</f>
        <v>S2</v>
      </c>
      <c r="W33" s="117">
        <f t="shared" si="6"/>
        <v>1</v>
      </c>
      <c r="X33" s="107"/>
    </row>
    <row r="34" spans="1:24">
      <c r="A34" s="115">
        <v>32</v>
      </c>
      <c r="B34" s="116">
        <v>2</v>
      </c>
      <c r="C34" s="81" t="s">
        <v>128</v>
      </c>
      <c r="D34" s="111" t="s">
        <v>240</v>
      </c>
      <c r="E34" s="81" t="s">
        <v>102</v>
      </c>
      <c r="F34" s="52">
        <v>5.93</v>
      </c>
      <c r="G34" s="52">
        <f t="shared" si="0"/>
        <v>6.8999999999999995</v>
      </c>
      <c r="H34" s="110"/>
      <c r="I34" s="81">
        <f>VLOOKUP(C34,Recipes!$A$2:$N$4,10,FALSE())</f>
        <v>10.940000000000001</v>
      </c>
      <c r="J34" s="81">
        <f>VLOOKUP(C34,Recipes!$A$2:$N$4,12,FALSE())</f>
        <v>5.2703573566378441E-2</v>
      </c>
      <c r="K34" s="81">
        <f t="shared" si="1"/>
        <v>10.62377855860173</v>
      </c>
      <c r="L34" s="81">
        <f t="shared" si="2"/>
        <v>11.256221441398273</v>
      </c>
      <c r="M34" s="81" t="str">
        <f t="shared" si="4"/>
        <v>NG</v>
      </c>
      <c r="N34" s="117">
        <f t="shared" si="3"/>
        <v>1</v>
      </c>
      <c r="O34" s="81">
        <f t="shared" si="5"/>
        <v>4.0400000000000018</v>
      </c>
      <c r="P34" s="81">
        <f>IF(G34="","",ABS(O34-Components!$C$2)/Components!$D$2)</f>
        <v>194.68562152370691</v>
      </c>
      <c r="Q34" s="81">
        <f>IF(G34="","",ABS(O34-Components!$C$3)/Components!$D$3)</f>
        <v>0.28992752717634168</v>
      </c>
      <c r="R34" s="81">
        <f>IF(G34="","",ABS(O34-Components!$C$4)/Components!$D$4)</f>
        <v>217.95162262282375</v>
      </c>
      <c r="S34" s="81">
        <f>IF(G34="","",ABS(O34-Components!$C$5)/Components!$D$5)</f>
        <v>20.757368781086971</v>
      </c>
      <c r="T34" s="81">
        <f>IF(G34="","",ABS(O34-Components!$C$6)/Components!$D$6)</f>
        <v>104.39707606316672</v>
      </c>
      <c r="U34" s="81">
        <f>IF(G34="","",ABS(O34-Components!$C$7)/Components!$D$7)</f>
        <v>106.00946558069447</v>
      </c>
      <c r="V34" s="81" t="str">
        <f>IF(G34="","",IF(M34="OK","NONE",INDEX({"S1","S2","W1","W2","N1","N2"},MATCH(MIN(P34:U34),P34:U34,0))))</f>
        <v>S2</v>
      </c>
      <c r="W34" s="117">
        <f t="shared" si="6"/>
        <v>1</v>
      </c>
      <c r="X34" s="107"/>
    </row>
    <row r="35" spans="1:24">
      <c r="A35" s="115">
        <v>33</v>
      </c>
      <c r="B35" s="116">
        <v>2</v>
      </c>
      <c r="C35" s="81" t="s">
        <v>128</v>
      </c>
      <c r="D35" s="111" t="s">
        <v>240</v>
      </c>
      <c r="E35" s="81" t="s">
        <v>102</v>
      </c>
      <c r="F35" s="52">
        <v>5.86</v>
      </c>
      <c r="G35" s="52">
        <f t="shared" si="0"/>
        <v>6.83</v>
      </c>
      <c r="H35" s="110"/>
      <c r="I35" s="81">
        <f>VLOOKUP(C35,Recipes!$A$2:$N$4,10,FALSE())</f>
        <v>10.940000000000001</v>
      </c>
      <c r="J35" s="81">
        <f>VLOOKUP(C35,Recipes!$A$2:$N$4,12,FALSE())</f>
        <v>5.2703573566378441E-2</v>
      </c>
      <c r="K35" s="81">
        <f t="shared" si="1"/>
        <v>10.62377855860173</v>
      </c>
      <c r="L35" s="81">
        <f t="shared" si="2"/>
        <v>11.256221441398273</v>
      </c>
      <c r="M35" s="81" t="str">
        <f t="shared" si="4"/>
        <v>NG</v>
      </c>
      <c r="N35" s="117">
        <f t="shared" si="3"/>
        <v>1</v>
      </c>
      <c r="O35" s="81">
        <f t="shared" si="5"/>
        <v>4.1100000000000012</v>
      </c>
      <c r="P35" s="81">
        <f>IF(G35="","",ABS(O35-Components!$C$2)/Components!$D$2)</f>
        <v>205.27732632162866</v>
      </c>
      <c r="Q35" s="81">
        <f>IF(G35="","",ABS(O35-Components!$C$3)/Components!$D$3)</f>
        <v>5.3636592527594562</v>
      </c>
      <c r="R35" s="81">
        <f>IF(G35="","",ABS(O35-Components!$C$4)/Components!$D$4)</f>
        <v>222.95926384282293</v>
      </c>
      <c r="S35" s="81">
        <f>IF(G35="","",ABS(O35-Components!$C$5)/Components!$D$5)</f>
        <v>17.977364033619999</v>
      </c>
      <c r="T35" s="81">
        <f>IF(G35="","",ABS(O35-Components!$C$6)/Components!$D$6)</f>
        <v>106.93069284038442</v>
      </c>
      <c r="U35" s="81">
        <f>IF(G35="","",ABS(O35-Components!$C$7)/Components!$D$7)</f>
        <v>108.79325797433529</v>
      </c>
      <c r="V35" s="81" t="str">
        <f>IF(G35="","",IF(M35="OK","NONE",INDEX({"S1","S2","W1","W2","N1","N2"},MATCH(MIN(P35:U35),P35:U35,0))))</f>
        <v>S2</v>
      </c>
      <c r="W35" s="117">
        <f t="shared" si="6"/>
        <v>1</v>
      </c>
      <c r="X35" s="107"/>
    </row>
    <row r="36" spans="1:24">
      <c r="A36" s="115">
        <v>34</v>
      </c>
      <c r="B36" s="116">
        <v>2</v>
      </c>
      <c r="C36" s="81" t="s">
        <v>128</v>
      </c>
      <c r="D36" s="111" t="s">
        <v>240</v>
      </c>
      <c r="E36" s="81" t="s">
        <v>102</v>
      </c>
      <c r="F36" s="52">
        <v>5.94</v>
      </c>
      <c r="G36" s="52">
        <f t="shared" si="0"/>
        <v>6.91</v>
      </c>
      <c r="H36" s="110"/>
      <c r="I36" s="81">
        <f>VLOOKUP(C36,Recipes!$A$2:$N$4,10,FALSE())</f>
        <v>10.940000000000001</v>
      </c>
      <c r="J36" s="81">
        <f>VLOOKUP(C36,Recipes!$A$2:$N$4,12,FALSE())</f>
        <v>5.2703573566378441E-2</v>
      </c>
      <c r="K36" s="81">
        <f t="shared" si="1"/>
        <v>10.62377855860173</v>
      </c>
      <c r="L36" s="81">
        <f t="shared" si="2"/>
        <v>11.256221441398273</v>
      </c>
      <c r="M36" s="81" t="str">
        <f t="shared" si="4"/>
        <v>NG</v>
      </c>
      <c r="N36" s="117">
        <f t="shared" si="3"/>
        <v>1</v>
      </c>
      <c r="O36" s="81">
        <f t="shared" si="5"/>
        <v>4.0300000000000011</v>
      </c>
      <c r="P36" s="81">
        <f>IF(G36="","",ABS(O36-Components!$C$2)/Components!$D$2)</f>
        <v>193.17252083828942</v>
      </c>
      <c r="Q36" s="81">
        <f>IF(G36="","",ABS(O36-Components!$C$3)/Components!$D$3)</f>
        <v>0.43489129076415844</v>
      </c>
      <c r="R36" s="81">
        <f>IF(G36="","",ABS(O36-Components!$C$4)/Components!$D$4)</f>
        <v>217.23624530568094</v>
      </c>
      <c r="S36" s="81">
        <f>IF(G36="","",ABS(O36-Components!$C$5)/Components!$D$5)</f>
        <v>21.154512316439423</v>
      </c>
      <c r="T36" s="81">
        <f>IF(G36="","",ABS(O36-Components!$C$6)/Components!$D$6)</f>
        <v>104.03513080927844</v>
      </c>
      <c r="U36" s="81">
        <f>IF(G36="","",ABS(O36-Components!$C$7)/Components!$D$7)</f>
        <v>105.61178095303147</v>
      </c>
      <c r="V36" s="81" t="str">
        <f>IF(G36="","",IF(M36="OK","NONE",INDEX({"S1","S2","W1","W2","N1","N2"},MATCH(MIN(P36:U36),P36:U36,0))))</f>
        <v>S2</v>
      </c>
      <c r="W36" s="117">
        <f t="shared" si="6"/>
        <v>1</v>
      </c>
      <c r="X36" s="107"/>
    </row>
    <row r="37" spans="1:24">
      <c r="A37" s="115">
        <v>35</v>
      </c>
      <c r="B37" s="116">
        <v>2</v>
      </c>
      <c r="C37" s="81" t="s">
        <v>128</v>
      </c>
      <c r="D37" s="111" t="s">
        <v>240</v>
      </c>
      <c r="E37" s="81" t="s">
        <v>102</v>
      </c>
      <c r="F37" s="52">
        <v>5.9</v>
      </c>
      <c r="G37" s="52">
        <f t="shared" si="0"/>
        <v>6.87</v>
      </c>
      <c r="H37" s="110"/>
      <c r="I37" s="81">
        <f>VLOOKUP(C37,Recipes!$A$2:$N$4,10,FALSE())</f>
        <v>10.940000000000001</v>
      </c>
      <c r="J37" s="81">
        <f>VLOOKUP(C37,Recipes!$A$2:$N$4,12,FALSE())</f>
        <v>5.2703573566378441E-2</v>
      </c>
      <c r="K37" s="81">
        <f t="shared" si="1"/>
        <v>10.62377855860173</v>
      </c>
      <c r="L37" s="81">
        <f t="shared" si="2"/>
        <v>11.256221441398273</v>
      </c>
      <c r="M37" s="81" t="str">
        <f t="shared" si="4"/>
        <v>NG</v>
      </c>
      <c r="N37" s="117">
        <f t="shared" si="3"/>
        <v>1</v>
      </c>
      <c r="O37" s="81">
        <f t="shared" si="5"/>
        <v>4.0700000000000012</v>
      </c>
      <c r="P37" s="81">
        <f>IF(G37="","",ABS(O37-Components!$C$2)/Components!$D$2)</f>
        <v>199.22492357995904</v>
      </c>
      <c r="Q37" s="81">
        <f>IF(G37="","",ABS(O37-Components!$C$3)/Components!$D$3)</f>
        <v>2.4643839809976491</v>
      </c>
      <c r="R37" s="81">
        <f>IF(G37="","",ABS(O37-Components!$C$4)/Components!$D$4)</f>
        <v>220.09775457425192</v>
      </c>
      <c r="S37" s="81">
        <f>IF(G37="","",ABS(O37-Components!$C$5)/Components!$D$5)</f>
        <v>19.565938175029711</v>
      </c>
      <c r="T37" s="81">
        <f>IF(G37="","",ABS(O37-Components!$C$6)/Components!$D$6)</f>
        <v>105.48291182483143</v>
      </c>
      <c r="U37" s="81">
        <f>IF(G37="","",ABS(O37-Components!$C$7)/Components!$D$7)</f>
        <v>107.20251946368337</v>
      </c>
      <c r="V37" s="81" t="str">
        <f>IF(G37="","",IF(M37="OK","NONE",INDEX({"S1","S2","W1","W2","N1","N2"},MATCH(MIN(P37:U37),P37:U37,0))))</f>
        <v>S2</v>
      </c>
      <c r="W37" s="117">
        <f t="shared" si="6"/>
        <v>1</v>
      </c>
      <c r="X37" s="107"/>
    </row>
    <row r="38" spans="1:24">
      <c r="A38" s="115">
        <v>36</v>
      </c>
      <c r="B38" s="116">
        <v>2</v>
      </c>
      <c r="C38" s="81" t="s">
        <v>128</v>
      </c>
      <c r="D38" s="111" t="s">
        <v>240</v>
      </c>
      <c r="E38" s="81" t="s">
        <v>102</v>
      </c>
      <c r="F38" s="52">
        <v>5.82</v>
      </c>
      <c r="G38" s="52">
        <f t="shared" si="0"/>
        <v>6.79</v>
      </c>
      <c r="H38" s="110"/>
      <c r="I38" s="81">
        <f>VLOOKUP(C38,Recipes!$A$2:$N$4,10,FALSE())</f>
        <v>10.940000000000001</v>
      </c>
      <c r="J38" s="81">
        <f>VLOOKUP(C38,Recipes!$A$2:$N$4,12,FALSE())</f>
        <v>5.2703573566378441E-2</v>
      </c>
      <c r="K38" s="81">
        <f t="shared" si="1"/>
        <v>10.62377855860173</v>
      </c>
      <c r="L38" s="81">
        <f t="shared" si="2"/>
        <v>11.256221441398273</v>
      </c>
      <c r="M38" s="81" t="str">
        <f t="shared" si="4"/>
        <v>NG</v>
      </c>
      <c r="N38" s="117">
        <f t="shared" si="3"/>
        <v>1</v>
      </c>
      <c r="O38" s="81">
        <f t="shared" si="5"/>
        <v>4.1500000000000012</v>
      </c>
      <c r="P38" s="81">
        <f>IF(G38="","",ABS(O38-Components!$C$2)/Components!$D$2)</f>
        <v>211.32972906329829</v>
      </c>
      <c r="Q38" s="81">
        <f>IF(G38="","",ABS(O38-Components!$C$3)/Components!$D$3)</f>
        <v>8.2629345245212633</v>
      </c>
      <c r="R38" s="81">
        <f>IF(G38="","",ABS(O38-Components!$C$4)/Components!$D$4)</f>
        <v>225.82077311139392</v>
      </c>
      <c r="S38" s="81">
        <f>IF(G38="","",ABS(O38-Components!$C$5)/Components!$D$5)</f>
        <v>16.388789892210287</v>
      </c>
      <c r="T38" s="81">
        <f>IF(G38="","",ABS(O38-Components!$C$6)/Components!$D$6)</f>
        <v>108.37847385593741</v>
      </c>
      <c r="U38" s="81">
        <f>IF(G38="","",ABS(O38-Components!$C$7)/Components!$D$7)</f>
        <v>110.38399648498719</v>
      </c>
      <c r="V38" s="81" t="str">
        <f>IF(G38="","",IF(M38="OK","NONE",INDEX({"S1","S2","W1","W2","N1","N2"},MATCH(MIN(P38:U38),P38:U38,0))))</f>
        <v>S2</v>
      </c>
      <c r="W38" s="117">
        <f t="shared" si="6"/>
        <v>1</v>
      </c>
      <c r="X38" s="107"/>
    </row>
    <row r="39" spans="1:24">
      <c r="A39" s="115">
        <v>37</v>
      </c>
      <c r="B39" s="116">
        <v>2</v>
      </c>
      <c r="C39" s="81" t="s">
        <v>128</v>
      </c>
      <c r="D39" s="111" t="s">
        <v>240</v>
      </c>
      <c r="E39" s="81" t="s">
        <v>102</v>
      </c>
      <c r="F39" s="52">
        <v>5.87</v>
      </c>
      <c r="G39" s="52">
        <f t="shared" si="0"/>
        <v>6.84</v>
      </c>
      <c r="H39" s="110"/>
      <c r="I39" s="81">
        <f>VLOOKUP(C39,Recipes!$A$2:$N$4,10,FALSE())</f>
        <v>10.940000000000001</v>
      </c>
      <c r="J39" s="81">
        <f>VLOOKUP(C39,Recipes!$A$2:$N$4,12,FALSE())</f>
        <v>5.2703573566378441E-2</v>
      </c>
      <c r="K39" s="81">
        <f t="shared" si="1"/>
        <v>10.62377855860173</v>
      </c>
      <c r="L39" s="81">
        <f t="shared" si="2"/>
        <v>11.256221441398273</v>
      </c>
      <c r="M39" s="81" t="str">
        <f t="shared" si="4"/>
        <v>NG</v>
      </c>
      <c r="N39" s="117">
        <f t="shared" si="3"/>
        <v>1</v>
      </c>
      <c r="O39" s="81">
        <f t="shared" si="5"/>
        <v>4.1000000000000014</v>
      </c>
      <c r="P39" s="81">
        <f>IF(G39="","",ABS(O39-Components!$C$2)/Components!$D$2)</f>
        <v>203.76422563621128</v>
      </c>
      <c r="Q39" s="81">
        <f>IF(G39="","",ABS(O39-Components!$C$3)/Components!$D$3)</f>
        <v>4.6388404348190209</v>
      </c>
      <c r="R39" s="81">
        <f>IF(G39="","",ABS(O39-Components!$C$4)/Components!$D$4)</f>
        <v>222.24388652568018</v>
      </c>
      <c r="S39" s="81">
        <f>IF(G39="","",ABS(O39-Components!$C$5)/Components!$D$5)</f>
        <v>18.374507568972419</v>
      </c>
      <c r="T39" s="81">
        <f>IF(G39="","",ABS(O39-Components!$C$6)/Components!$D$6)</f>
        <v>106.56874758649619</v>
      </c>
      <c r="U39" s="81">
        <f>IF(G39="","",ABS(O39-Components!$C$7)/Components!$D$7)</f>
        <v>108.39557334667232</v>
      </c>
      <c r="V39" s="81" t="str">
        <f>IF(G39="","",IF(M39="OK","NONE",INDEX({"S1","S2","W1","W2","N1","N2"},MATCH(MIN(P39:U39),P39:U39,0))))</f>
        <v>S2</v>
      </c>
      <c r="W39" s="117">
        <f t="shared" si="6"/>
        <v>1</v>
      </c>
      <c r="X39" s="107"/>
    </row>
    <row r="40" spans="1:24">
      <c r="A40" s="115">
        <v>38</v>
      </c>
      <c r="B40" s="116">
        <v>2</v>
      </c>
      <c r="C40" s="81" t="s">
        <v>128</v>
      </c>
      <c r="D40" s="111" t="s">
        <v>240</v>
      </c>
      <c r="E40" s="81" t="s">
        <v>102</v>
      </c>
      <c r="F40" s="52">
        <v>5.89</v>
      </c>
      <c r="G40" s="52">
        <f t="shared" si="0"/>
        <v>6.8599999999999994</v>
      </c>
      <c r="H40" s="110"/>
      <c r="I40" s="81">
        <f>VLOOKUP(C40,Recipes!$A$2:$N$4,10,FALSE())</f>
        <v>10.940000000000001</v>
      </c>
      <c r="J40" s="81">
        <f>VLOOKUP(C40,Recipes!$A$2:$N$4,12,FALSE())</f>
        <v>5.2703573566378441E-2</v>
      </c>
      <c r="K40" s="81">
        <f t="shared" si="1"/>
        <v>10.62377855860173</v>
      </c>
      <c r="L40" s="81">
        <f t="shared" si="2"/>
        <v>11.256221441398273</v>
      </c>
      <c r="M40" s="81" t="str">
        <f t="shared" si="4"/>
        <v>NG</v>
      </c>
      <c r="N40" s="117">
        <f t="shared" si="3"/>
        <v>1</v>
      </c>
      <c r="O40" s="81">
        <f t="shared" si="5"/>
        <v>4.0800000000000018</v>
      </c>
      <c r="P40" s="81">
        <f>IF(G40="","",ABS(O40-Components!$C$2)/Components!$D$2)</f>
        <v>200.73802426537654</v>
      </c>
      <c r="Q40" s="81">
        <f>IF(G40="","",ABS(O40-Components!$C$3)/Components!$D$3)</f>
        <v>3.1892027989381488</v>
      </c>
      <c r="R40" s="81">
        <f>IF(G40="","",ABS(O40-Components!$C$4)/Components!$D$4)</f>
        <v>220.81313189139473</v>
      </c>
      <c r="S40" s="81">
        <f>IF(G40="","",ABS(O40-Components!$C$5)/Components!$D$5)</f>
        <v>19.168794639677255</v>
      </c>
      <c r="T40" s="81">
        <f>IF(G40="","",ABS(O40-Components!$C$6)/Components!$D$6)</f>
        <v>105.84485707871971</v>
      </c>
      <c r="U40" s="81">
        <f>IF(G40="","",ABS(O40-Components!$C$7)/Components!$D$7)</f>
        <v>107.60020409134638</v>
      </c>
      <c r="V40" s="81" t="str">
        <f>IF(G40="","",IF(M40="OK","NONE",INDEX({"S1","S2","W1","W2","N1","N2"},MATCH(MIN(P40:U40),P40:U40,0))))</f>
        <v>S2</v>
      </c>
      <c r="W40" s="117">
        <f t="shared" si="6"/>
        <v>1</v>
      </c>
      <c r="X40" s="107"/>
    </row>
    <row r="41" spans="1:24">
      <c r="A41" s="115">
        <v>39</v>
      </c>
      <c r="B41" s="116">
        <v>2</v>
      </c>
      <c r="C41" s="81" t="s">
        <v>128</v>
      </c>
      <c r="D41" s="111" t="s">
        <v>240</v>
      </c>
      <c r="E41" s="81" t="s">
        <v>102</v>
      </c>
      <c r="F41" s="52">
        <v>5.91</v>
      </c>
      <c r="G41" s="52">
        <f t="shared" si="0"/>
        <v>6.88</v>
      </c>
      <c r="H41" s="110"/>
      <c r="I41" s="81">
        <f>VLOOKUP(C41,Recipes!$A$2:$N$4,10,FALSE())</f>
        <v>10.940000000000001</v>
      </c>
      <c r="J41" s="81">
        <f>VLOOKUP(C41,Recipes!$A$2:$N$4,12,FALSE())</f>
        <v>5.2703573566378441E-2</v>
      </c>
      <c r="K41" s="81">
        <f t="shared" si="1"/>
        <v>10.62377855860173</v>
      </c>
      <c r="L41" s="81">
        <f t="shared" si="2"/>
        <v>11.256221441398273</v>
      </c>
      <c r="M41" s="81" t="str">
        <f t="shared" si="4"/>
        <v>NG</v>
      </c>
      <c r="N41" s="117">
        <f t="shared" si="3"/>
        <v>1</v>
      </c>
      <c r="O41" s="81">
        <f t="shared" si="5"/>
        <v>4.0600000000000014</v>
      </c>
      <c r="P41" s="81">
        <f>IF(G41="","",ABS(O41-Components!$C$2)/Components!$D$2)</f>
        <v>197.71182289454165</v>
      </c>
      <c r="Q41" s="81">
        <f>IF(G41="","",ABS(O41-Components!$C$3)/Components!$D$3)</f>
        <v>1.7395651630572131</v>
      </c>
      <c r="R41" s="81">
        <f>IF(G41="","",ABS(O41-Components!$C$4)/Components!$D$4)</f>
        <v>219.3823772571092</v>
      </c>
      <c r="S41" s="81">
        <f>IF(G41="","",ABS(O41-Components!$C$5)/Components!$D$5)</f>
        <v>19.963081710382131</v>
      </c>
      <c r="T41" s="81">
        <f>IF(G41="","",ABS(O41-Components!$C$6)/Components!$D$6)</f>
        <v>105.1209665709432</v>
      </c>
      <c r="U41" s="81">
        <f>IF(G41="","",ABS(O41-Components!$C$7)/Components!$D$7)</f>
        <v>106.8048348360204</v>
      </c>
      <c r="V41" s="81" t="str">
        <f>IF(G41="","",IF(M41="OK","NONE",INDEX({"S1","S2","W1","W2","N1","N2"},MATCH(MIN(P41:U41),P41:U41,0))))</f>
        <v>S2</v>
      </c>
      <c r="W41" s="117">
        <f t="shared" si="6"/>
        <v>1</v>
      </c>
      <c r="X41" s="107"/>
    </row>
    <row r="42" spans="1:24">
      <c r="A42" s="115">
        <v>40</v>
      </c>
      <c r="B42" s="116">
        <v>2</v>
      </c>
      <c r="C42" s="81" t="s">
        <v>128</v>
      </c>
      <c r="D42" s="111" t="s">
        <v>240</v>
      </c>
      <c r="E42" s="81" t="s">
        <v>102</v>
      </c>
      <c r="F42" s="52">
        <v>5.94</v>
      </c>
      <c r="G42" s="52">
        <f t="shared" si="0"/>
        <v>6.91</v>
      </c>
      <c r="H42" s="110"/>
      <c r="I42" s="81">
        <f>VLOOKUP(C42,Recipes!$A$2:$N$4,10,FALSE())</f>
        <v>10.940000000000001</v>
      </c>
      <c r="J42" s="81">
        <f>VLOOKUP(C42,Recipes!$A$2:$N$4,12,FALSE())</f>
        <v>5.2703573566378441E-2</v>
      </c>
      <c r="K42" s="81">
        <f t="shared" si="1"/>
        <v>10.62377855860173</v>
      </c>
      <c r="L42" s="81">
        <f t="shared" si="2"/>
        <v>11.256221441398273</v>
      </c>
      <c r="M42" s="81" t="str">
        <f t="shared" si="4"/>
        <v>NG</v>
      </c>
      <c r="N42" s="117">
        <f t="shared" si="3"/>
        <v>1</v>
      </c>
      <c r="O42" s="81">
        <f t="shared" si="5"/>
        <v>4.0300000000000011</v>
      </c>
      <c r="P42" s="81">
        <f>IF(G42="","",ABS(O42-Components!$C$2)/Components!$D$2)</f>
        <v>193.17252083828942</v>
      </c>
      <c r="Q42" s="81">
        <f>IF(G42="","",ABS(O42-Components!$C$3)/Components!$D$3)</f>
        <v>0.43489129076415844</v>
      </c>
      <c r="R42" s="81">
        <f>IF(G42="","",ABS(O42-Components!$C$4)/Components!$D$4)</f>
        <v>217.23624530568094</v>
      </c>
      <c r="S42" s="81">
        <f>IF(G42="","",ABS(O42-Components!$C$5)/Components!$D$5)</f>
        <v>21.154512316439423</v>
      </c>
      <c r="T42" s="81">
        <f>IF(G42="","",ABS(O42-Components!$C$6)/Components!$D$6)</f>
        <v>104.03513080927844</v>
      </c>
      <c r="U42" s="81">
        <f>IF(G42="","",ABS(O42-Components!$C$7)/Components!$D$7)</f>
        <v>105.61178095303147</v>
      </c>
      <c r="V42" s="81" t="str">
        <f>IF(G42="","",IF(M42="OK","NONE",INDEX({"S1","S2","W1","W2","N1","N2"},MATCH(MIN(P42:U42),P42:U42,0))))</f>
        <v>S2</v>
      </c>
      <c r="W42" s="117">
        <f t="shared" si="6"/>
        <v>1</v>
      </c>
      <c r="X42" s="107"/>
    </row>
    <row r="43" spans="1:24">
      <c r="A43" s="115">
        <v>41</v>
      </c>
      <c r="B43" s="116">
        <v>2</v>
      </c>
      <c r="C43" s="81" t="s">
        <v>128</v>
      </c>
      <c r="D43" s="111" t="s">
        <v>240</v>
      </c>
      <c r="E43" s="81" t="s">
        <v>102</v>
      </c>
      <c r="F43" s="52">
        <v>5.91</v>
      </c>
      <c r="G43" s="52">
        <f t="shared" si="0"/>
        <v>6.88</v>
      </c>
      <c r="H43" s="110"/>
      <c r="I43" s="81">
        <f>VLOOKUP(C43,Recipes!$A$2:$N$4,10,FALSE())</f>
        <v>10.940000000000001</v>
      </c>
      <c r="J43" s="81">
        <f>VLOOKUP(C43,Recipes!$A$2:$N$4,12,FALSE())</f>
        <v>5.2703573566378441E-2</v>
      </c>
      <c r="K43" s="81">
        <f t="shared" si="1"/>
        <v>10.62377855860173</v>
      </c>
      <c r="L43" s="81">
        <f t="shared" si="2"/>
        <v>11.256221441398273</v>
      </c>
      <c r="M43" s="81" t="str">
        <f t="shared" si="4"/>
        <v>NG</v>
      </c>
      <c r="N43" s="117">
        <f t="shared" si="3"/>
        <v>1</v>
      </c>
      <c r="O43" s="81">
        <f t="shared" si="5"/>
        <v>4.0600000000000014</v>
      </c>
      <c r="P43" s="81">
        <f>IF(G43="","",ABS(O43-Components!$C$2)/Components!$D$2)</f>
        <v>197.71182289454165</v>
      </c>
      <c r="Q43" s="81">
        <f>IF(G43="","",ABS(O43-Components!$C$3)/Components!$D$3)</f>
        <v>1.7395651630572131</v>
      </c>
      <c r="R43" s="81">
        <f>IF(G43="","",ABS(O43-Components!$C$4)/Components!$D$4)</f>
        <v>219.3823772571092</v>
      </c>
      <c r="S43" s="81">
        <f>IF(G43="","",ABS(O43-Components!$C$5)/Components!$D$5)</f>
        <v>19.963081710382131</v>
      </c>
      <c r="T43" s="81">
        <f>IF(G43="","",ABS(O43-Components!$C$6)/Components!$D$6)</f>
        <v>105.1209665709432</v>
      </c>
      <c r="U43" s="81">
        <f>IF(G43="","",ABS(O43-Components!$C$7)/Components!$D$7)</f>
        <v>106.8048348360204</v>
      </c>
      <c r="V43" s="81" t="str">
        <f>IF(G43="","",IF(M43="OK","NONE",INDEX({"S1","S2","W1","W2","N1","N2"},MATCH(MIN(P43:U43),P43:U43,0))))</f>
        <v>S2</v>
      </c>
      <c r="W43" s="117">
        <f t="shared" si="6"/>
        <v>1</v>
      </c>
      <c r="X43" s="107"/>
    </row>
    <row r="44" spans="1:24">
      <c r="A44" s="115">
        <v>42</v>
      </c>
      <c r="B44" s="116">
        <v>2</v>
      </c>
      <c r="C44" s="81" t="s">
        <v>128</v>
      </c>
      <c r="D44" s="111" t="s">
        <v>240</v>
      </c>
      <c r="E44" s="81" t="s">
        <v>102</v>
      </c>
      <c r="F44" s="52">
        <v>5.96</v>
      </c>
      <c r="G44" s="52">
        <f t="shared" si="0"/>
        <v>6.93</v>
      </c>
      <c r="H44" s="110"/>
      <c r="I44" s="81">
        <f>VLOOKUP(C44,Recipes!$A$2:$N$4,10,FALSE())</f>
        <v>10.940000000000001</v>
      </c>
      <c r="J44" s="81">
        <f>VLOOKUP(C44,Recipes!$A$2:$N$4,12,FALSE())</f>
        <v>5.2703573566378441E-2</v>
      </c>
      <c r="K44" s="81">
        <f t="shared" si="1"/>
        <v>10.62377855860173</v>
      </c>
      <c r="L44" s="81">
        <f t="shared" si="2"/>
        <v>11.256221441398273</v>
      </c>
      <c r="M44" s="81" t="str">
        <f t="shared" si="4"/>
        <v>NG</v>
      </c>
      <c r="N44" s="117">
        <f t="shared" si="3"/>
        <v>1</v>
      </c>
      <c r="O44" s="81">
        <f t="shared" si="5"/>
        <v>4.0100000000000016</v>
      </c>
      <c r="P44" s="81">
        <f>IF(G44="","",ABS(O44-Components!$C$2)/Components!$D$2)</f>
        <v>190.14631946745467</v>
      </c>
      <c r="Q44" s="81">
        <f>IF(G44="","",ABS(O44-Components!$C$3)/Components!$D$3)</f>
        <v>1.88452892664503</v>
      </c>
      <c r="R44" s="81">
        <f>IF(G44="","",ABS(O44-Components!$C$4)/Components!$D$4)</f>
        <v>215.80549067139549</v>
      </c>
      <c r="S44" s="81">
        <f>IF(G44="","",ABS(O44-Components!$C$5)/Components!$D$5)</f>
        <v>21.948799387144263</v>
      </c>
      <c r="T44" s="81">
        <f>IF(G44="","",ABS(O44-Components!$C$6)/Components!$D$6)</f>
        <v>103.31124030150197</v>
      </c>
      <c r="U44" s="81">
        <f>IF(G44="","",ABS(O44-Components!$C$7)/Components!$D$7)</f>
        <v>104.81641169770553</v>
      </c>
      <c r="V44" s="81" t="str">
        <f>IF(G44="","",IF(M44="OK","NONE",INDEX({"S1","S2","W1","W2","N1","N2"},MATCH(MIN(P44:U44),P44:U44,0))))</f>
        <v>S2</v>
      </c>
      <c r="W44" s="117">
        <f t="shared" si="6"/>
        <v>1</v>
      </c>
      <c r="X44" s="107"/>
    </row>
    <row r="45" spans="1:24">
      <c r="A45" s="115">
        <v>43</v>
      </c>
      <c r="B45" s="116">
        <v>2</v>
      </c>
      <c r="C45" s="81" t="s">
        <v>128</v>
      </c>
      <c r="D45" s="111" t="s">
        <v>240</v>
      </c>
      <c r="E45" s="81" t="s">
        <v>102</v>
      </c>
      <c r="F45" s="52">
        <v>5.98</v>
      </c>
      <c r="G45" s="52">
        <f t="shared" si="0"/>
        <v>6.95</v>
      </c>
      <c r="H45" s="110"/>
      <c r="I45" s="81">
        <f>VLOOKUP(C45,Recipes!$A$2:$N$4,10,FALSE())</f>
        <v>10.940000000000001</v>
      </c>
      <c r="J45" s="81">
        <f>VLOOKUP(C45,Recipes!$A$2:$N$4,12,FALSE())</f>
        <v>5.2703573566378441E-2</v>
      </c>
      <c r="K45" s="81">
        <f t="shared" si="1"/>
        <v>10.62377855860173</v>
      </c>
      <c r="L45" s="81">
        <f t="shared" si="2"/>
        <v>11.256221441398273</v>
      </c>
      <c r="M45" s="81" t="str">
        <f t="shared" si="4"/>
        <v>NG</v>
      </c>
      <c r="N45" s="117">
        <f t="shared" si="3"/>
        <v>1</v>
      </c>
      <c r="O45" s="81">
        <f t="shared" si="5"/>
        <v>3.9900000000000011</v>
      </c>
      <c r="P45" s="81">
        <f>IF(G45="","",ABS(O45-Components!$C$2)/Components!$D$2)</f>
        <v>187.12011809661979</v>
      </c>
      <c r="Q45" s="81">
        <f>IF(G45="","",ABS(O45-Components!$C$3)/Components!$D$3)</f>
        <v>3.334166562525966</v>
      </c>
      <c r="R45" s="81">
        <f>IF(G45="","",ABS(O45-Components!$C$4)/Components!$D$4)</f>
        <v>214.37473603710995</v>
      </c>
      <c r="S45" s="81">
        <f>IF(G45="","",ABS(O45-Components!$C$5)/Components!$D$5)</f>
        <v>22.743086457849135</v>
      </c>
      <c r="T45" s="81">
        <f>IF(G45="","",ABS(O45-Components!$C$6)/Components!$D$6)</f>
        <v>102.58734979372545</v>
      </c>
      <c r="U45" s="81">
        <f>IF(G45="","",ABS(O45-Components!$C$7)/Components!$D$7)</f>
        <v>104.02104244237955</v>
      </c>
      <c r="V45" s="81" t="str">
        <f>IF(G45="","",IF(M45="OK","NONE",INDEX({"S1","S2","W1","W2","N1","N2"},MATCH(MIN(P45:U45),P45:U45,0))))</f>
        <v>S2</v>
      </c>
      <c r="W45" s="117">
        <f t="shared" si="6"/>
        <v>1</v>
      </c>
      <c r="X45" s="107"/>
    </row>
    <row r="46" spans="1:24">
      <c r="A46" s="115">
        <v>44</v>
      </c>
      <c r="B46" s="116">
        <v>2</v>
      </c>
      <c r="C46" s="81" t="s">
        <v>128</v>
      </c>
      <c r="D46" s="111" t="s">
        <v>240</v>
      </c>
      <c r="E46" s="81" t="s">
        <v>102</v>
      </c>
      <c r="F46" s="52">
        <v>5.94</v>
      </c>
      <c r="G46" s="52">
        <f t="shared" si="0"/>
        <v>6.91</v>
      </c>
      <c r="H46" s="110"/>
      <c r="I46" s="81">
        <f>VLOOKUP(C46,Recipes!$A$2:$N$4,10,FALSE())</f>
        <v>10.940000000000001</v>
      </c>
      <c r="J46" s="81">
        <f>VLOOKUP(C46,Recipes!$A$2:$N$4,12,FALSE())</f>
        <v>5.2703573566378441E-2</v>
      </c>
      <c r="K46" s="81">
        <f t="shared" si="1"/>
        <v>10.62377855860173</v>
      </c>
      <c r="L46" s="81">
        <f t="shared" si="2"/>
        <v>11.256221441398273</v>
      </c>
      <c r="M46" s="81" t="str">
        <f t="shared" si="4"/>
        <v>NG</v>
      </c>
      <c r="N46" s="117">
        <f t="shared" si="3"/>
        <v>1</v>
      </c>
      <c r="O46" s="81">
        <f t="shared" si="5"/>
        <v>4.0300000000000011</v>
      </c>
      <c r="P46" s="81">
        <f>IF(G46="","",ABS(O46-Components!$C$2)/Components!$D$2)</f>
        <v>193.17252083828942</v>
      </c>
      <c r="Q46" s="81">
        <f>IF(G46="","",ABS(O46-Components!$C$3)/Components!$D$3)</f>
        <v>0.43489129076415844</v>
      </c>
      <c r="R46" s="81">
        <f>IF(G46="","",ABS(O46-Components!$C$4)/Components!$D$4)</f>
        <v>217.23624530568094</v>
      </c>
      <c r="S46" s="81">
        <f>IF(G46="","",ABS(O46-Components!$C$5)/Components!$D$5)</f>
        <v>21.154512316439423</v>
      </c>
      <c r="T46" s="81">
        <f>IF(G46="","",ABS(O46-Components!$C$6)/Components!$D$6)</f>
        <v>104.03513080927844</v>
      </c>
      <c r="U46" s="81">
        <f>IF(G46="","",ABS(O46-Components!$C$7)/Components!$D$7)</f>
        <v>105.61178095303147</v>
      </c>
      <c r="V46" s="81" t="str">
        <f>IF(G46="","",IF(M46="OK","NONE",INDEX({"S1","S2","W1","W2","N1","N2"},MATCH(MIN(P46:U46),P46:U46,0))))</f>
        <v>S2</v>
      </c>
      <c r="W46" s="117">
        <f t="shared" si="6"/>
        <v>1</v>
      </c>
      <c r="X46" s="107"/>
    </row>
    <row r="47" spans="1:24">
      <c r="A47" s="115">
        <v>45</v>
      </c>
      <c r="B47" s="116">
        <v>2</v>
      </c>
      <c r="C47" s="81" t="s">
        <v>128</v>
      </c>
      <c r="D47" s="111" t="s">
        <v>240</v>
      </c>
      <c r="E47" s="81" t="s">
        <v>102</v>
      </c>
      <c r="F47" s="52">
        <v>5.87</v>
      </c>
      <c r="G47" s="52">
        <f t="shared" si="0"/>
        <v>6.84</v>
      </c>
      <c r="H47" s="110"/>
      <c r="I47" s="81">
        <f>VLOOKUP(C47,Recipes!$A$2:$N$4,10,FALSE())</f>
        <v>10.940000000000001</v>
      </c>
      <c r="J47" s="81">
        <f>VLOOKUP(C47,Recipes!$A$2:$N$4,12,FALSE())</f>
        <v>5.2703573566378441E-2</v>
      </c>
      <c r="K47" s="81">
        <f t="shared" si="1"/>
        <v>10.62377855860173</v>
      </c>
      <c r="L47" s="81">
        <f t="shared" si="2"/>
        <v>11.256221441398273</v>
      </c>
      <c r="M47" s="81" t="str">
        <f t="shared" si="4"/>
        <v>NG</v>
      </c>
      <c r="N47" s="117">
        <f t="shared" si="3"/>
        <v>1</v>
      </c>
      <c r="O47" s="81">
        <f t="shared" si="5"/>
        <v>4.1000000000000014</v>
      </c>
      <c r="P47" s="81">
        <f>IF(G47="","",ABS(O47-Components!$C$2)/Components!$D$2)</f>
        <v>203.76422563621128</v>
      </c>
      <c r="Q47" s="81">
        <f>IF(G47="","",ABS(O47-Components!$C$3)/Components!$D$3)</f>
        <v>4.6388404348190209</v>
      </c>
      <c r="R47" s="81">
        <f>IF(G47="","",ABS(O47-Components!$C$4)/Components!$D$4)</f>
        <v>222.24388652568018</v>
      </c>
      <c r="S47" s="81">
        <f>IF(G47="","",ABS(O47-Components!$C$5)/Components!$D$5)</f>
        <v>18.374507568972419</v>
      </c>
      <c r="T47" s="81">
        <f>IF(G47="","",ABS(O47-Components!$C$6)/Components!$D$6)</f>
        <v>106.56874758649619</v>
      </c>
      <c r="U47" s="81">
        <f>IF(G47="","",ABS(O47-Components!$C$7)/Components!$D$7)</f>
        <v>108.39557334667232</v>
      </c>
      <c r="V47" s="81" t="str">
        <f>IF(G47="","",IF(M47="OK","NONE",INDEX({"S1","S2","W1","W2","N1","N2"},MATCH(MIN(P47:U47),P47:U47,0))))</f>
        <v>S2</v>
      </c>
      <c r="W47" s="117">
        <f t="shared" si="6"/>
        <v>1</v>
      </c>
      <c r="X47" s="107"/>
    </row>
    <row r="48" spans="1:24">
      <c r="A48" s="115">
        <v>46</v>
      </c>
      <c r="B48" s="116">
        <v>2</v>
      </c>
      <c r="C48" s="81" t="s">
        <v>128</v>
      </c>
      <c r="D48" s="111" t="s">
        <v>240</v>
      </c>
      <c r="E48" s="81" t="s">
        <v>102</v>
      </c>
      <c r="F48" s="52">
        <v>5.95</v>
      </c>
      <c r="G48" s="52">
        <f t="shared" si="0"/>
        <v>6.92</v>
      </c>
      <c r="H48" s="110"/>
      <c r="I48" s="81">
        <f>VLOOKUP(C48,Recipes!$A$2:$N$4,10,FALSE())</f>
        <v>10.940000000000001</v>
      </c>
      <c r="J48" s="81">
        <f>VLOOKUP(C48,Recipes!$A$2:$N$4,12,FALSE())</f>
        <v>5.2703573566378441E-2</v>
      </c>
      <c r="K48" s="81">
        <f t="shared" si="1"/>
        <v>10.62377855860173</v>
      </c>
      <c r="L48" s="81">
        <f t="shared" si="2"/>
        <v>11.256221441398273</v>
      </c>
      <c r="M48" s="81" t="str">
        <f t="shared" si="4"/>
        <v>NG</v>
      </c>
      <c r="N48" s="117">
        <f t="shared" si="3"/>
        <v>1</v>
      </c>
      <c r="O48" s="81">
        <f t="shared" si="5"/>
        <v>4.0200000000000014</v>
      </c>
      <c r="P48" s="81">
        <f>IF(G48="","",ABS(O48-Components!$C$2)/Components!$D$2)</f>
        <v>191.65942015287203</v>
      </c>
      <c r="Q48" s="81">
        <f>IF(G48="","",ABS(O48-Components!$C$3)/Components!$D$3)</f>
        <v>1.1597101087045942</v>
      </c>
      <c r="R48" s="81">
        <f>IF(G48="","",ABS(O48-Components!$C$4)/Components!$D$4)</f>
        <v>216.52086798853821</v>
      </c>
      <c r="S48" s="81">
        <f>IF(G48="","",ABS(O48-Components!$C$5)/Components!$D$5)</f>
        <v>21.551655851791843</v>
      </c>
      <c r="T48" s="81">
        <f>IF(G48="","",ABS(O48-Components!$C$6)/Components!$D$6)</f>
        <v>103.67318555539021</v>
      </c>
      <c r="U48" s="81">
        <f>IF(G48="","",ABS(O48-Components!$C$7)/Components!$D$7)</f>
        <v>105.2140963253685</v>
      </c>
      <c r="V48" s="81" t="str">
        <f>IF(G48="","",IF(M48="OK","NONE",INDEX({"S1","S2","W1","W2","N1","N2"},MATCH(MIN(P48:U48),P48:U48,0))))</f>
        <v>S2</v>
      </c>
      <c r="W48" s="117">
        <f t="shared" si="6"/>
        <v>1</v>
      </c>
      <c r="X48" s="107"/>
    </row>
    <row r="49" spans="1:24">
      <c r="A49" s="115">
        <v>47</v>
      </c>
      <c r="B49" s="116">
        <v>2</v>
      </c>
      <c r="C49" s="81" t="s">
        <v>128</v>
      </c>
      <c r="D49" s="111" t="s">
        <v>240</v>
      </c>
      <c r="E49" s="81" t="s">
        <v>102</v>
      </c>
      <c r="F49" s="52">
        <v>5.89</v>
      </c>
      <c r="G49" s="52">
        <f t="shared" si="0"/>
        <v>6.8599999999999994</v>
      </c>
      <c r="H49" s="110"/>
      <c r="I49" s="81">
        <f>VLOOKUP(C49,Recipes!$A$2:$N$4,10,FALSE())</f>
        <v>10.940000000000001</v>
      </c>
      <c r="J49" s="81">
        <f>VLOOKUP(C49,Recipes!$A$2:$N$4,12,FALSE())</f>
        <v>5.2703573566378441E-2</v>
      </c>
      <c r="K49" s="81">
        <f t="shared" si="1"/>
        <v>10.62377855860173</v>
      </c>
      <c r="L49" s="81">
        <f t="shared" si="2"/>
        <v>11.256221441398273</v>
      </c>
      <c r="M49" s="81" t="str">
        <f t="shared" si="4"/>
        <v>NG</v>
      </c>
      <c r="N49" s="117">
        <f t="shared" si="3"/>
        <v>1</v>
      </c>
      <c r="O49" s="81">
        <f t="shared" si="5"/>
        <v>4.0800000000000018</v>
      </c>
      <c r="P49" s="81">
        <f>IF(G49="","",ABS(O49-Components!$C$2)/Components!$D$2)</f>
        <v>200.73802426537654</v>
      </c>
      <c r="Q49" s="81">
        <f>IF(G49="","",ABS(O49-Components!$C$3)/Components!$D$3)</f>
        <v>3.1892027989381488</v>
      </c>
      <c r="R49" s="81">
        <f>IF(G49="","",ABS(O49-Components!$C$4)/Components!$D$4)</f>
        <v>220.81313189139473</v>
      </c>
      <c r="S49" s="81">
        <f>IF(G49="","",ABS(O49-Components!$C$5)/Components!$D$5)</f>
        <v>19.168794639677255</v>
      </c>
      <c r="T49" s="81">
        <f>IF(G49="","",ABS(O49-Components!$C$6)/Components!$D$6)</f>
        <v>105.84485707871971</v>
      </c>
      <c r="U49" s="81">
        <f>IF(G49="","",ABS(O49-Components!$C$7)/Components!$D$7)</f>
        <v>107.60020409134638</v>
      </c>
      <c r="V49" s="81" t="str">
        <f>IF(G49="","",IF(M49="OK","NONE",INDEX({"S1","S2","W1","W2","N1","N2"},MATCH(MIN(P49:U49),P49:U49,0))))</f>
        <v>S2</v>
      </c>
      <c r="W49" s="117">
        <f t="shared" si="6"/>
        <v>1</v>
      </c>
      <c r="X49" s="107"/>
    </row>
    <row r="50" spans="1:24">
      <c r="A50" s="115">
        <v>48</v>
      </c>
      <c r="B50" s="116">
        <v>2</v>
      </c>
      <c r="C50" s="81" t="s">
        <v>128</v>
      </c>
      <c r="D50" s="111" t="s">
        <v>240</v>
      </c>
      <c r="E50" s="81" t="s">
        <v>102</v>
      </c>
      <c r="F50" s="52">
        <v>5.88</v>
      </c>
      <c r="G50" s="52">
        <f t="shared" si="0"/>
        <v>6.85</v>
      </c>
      <c r="H50" s="110"/>
      <c r="I50" s="81">
        <f>VLOOKUP(C50,Recipes!$A$2:$N$4,10,FALSE())</f>
        <v>10.940000000000001</v>
      </c>
      <c r="J50" s="81">
        <f>VLOOKUP(C50,Recipes!$A$2:$N$4,12,FALSE())</f>
        <v>5.2703573566378441E-2</v>
      </c>
      <c r="K50" s="81">
        <f t="shared" si="1"/>
        <v>10.62377855860173</v>
      </c>
      <c r="L50" s="81">
        <f t="shared" si="2"/>
        <v>11.256221441398273</v>
      </c>
      <c r="M50" s="81" t="str">
        <f t="shared" si="4"/>
        <v>NG</v>
      </c>
      <c r="N50" s="117">
        <f t="shared" si="3"/>
        <v>1</v>
      </c>
      <c r="O50" s="81">
        <f t="shared" si="5"/>
        <v>4.0900000000000016</v>
      </c>
      <c r="P50" s="81">
        <f>IF(G50="","",ABS(O50-Components!$C$2)/Components!$D$2)</f>
        <v>202.25112495079392</v>
      </c>
      <c r="Q50" s="81">
        <f>IF(G50="","",ABS(O50-Components!$C$3)/Components!$D$3)</f>
        <v>3.9140216168785846</v>
      </c>
      <c r="R50" s="81">
        <f>IF(G50="","",ABS(O50-Components!$C$4)/Components!$D$4)</f>
        <v>221.52850920853746</v>
      </c>
      <c r="S50" s="81">
        <f>IF(G50="","",ABS(O50-Components!$C$5)/Components!$D$5)</f>
        <v>18.771651104324839</v>
      </c>
      <c r="T50" s="81">
        <f>IF(G50="","",ABS(O50-Components!$C$6)/Components!$D$6)</f>
        <v>106.20680233260795</v>
      </c>
      <c r="U50" s="81">
        <f>IF(G50="","",ABS(O50-Components!$C$7)/Components!$D$7)</f>
        <v>107.99788871900935</v>
      </c>
      <c r="V50" s="81" t="str">
        <f>IF(G50="","",IF(M50="OK","NONE",INDEX({"S1","S2","W1","W2","N1","N2"},MATCH(MIN(P50:U50),P50:U50,0))))</f>
        <v>S2</v>
      </c>
      <c r="W50" s="117">
        <f t="shared" si="6"/>
        <v>1</v>
      </c>
      <c r="X50" s="107"/>
    </row>
    <row r="51" spans="1:24">
      <c r="A51" s="115">
        <v>49</v>
      </c>
      <c r="B51" s="116">
        <v>2</v>
      </c>
      <c r="C51" s="81" t="s">
        <v>128</v>
      </c>
      <c r="D51" s="111" t="s">
        <v>240</v>
      </c>
      <c r="E51" s="81" t="s">
        <v>102</v>
      </c>
      <c r="F51" s="52">
        <v>5.94</v>
      </c>
      <c r="G51" s="52">
        <f t="shared" si="0"/>
        <v>6.91</v>
      </c>
      <c r="H51" s="110"/>
      <c r="I51" s="81">
        <f>VLOOKUP(C51,Recipes!$A$2:$N$4,10,FALSE())</f>
        <v>10.940000000000001</v>
      </c>
      <c r="J51" s="81">
        <f>VLOOKUP(C51,Recipes!$A$2:$N$4,12,FALSE())</f>
        <v>5.2703573566378441E-2</v>
      </c>
      <c r="K51" s="81">
        <f t="shared" si="1"/>
        <v>10.62377855860173</v>
      </c>
      <c r="L51" s="81">
        <f t="shared" si="2"/>
        <v>11.256221441398273</v>
      </c>
      <c r="M51" s="81" t="str">
        <f t="shared" si="4"/>
        <v>NG</v>
      </c>
      <c r="N51" s="117">
        <f t="shared" si="3"/>
        <v>1</v>
      </c>
      <c r="O51" s="81">
        <f t="shared" si="5"/>
        <v>4.0300000000000011</v>
      </c>
      <c r="P51" s="81">
        <f>IF(G51="","",ABS(O51-Components!$C$2)/Components!$D$2)</f>
        <v>193.17252083828942</v>
      </c>
      <c r="Q51" s="81">
        <f>IF(G51="","",ABS(O51-Components!$C$3)/Components!$D$3)</f>
        <v>0.43489129076415844</v>
      </c>
      <c r="R51" s="81">
        <f>IF(G51="","",ABS(O51-Components!$C$4)/Components!$D$4)</f>
        <v>217.23624530568094</v>
      </c>
      <c r="S51" s="81">
        <f>IF(G51="","",ABS(O51-Components!$C$5)/Components!$D$5)</f>
        <v>21.154512316439423</v>
      </c>
      <c r="T51" s="81">
        <f>IF(G51="","",ABS(O51-Components!$C$6)/Components!$D$6)</f>
        <v>104.03513080927844</v>
      </c>
      <c r="U51" s="81">
        <f>IF(G51="","",ABS(O51-Components!$C$7)/Components!$D$7)</f>
        <v>105.61178095303147</v>
      </c>
      <c r="V51" s="81" t="str">
        <f>IF(G51="","",IF(M51="OK","NONE",INDEX({"S1","S2","W1","W2","N1","N2"},MATCH(MIN(P51:U51),P51:U51,0))))</f>
        <v>S2</v>
      </c>
      <c r="W51" s="117">
        <f t="shared" si="6"/>
        <v>1</v>
      </c>
      <c r="X51" s="107"/>
    </row>
    <row r="52" spans="1:24">
      <c r="A52" s="115">
        <v>50</v>
      </c>
      <c r="B52" s="116">
        <v>2</v>
      </c>
      <c r="C52" s="81" t="s">
        <v>128</v>
      </c>
      <c r="D52" s="111" t="s">
        <v>240</v>
      </c>
      <c r="E52" s="81" t="s">
        <v>102</v>
      </c>
      <c r="F52" s="52">
        <v>5.93</v>
      </c>
      <c r="G52" s="52">
        <f t="shared" si="0"/>
        <v>6.8999999999999995</v>
      </c>
      <c r="H52" s="110"/>
      <c r="I52" s="81">
        <f>VLOOKUP(C52,Recipes!$A$2:$N$4,10,FALSE())</f>
        <v>10.940000000000001</v>
      </c>
      <c r="J52" s="81">
        <f>VLOOKUP(C52,Recipes!$A$2:$N$4,12,FALSE())</f>
        <v>5.2703573566378441E-2</v>
      </c>
      <c r="K52" s="81">
        <f t="shared" si="1"/>
        <v>10.62377855860173</v>
      </c>
      <c r="L52" s="81">
        <f t="shared" si="2"/>
        <v>11.256221441398273</v>
      </c>
      <c r="M52" s="81" t="str">
        <f t="shared" si="4"/>
        <v>NG</v>
      </c>
      <c r="N52" s="117">
        <f t="shared" si="3"/>
        <v>1</v>
      </c>
      <c r="O52" s="81">
        <f t="shared" si="5"/>
        <v>4.0400000000000018</v>
      </c>
      <c r="P52" s="81">
        <f>IF(G52="","",ABS(O52-Components!$C$2)/Components!$D$2)</f>
        <v>194.68562152370691</v>
      </c>
      <c r="Q52" s="81">
        <f>IF(G52="","",ABS(O52-Components!$C$3)/Components!$D$3)</f>
        <v>0.28992752717634168</v>
      </c>
      <c r="R52" s="81">
        <f>IF(G52="","",ABS(O52-Components!$C$4)/Components!$D$4)</f>
        <v>217.95162262282375</v>
      </c>
      <c r="S52" s="81">
        <f>IF(G52="","",ABS(O52-Components!$C$5)/Components!$D$5)</f>
        <v>20.757368781086971</v>
      </c>
      <c r="T52" s="81">
        <f>IF(G52="","",ABS(O52-Components!$C$6)/Components!$D$6)</f>
        <v>104.39707606316672</v>
      </c>
      <c r="U52" s="81">
        <f>IF(G52="","",ABS(O52-Components!$C$7)/Components!$D$7)</f>
        <v>106.00946558069447</v>
      </c>
      <c r="V52" s="81" t="str">
        <f>IF(G52="","",IF(M52="OK","NONE",INDEX({"S1","S2","W1","W2","N1","N2"},MATCH(MIN(P52:U52),P52:U52,0))))</f>
        <v>S2</v>
      </c>
      <c r="W52" s="117">
        <f t="shared" si="6"/>
        <v>1</v>
      </c>
      <c r="X52" s="107"/>
    </row>
    <row r="53" spans="1:24">
      <c r="A53" s="115">
        <v>51</v>
      </c>
      <c r="B53" s="116">
        <v>2</v>
      </c>
      <c r="C53" s="81" t="s">
        <v>128</v>
      </c>
      <c r="D53" s="111" t="s">
        <v>240</v>
      </c>
      <c r="E53" s="81" t="s">
        <v>102</v>
      </c>
      <c r="F53" s="52">
        <v>5.99</v>
      </c>
      <c r="G53" s="52">
        <f t="shared" si="0"/>
        <v>6.96</v>
      </c>
      <c r="H53" s="110"/>
      <c r="I53" s="81">
        <f>VLOOKUP(C53,Recipes!$A$2:$N$4,10,FALSE())</f>
        <v>10.940000000000001</v>
      </c>
      <c r="J53" s="81">
        <f>VLOOKUP(C53,Recipes!$A$2:$N$4,12,FALSE())</f>
        <v>5.2703573566378441E-2</v>
      </c>
      <c r="K53" s="81">
        <f t="shared" si="1"/>
        <v>10.62377855860173</v>
      </c>
      <c r="L53" s="81">
        <f t="shared" si="2"/>
        <v>11.256221441398273</v>
      </c>
      <c r="M53" s="81" t="str">
        <f t="shared" si="4"/>
        <v>NG</v>
      </c>
      <c r="N53" s="117">
        <f t="shared" si="3"/>
        <v>1</v>
      </c>
      <c r="O53" s="81">
        <f t="shared" si="5"/>
        <v>3.9800000000000013</v>
      </c>
      <c r="P53" s="81">
        <f>IF(G53="","",ABS(O53-Components!$C$2)/Components!$D$2)</f>
        <v>185.60701741120241</v>
      </c>
      <c r="Q53" s="81">
        <f>IF(G53="","",ABS(O53-Components!$C$3)/Components!$D$3)</f>
        <v>4.0589853804664013</v>
      </c>
      <c r="R53" s="81">
        <f>IF(G53="","",ABS(O53-Components!$C$4)/Components!$D$4)</f>
        <v>213.65935871996723</v>
      </c>
      <c r="S53" s="81">
        <f>IF(G53="","",ABS(O53-Components!$C$5)/Components!$D$5)</f>
        <v>23.140229993201554</v>
      </c>
      <c r="T53" s="81">
        <f>IF(G53="","",ABS(O53-Components!$C$6)/Components!$D$6)</f>
        <v>102.22540453983721</v>
      </c>
      <c r="U53" s="81">
        <f>IF(G53="","",ABS(O53-Components!$C$7)/Components!$D$7)</f>
        <v>103.62335781471658</v>
      </c>
      <c r="V53" s="81" t="str">
        <f>IF(G53="","",IF(M53="OK","NONE",INDEX({"S1","S2","W1","W2","N1","N2"},MATCH(MIN(P53:U53),P53:U53,0))))</f>
        <v>S2</v>
      </c>
      <c r="W53" s="117">
        <f t="shared" si="6"/>
        <v>1</v>
      </c>
      <c r="X53" s="107"/>
    </row>
    <row r="54" spans="1:24">
      <c r="A54" s="115">
        <v>52</v>
      </c>
      <c r="B54" s="116">
        <v>2</v>
      </c>
      <c r="C54" s="81" t="s">
        <v>128</v>
      </c>
      <c r="D54" s="111" t="s">
        <v>240</v>
      </c>
      <c r="E54" s="81" t="s">
        <v>102</v>
      </c>
      <c r="F54" s="52">
        <v>5.92</v>
      </c>
      <c r="G54" s="52">
        <f t="shared" si="0"/>
        <v>6.89</v>
      </c>
      <c r="H54" s="110"/>
      <c r="I54" s="81">
        <f>VLOOKUP(C54,Recipes!$A$2:$N$4,10,FALSE())</f>
        <v>10.940000000000001</v>
      </c>
      <c r="J54" s="81">
        <f>VLOOKUP(C54,Recipes!$A$2:$N$4,12,FALSE())</f>
        <v>5.2703573566378441E-2</v>
      </c>
      <c r="K54" s="81">
        <f t="shared" si="1"/>
        <v>10.62377855860173</v>
      </c>
      <c r="L54" s="81">
        <f t="shared" si="2"/>
        <v>11.256221441398273</v>
      </c>
      <c r="M54" s="81" t="str">
        <f t="shared" si="4"/>
        <v>NG</v>
      </c>
      <c r="N54" s="117">
        <f t="shared" si="3"/>
        <v>1</v>
      </c>
      <c r="O54" s="81">
        <f t="shared" si="5"/>
        <v>4.0500000000000016</v>
      </c>
      <c r="P54" s="81">
        <f>IF(G54="","",ABS(O54-Components!$C$2)/Components!$D$2)</f>
        <v>196.1987222091243</v>
      </c>
      <c r="Q54" s="81">
        <f>IF(G54="","",ABS(O54-Components!$C$3)/Components!$D$3)</f>
        <v>1.0147463451167775</v>
      </c>
      <c r="R54" s="81">
        <f>IF(G54="","",ABS(O54-Components!$C$4)/Components!$D$4)</f>
        <v>218.66699993996647</v>
      </c>
      <c r="S54" s="81">
        <f>IF(G54="","",ABS(O54-Components!$C$5)/Components!$D$5)</f>
        <v>20.360225245734551</v>
      </c>
      <c r="T54" s="81">
        <f>IF(G54="","",ABS(O54-Components!$C$6)/Components!$D$6)</f>
        <v>104.75902131705496</v>
      </c>
      <c r="U54" s="81">
        <f>IF(G54="","",ABS(O54-Components!$C$7)/Components!$D$7)</f>
        <v>106.40715020835744</v>
      </c>
      <c r="V54" s="81" t="str">
        <f>IF(G54="","",IF(M54="OK","NONE",INDEX({"S1","S2","W1","W2","N1","N2"},MATCH(MIN(P54:U54),P54:U54,0))))</f>
        <v>S2</v>
      </c>
      <c r="W54" s="117">
        <f t="shared" si="6"/>
        <v>1</v>
      </c>
      <c r="X54" s="107"/>
    </row>
    <row r="55" spans="1:24">
      <c r="A55" s="115">
        <v>53</v>
      </c>
      <c r="B55" s="116">
        <v>2</v>
      </c>
      <c r="C55" s="81" t="s">
        <v>128</v>
      </c>
      <c r="D55" s="111" t="s">
        <v>240</v>
      </c>
      <c r="E55" s="81" t="s">
        <v>102</v>
      </c>
      <c r="F55" s="52">
        <v>5.78</v>
      </c>
      <c r="G55" s="52">
        <f t="shared" si="0"/>
        <v>6.75</v>
      </c>
      <c r="H55" s="110"/>
      <c r="I55" s="81">
        <f>VLOOKUP(C55,Recipes!$A$2:$N$4,10,FALSE())</f>
        <v>10.940000000000001</v>
      </c>
      <c r="J55" s="81">
        <f>VLOOKUP(C55,Recipes!$A$2:$N$4,12,FALSE())</f>
        <v>5.2703573566378441E-2</v>
      </c>
      <c r="K55" s="81">
        <f t="shared" si="1"/>
        <v>10.62377855860173</v>
      </c>
      <c r="L55" s="81">
        <f t="shared" si="2"/>
        <v>11.256221441398273</v>
      </c>
      <c r="M55" s="81" t="str">
        <f t="shared" si="4"/>
        <v>NG</v>
      </c>
      <c r="N55" s="117">
        <f t="shared" si="3"/>
        <v>1</v>
      </c>
      <c r="O55" s="81">
        <f t="shared" si="5"/>
        <v>4.1900000000000013</v>
      </c>
      <c r="P55" s="81">
        <f>IF(G55="","",ABS(O55-Components!$C$2)/Components!$D$2)</f>
        <v>217.38213180496791</v>
      </c>
      <c r="Q55" s="81">
        <f>IF(G55="","",ABS(O55-Components!$C$3)/Components!$D$3)</f>
        <v>11.16220979628307</v>
      </c>
      <c r="R55" s="81">
        <f>IF(G55="","",ABS(O55-Components!$C$4)/Components!$D$4)</f>
        <v>228.6822823799649</v>
      </c>
      <c r="S55" s="81">
        <f>IF(G55="","",ABS(O55-Components!$C$5)/Components!$D$5)</f>
        <v>14.800215750800573</v>
      </c>
      <c r="T55" s="81">
        <f>IF(G55="","",ABS(O55-Components!$C$6)/Components!$D$6)</f>
        <v>109.82625487149041</v>
      </c>
      <c r="U55" s="81">
        <f>IF(G55="","",ABS(O55-Components!$C$7)/Components!$D$7)</f>
        <v>111.97473499563911</v>
      </c>
      <c r="V55" s="81" t="str">
        <f>IF(G55="","",IF(M55="OK","NONE",INDEX({"S1","S2","W1","W2","N1","N2"},MATCH(MIN(P55:U55),P55:U55,0))))</f>
        <v>S2</v>
      </c>
      <c r="W55" s="117">
        <f t="shared" si="6"/>
        <v>1</v>
      </c>
      <c r="X55" s="107"/>
    </row>
    <row r="56" spans="1:24">
      <c r="A56" s="115">
        <v>54</v>
      </c>
      <c r="B56" s="116">
        <v>2</v>
      </c>
      <c r="C56" s="81" t="s">
        <v>128</v>
      </c>
      <c r="D56" s="111" t="s">
        <v>240</v>
      </c>
      <c r="E56" s="81" t="s">
        <v>102</v>
      </c>
      <c r="F56" s="52">
        <v>5.95</v>
      </c>
      <c r="G56" s="52">
        <f t="shared" si="0"/>
        <v>6.92</v>
      </c>
      <c r="H56" s="110"/>
      <c r="I56" s="81">
        <f>VLOOKUP(C56,Recipes!$A$2:$N$4,10,FALSE())</f>
        <v>10.940000000000001</v>
      </c>
      <c r="J56" s="81">
        <f>VLOOKUP(C56,Recipes!$A$2:$N$4,12,FALSE())</f>
        <v>5.2703573566378441E-2</v>
      </c>
      <c r="K56" s="81">
        <f t="shared" si="1"/>
        <v>10.62377855860173</v>
      </c>
      <c r="L56" s="81">
        <f t="shared" si="2"/>
        <v>11.256221441398273</v>
      </c>
      <c r="M56" s="81" t="str">
        <f t="shared" si="4"/>
        <v>NG</v>
      </c>
      <c r="N56" s="117">
        <f t="shared" si="3"/>
        <v>1</v>
      </c>
      <c r="O56" s="81">
        <f t="shared" si="5"/>
        <v>4.0200000000000014</v>
      </c>
      <c r="P56" s="81">
        <f>IF(G56="","",ABS(O56-Components!$C$2)/Components!$D$2)</f>
        <v>191.65942015287203</v>
      </c>
      <c r="Q56" s="81">
        <f>IF(G56="","",ABS(O56-Components!$C$3)/Components!$D$3)</f>
        <v>1.1597101087045942</v>
      </c>
      <c r="R56" s="81">
        <f>IF(G56="","",ABS(O56-Components!$C$4)/Components!$D$4)</f>
        <v>216.52086798853821</v>
      </c>
      <c r="S56" s="81">
        <f>IF(G56="","",ABS(O56-Components!$C$5)/Components!$D$5)</f>
        <v>21.551655851791843</v>
      </c>
      <c r="T56" s="81">
        <f>IF(G56="","",ABS(O56-Components!$C$6)/Components!$D$6)</f>
        <v>103.67318555539021</v>
      </c>
      <c r="U56" s="81">
        <f>IF(G56="","",ABS(O56-Components!$C$7)/Components!$D$7)</f>
        <v>105.2140963253685</v>
      </c>
      <c r="V56" s="81" t="str">
        <f>IF(G56="","",IF(M56="OK","NONE",INDEX({"S1","S2","W1","W2","N1","N2"},MATCH(MIN(P56:U56),P56:U56,0))))</f>
        <v>S2</v>
      </c>
      <c r="W56" s="117">
        <f t="shared" si="6"/>
        <v>1</v>
      </c>
      <c r="X56" s="107"/>
    </row>
    <row r="57" spans="1:24">
      <c r="A57" s="115">
        <v>55</v>
      </c>
      <c r="B57" s="116">
        <v>2</v>
      </c>
      <c r="C57" s="81" t="s">
        <v>128</v>
      </c>
      <c r="D57" s="111" t="s">
        <v>240</v>
      </c>
      <c r="E57" s="81" t="s">
        <v>102</v>
      </c>
      <c r="F57" s="52">
        <v>5.92</v>
      </c>
      <c r="G57" s="52">
        <f t="shared" si="0"/>
        <v>6.89</v>
      </c>
      <c r="H57" s="110"/>
      <c r="I57" s="81">
        <f>VLOOKUP(C57,Recipes!$A$2:$N$4,10,FALSE())</f>
        <v>10.940000000000001</v>
      </c>
      <c r="J57" s="81">
        <f>VLOOKUP(C57,Recipes!$A$2:$N$4,12,FALSE())</f>
        <v>5.2703573566378441E-2</v>
      </c>
      <c r="K57" s="81">
        <f t="shared" si="1"/>
        <v>10.62377855860173</v>
      </c>
      <c r="L57" s="81">
        <f t="shared" si="2"/>
        <v>11.256221441398273</v>
      </c>
      <c r="M57" s="81" t="str">
        <f t="shared" si="4"/>
        <v>NG</v>
      </c>
      <c r="N57" s="117">
        <f t="shared" si="3"/>
        <v>1</v>
      </c>
      <c r="O57" s="81">
        <f t="shared" si="5"/>
        <v>4.0500000000000016</v>
      </c>
      <c r="P57" s="81">
        <f>IF(G57="","",ABS(O57-Components!$C$2)/Components!$D$2)</f>
        <v>196.1987222091243</v>
      </c>
      <c r="Q57" s="81">
        <f>IF(G57="","",ABS(O57-Components!$C$3)/Components!$D$3)</f>
        <v>1.0147463451167775</v>
      </c>
      <c r="R57" s="81">
        <f>IF(G57="","",ABS(O57-Components!$C$4)/Components!$D$4)</f>
        <v>218.66699993996647</v>
      </c>
      <c r="S57" s="81">
        <f>IF(G57="","",ABS(O57-Components!$C$5)/Components!$D$5)</f>
        <v>20.360225245734551</v>
      </c>
      <c r="T57" s="81">
        <f>IF(G57="","",ABS(O57-Components!$C$6)/Components!$D$6)</f>
        <v>104.75902131705496</v>
      </c>
      <c r="U57" s="81">
        <f>IF(G57="","",ABS(O57-Components!$C$7)/Components!$D$7)</f>
        <v>106.40715020835744</v>
      </c>
      <c r="V57" s="81" t="str">
        <f>IF(G57="","",IF(M57="OK","NONE",INDEX({"S1","S2","W1","W2","N1","N2"},MATCH(MIN(P57:U57),P57:U57,0))))</f>
        <v>S2</v>
      </c>
      <c r="W57" s="117">
        <f t="shared" si="6"/>
        <v>1</v>
      </c>
      <c r="X57" s="107"/>
    </row>
    <row r="58" spans="1:24">
      <c r="A58" s="115">
        <v>56</v>
      </c>
      <c r="B58" s="116">
        <v>2</v>
      </c>
      <c r="C58" s="81" t="s">
        <v>128</v>
      </c>
      <c r="D58" s="111" t="s">
        <v>240</v>
      </c>
      <c r="E58" s="81" t="s">
        <v>102</v>
      </c>
      <c r="F58" s="52">
        <v>5.94</v>
      </c>
      <c r="G58" s="52">
        <f t="shared" si="0"/>
        <v>6.91</v>
      </c>
      <c r="H58" s="110"/>
      <c r="I58" s="81">
        <f>VLOOKUP(C58,Recipes!$A$2:$N$4,10,FALSE())</f>
        <v>10.940000000000001</v>
      </c>
      <c r="J58" s="81">
        <f>VLOOKUP(C58,Recipes!$A$2:$N$4,12,FALSE())</f>
        <v>5.2703573566378441E-2</v>
      </c>
      <c r="K58" s="81">
        <f t="shared" si="1"/>
        <v>10.62377855860173</v>
      </c>
      <c r="L58" s="81">
        <f t="shared" si="2"/>
        <v>11.256221441398273</v>
      </c>
      <c r="M58" s="81" t="str">
        <f t="shared" si="4"/>
        <v>NG</v>
      </c>
      <c r="N58" s="117">
        <f t="shared" si="3"/>
        <v>1</v>
      </c>
      <c r="O58" s="81">
        <f t="shared" si="5"/>
        <v>4.0300000000000011</v>
      </c>
      <c r="P58" s="81">
        <f>IF(G58="","",ABS(O58-Components!$C$2)/Components!$D$2)</f>
        <v>193.17252083828942</v>
      </c>
      <c r="Q58" s="81">
        <f>IF(G58="","",ABS(O58-Components!$C$3)/Components!$D$3)</f>
        <v>0.43489129076415844</v>
      </c>
      <c r="R58" s="81">
        <f>IF(G58="","",ABS(O58-Components!$C$4)/Components!$D$4)</f>
        <v>217.23624530568094</v>
      </c>
      <c r="S58" s="81">
        <f>IF(G58="","",ABS(O58-Components!$C$5)/Components!$D$5)</f>
        <v>21.154512316439423</v>
      </c>
      <c r="T58" s="81">
        <f>IF(G58="","",ABS(O58-Components!$C$6)/Components!$D$6)</f>
        <v>104.03513080927844</v>
      </c>
      <c r="U58" s="81">
        <f>IF(G58="","",ABS(O58-Components!$C$7)/Components!$D$7)</f>
        <v>105.61178095303147</v>
      </c>
      <c r="V58" s="81" t="str">
        <f>IF(G58="","",IF(M58="OK","NONE",INDEX({"S1","S2","W1","W2","N1","N2"},MATCH(MIN(P58:U58),P58:U58,0))))</f>
        <v>S2</v>
      </c>
      <c r="W58" s="117">
        <f t="shared" si="6"/>
        <v>1</v>
      </c>
      <c r="X58" s="107"/>
    </row>
    <row r="59" spans="1:24">
      <c r="A59" s="115">
        <v>57</v>
      </c>
      <c r="B59" s="116">
        <v>2</v>
      </c>
      <c r="C59" s="81" t="s">
        <v>128</v>
      </c>
      <c r="D59" s="111" t="s">
        <v>240</v>
      </c>
      <c r="E59" s="81" t="s">
        <v>102</v>
      </c>
      <c r="F59" s="52">
        <v>5.9</v>
      </c>
      <c r="G59" s="52">
        <f t="shared" si="0"/>
        <v>6.87</v>
      </c>
      <c r="H59" s="110"/>
      <c r="I59" s="81">
        <f>VLOOKUP(C59,Recipes!$A$2:$N$4,10,FALSE())</f>
        <v>10.940000000000001</v>
      </c>
      <c r="J59" s="81">
        <f>VLOOKUP(C59,Recipes!$A$2:$N$4,12,FALSE())</f>
        <v>5.2703573566378441E-2</v>
      </c>
      <c r="K59" s="81">
        <f t="shared" si="1"/>
        <v>10.62377855860173</v>
      </c>
      <c r="L59" s="81">
        <f t="shared" si="2"/>
        <v>11.256221441398273</v>
      </c>
      <c r="M59" s="81" t="str">
        <f t="shared" si="4"/>
        <v>NG</v>
      </c>
      <c r="N59" s="117">
        <f t="shared" si="3"/>
        <v>1</v>
      </c>
      <c r="O59" s="81">
        <f t="shared" si="5"/>
        <v>4.0700000000000012</v>
      </c>
      <c r="P59" s="81">
        <f>IF(G59="","",ABS(O59-Components!$C$2)/Components!$D$2)</f>
        <v>199.22492357995904</v>
      </c>
      <c r="Q59" s="81">
        <f>IF(G59="","",ABS(O59-Components!$C$3)/Components!$D$3)</f>
        <v>2.4643839809976491</v>
      </c>
      <c r="R59" s="81">
        <f>IF(G59="","",ABS(O59-Components!$C$4)/Components!$D$4)</f>
        <v>220.09775457425192</v>
      </c>
      <c r="S59" s="81">
        <f>IF(G59="","",ABS(O59-Components!$C$5)/Components!$D$5)</f>
        <v>19.565938175029711</v>
      </c>
      <c r="T59" s="81">
        <f>IF(G59="","",ABS(O59-Components!$C$6)/Components!$D$6)</f>
        <v>105.48291182483143</v>
      </c>
      <c r="U59" s="81">
        <f>IF(G59="","",ABS(O59-Components!$C$7)/Components!$D$7)</f>
        <v>107.20251946368337</v>
      </c>
      <c r="V59" s="81" t="str">
        <f>IF(G59="","",IF(M59="OK","NONE",INDEX({"S1","S2","W1","W2","N1","N2"},MATCH(MIN(P59:U59),P59:U59,0))))</f>
        <v>S2</v>
      </c>
      <c r="W59" s="117">
        <f t="shared" si="6"/>
        <v>1</v>
      </c>
      <c r="X59" s="107"/>
    </row>
    <row r="60" spans="1:24">
      <c r="A60" s="115">
        <v>58</v>
      </c>
      <c r="B60" s="116">
        <v>2</v>
      </c>
      <c r="C60" s="81" t="s">
        <v>128</v>
      </c>
      <c r="D60" s="111" t="s">
        <v>240</v>
      </c>
      <c r="E60" s="81" t="s">
        <v>102</v>
      </c>
      <c r="F60" s="52">
        <v>5.92</v>
      </c>
      <c r="G60" s="52">
        <f t="shared" si="0"/>
        <v>6.89</v>
      </c>
      <c r="H60" s="110"/>
      <c r="I60" s="81">
        <f>VLOOKUP(C60,Recipes!$A$2:$N$4,10,FALSE())</f>
        <v>10.940000000000001</v>
      </c>
      <c r="J60" s="81">
        <f>VLOOKUP(C60,Recipes!$A$2:$N$4,12,FALSE())</f>
        <v>5.2703573566378441E-2</v>
      </c>
      <c r="K60" s="81">
        <f t="shared" si="1"/>
        <v>10.62377855860173</v>
      </c>
      <c r="L60" s="81">
        <f t="shared" si="2"/>
        <v>11.256221441398273</v>
      </c>
      <c r="M60" s="81" t="str">
        <f t="shared" si="4"/>
        <v>NG</v>
      </c>
      <c r="N60" s="117">
        <f t="shared" si="3"/>
        <v>1</v>
      </c>
      <c r="O60" s="81">
        <f t="shared" si="5"/>
        <v>4.0500000000000016</v>
      </c>
      <c r="P60" s="81">
        <f>IF(G60="","",ABS(O60-Components!$C$2)/Components!$D$2)</f>
        <v>196.1987222091243</v>
      </c>
      <c r="Q60" s="81">
        <f>IF(G60="","",ABS(O60-Components!$C$3)/Components!$D$3)</f>
        <v>1.0147463451167775</v>
      </c>
      <c r="R60" s="81">
        <f>IF(G60="","",ABS(O60-Components!$C$4)/Components!$D$4)</f>
        <v>218.66699993996647</v>
      </c>
      <c r="S60" s="81">
        <f>IF(G60="","",ABS(O60-Components!$C$5)/Components!$D$5)</f>
        <v>20.360225245734551</v>
      </c>
      <c r="T60" s="81">
        <f>IF(G60="","",ABS(O60-Components!$C$6)/Components!$D$6)</f>
        <v>104.75902131705496</v>
      </c>
      <c r="U60" s="81">
        <f>IF(G60="","",ABS(O60-Components!$C$7)/Components!$D$7)</f>
        <v>106.40715020835744</v>
      </c>
      <c r="V60" s="81" t="str">
        <f>IF(G60="","",IF(M60="OK","NONE",INDEX({"S1","S2","W1","W2","N1","N2"},MATCH(MIN(P60:U60),P60:U60,0))))</f>
        <v>S2</v>
      </c>
      <c r="W60" s="117">
        <f t="shared" si="6"/>
        <v>1</v>
      </c>
      <c r="X60" s="107"/>
    </row>
    <row r="61" spans="1:24">
      <c r="A61" s="115">
        <v>59</v>
      </c>
      <c r="B61" s="116">
        <v>2</v>
      </c>
      <c r="C61" s="81" t="s">
        <v>128</v>
      </c>
      <c r="D61" s="111" t="s">
        <v>240</v>
      </c>
      <c r="E61" s="81" t="s">
        <v>102</v>
      </c>
      <c r="F61" s="52">
        <v>5.4</v>
      </c>
      <c r="G61" s="52">
        <f t="shared" si="0"/>
        <v>6.37</v>
      </c>
      <c r="H61" s="110"/>
      <c r="I61" s="81">
        <f>VLOOKUP(C61,Recipes!$A$2:$N$4,10,FALSE())</f>
        <v>10.940000000000001</v>
      </c>
      <c r="J61" s="81">
        <f>VLOOKUP(C61,Recipes!$A$2:$N$4,12,FALSE())</f>
        <v>5.2703573566378441E-2</v>
      </c>
      <c r="K61" s="81">
        <f t="shared" si="1"/>
        <v>10.62377855860173</v>
      </c>
      <c r="L61" s="81">
        <f t="shared" si="2"/>
        <v>11.256221441398273</v>
      </c>
      <c r="M61" s="81" t="str">
        <f t="shared" si="4"/>
        <v>NG</v>
      </c>
      <c r="N61" s="117">
        <f t="shared" si="3"/>
        <v>1</v>
      </c>
      <c r="O61" s="81">
        <f t="shared" si="5"/>
        <v>4.5700000000000012</v>
      </c>
      <c r="P61" s="81">
        <f>IF(G61="","",ABS(O61-Components!$C$2)/Components!$D$2)</f>
        <v>274.87995785082927</v>
      </c>
      <c r="Q61" s="81">
        <f>IF(G61="","",ABS(O61-Components!$C$3)/Components!$D$3)</f>
        <v>38.705324878020207</v>
      </c>
      <c r="R61" s="81">
        <f>IF(G61="","",ABS(O61-Components!$C$4)/Components!$D$4)</f>
        <v>255.86662043138929</v>
      </c>
      <c r="S61" s="81">
        <f>IF(G61="","",ABS(O61-Components!$C$5)/Components!$D$5)</f>
        <v>0.29123859259167773</v>
      </c>
      <c r="T61" s="81">
        <f>IF(G61="","",ABS(O61-Components!$C$6)/Components!$D$6)</f>
        <v>123.5801745192438</v>
      </c>
      <c r="U61" s="81">
        <f>IF(G61="","",ABS(O61-Components!$C$7)/Components!$D$7)</f>
        <v>127.08675084683223</v>
      </c>
      <c r="V61" s="81" t="str">
        <f>IF(G61="","",IF(M61="OK","NONE",INDEX({"S1","S2","W1","W2","N1","N2"},MATCH(MIN(P61:U61),P61:U61,0))))</f>
        <v>W2</v>
      </c>
      <c r="W61" s="122">
        <f t="shared" si="6"/>
        <v>0</v>
      </c>
      <c r="X61" s="107"/>
    </row>
    <row r="62" spans="1:24">
      <c r="A62" s="115">
        <v>60</v>
      </c>
      <c r="B62" s="116">
        <v>2</v>
      </c>
      <c r="C62" s="81" t="s">
        <v>128</v>
      </c>
      <c r="D62" s="111" t="s">
        <v>240</v>
      </c>
      <c r="E62" s="81" t="s">
        <v>102</v>
      </c>
      <c r="F62" s="52">
        <v>5.8</v>
      </c>
      <c r="G62" s="52">
        <f t="shared" si="0"/>
        <v>6.77</v>
      </c>
      <c r="H62" s="110"/>
      <c r="I62" s="81">
        <f>VLOOKUP(C62,Recipes!$A$2:$N$4,10,FALSE())</f>
        <v>10.940000000000001</v>
      </c>
      <c r="J62" s="81">
        <f>VLOOKUP(C62,Recipes!$A$2:$N$4,12,FALSE())</f>
        <v>5.2703573566378441E-2</v>
      </c>
      <c r="K62" s="81">
        <f t="shared" si="1"/>
        <v>10.62377855860173</v>
      </c>
      <c r="L62" s="81">
        <f t="shared" si="2"/>
        <v>11.256221441398273</v>
      </c>
      <c r="M62" s="81" t="str">
        <f t="shared" si="4"/>
        <v>NG</v>
      </c>
      <c r="N62" s="117">
        <f t="shared" si="3"/>
        <v>1</v>
      </c>
      <c r="O62" s="81">
        <f t="shared" si="5"/>
        <v>4.1700000000000017</v>
      </c>
      <c r="P62" s="81">
        <f>IF(G62="","",ABS(O62-Components!$C$2)/Components!$D$2)</f>
        <v>214.35593043413317</v>
      </c>
      <c r="Q62" s="81">
        <f>IF(G62="","",ABS(O62-Components!$C$3)/Components!$D$3)</f>
        <v>9.7125721604021997</v>
      </c>
      <c r="R62" s="81">
        <f>IF(G62="","",ABS(O62-Components!$C$4)/Components!$D$4)</f>
        <v>227.25152774567945</v>
      </c>
      <c r="S62" s="81">
        <f>IF(G62="","",ABS(O62-Components!$C$5)/Components!$D$5)</f>
        <v>15.594502821505412</v>
      </c>
      <c r="T62" s="81">
        <f>IF(G62="","",ABS(O62-Components!$C$6)/Components!$D$6)</f>
        <v>109.10236436371393</v>
      </c>
      <c r="U62" s="81">
        <f>IF(G62="","",ABS(O62-Components!$C$7)/Components!$D$7)</f>
        <v>111.17936574031317</v>
      </c>
      <c r="V62" s="81" t="str">
        <f>IF(G62="","",IF(M62="OK","NONE",INDEX({"S1","S2","W1","W2","N1","N2"},MATCH(MIN(P62:U62),P62:U62,0))))</f>
        <v>S2</v>
      </c>
      <c r="W62" s="117">
        <f t="shared" si="6"/>
        <v>1</v>
      </c>
      <c r="X62" s="107"/>
    </row>
    <row r="63" spans="1:24">
      <c r="A63" s="115">
        <v>61</v>
      </c>
      <c r="B63" s="116">
        <v>3</v>
      </c>
      <c r="C63" s="81" t="s">
        <v>128</v>
      </c>
      <c r="D63" s="111" t="s">
        <v>240</v>
      </c>
      <c r="E63" s="81" t="s">
        <v>106</v>
      </c>
      <c r="F63" s="52">
        <v>5.4</v>
      </c>
      <c r="G63" s="52">
        <f t="shared" si="0"/>
        <v>6.37</v>
      </c>
      <c r="H63" s="110"/>
      <c r="I63" s="81">
        <f>VLOOKUP(C63,Recipes!$A$2:$N$4,10,FALSE())</f>
        <v>10.940000000000001</v>
      </c>
      <c r="J63" s="81">
        <f>VLOOKUP(C63,Recipes!$A$2:$N$4,12,FALSE())</f>
        <v>5.2703573566378441E-2</v>
      </c>
      <c r="K63" s="81">
        <f t="shared" si="1"/>
        <v>10.62377855860173</v>
      </c>
      <c r="L63" s="81">
        <f t="shared" si="2"/>
        <v>11.256221441398273</v>
      </c>
      <c r="M63" s="81" t="str">
        <f t="shared" si="4"/>
        <v>NG</v>
      </c>
      <c r="N63" s="117">
        <f t="shared" si="3"/>
        <v>1</v>
      </c>
      <c r="O63" s="81">
        <f t="shared" si="5"/>
        <v>4.5700000000000012</v>
      </c>
      <c r="P63" s="81">
        <f>IF(G63="","",ABS(O63-Components!$C$2)/Components!$D$2)</f>
        <v>274.87995785082927</v>
      </c>
      <c r="Q63" s="81">
        <f>IF(G63="","",ABS(O63-Components!$C$3)/Components!$D$3)</f>
        <v>38.705324878020207</v>
      </c>
      <c r="R63" s="81">
        <f>IF(G63="","",ABS(O63-Components!$C$4)/Components!$D$4)</f>
        <v>255.86662043138929</v>
      </c>
      <c r="S63" s="81">
        <f>IF(G63="","",ABS(O63-Components!$C$5)/Components!$D$5)</f>
        <v>0.29123859259167773</v>
      </c>
      <c r="T63" s="81">
        <f>IF(G63="","",ABS(O63-Components!$C$6)/Components!$D$6)</f>
        <v>123.5801745192438</v>
      </c>
      <c r="U63" s="81">
        <f>IF(G63="","",ABS(O63-Components!$C$7)/Components!$D$7)</f>
        <v>127.08675084683223</v>
      </c>
      <c r="V63" s="81" t="str">
        <f>IF(G63="","",IF(M63="OK","NONE",INDEX({"S1","S2","W1","W2","N1","N2"},MATCH(MIN(P63:U63),P63:U63,0))))</f>
        <v>W2</v>
      </c>
      <c r="W63" s="117">
        <f t="shared" si="6"/>
        <v>1</v>
      </c>
      <c r="X63" s="107"/>
    </row>
    <row r="64" spans="1:24">
      <c r="A64" s="115">
        <v>62</v>
      </c>
      <c r="B64" s="116">
        <v>3</v>
      </c>
      <c r="C64" s="81" t="s">
        <v>128</v>
      </c>
      <c r="D64" s="111" t="s">
        <v>240</v>
      </c>
      <c r="E64" s="81" t="s">
        <v>106</v>
      </c>
      <c r="F64" s="52">
        <v>5.45</v>
      </c>
      <c r="G64" s="52">
        <f t="shared" si="0"/>
        <v>6.42</v>
      </c>
      <c r="H64" s="110"/>
      <c r="I64" s="81">
        <f>VLOOKUP(C64,Recipes!$A$2:$N$4,10,FALSE())</f>
        <v>10.940000000000001</v>
      </c>
      <c r="J64" s="81">
        <f>VLOOKUP(C64,Recipes!$A$2:$N$4,12,FALSE())</f>
        <v>5.2703573566378441E-2</v>
      </c>
      <c r="K64" s="81">
        <f t="shared" si="1"/>
        <v>10.62377855860173</v>
      </c>
      <c r="L64" s="81">
        <f t="shared" si="2"/>
        <v>11.256221441398273</v>
      </c>
      <c r="M64" s="81" t="str">
        <f t="shared" si="4"/>
        <v>NG</v>
      </c>
      <c r="N64" s="117">
        <f t="shared" si="3"/>
        <v>1</v>
      </c>
      <c r="O64" s="81">
        <f t="shared" si="5"/>
        <v>4.5200000000000014</v>
      </c>
      <c r="P64" s="81">
        <f>IF(G64="","",ABS(O64-Components!$C$2)/Components!$D$2)</f>
        <v>267.31445442374229</v>
      </c>
      <c r="Q64" s="81">
        <f>IF(G64="","",ABS(O64-Components!$C$3)/Components!$D$3)</f>
        <v>35.081230788317967</v>
      </c>
      <c r="R64" s="81">
        <f>IF(G64="","",ABS(O64-Components!$C$4)/Components!$D$4)</f>
        <v>252.28973384567556</v>
      </c>
      <c r="S64" s="81">
        <f>IF(G64="","",ABS(O64-Components!$C$5)/Components!$D$5)</f>
        <v>1.694479084170454</v>
      </c>
      <c r="T64" s="81">
        <f>IF(G64="","",ABS(O64-Components!$C$6)/Components!$D$6)</f>
        <v>121.77044824980257</v>
      </c>
      <c r="U64" s="81">
        <f>IF(G64="","",ABS(O64-Components!$C$7)/Components!$D$7)</f>
        <v>125.09832770851735</v>
      </c>
      <c r="V64" s="81" t="str">
        <f>IF(G64="","",IF(M64="OK","NONE",INDEX({"S1","S2","W1","W2","N1","N2"},MATCH(MIN(P64:U64),P64:U64,0))))</f>
        <v>W2</v>
      </c>
      <c r="W64" s="117">
        <f t="shared" si="6"/>
        <v>1</v>
      </c>
      <c r="X64" s="107"/>
    </row>
    <row r="65" spans="1:24">
      <c r="A65" s="115">
        <v>63</v>
      </c>
      <c r="B65" s="116">
        <v>3</v>
      </c>
      <c r="C65" s="81" t="s">
        <v>128</v>
      </c>
      <c r="D65" s="111" t="s">
        <v>240</v>
      </c>
      <c r="E65" s="81" t="s">
        <v>106</v>
      </c>
      <c r="F65" s="52">
        <v>5.42</v>
      </c>
      <c r="G65" s="52">
        <f t="shared" si="0"/>
        <v>6.39</v>
      </c>
      <c r="H65" s="110"/>
      <c r="I65" s="81">
        <f>VLOOKUP(C65,Recipes!$A$2:$N$4,10,FALSE())</f>
        <v>10.940000000000001</v>
      </c>
      <c r="J65" s="81">
        <f>VLOOKUP(C65,Recipes!$A$2:$N$4,12,FALSE())</f>
        <v>5.2703573566378441E-2</v>
      </c>
      <c r="K65" s="81">
        <f t="shared" si="1"/>
        <v>10.62377855860173</v>
      </c>
      <c r="L65" s="81">
        <f t="shared" si="2"/>
        <v>11.256221441398273</v>
      </c>
      <c r="M65" s="81" t="str">
        <f t="shared" si="4"/>
        <v>NG</v>
      </c>
      <c r="N65" s="117">
        <f t="shared" si="3"/>
        <v>1</v>
      </c>
      <c r="O65" s="81">
        <f t="shared" si="5"/>
        <v>4.5500000000000016</v>
      </c>
      <c r="P65" s="81">
        <f>IF(G65="","",ABS(O65-Components!$C$2)/Components!$D$2)</f>
        <v>271.85375647999456</v>
      </c>
      <c r="Q65" s="81">
        <f>IF(G65="","",ABS(O65-Components!$C$3)/Components!$D$3)</f>
        <v>37.255687242139338</v>
      </c>
      <c r="R65" s="81">
        <f>IF(G65="","",ABS(O65-Components!$C$4)/Components!$D$4)</f>
        <v>254.43586579710382</v>
      </c>
      <c r="S65" s="81">
        <f>IF(G65="","",ABS(O65-Components!$C$5)/Components!$D$5)</f>
        <v>0.50304847811316089</v>
      </c>
      <c r="T65" s="81">
        <f>IF(G65="","",ABS(O65-Components!$C$6)/Components!$D$6)</f>
        <v>122.85628401146732</v>
      </c>
      <c r="U65" s="81">
        <f>IF(G65="","",ABS(O65-Components!$C$7)/Components!$D$7)</f>
        <v>126.29138159150629</v>
      </c>
      <c r="V65" s="81" t="str">
        <f>IF(G65="","",IF(M65="OK","NONE",INDEX({"S1","S2","W1","W2","N1","N2"},MATCH(MIN(P65:U65),P65:U65,0))))</f>
        <v>W2</v>
      </c>
      <c r="W65" s="117">
        <f t="shared" si="6"/>
        <v>1</v>
      </c>
      <c r="X65" s="107"/>
    </row>
    <row r="66" spans="1:24">
      <c r="A66" s="115">
        <v>64</v>
      </c>
      <c r="B66" s="116">
        <v>3</v>
      </c>
      <c r="C66" s="81" t="s">
        <v>128</v>
      </c>
      <c r="D66" s="111" t="s">
        <v>240</v>
      </c>
      <c r="E66" s="81" t="s">
        <v>106</v>
      </c>
      <c r="F66" s="52">
        <v>5.42</v>
      </c>
      <c r="G66" s="52">
        <f t="shared" si="0"/>
        <v>6.39</v>
      </c>
      <c r="H66" s="110"/>
      <c r="I66" s="81">
        <f>VLOOKUP(C66,Recipes!$A$2:$N$4,10,FALSE())</f>
        <v>10.940000000000001</v>
      </c>
      <c r="J66" s="81">
        <f>VLOOKUP(C66,Recipes!$A$2:$N$4,12,FALSE())</f>
        <v>5.2703573566378441E-2</v>
      </c>
      <c r="K66" s="81">
        <f t="shared" si="1"/>
        <v>10.62377855860173</v>
      </c>
      <c r="L66" s="81">
        <f t="shared" si="2"/>
        <v>11.256221441398273</v>
      </c>
      <c r="M66" s="81" t="str">
        <f t="shared" si="4"/>
        <v>NG</v>
      </c>
      <c r="N66" s="117">
        <f t="shared" si="3"/>
        <v>1</v>
      </c>
      <c r="O66" s="81">
        <f t="shared" si="5"/>
        <v>4.5500000000000016</v>
      </c>
      <c r="P66" s="81">
        <f>IF(G66="","",ABS(O66-Components!$C$2)/Components!$D$2)</f>
        <v>271.85375647999456</v>
      </c>
      <c r="Q66" s="81">
        <f>IF(G66="","",ABS(O66-Components!$C$3)/Components!$D$3)</f>
        <v>37.255687242139338</v>
      </c>
      <c r="R66" s="81">
        <f>IF(G66="","",ABS(O66-Components!$C$4)/Components!$D$4)</f>
        <v>254.43586579710382</v>
      </c>
      <c r="S66" s="81">
        <f>IF(G66="","",ABS(O66-Components!$C$5)/Components!$D$5)</f>
        <v>0.50304847811316089</v>
      </c>
      <c r="T66" s="81">
        <f>IF(G66="","",ABS(O66-Components!$C$6)/Components!$D$6)</f>
        <v>122.85628401146732</v>
      </c>
      <c r="U66" s="81">
        <f>IF(G66="","",ABS(O66-Components!$C$7)/Components!$D$7)</f>
        <v>126.29138159150629</v>
      </c>
      <c r="V66" s="81" t="str">
        <f>IF(G66="","",IF(M66="OK","NONE",INDEX({"S1","S2","W1","W2","N1","N2"},MATCH(MIN(P66:U66),P66:U66,0))))</f>
        <v>W2</v>
      </c>
      <c r="W66" s="117">
        <f t="shared" si="6"/>
        <v>1</v>
      </c>
      <c r="X66" s="107"/>
    </row>
    <row r="67" spans="1:24">
      <c r="A67" s="115">
        <v>65</v>
      </c>
      <c r="B67" s="116">
        <v>3</v>
      </c>
      <c r="C67" s="81" t="s">
        <v>128</v>
      </c>
      <c r="D67" s="111" t="s">
        <v>240</v>
      </c>
      <c r="E67" s="81" t="s">
        <v>106</v>
      </c>
      <c r="F67" s="52">
        <v>5.42</v>
      </c>
      <c r="G67" s="52">
        <f t="shared" ref="G67:G130" si="7">0.97+F67</f>
        <v>6.39</v>
      </c>
      <c r="H67" s="110"/>
      <c r="I67" s="81">
        <f>VLOOKUP(C67,Recipes!$A$2:$N$4,10,FALSE())</f>
        <v>10.940000000000001</v>
      </c>
      <c r="J67" s="81">
        <f>VLOOKUP(C67,Recipes!$A$2:$N$4,12,FALSE())</f>
        <v>5.2703573566378441E-2</v>
      </c>
      <c r="K67" s="81">
        <f t="shared" ref="K67:K130" si="8">I67-6*J67</f>
        <v>10.62377855860173</v>
      </c>
      <c r="L67" s="81">
        <f t="shared" ref="L67:L130" si="9">I67+6*J67</f>
        <v>11.256221441398273</v>
      </c>
      <c r="M67" s="81" t="str">
        <f t="shared" si="4"/>
        <v>NG</v>
      </c>
      <c r="N67" s="117">
        <f t="shared" ref="N67:N130" si="10">IF(M67="","",IF(M67=D67,1,0))</f>
        <v>1</v>
      </c>
      <c r="O67" s="81">
        <f t="shared" si="5"/>
        <v>4.5500000000000016</v>
      </c>
      <c r="P67" s="81">
        <f>IF(G67="","",ABS(O67-Components!$C$2)/Components!$D$2)</f>
        <v>271.85375647999456</v>
      </c>
      <c r="Q67" s="81">
        <f>IF(G67="","",ABS(O67-Components!$C$3)/Components!$D$3)</f>
        <v>37.255687242139338</v>
      </c>
      <c r="R67" s="81">
        <f>IF(G67="","",ABS(O67-Components!$C$4)/Components!$D$4)</f>
        <v>254.43586579710382</v>
      </c>
      <c r="S67" s="81">
        <f>IF(G67="","",ABS(O67-Components!$C$5)/Components!$D$5)</f>
        <v>0.50304847811316089</v>
      </c>
      <c r="T67" s="81">
        <f>IF(G67="","",ABS(O67-Components!$C$6)/Components!$D$6)</f>
        <v>122.85628401146732</v>
      </c>
      <c r="U67" s="81">
        <f>IF(G67="","",ABS(O67-Components!$C$7)/Components!$D$7)</f>
        <v>126.29138159150629</v>
      </c>
      <c r="V67" s="81" t="str">
        <f>IF(G67="","",IF(M67="OK","NONE",INDEX({"S1","S2","W1","W2","N1","N2"},MATCH(MIN(P67:U67),P67:U67,0))))</f>
        <v>W2</v>
      </c>
      <c r="W67" s="117">
        <f t="shared" si="6"/>
        <v>1</v>
      </c>
      <c r="X67" s="107"/>
    </row>
    <row r="68" spans="1:24">
      <c r="A68" s="115">
        <v>66</v>
      </c>
      <c r="B68" s="116">
        <v>3</v>
      </c>
      <c r="C68" s="81" t="s">
        <v>128</v>
      </c>
      <c r="D68" s="111" t="s">
        <v>240</v>
      </c>
      <c r="E68" s="81" t="s">
        <v>106</v>
      </c>
      <c r="F68" s="52">
        <v>5.42</v>
      </c>
      <c r="G68" s="52">
        <f t="shared" si="7"/>
        <v>6.39</v>
      </c>
      <c r="H68" s="110"/>
      <c r="I68" s="81">
        <f>VLOOKUP(C68,Recipes!$A$2:$N$4,10,FALSE())</f>
        <v>10.940000000000001</v>
      </c>
      <c r="J68" s="81">
        <f>VLOOKUP(C68,Recipes!$A$2:$N$4,12,FALSE())</f>
        <v>5.2703573566378441E-2</v>
      </c>
      <c r="K68" s="81">
        <f t="shared" si="8"/>
        <v>10.62377855860173</v>
      </c>
      <c r="L68" s="81">
        <f t="shared" si="9"/>
        <v>11.256221441398273</v>
      </c>
      <c r="M68" s="81" t="str">
        <f t="shared" ref="M68:M131" si="11">IF(G68="","",IF(AND(G68&gt;=K68,G68&lt;=L68),"OK","NG"))</f>
        <v>NG</v>
      </c>
      <c r="N68" s="117">
        <f t="shared" si="10"/>
        <v>1</v>
      </c>
      <c r="O68" s="81">
        <f t="shared" ref="O68:O131" si="12">IF(G68="","",I68-G68)</f>
        <v>4.5500000000000016</v>
      </c>
      <c r="P68" s="81">
        <f>IF(G68="","",ABS(O68-Components!$C$2)/Components!$D$2)</f>
        <v>271.85375647999456</v>
      </c>
      <c r="Q68" s="81">
        <f>IF(G68="","",ABS(O68-Components!$C$3)/Components!$D$3)</f>
        <v>37.255687242139338</v>
      </c>
      <c r="R68" s="81">
        <f>IF(G68="","",ABS(O68-Components!$C$4)/Components!$D$4)</f>
        <v>254.43586579710382</v>
      </c>
      <c r="S68" s="81">
        <f>IF(G68="","",ABS(O68-Components!$C$5)/Components!$D$5)</f>
        <v>0.50304847811316089</v>
      </c>
      <c r="T68" s="81">
        <f>IF(G68="","",ABS(O68-Components!$C$6)/Components!$D$6)</f>
        <v>122.85628401146732</v>
      </c>
      <c r="U68" s="81">
        <f>IF(G68="","",ABS(O68-Components!$C$7)/Components!$D$7)</f>
        <v>126.29138159150629</v>
      </c>
      <c r="V68" s="81" t="str">
        <f>IF(G68="","",IF(M68="OK","NONE",INDEX({"S1","S2","W1","W2","N1","N2"},MATCH(MIN(P68:U68),P68:U68,0))))</f>
        <v>W2</v>
      </c>
      <c r="W68" s="117">
        <f t="shared" ref="W68:W131" si="13">IF(G68="","",IF(V68=E68,1,0))</f>
        <v>1</v>
      </c>
      <c r="X68" s="107"/>
    </row>
    <row r="69" spans="1:24">
      <c r="A69" s="115">
        <v>67</v>
      </c>
      <c r="B69" s="116">
        <v>3</v>
      </c>
      <c r="C69" s="81" t="s">
        <v>128</v>
      </c>
      <c r="D69" s="111" t="s">
        <v>240</v>
      </c>
      <c r="E69" s="81" t="s">
        <v>106</v>
      </c>
      <c r="F69" s="52">
        <v>5.45</v>
      </c>
      <c r="G69" s="52">
        <f t="shared" si="7"/>
        <v>6.42</v>
      </c>
      <c r="H69" s="110"/>
      <c r="I69" s="81">
        <f>VLOOKUP(C69,Recipes!$A$2:$N$4,10,FALSE())</f>
        <v>10.940000000000001</v>
      </c>
      <c r="J69" s="81">
        <f>VLOOKUP(C69,Recipes!$A$2:$N$4,12,FALSE())</f>
        <v>5.2703573566378441E-2</v>
      </c>
      <c r="K69" s="81">
        <f t="shared" si="8"/>
        <v>10.62377855860173</v>
      </c>
      <c r="L69" s="81">
        <f t="shared" si="9"/>
        <v>11.256221441398273</v>
      </c>
      <c r="M69" s="81" t="str">
        <f t="shared" si="11"/>
        <v>NG</v>
      </c>
      <c r="N69" s="117">
        <f t="shared" si="10"/>
        <v>1</v>
      </c>
      <c r="O69" s="81">
        <f t="shared" si="12"/>
        <v>4.5200000000000014</v>
      </c>
      <c r="P69" s="81">
        <f>IF(G69="","",ABS(O69-Components!$C$2)/Components!$D$2)</f>
        <v>267.31445442374229</v>
      </c>
      <c r="Q69" s="81">
        <f>IF(G69="","",ABS(O69-Components!$C$3)/Components!$D$3)</f>
        <v>35.081230788317967</v>
      </c>
      <c r="R69" s="81">
        <f>IF(G69="","",ABS(O69-Components!$C$4)/Components!$D$4)</f>
        <v>252.28973384567556</v>
      </c>
      <c r="S69" s="81">
        <f>IF(G69="","",ABS(O69-Components!$C$5)/Components!$D$5)</f>
        <v>1.694479084170454</v>
      </c>
      <c r="T69" s="81">
        <f>IF(G69="","",ABS(O69-Components!$C$6)/Components!$D$6)</f>
        <v>121.77044824980257</v>
      </c>
      <c r="U69" s="81">
        <f>IF(G69="","",ABS(O69-Components!$C$7)/Components!$D$7)</f>
        <v>125.09832770851735</v>
      </c>
      <c r="V69" s="81" t="str">
        <f>IF(G69="","",IF(M69="OK","NONE",INDEX({"S1","S2","W1","W2","N1","N2"},MATCH(MIN(P69:U69),P69:U69,0))))</f>
        <v>W2</v>
      </c>
      <c r="W69" s="117">
        <f t="shared" si="13"/>
        <v>1</v>
      </c>
      <c r="X69" s="107"/>
    </row>
    <row r="70" spans="1:24">
      <c r="A70" s="115">
        <v>68</v>
      </c>
      <c r="B70" s="116">
        <v>3</v>
      </c>
      <c r="C70" s="81" t="s">
        <v>128</v>
      </c>
      <c r="D70" s="111" t="s">
        <v>240</v>
      </c>
      <c r="E70" s="81" t="s">
        <v>106</v>
      </c>
      <c r="F70" s="52">
        <v>5.41</v>
      </c>
      <c r="G70" s="52">
        <f t="shared" si="7"/>
        <v>6.38</v>
      </c>
      <c r="H70" s="110"/>
      <c r="I70" s="81">
        <f>VLOOKUP(C70,Recipes!$A$2:$N$4,10,FALSE())</f>
        <v>10.940000000000001</v>
      </c>
      <c r="J70" s="81">
        <f>VLOOKUP(C70,Recipes!$A$2:$N$4,12,FALSE())</f>
        <v>5.2703573566378441E-2</v>
      </c>
      <c r="K70" s="81">
        <f t="shared" si="8"/>
        <v>10.62377855860173</v>
      </c>
      <c r="L70" s="81">
        <f t="shared" si="9"/>
        <v>11.256221441398273</v>
      </c>
      <c r="M70" s="81" t="str">
        <f t="shared" si="11"/>
        <v>NG</v>
      </c>
      <c r="N70" s="117">
        <f t="shared" si="10"/>
        <v>1</v>
      </c>
      <c r="O70" s="81">
        <f t="shared" si="12"/>
        <v>4.5600000000000014</v>
      </c>
      <c r="P70" s="81">
        <f>IF(G70="","",ABS(O70-Components!$C$2)/Components!$D$2)</f>
        <v>273.36685716541194</v>
      </c>
      <c r="Q70" s="81">
        <f>IF(G70="","",ABS(O70-Components!$C$3)/Components!$D$3)</f>
        <v>37.980506060079776</v>
      </c>
      <c r="R70" s="81">
        <f>IF(G70="","",ABS(O70-Components!$C$4)/Components!$D$4)</f>
        <v>255.15124311424654</v>
      </c>
      <c r="S70" s="81">
        <f>IF(G70="","",ABS(O70-Components!$C$5)/Components!$D$5)</f>
        <v>0.10590494276074157</v>
      </c>
      <c r="T70" s="81">
        <f>IF(G70="","",ABS(O70-Components!$C$6)/Components!$D$6)</f>
        <v>123.21822926535556</v>
      </c>
      <c r="U70" s="81">
        <f>IF(G70="","",ABS(O70-Components!$C$7)/Components!$D$7)</f>
        <v>126.68906621916926</v>
      </c>
      <c r="V70" s="81" t="str">
        <f>IF(G70="","",IF(M70="OK","NONE",INDEX({"S1","S2","W1","W2","N1","N2"},MATCH(MIN(P70:U70),P70:U70,0))))</f>
        <v>W2</v>
      </c>
      <c r="W70" s="117">
        <f t="shared" si="13"/>
        <v>1</v>
      </c>
      <c r="X70" s="107"/>
    </row>
    <row r="71" spans="1:24">
      <c r="A71" s="115">
        <v>69</v>
      </c>
      <c r="B71" s="116">
        <v>3</v>
      </c>
      <c r="C71" s="81" t="s">
        <v>128</v>
      </c>
      <c r="D71" s="111" t="s">
        <v>240</v>
      </c>
      <c r="E71" s="81" t="s">
        <v>106</v>
      </c>
      <c r="F71" s="52">
        <v>5.38</v>
      </c>
      <c r="G71" s="52">
        <f t="shared" si="7"/>
        <v>6.35</v>
      </c>
      <c r="H71" s="110"/>
      <c r="I71" s="81">
        <f>VLOOKUP(C71,Recipes!$A$2:$N$4,10,FALSE())</f>
        <v>10.940000000000001</v>
      </c>
      <c r="J71" s="81">
        <f>VLOOKUP(C71,Recipes!$A$2:$N$4,12,FALSE())</f>
        <v>5.2703573566378441E-2</v>
      </c>
      <c r="K71" s="81">
        <f t="shared" si="8"/>
        <v>10.62377855860173</v>
      </c>
      <c r="L71" s="81">
        <f t="shared" si="9"/>
        <v>11.256221441398273</v>
      </c>
      <c r="M71" s="81" t="str">
        <f t="shared" si="11"/>
        <v>NG</v>
      </c>
      <c r="N71" s="117">
        <f t="shared" si="10"/>
        <v>1</v>
      </c>
      <c r="O71" s="81">
        <f t="shared" si="12"/>
        <v>4.5900000000000016</v>
      </c>
      <c r="P71" s="81">
        <f>IF(G71="","",ABS(O71-Components!$C$2)/Components!$D$2)</f>
        <v>277.90615922166415</v>
      </c>
      <c r="Q71" s="81">
        <f>IF(G71="","",ABS(O71-Components!$C$3)/Components!$D$3)</f>
        <v>40.154962513901147</v>
      </c>
      <c r="R71" s="81">
        <f>IF(G71="","",ABS(O71-Components!$C$4)/Components!$D$4)</f>
        <v>257.29737506567483</v>
      </c>
      <c r="S71" s="81">
        <f>IF(G71="","",ABS(O71-Components!$C$5)/Components!$D$5)</f>
        <v>1.0855256632965518</v>
      </c>
      <c r="T71" s="81">
        <f>IF(G71="","",ABS(O71-Components!$C$6)/Components!$D$6)</f>
        <v>124.3040650270203</v>
      </c>
      <c r="U71" s="81">
        <f>IF(G71="","",ABS(O71-Components!$C$7)/Components!$D$7)</f>
        <v>127.8821201021582</v>
      </c>
      <c r="V71" s="81" t="str">
        <f>IF(G71="","",IF(M71="OK","NONE",INDEX({"S1","S2","W1","W2","N1","N2"},MATCH(MIN(P71:U71),P71:U71,0))))</f>
        <v>W2</v>
      </c>
      <c r="W71" s="117">
        <f t="shared" si="13"/>
        <v>1</v>
      </c>
      <c r="X71" s="107"/>
    </row>
    <row r="72" spans="1:24">
      <c r="A72" s="115">
        <v>70</v>
      </c>
      <c r="B72" s="116">
        <v>3</v>
      </c>
      <c r="C72" s="81" t="s">
        <v>128</v>
      </c>
      <c r="D72" s="111" t="s">
        <v>240</v>
      </c>
      <c r="E72" s="81" t="s">
        <v>106</v>
      </c>
      <c r="F72" s="52">
        <v>5.37</v>
      </c>
      <c r="G72" s="52">
        <f t="shared" si="7"/>
        <v>6.34</v>
      </c>
      <c r="H72" s="110"/>
      <c r="I72" s="81">
        <f>VLOOKUP(C72,Recipes!$A$2:$N$4,10,FALSE())</f>
        <v>10.940000000000001</v>
      </c>
      <c r="J72" s="81">
        <f>VLOOKUP(C72,Recipes!$A$2:$N$4,12,FALSE())</f>
        <v>5.2703573566378441E-2</v>
      </c>
      <c r="K72" s="81">
        <f t="shared" si="8"/>
        <v>10.62377855860173</v>
      </c>
      <c r="L72" s="81">
        <f t="shared" si="9"/>
        <v>11.256221441398273</v>
      </c>
      <c r="M72" s="81" t="str">
        <f t="shared" si="11"/>
        <v>NG</v>
      </c>
      <c r="N72" s="117">
        <f t="shared" si="10"/>
        <v>1</v>
      </c>
      <c r="O72" s="81">
        <f t="shared" si="12"/>
        <v>4.6000000000000014</v>
      </c>
      <c r="P72" s="81">
        <f>IF(G72="","",ABS(O72-Components!$C$2)/Components!$D$2)</f>
        <v>279.41925990708154</v>
      </c>
      <c r="Q72" s="81">
        <f>IF(G72="","",ABS(O72-Components!$C$3)/Components!$D$3)</f>
        <v>40.879781331841578</v>
      </c>
      <c r="R72" s="81">
        <f>IF(G72="","",ABS(O72-Components!$C$4)/Components!$D$4)</f>
        <v>258.01275238281755</v>
      </c>
      <c r="S72" s="81">
        <f>IF(G72="","",ABS(O72-Components!$C$5)/Components!$D$5)</f>
        <v>1.4826691986489711</v>
      </c>
      <c r="T72" s="81">
        <f>IF(G72="","",ABS(O72-Components!$C$6)/Components!$D$6)</f>
        <v>124.66601028090855</v>
      </c>
      <c r="U72" s="81">
        <f>IF(G72="","",ABS(O72-Components!$C$7)/Components!$D$7)</f>
        <v>128.27980472982117</v>
      </c>
      <c r="V72" s="81" t="str">
        <f>IF(G72="","",IF(M72="OK","NONE",INDEX({"S1","S2","W1","W2","N1","N2"},MATCH(MIN(P72:U72),P72:U72,0))))</f>
        <v>W2</v>
      </c>
      <c r="W72" s="117">
        <f t="shared" si="13"/>
        <v>1</v>
      </c>
      <c r="X72" s="107"/>
    </row>
    <row r="73" spans="1:24">
      <c r="A73" s="115">
        <v>71</v>
      </c>
      <c r="B73" s="116">
        <v>3</v>
      </c>
      <c r="C73" s="81" t="s">
        <v>128</v>
      </c>
      <c r="D73" s="111" t="s">
        <v>240</v>
      </c>
      <c r="E73" s="81" t="s">
        <v>106</v>
      </c>
      <c r="F73" s="52">
        <v>5.36</v>
      </c>
      <c r="G73" s="52">
        <f t="shared" si="7"/>
        <v>6.33</v>
      </c>
      <c r="H73" s="110"/>
      <c r="I73" s="81">
        <f>VLOOKUP(C73,Recipes!$A$2:$N$4,10,FALSE())</f>
        <v>10.940000000000001</v>
      </c>
      <c r="J73" s="81">
        <f>VLOOKUP(C73,Recipes!$A$2:$N$4,12,FALSE())</f>
        <v>5.2703573566378441E-2</v>
      </c>
      <c r="K73" s="81">
        <f t="shared" si="8"/>
        <v>10.62377855860173</v>
      </c>
      <c r="L73" s="81">
        <f t="shared" si="9"/>
        <v>11.256221441398273</v>
      </c>
      <c r="M73" s="81" t="str">
        <f t="shared" si="11"/>
        <v>NG</v>
      </c>
      <c r="N73" s="117">
        <f t="shared" si="10"/>
        <v>1</v>
      </c>
      <c r="O73" s="81">
        <f t="shared" si="12"/>
        <v>4.6100000000000012</v>
      </c>
      <c r="P73" s="81">
        <f>IF(G73="","",ABS(O73-Components!$C$2)/Components!$D$2)</f>
        <v>280.93236059249892</v>
      </c>
      <c r="Q73" s="81">
        <f>IF(G73="","",ABS(O73-Components!$C$3)/Components!$D$3)</f>
        <v>41.604600149782016</v>
      </c>
      <c r="R73" s="81">
        <f>IF(G73="","",ABS(O73-Components!$C$4)/Components!$D$4)</f>
        <v>258.72812969996028</v>
      </c>
      <c r="S73" s="81">
        <f>IF(G73="","",ABS(O73-Components!$C$5)/Components!$D$5)</f>
        <v>1.8798127340013904</v>
      </c>
      <c r="T73" s="81">
        <f>IF(G73="","",ABS(O73-Components!$C$6)/Components!$D$6)</f>
        <v>125.02795553479679</v>
      </c>
      <c r="U73" s="81">
        <f>IF(G73="","",ABS(O73-Components!$C$7)/Components!$D$7)</f>
        <v>128.67748935748415</v>
      </c>
      <c r="V73" s="81" t="str">
        <f>IF(G73="","",IF(M73="OK","NONE",INDEX({"S1","S2","W1","W2","N1","N2"},MATCH(MIN(P73:U73),P73:U73,0))))</f>
        <v>W2</v>
      </c>
      <c r="W73" s="117">
        <f t="shared" si="13"/>
        <v>1</v>
      </c>
      <c r="X73" s="107"/>
    </row>
    <row r="74" spans="1:24">
      <c r="A74" s="115">
        <v>72</v>
      </c>
      <c r="B74" s="116">
        <v>3</v>
      </c>
      <c r="C74" s="81" t="s">
        <v>128</v>
      </c>
      <c r="D74" s="111" t="s">
        <v>240</v>
      </c>
      <c r="E74" s="81" t="s">
        <v>106</v>
      </c>
      <c r="F74" s="52">
        <v>5.41</v>
      </c>
      <c r="G74" s="52">
        <f t="shared" si="7"/>
        <v>6.38</v>
      </c>
      <c r="H74" s="110"/>
      <c r="I74" s="81">
        <f>VLOOKUP(C74,Recipes!$A$2:$N$4,10,FALSE())</f>
        <v>10.940000000000001</v>
      </c>
      <c r="J74" s="81">
        <f>VLOOKUP(C74,Recipes!$A$2:$N$4,12,FALSE())</f>
        <v>5.2703573566378441E-2</v>
      </c>
      <c r="K74" s="81">
        <f t="shared" si="8"/>
        <v>10.62377855860173</v>
      </c>
      <c r="L74" s="81">
        <f t="shared" si="9"/>
        <v>11.256221441398273</v>
      </c>
      <c r="M74" s="81" t="str">
        <f t="shared" si="11"/>
        <v>NG</v>
      </c>
      <c r="N74" s="117">
        <f t="shared" si="10"/>
        <v>1</v>
      </c>
      <c r="O74" s="81">
        <f t="shared" si="12"/>
        <v>4.5600000000000014</v>
      </c>
      <c r="P74" s="81">
        <f>IF(G74="","",ABS(O74-Components!$C$2)/Components!$D$2)</f>
        <v>273.36685716541194</v>
      </c>
      <c r="Q74" s="81">
        <f>IF(G74="","",ABS(O74-Components!$C$3)/Components!$D$3)</f>
        <v>37.980506060079776</v>
      </c>
      <c r="R74" s="81">
        <f>IF(G74="","",ABS(O74-Components!$C$4)/Components!$D$4)</f>
        <v>255.15124311424654</v>
      </c>
      <c r="S74" s="81">
        <f>IF(G74="","",ABS(O74-Components!$C$5)/Components!$D$5)</f>
        <v>0.10590494276074157</v>
      </c>
      <c r="T74" s="81">
        <f>IF(G74="","",ABS(O74-Components!$C$6)/Components!$D$6)</f>
        <v>123.21822926535556</v>
      </c>
      <c r="U74" s="81">
        <f>IF(G74="","",ABS(O74-Components!$C$7)/Components!$D$7)</f>
        <v>126.68906621916926</v>
      </c>
      <c r="V74" s="81" t="str">
        <f>IF(G74="","",IF(M74="OK","NONE",INDEX({"S1","S2","W1","W2","N1","N2"},MATCH(MIN(P74:U74),P74:U74,0))))</f>
        <v>W2</v>
      </c>
      <c r="W74" s="117">
        <f t="shared" si="13"/>
        <v>1</v>
      </c>
      <c r="X74" s="107"/>
    </row>
    <row r="75" spans="1:24">
      <c r="A75" s="115">
        <v>73</v>
      </c>
      <c r="B75" s="116">
        <v>3</v>
      </c>
      <c r="C75" s="81" t="s">
        <v>128</v>
      </c>
      <c r="D75" s="111" t="s">
        <v>240</v>
      </c>
      <c r="E75" s="81" t="s">
        <v>106</v>
      </c>
      <c r="F75" s="52">
        <v>5.37</v>
      </c>
      <c r="G75" s="52">
        <f t="shared" si="7"/>
        <v>6.34</v>
      </c>
      <c r="H75" s="110"/>
      <c r="I75" s="81">
        <f>VLOOKUP(C75,Recipes!$A$2:$N$4,10,FALSE())</f>
        <v>10.940000000000001</v>
      </c>
      <c r="J75" s="81">
        <f>VLOOKUP(C75,Recipes!$A$2:$N$4,12,FALSE())</f>
        <v>5.2703573566378441E-2</v>
      </c>
      <c r="K75" s="81">
        <f t="shared" si="8"/>
        <v>10.62377855860173</v>
      </c>
      <c r="L75" s="81">
        <f t="shared" si="9"/>
        <v>11.256221441398273</v>
      </c>
      <c r="M75" s="81" t="str">
        <f t="shared" si="11"/>
        <v>NG</v>
      </c>
      <c r="N75" s="117">
        <f t="shared" si="10"/>
        <v>1</v>
      </c>
      <c r="O75" s="81">
        <f t="shared" si="12"/>
        <v>4.6000000000000014</v>
      </c>
      <c r="P75" s="81">
        <f>IF(G75="","",ABS(O75-Components!$C$2)/Components!$D$2)</f>
        <v>279.41925990708154</v>
      </c>
      <c r="Q75" s="81">
        <f>IF(G75="","",ABS(O75-Components!$C$3)/Components!$D$3)</f>
        <v>40.879781331841578</v>
      </c>
      <c r="R75" s="81">
        <f>IF(G75="","",ABS(O75-Components!$C$4)/Components!$D$4)</f>
        <v>258.01275238281755</v>
      </c>
      <c r="S75" s="81">
        <f>IF(G75="","",ABS(O75-Components!$C$5)/Components!$D$5)</f>
        <v>1.4826691986489711</v>
      </c>
      <c r="T75" s="81">
        <f>IF(G75="","",ABS(O75-Components!$C$6)/Components!$D$6)</f>
        <v>124.66601028090855</v>
      </c>
      <c r="U75" s="81">
        <f>IF(G75="","",ABS(O75-Components!$C$7)/Components!$D$7)</f>
        <v>128.27980472982117</v>
      </c>
      <c r="V75" s="81" t="str">
        <f>IF(G75="","",IF(M75="OK","NONE",INDEX({"S1","S2","W1","W2","N1","N2"},MATCH(MIN(P75:U75),P75:U75,0))))</f>
        <v>W2</v>
      </c>
      <c r="W75" s="117">
        <f t="shared" si="13"/>
        <v>1</v>
      </c>
      <c r="X75" s="107"/>
    </row>
    <row r="76" spans="1:24">
      <c r="A76" s="115">
        <v>74</v>
      </c>
      <c r="B76" s="116">
        <v>3</v>
      </c>
      <c r="C76" s="81" t="s">
        <v>128</v>
      </c>
      <c r="D76" s="111" t="s">
        <v>240</v>
      </c>
      <c r="E76" s="81" t="s">
        <v>106</v>
      </c>
      <c r="F76" s="52">
        <v>5.36</v>
      </c>
      <c r="G76" s="52">
        <f t="shared" si="7"/>
        <v>6.33</v>
      </c>
      <c r="H76" s="110"/>
      <c r="I76" s="81">
        <f>VLOOKUP(C76,Recipes!$A$2:$N$4,10,FALSE())</f>
        <v>10.940000000000001</v>
      </c>
      <c r="J76" s="81">
        <f>VLOOKUP(C76,Recipes!$A$2:$N$4,12,FALSE())</f>
        <v>5.2703573566378441E-2</v>
      </c>
      <c r="K76" s="81">
        <f t="shared" si="8"/>
        <v>10.62377855860173</v>
      </c>
      <c r="L76" s="81">
        <f t="shared" si="9"/>
        <v>11.256221441398273</v>
      </c>
      <c r="M76" s="81" t="str">
        <f t="shared" si="11"/>
        <v>NG</v>
      </c>
      <c r="N76" s="117">
        <f t="shared" si="10"/>
        <v>1</v>
      </c>
      <c r="O76" s="81">
        <f t="shared" si="12"/>
        <v>4.6100000000000012</v>
      </c>
      <c r="P76" s="81">
        <f>IF(G76="","",ABS(O76-Components!$C$2)/Components!$D$2)</f>
        <v>280.93236059249892</v>
      </c>
      <c r="Q76" s="81">
        <f>IF(G76="","",ABS(O76-Components!$C$3)/Components!$D$3)</f>
        <v>41.604600149782016</v>
      </c>
      <c r="R76" s="81">
        <f>IF(G76="","",ABS(O76-Components!$C$4)/Components!$D$4)</f>
        <v>258.72812969996028</v>
      </c>
      <c r="S76" s="81">
        <f>IF(G76="","",ABS(O76-Components!$C$5)/Components!$D$5)</f>
        <v>1.8798127340013904</v>
      </c>
      <c r="T76" s="81">
        <f>IF(G76="","",ABS(O76-Components!$C$6)/Components!$D$6)</f>
        <v>125.02795553479679</v>
      </c>
      <c r="U76" s="81">
        <f>IF(G76="","",ABS(O76-Components!$C$7)/Components!$D$7)</f>
        <v>128.67748935748415</v>
      </c>
      <c r="V76" s="81" t="str">
        <f>IF(G76="","",IF(M76="OK","NONE",INDEX({"S1","S2","W1","W2","N1","N2"},MATCH(MIN(P76:U76),P76:U76,0))))</f>
        <v>W2</v>
      </c>
      <c r="W76" s="117">
        <f t="shared" si="13"/>
        <v>1</v>
      </c>
      <c r="X76" s="107"/>
    </row>
    <row r="77" spans="1:24">
      <c r="A77" s="115">
        <v>75</v>
      </c>
      <c r="B77" s="116">
        <v>3</v>
      </c>
      <c r="C77" s="81" t="s">
        <v>128</v>
      </c>
      <c r="D77" s="111" t="s">
        <v>240</v>
      </c>
      <c r="E77" s="81" t="s">
        <v>106</v>
      </c>
      <c r="F77" s="52">
        <v>5.38</v>
      </c>
      <c r="G77" s="52">
        <f t="shared" si="7"/>
        <v>6.35</v>
      </c>
      <c r="H77" s="110"/>
      <c r="I77" s="81">
        <f>VLOOKUP(C77,Recipes!$A$2:$N$4,10,FALSE())</f>
        <v>10.940000000000001</v>
      </c>
      <c r="J77" s="81">
        <f>VLOOKUP(C77,Recipes!$A$2:$N$4,12,FALSE())</f>
        <v>5.2703573566378441E-2</v>
      </c>
      <c r="K77" s="81">
        <f t="shared" si="8"/>
        <v>10.62377855860173</v>
      </c>
      <c r="L77" s="81">
        <f t="shared" si="9"/>
        <v>11.256221441398273</v>
      </c>
      <c r="M77" s="81" t="str">
        <f t="shared" si="11"/>
        <v>NG</v>
      </c>
      <c r="N77" s="117">
        <f t="shared" si="10"/>
        <v>1</v>
      </c>
      <c r="O77" s="81">
        <f t="shared" si="12"/>
        <v>4.5900000000000016</v>
      </c>
      <c r="P77" s="81">
        <f>IF(G77="","",ABS(O77-Components!$C$2)/Components!$D$2)</f>
        <v>277.90615922166415</v>
      </c>
      <c r="Q77" s="81">
        <f>IF(G77="","",ABS(O77-Components!$C$3)/Components!$D$3)</f>
        <v>40.154962513901147</v>
      </c>
      <c r="R77" s="81">
        <f>IF(G77="","",ABS(O77-Components!$C$4)/Components!$D$4)</f>
        <v>257.29737506567483</v>
      </c>
      <c r="S77" s="81">
        <f>IF(G77="","",ABS(O77-Components!$C$5)/Components!$D$5)</f>
        <v>1.0855256632965518</v>
      </c>
      <c r="T77" s="81">
        <f>IF(G77="","",ABS(O77-Components!$C$6)/Components!$D$6)</f>
        <v>124.3040650270203</v>
      </c>
      <c r="U77" s="81">
        <f>IF(G77="","",ABS(O77-Components!$C$7)/Components!$D$7)</f>
        <v>127.8821201021582</v>
      </c>
      <c r="V77" s="81" t="str">
        <f>IF(G77="","",IF(M77="OK","NONE",INDEX({"S1","S2","W1","W2","N1","N2"},MATCH(MIN(P77:U77),P77:U77,0))))</f>
        <v>W2</v>
      </c>
      <c r="W77" s="117">
        <f t="shared" si="13"/>
        <v>1</v>
      </c>
      <c r="X77" s="107"/>
    </row>
    <row r="78" spans="1:24">
      <c r="A78" s="115">
        <v>76</v>
      </c>
      <c r="B78" s="116">
        <v>3</v>
      </c>
      <c r="C78" s="81" t="s">
        <v>128</v>
      </c>
      <c r="D78" s="111" t="s">
        <v>240</v>
      </c>
      <c r="E78" s="81" t="s">
        <v>106</v>
      </c>
      <c r="F78" s="52">
        <v>5.38</v>
      </c>
      <c r="G78" s="52">
        <f t="shared" si="7"/>
        <v>6.35</v>
      </c>
      <c r="H78" s="110"/>
      <c r="I78" s="81">
        <f>VLOOKUP(C78,Recipes!$A$2:$N$4,10,FALSE())</f>
        <v>10.940000000000001</v>
      </c>
      <c r="J78" s="81">
        <f>VLOOKUP(C78,Recipes!$A$2:$N$4,12,FALSE())</f>
        <v>5.2703573566378441E-2</v>
      </c>
      <c r="K78" s="81">
        <f t="shared" si="8"/>
        <v>10.62377855860173</v>
      </c>
      <c r="L78" s="81">
        <f t="shared" si="9"/>
        <v>11.256221441398273</v>
      </c>
      <c r="M78" s="81" t="str">
        <f t="shared" si="11"/>
        <v>NG</v>
      </c>
      <c r="N78" s="117">
        <f t="shared" si="10"/>
        <v>1</v>
      </c>
      <c r="O78" s="81">
        <f t="shared" si="12"/>
        <v>4.5900000000000016</v>
      </c>
      <c r="P78" s="81">
        <f>IF(G78="","",ABS(O78-Components!$C$2)/Components!$D$2)</f>
        <v>277.90615922166415</v>
      </c>
      <c r="Q78" s="81">
        <f>IF(G78="","",ABS(O78-Components!$C$3)/Components!$D$3)</f>
        <v>40.154962513901147</v>
      </c>
      <c r="R78" s="81">
        <f>IF(G78="","",ABS(O78-Components!$C$4)/Components!$D$4)</f>
        <v>257.29737506567483</v>
      </c>
      <c r="S78" s="81">
        <f>IF(G78="","",ABS(O78-Components!$C$5)/Components!$D$5)</f>
        <v>1.0855256632965518</v>
      </c>
      <c r="T78" s="81">
        <f>IF(G78="","",ABS(O78-Components!$C$6)/Components!$D$6)</f>
        <v>124.3040650270203</v>
      </c>
      <c r="U78" s="81">
        <f>IF(G78="","",ABS(O78-Components!$C$7)/Components!$D$7)</f>
        <v>127.8821201021582</v>
      </c>
      <c r="V78" s="81" t="str">
        <f>IF(G78="","",IF(M78="OK","NONE",INDEX({"S1","S2","W1","W2","N1","N2"},MATCH(MIN(P78:U78),P78:U78,0))))</f>
        <v>W2</v>
      </c>
      <c r="W78" s="117">
        <f t="shared" si="13"/>
        <v>1</v>
      </c>
      <c r="X78" s="107"/>
    </row>
    <row r="79" spans="1:24">
      <c r="A79" s="115">
        <v>77</v>
      </c>
      <c r="B79" s="116">
        <v>3</v>
      </c>
      <c r="C79" s="81" t="s">
        <v>128</v>
      </c>
      <c r="D79" s="111" t="s">
        <v>240</v>
      </c>
      <c r="E79" s="81" t="s">
        <v>106</v>
      </c>
      <c r="F79" s="52">
        <v>5.42</v>
      </c>
      <c r="G79" s="52">
        <f t="shared" si="7"/>
        <v>6.39</v>
      </c>
      <c r="H79" s="110"/>
      <c r="I79" s="81">
        <f>VLOOKUP(C79,Recipes!$A$2:$N$4,10,FALSE())</f>
        <v>10.940000000000001</v>
      </c>
      <c r="J79" s="81">
        <f>VLOOKUP(C79,Recipes!$A$2:$N$4,12,FALSE())</f>
        <v>5.2703573566378441E-2</v>
      </c>
      <c r="K79" s="81">
        <f t="shared" si="8"/>
        <v>10.62377855860173</v>
      </c>
      <c r="L79" s="81">
        <f t="shared" si="9"/>
        <v>11.256221441398273</v>
      </c>
      <c r="M79" s="81" t="str">
        <f t="shared" si="11"/>
        <v>NG</v>
      </c>
      <c r="N79" s="117">
        <f t="shared" si="10"/>
        <v>1</v>
      </c>
      <c r="O79" s="81">
        <f t="shared" si="12"/>
        <v>4.5500000000000016</v>
      </c>
      <c r="P79" s="81">
        <f>IF(G79="","",ABS(O79-Components!$C$2)/Components!$D$2)</f>
        <v>271.85375647999456</v>
      </c>
      <c r="Q79" s="81">
        <f>IF(G79="","",ABS(O79-Components!$C$3)/Components!$D$3)</f>
        <v>37.255687242139338</v>
      </c>
      <c r="R79" s="81">
        <f>IF(G79="","",ABS(O79-Components!$C$4)/Components!$D$4)</f>
        <v>254.43586579710382</v>
      </c>
      <c r="S79" s="81">
        <f>IF(G79="","",ABS(O79-Components!$C$5)/Components!$D$5)</f>
        <v>0.50304847811316089</v>
      </c>
      <c r="T79" s="81">
        <f>IF(G79="","",ABS(O79-Components!$C$6)/Components!$D$6)</f>
        <v>122.85628401146732</v>
      </c>
      <c r="U79" s="81">
        <f>IF(G79="","",ABS(O79-Components!$C$7)/Components!$D$7)</f>
        <v>126.29138159150629</v>
      </c>
      <c r="V79" s="81" t="str">
        <f>IF(G79="","",IF(M79="OK","NONE",INDEX({"S1","S2","W1","W2","N1","N2"},MATCH(MIN(P79:U79),P79:U79,0))))</f>
        <v>W2</v>
      </c>
      <c r="W79" s="117">
        <f t="shared" si="13"/>
        <v>1</v>
      </c>
      <c r="X79" s="107"/>
    </row>
    <row r="80" spans="1:24">
      <c r="A80" s="115">
        <v>78</v>
      </c>
      <c r="B80" s="116">
        <v>3</v>
      </c>
      <c r="C80" s="81" t="s">
        <v>128</v>
      </c>
      <c r="D80" s="111" t="s">
        <v>240</v>
      </c>
      <c r="E80" s="81" t="s">
        <v>106</v>
      </c>
      <c r="F80" s="52">
        <v>5.39</v>
      </c>
      <c r="G80" s="52">
        <f t="shared" si="7"/>
        <v>6.3599999999999994</v>
      </c>
      <c r="H80" s="110"/>
      <c r="I80" s="81">
        <f>VLOOKUP(C80,Recipes!$A$2:$N$4,10,FALSE())</f>
        <v>10.940000000000001</v>
      </c>
      <c r="J80" s="81">
        <f>VLOOKUP(C80,Recipes!$A$2:$N$4,12,FALSE())</f>
        <v>5.2703573566378441E-2</v>
      </c>
      <c r="K80" s="81">
        <f t="shared" si="8"/>
        <v>10.62377855860173</v>
      </c>
      <c r="L80" s="81">
        <f t="shared" si="9"/>
        <v>11.256221441398273</v>
      </c>
      <c r="M80" s="81" t="str">
        <f t="shared" si="11"/>
        <v>NG</v>
      </c>
      <c r="N80" s="117">
        <f t="shared" si="10"/>
        <v>1</v>
      </c>
      <c r="O80" s="81">
        <f t="shared" si="12"/>
        <v>4.5800000000000018</v>
      </c>
      <c r="P80" s="81">
        <f>IF(G80="","",ABS(O80-Components!$C$2)/Components!$D$2)</f>
        <v>276.39305853624677</v>
      </c>
      <c r="Q80" s="81">
        <f>IF(G80="","",ABS(O80-Components!$C$3)/Components!$D$3)</f>
        <v>39.430143695960709</v>
      </c>
      <c r="R80" s="81">
        <f>IF(G80="","",ABS(O80-Components!$C$4)/Components!$D$4)</f>
        <v>256.5819977485321</v>
      </c>
      <c r="S80" s="81">
        <f>IF(G80="","",ABS(O80-Components!$C$5)/Components!$D$5)</f>
        <v>0.68838212794413234</v>
      </c>
      <c r="T80" s="81">
        <f>IF(G80="","",ABS(O80-Components!$C$6)/Components!$D$6)</f>
        <v>123.94211977313206</v>
      </c>
      <c r="U80" s="81">
        <f>IF(G80="","",ABS(O80-Components!$C$7)/Components!$D$7)</f>
        <v>127.48443547449523</v>
      </c>
      <c r="V80" s="81" t="str">
        <f>IF(G80="","",IF(M80="OK","NONE",INDEX({"S1","S2","W1","W2","N1","N2"},MATCH(MIN(P80:U80),P80:U80,0))))</f>
        <v>W2</v>
      </c>
      <c r="W80" s="117">
        <f t="shared" si="13"/>
        <v>1</v>
      </c>
      <c r="X80" s="107"/>
    </row>
    <row r="81" spans="1:24">
      <c r="A81" s="115">
        <v>79</v>
      </c>
      <c r="B81" s="116">
        <v>3</v>
      </c>
      <c r="C81" s="81" t="s">
        <v>128</v>
      </c>
      <c r="D81" s="111" t="s">
        <v>240</v>
      </c>
      <c r="E81" s="81" t="s">
        <v>106</v>
      </c>
      <c r="F81" s="52">
        <v>5.41</v>
      </c>
      <c r="G81" s="52">
        <f t="shared" si="7"/>
        <v>6.38</v>
      </c>
      <c r="H81" s="110"/>
      <c r="I81" s="81">
        <f>VLOOKUP(C81,Recipes!$A$2:$N$4,10,FALSE())</f>
        <v>10.940000000000001</v>
      </c>
      <c r="J81" s="81">
        <f>VLOOKUP(C81,Recipes!$A$2:$N$4,12,FALSE())</f>
        <v>5.2703573566378441E-2</v>
      </c>
      <c r="K81" s="81">
        <f t="shared" si="8"/>
        <v>10.62377855860173</v>
      </c>
      <c r="L81" s="81">
        <f t="shared" si="9"/>
        <v>11.256221441398273</v>
      </c>
      <c r="M81" s="81" t="str">
        <f t="shared" si="11"/>
        <v>NG</v>
      </c>
      <c r="N81" s="117">
        <f t="shared" si="10"/>
        <v>1</v>
      </c>
      <c r="O81" s="81">
        <f t="shared" si="12"/>
        <v>4.5600000000000014</v>
      </c>
      <c r="P81" s="81">
        <f>IF(G81="","",ABS(O81-Components!$C$2)/Components!$D$2)</f>
        <v>273.36685716541194</v>
      </c>
      <c r="Q81" s="81">
        <f>IF(G81="","",ABS(O81-Components!$C$3)/Components!$D$3)</f>
        <v>37.980506060079776</v>
      </c>
      <c r="R81" s="81">
        <f>IF(G81="","",ABS(O81-Components!$C$4)/Components!$D$4)</f>
        <v>255.15124311424654</v>
      </c>
      <c r="S81" s="81">
        <f>IF(G81="","",ABS(O81-Components!$C$5)/Components!$D$5)</f>
        <v>0.10590494276074157</v>
      </c>
      <c r="T81" s="81">
        <f>IF(G81="","",ABS(O81-Components!$C$6)/Components!$D$6)</f>
        <v>123.21822926535556</v>
      </c>
      <c r="U81" s="81">
        <f>IF(G81="","",ABS(O81-Components!$C$7)/Components!$D$7)</f>
        <v>126.68906621916926</v>
      </c>
      <c r="V81" s="81" t="str">
        <f>IF(G81="","",IF(M81="OK","NONE",INDEX({"S1","S2","W1","W2","N1","N2"},MATCH(MIN(P81:U81),P81:U81,0))))</f>
        <v>W2</v>
      </c>
      <c r="W81" s="117">
        <f t="shared" si="13"/>
        <v>1</v>
      </c>
      <c r="X81" s="107"/>
    </row>
    <row r="82" spans="1:24">
      <c r="A82" s="115">
        <v>80</v>
      </c>
      <c r="B82" s="116">
        <v>3</v>
      </c>
      <c r="C82" s="81" t="s">
        <v>128</v>
      </c>
      <c r="D82" s="111" t="s">
        <v>240</v>
      </c>
      <c r="E82" s="81" t="s">
        <v>106</v>
      </c>
      <c r="F82" s="52">
        <v>5.32</v>
      </c>
      <c r="G82" s="52">
        <f t="shared" si="7"/>
        <v>6.29</v>
      </c>
      <c r="H82" s="110"/>
      <c r="I82" s="81">
        <f>VLOOKUP(C82,Recipes!$A$2:$N$4,10,FALSE())</f>
        <v>10.940000000000001</v>
      </c>
      <c r="J82" s="81">
        <f>VLOOKUP(C82,Recipes!$A$2:$N$4,12,FALSE())</f>
        <v>5.2703573566378441E-2</v>
      </c>
      <c r="K82" s="81">
        <f t="shared" si="8"/>
        <v>10.62377855860173</v>
      </c>
      <c r="L82" s="81">
        <f t="shared" si="9"/>
        <v>11.256221441398273</v>
      </c>
      <c r="M82" s="81" t="str">
        <f t="shared" si="11"/>
        <v>NG</v>
      </c>
      <c r="N82" s="117">
        <f t="shared" si="10"/>
        <v>1</v>
      </c>
      <c r="O82" s="81">
        <f t="shared" si="12"/>
        <v>4.6500000000000012</v>
      </c>
      <c r="P82" s="81">
        <f>IF(G82="","",ABS(O82-Components!$C$2)/Components!$D$2)</f>
        <v>286.98476333416852</v>
      </c>
      <c r="Q82" s="81">
        <f>IF(G82="","",ABS(O82-Components!$C$3)/Components!$D$3)</f>
        <v>44.503875421543825</v>
      </c>
      <c r="R82" s="81">
        <f>IF(G82="","",ABS(O82-Components!$C$4)/Components!$D$4)</f>
        <v>261.58963896853129</v>
      </c>
      <c r="S82" s="81">
        <f>IF(G82="","",ABS(O82-Components!$C$5)/Components!$D$5)</f>
        <v>3.4683868754111029</v>
      </c>
      <c r="T82" s="81">
        <f>IF(G82="","",ABS(O82-Components!$C$6)/Components!$D$6)</f>
        <v>126.47573655034978</v>
      </c>
      <c r="U82" s="81">
        <f>IF(G82="","",ABS(O82-Components!$C$7)/Components!$D$7)</f>
        <v>130.26822786813605</v>
      </c>
      <c r="V82" s="81" t="str">
        <f>IF(G82="","",IF(M82="OK","NONE",INDEX({"S1","S2","W1","W2","N1","N2"},MATCH(MIN(P82:U82),P82:U82,0))))</f>
        <v>W2</v>
      </c>
      <c r="W82" s="117">
        <f t="shared" si="13"/>
        <v>1</v>
      </c>
      <c r="X82" s="107"/>
    </row>
    <row r="83" spans="1:24">
      <c r="A83" s="115">
        <v>81</v>
      </c>
      <c r="B83" s="116">
        <v>3</v>
      </c>
      <c r="C83" s="81" t="s">
        <v>128</v>
      </c>
      <c r="D83" s="111" t="s">
        <v>240</v>
      </c>
      <c r="E83" s="81" t="s">
        <v>106</v>
      </c>
      <c r="F83" s="52">
        <v>5.36</v>
      </c>
      <c r="G83" s="52">
        <f t="shared" si="7"/>
        <v>6.33</v>
      </c>
      <c r="H83" s="110"/>
      <c r="I83" s="81">
        <f>VLOOKUP(C83,Recipes!$A$2:$N$4,10,FALSE())</f>
        <v>10.940000000000001</v>
      </c>
      <c r="J83" s="81">
        <f>VLOOKUP(C83,Recipes!$A$2:$N$4,12,FALSE())</f>
        <v>5.2703573566378441E-2</v>
      </c>
      <c r="K83" s="81">
        <f t="shared" si="8"/>
        <v>10.62377855860173</v>
      </c>
      <c r="L83" s="81">
        <f t="shared" si="9"/>
        <v>11.256221441398273</v>
      </c>
      <c r="M83" s="81" t="str">
        <f t="shared" si="11"/>
        <v>NG</v>
      </c>
      <c r="N83" s="117">
        <f t="shared" si="10"/>
        <v>1</v>
      </c>
      <c r="O83" s="81">
        <f t="shared" si="12"/>
        <v>4.6100000000000012</v>
      </c>
      <c r="P83" s="81">
        <f>IF(G83="","",ABS(O83-Components!$C$2)/Components!$D$2)</f>
        <v>280.93236059249892</v>
      </c>
      <c r="Q83" s="81">
        <f>IF(G83="","",ABS(O83-Components!$C$3)/Components!$D$3)</f>
        <v>41.604600149782016</v>
      </c>
      <c r="R83" s="81">
        <f>IF(G83="","",ABS(O83-Components!$C$4)/Components!$D$4)</f>
        <v>258.72812969996028</v>
      </c>
      <c r="S83" s="81">
        <f>IF(G83="","",ABS(O83-Components!$C$5)/Components!$D$5)</f>
        <v>1.8798127340013904</v>
      </c>
      <c r="T83" s="81">
        <f>IF(G83="","",ABS(O83-Components!$C$6)/Components!$D$6)</f>
        <v>125.02795553479679</v>
      </c>
      <c r="U83" s="81">
        <f>IF(G83="","",ABS(O83-Components!$C$7)/Components!$D$7)</f>
        <v>128.67748935748415</v>
      </c>
      <c r="V83" s="81" t="str">
        <f>IF(G83="","",IF(M83="OK","NONE",INDEX({"S1","S2","W1","W2","N1","N2"},MATCH(MIN(P83:U83),P83:U83,0))))</f>
        <v>W2</v>
      </c>
      <c r="W83" s="117">
        <f t="shared" si="13"/>
        <v>1</v>
      </c>
      <c r="X83" s="107"/>
    </row>
    <row r="84" spans="1:24">
      <c r="A84" s="115">
        <v>82</v>
      </c>
      <c r="B84" s="116">
        <v>3</v>
      </c>
      <c r="C84" s="81" t="s">
        <v>128</v>
      </c>
      <c r="D84" s="111" t="s">
        <v>240</v>
      </c>
      <c r="E84" s="81" t="s">
        <v>106</v>
      </c>
      <c r="F84" s="52">
        <v>5.42</v>
      </c>
      <c r="G84" s="52">
        <f t="shared" si="7"/>
        <v>6.39</v>
      </c>
      <c r="H84" s="110"/>
      <c r="I84" s="81">
        <f>VLOOKUP(C84,Recipes!$A$2:$N$4,10,FALSE())</f>
        <v>10.940000000000001</v>
      </c>
      <c r="J84" s="81">
        <f>VLOOKUP(C84,Recipes!$A$2:$N$4,12,FALSE())</f>
        <v>5.2703573566378441E-2</v>
      </c>
      <c r="K84" s="81">
        <f t="shared" si="8"/>
        <v>10.62377855860173</v>
      </c>
      <c r="L84" s="81">
        <f t="shared" si="9"/>
        <v>11.256221441398273</v>
      </c>
      <c r="M84" s="81" t="str">
        <f t="shared" si="11"/>
        <v>NG</v>
      </c>
      <c r="N84" s="117">
        <f t="shared" si="10"/>
        <v>1</v>
      </c>
      <c r="O84" s="81">
        <f t="shared" si="12"/>
        <v>4.5500000000000016</v>
      </c>
      <c r="P84" s="81">
        <f>IF(G84="","",ABS(O84-Components!$C$2)/Components!$D$2)</f>
        <v>271.85375647999456</v>
      </c>
      <c r="Q84" s="81">
        <f>IF(G84="","",ABS(O84-Components!$C$3)/Components!$D$3)</f>
        <v>37.255687242139338</v>
      </c>
      <c r="R84" s="81">
        <f>IF(G84="","",ABS(O84-Components!$C$4)/Components!$D$4)</f>
        <v>254.43586579710382</v>
      </c>
      <c r="S84" s="81">
        <f>IF(G84="","",ABS(O84-Components!$C$5)/Components!$D$5)</f>
        <v>0.50304847811316089</v>
      </c>
      <c r="T84" s="81">
        <f>IF(G84="","",ABS(O84-Components!$C$6)/Components!$D$6)</f>
        <v>122.85628401146732</v>
      </c>
      <c r="U84" s="81">
        <f>IF(G84="","",ABS(O84-Components!$C$7)/Components!$D$7)</f>
        <v>126.29138159150629</v>
      </c>
      <c r="V84" s="81" t="str">
        <f>IF(G84="","",IF(M84="OK","NONE",INDEX({"S1","S2","W1","W2","N1","N2"},MATCH(MIN(P84:U84),P84:U84,0))))</f>
        <v>W2</v>
      </c>
      <c r="W84" s="117">
        <f t="shared" si="13"/>
        <v>1</v>
      </c>
      <c r="X84" s="107"/>
    </row>
    <row r="85" spans="1:24">
      <c r="A85" s="115">
        <v>83</v>
      </c>
      <c r="B85" s="116">
        <v>3</v>
      </c>
      <c r="C85" s="81" t="s">
        <v>128</v>
      </c>
      <c r="D85" s="111" t="s">
        <v>240</v>
      </c>
      <c r="E85" s="81" t="s">
        <v>106</v>
      </c>
      <c r="F85" s="52">
        <v>5.37</v>
      </c>
      <c r="G85" s="52">
        <f t="shared" si="7"/>
        <v>6.34</v>
      </c>
      <c r="H85" s="110"/>
      <c r="I85" s="81">
        <f>VLOOKUP(C85,Recipes!$A$2:$N$4,10,FALSE())</f>
        <v>10.940000000000001</v>
      </c>
      <c r="J85" s="81">
        <f>VLOOKUP(C85,Recipes!$A$2:$N$4,12,FALSE())</f>
        <v>5.2703573566378441E-2</v>
      </c>
      <c r="K85" s="81">
        <f t="shared" si="8"/>
        <v>10.62377855860173</v>
      </c>
      <c r="L85" s="81">
        <f t="shared" si="9"/>
        <v>11.256221441398273</v>
      </c>
      <c r="M85" s="81" t="str">
        <f t="shared" si="11"/>
        <v>NG</v>
      </c>
      <c r="N85" s="117">
        <f t="shared" si="10"/>
        <v>1</v>
      </c>
      <c r="O85" s="81">
        <f t="shared" si="12"/>
        <v>4.6000000000000014</v>
      </c>
      <c r="P85" s="81">
        <f>IF(G85="","",ABS(O85-Components!$C$2)/Components!$D$2)</f>
        <v>279.41925990708154</v>
      </c>
      <c r="Q85" s="81">
        <f>IF(G85="","",ABS(O85-Components!$C$3)/Components!$D$3)</f>
        <v>40.879781331841578</v>
      </c>
      <c r="R85" s="81">
        <f>IF(G85="","",ABS(O85-Components!$C$4)/Components!$D$4)</f>
        <v>258.01275238281755</v>
      </c>
      <c r="S85" s="81">
        <f>IF(G85="","",ABS(O85-Components!$C$5)/Components!$D$5)</f>
        <v>1.4826691986489711</v>
      </c>
      <c r="T85" s="81">
        <f>IF(G85="","",ABS(O85-Components!$C$6)/Components!$D$6)</f>
        <v>124.66601028090855</v>
      </c>
      <c r="U85" s="81">
        <f>IF(G85="","",ABS(O85-Components!$C$7)/Components!$D$7)</f>
        <v>128.27980472982117</v>
      </c>
      <c r="V85" s="81" t="str">
        <f>IF(G85="","",IF(M85="OK","NONE",INDEX({"S1","S2","W1","W2","N1","N2"},MATCH(MIN(P85:U85),P85:U85,0))))</f>
        <v>W2</v>
      </c>
      <c r="W85" s="117">
        <f t="shared" si="13"/>
        <v>1</v>
      </c>
      <c r="X85" s="107"/>
    </row>
    <row r="86" spans="1:24">
      <c r="A86" s="115">
        <v>84</v>
      </c>
      <c r="B86" s="116">
        <v>3</v>
      </c>
      <c r="C86" s="81" t="s">
        <v>128</v>
      </c>
      <c r="D86" s="111" t="s">
        <v>240</v>
      </c>
      <c r="E86" s="81" t="s">
        <v>106</v>
      </c>
      <c r="F86" s="52">
        <v>5.4</v>
      </c>
      <c r="G86" s="52">
        <f t="shared" si="7"/>
        <v>6.37</v>
      </c>
      <c r="H86" s="110"/>
      <c r="I86" s="81">
        <f>VLOOKUP(C86,Recipes!$A$2:$N$4,10,FALSE())</f>
        <v>10.940000000000001</v>
      </c>
      <c r="J86" s="81">
        <f>VLOOKUP(C86,Recipes!$A$2:$N$4,12,FALSE())</f>
        <v>5.2703573566378441E-2</v>
      </c>
      <c r="K86" s="81">
        <f t="shared" si="8"/>
        <v>10.62377855860173</v>
      </c>
      <c r="L86" s="81">
        <f t="shared" si="9"/>
        <v>11.256221441398273</v>
      </c>
      <c r="M86" s="81" t="str">
        <f t="shared" si="11"/>
        <v>NG</v>
      </c>
      <c r="N86" s="117">
        <f t="shared" si="10"/>
        <v>1</v>
      </c>
      <c r="O86" s="81">
        <f t="shared" si="12"/>
        <v>4.5700000000000012</v>
      </c>
      <c r="P86" s="81">
        <f>IF(G86="","",ABS(O86-Components!$C$2)/Components!$D$2)</f>
        <v>274.87995785082927</v>
      </c>
      <c r="Q86" s="81">
        <f>IF(G86="","",ABS(O86-Components!$C$3)/Components!$D$3)</f>
        <v>38.705324878020207</v>
      </c>
      <c r="R86" s="81">
        <f>IF(G86="","",ABS(O86-Components!$C$4)/Components!$D$4)</f>
        <v>255.86662043138929</v>
      </c>
      <c r="S86" s="81">
        <f>IF(G86="","",ABS(O86-Components!$C$5)/Components!$D$5)</f>
        <v>0.29123859259167773</v>
      </c>
      <c r="T86" s="81">
        <f>IF(G86="","",ABS(O86-Components!$C$6)/Components!$D$6)</f>
        <v>123.5801745192438</v>
      </c>
      <c r="U86" s="81">
        <f>IF(G86="","",ABS(O86-Components!$C$7)/Components!$D$7)</f>
        <v>127.08675084683223</v>
      </c>
      <c r="V86" s="81" t="str">
        <f>IF(G86="","",IF(M86="OK","NONE",INDEX({"S1","S2","W1","W2","N1","N2"},MATCH(MIN(P86:U86),P86:U86,0))))</f>
        <v>W2</v>
      </c>
      <c r="W86" s="117">
        <f t="shared" si="13"/>
        <v>1</v>
      </c>
      <c r="X86" s="107"/>
    </row>
    <row r="87" spans="1:24">
      <c r="A87" s="115">
        <v>85</v>
      </c>
      <c r="B87" s="116">
        <v>3</v>
      </c>
      <c r="C87" s="81" t="s">
        <v>128</v>
      </c>
      <c r="D87" s="111" t="s">
        <v>240</v>
      </c>
      <c r="E87" s="81" t="s">
        <v>106</v>
      </c>
      <c r="F87" s="52">
        <v>5.35</v>
      </c>
      <c r="G87" s="52">
        <f t="shared" si="7"/>
        <v>6.3199999999999994</v>
      </c>
      <c r="H87" s="110"/>
      <c r="I87" s="81">
        <f>VLOOKUP(C87,Recipes!$A$2:$N$4,10,FALSE())</f>
        <v>10.940000000000001</v>
      </c>
      <c r="J87" s="81">
        <f>VLOOKUP(C87,Recipes!$A$2:$N$4,12,FALSE())</f>
        <v>5.2703573566378441E-2</v>
      </c>
      <c r="K87" s="81">
        <f t="shared" si="8"/>
        <v>10.62377855860173</v>
      </c>
      <c r="L87" s="81">
        <f t="shared" si="9"/>
        <v>11.256221441398273</v>
      </c>
      <c r="M87" s="81" t="str">
        <f t="shared" si="11"/>
        <v>NG</v>
      </c>
      <c r="N87" s="117">
        <f t="shared" si="10"/>
        <v>1</v>
      </c>
      <c r="O87" s="81">
        <f t="shared" si="12"/>
        <v>4.6200000000000019</v>
      </c>
      <c r="P87" s="81">
        <f>IF(G87="","",ABS(O87-Components!$C$2)/Components!$D$2)</f>
        <v>282.44546127791642</v>
      </c>
      <c r="Q87" s="81">
        <f>IF(G87="","",ABS(O87-Components!$C$3)/Components!$D$3)</f>
        <v>42.329418967722518</v>
      </c>
      <c r="R87" s="81">
        <f>IF(G87="","",ABS(O87-Components!$C$4)/Components!$D$4)</f>
        <v>259.44350701710306</v>
      </c>
      <c r="S87" s="81">
        <f>IF(G87="","",ABS(O87-Components!$C$5)/Components!$D$5)</f>
        <v>2.2769562693538448</v>
      </c>
      <c r="T87" s="81">
        <f>IF(G87="","",ABS(O87-Components!$C$6)/Components!$D$6)</f>
        <v>125.38990078868505</v>
      </c>
      <c r="U87" s="81">
        <f>IF(G87="","",ABS(O87-Components!$C$7)/Components!$D$7)</f>
        <v>129.07517398514713</v>
      </c>
      <c r="V87" s="81" t="str">
        <f>IF(G87="","",IF(M87="OK","NONE",INDEX({"S1","S2","W1","W2","N1","N2"},MATCH(MIN(P87:U87),P87:U87,0))))</f>
        <v>W2</v>
      </c>
      <c r="W87" s="117">
        <f t="shared" si="13"/>
        <v>1</v>
      </c>
      <c r="X87" s="107"/>
    </row>
    <row r="88" spans="1:24">
      <c r="A88" s="115">
        <v>86</v>
      </c>
      <c r="B88" s="116">
        <v>3</v>
      </c>
      <c r="C88" s="81" t="s">
        <v>128</v>
      </c>
      <c r="D88" s="111" t="s">
        <v>240</v>
      </c>
      <c r="E88" s="81" t="s">
        <v>106</v>
      </c>
      <c r="F88" s="52">
        <v>5.38</v>
      </c>
      <c r="G88" s="52">
        <f t="shared" si="7"/>
        <v>6.35</v>
      </c>
      <c r="H88" s="110"/>
      <c r="I88" s="81">
        <f>VLOOKUP(C88,Recipes!$A$2:$N$4,10,FALSE())</f>
        <v>10.940000000000001</v>
      </c>
      <c r="J88" s="81">
        <f>VLOOKUP(C88,Recipes!$A$2:$N$4,12,FALSE())</f>
        <v>5.2703573566378441E-2</v>
      </c>
      <c r="K88" s="81">
        <f t="shared" si="8"/>
        <v>10.62377855860173</v>
      </c>
      <c r="L88" s="81">
        <f t="shared" si="9"/>
        <v>11.256221441398273</v>
      </c>
      <c r="M88" s="81" t="str">
        <f t="shared" si="11"/>
        <v>NG</v>
      </c>
      <c r="N88" s="117">
        <f t="shared" si="10"/>
        <v>1</v>
      </c>
      <c r="O88" s="81">
        <f t="shared" si="12"/>
        <v>4.5900000000000016</v>
      </c>
      <c r="P88" s="81">
        <f>IF(G88="","",ABS(O88-Components!$C$2)/Components!$D$2)</f>
        <v>277.90615922166415</v>
      </c>
      <c r="Q88" s="81">
        <f>IF(G88="","",ABS(O88-Components!$C$3)/Components!$D$3)</f>
        <v>40.154962513901147</v>
      </c>
      <c r="R88" s="81">
        <f>IF(G88="","",ABS(O88-Components!$C$4)/Components!$D$4)</f>
        <v>257.29737506567483</v>
      </c>
      <c r="S88" s="81">
        <f>IF(G88="","",ABS(O88-Components!$C$5)/Components!$D$5)</f>
        <v>1.0855256632965518</v>
      </c>
      <c r="T88" s="81">
        <f>IF(G88="","",ABS(O88-Components!$C$6)/Components!$D$6)</f>
        <v>124.3040650270203</v>
      </c>
      <c r="U88" s="81">
        <f>IF(G88="","",ABS(O88-Components!$C$7)/Components!$D$7)</f>
        <v>127.8821201021582</v>
      </c>
      <c r="V88" s="81" t="str">
        <f>IF(G88="","",IF(M88="OK","NONE",INDEX({"S1","S2","W1","W2","N1","N2"},MATCH(MIN(P88:U88),P88:U88,0))))</f>
        <v>W2</v>
      </c>
      <c r="W88" s="117">
        <f t="shared" si="13"/>
        <v>1</v>
      </c>
      <c r="X88" s="107"/>
    </row>
    <row r="89" spans="1:24">
      <c r="A89" s="115">
        <v>87</v>
      </c>
      <c r="B89" s="116">
        <v>3</v>
      </c>
      <c r="C89" s="81" t="s">
        <v>128</v>
      </c>
      <c r="D89" s="111" t="s">
        <v>240</v>
      </c>
      <c r="E89" s="81" t="s">
        <v>106</v>
      </c>
      <c r="F89" s="52">
        <v>5.34</v>
      </c>
      <c r="G89" s="52">
        <f t="shared" si="7"/>
        <v>6.31</v>
      </c>
      <c r="H89" s="110"/>
      <c r="I89" s="81">
        <f>VLOOKUP(C89,Recipes!$A$2:$N$4,10,FALSE())</f>
        <v>10.940000000000001</v>
      </c>
      <c r="J89" s="81">
        <f>VLOOKUP(C89,Recipes!$A$2:$N$4,12,FALSE())</f>
        <v>5.2703573566378441E-2</v>
      </c>
      <c r="K89" s="81">
        <f t="shared" si="8"/>
        <v>10.62377855860173</v>
      </c>
      <c r="L89" s="81">
        <f t="shared" si="9"/>
        <v>11.256221441398273</v>
      </c>
      <c r="M89" s="81" t="str">
        <f t="shared" si="11"/>
        <v>NG</v>
      </c>
      <c r="N89" s="117">
        <f t="shared" si="10"/>
        <v>1</v>
      </c>
      <c r="O89" s="81">
        <f t="shared" si="12"/>
        <v>4.6300000000000017</v>
      </c>
      <c r="P89" s="81">
        <f>IF(G89="","",ABS(O89-Components!$C$2)/Components!$D$2)</f>
        <v>283.95856196333381</v>
      </c>
      <c r="Q89" s="81">
        <f>IF(G89="","",ABS(O89-Components!$C$3)/Components!$D$3)</f>
        <v>43.054237785662949</v>
      </c>
      <c r="R89" s="81">
        <f>IF(G89="","",ABS(O89-Components!$C$4)/Components!$D$4)</f>
        <v>260.15888433424578</v>
      </c>
      <c r="S89" s="81">
        <f>IF(G89="","",ABS(O89-Components!$C$5)/Components!$D$5)</f>
        <v>2.6740998047062643</v>
      </c>
      <c r="T89" s="81">
        <f>IF(G89="","",ABS(O89-Components!$C$6)/Components!$D$6)</f>
        <v>125.75184604257329</v>
      </c>
      <c r="U89" s="81">
        <f>IF(G89="","",ABS(O89-Components!$C$7)/Components!$D$7)</f>
        <v>129.47285861281011</v>
      </c>
      <c r="V89" s="81" t="str">
        <f>IF(G89="","",IF(M89="OK","NONE",INDEX({"S1","S2","W1","W2","N1","N2"},MATCH(MIN(P89:U89),P89:U89,0))))</f>
        <v>W2</v>
      </c>
      <c r="W89" s="117">
        <f t="shared" si="13"/>
        <v>1</v>
      </c>
      <c r="X89" s="107"/>
    </row>
    <row r="90" spans="1:24">
      <c r="A90" s="115">
        <v>88</v>
      </c>
      <c r="B90" s="116">
        <v>3</v>
      </c>
      <c r="C90" s="81" t="s">
        <v>128</v>
      </c>
      <c r="D90" s="111" t="s">
        <v>240</v>
      </c>
      <c r="E90" s="81" t="s">
        <v>106</v>
      </c>
      <c r="F90" s="52">
        <v>5.42</v>
      </c>
      <c r="G90" s="52">
        <f t="shared" si="7"/>
        <v>6.39</v>
      </c>
      <c r="H90" s="110"/>
      <c r="I90" s="81">
        <f>VLOOKUP(C90,Recipes!$A$2:$N$4,10,FALSE())</f>
        <v>10.940000000000001</v>
      </c>
      <c r="J90" s="81">
        <f>VLOOKUP(C90,Recipes!$A$2:$N$4,12,FALSE())</f>
        <v>5.2703573566378441E-2</v>
      </c>
      <c r="K90" s="81">
        <f t="shared" si="8"/>
        <v>10.62377855860173</v>
      </c>
      <c r="L90" s="81">
        <f t="shared" si="9"/>
        <v>11.256221441398273</v>
      </c>
      <c r="M90" s="81" t="str">
        <f t="shared" si="11"/>
        <v>NG</v>
      </c>
      <c r="N90" s="117">
        <f t="shared" si="10"/>
        <v>1</v>
      </c>
      <c r="O90" s="81">
        <f t="shared" si="12"/>
        <v>4.5500000000000016</v>
      </c>
      <c r="P90" s="81">
        <f>IF(G90="","",ABS(O90-Components!$C$2)/Components!$D$2)</f>
        <v>271.85375647999456</v>
      </c>
      <c r="Q90" s="81">
        <f>IF(G90="","",ABS(O90-Components!$C$3)/Components!$D$3)</f>
        <v>37.255687242139338</v>
      </c>
      <c r="R90" s="81">
        <f>IF(G90="","",ABS(O90-Components!$C$4)/Components!$D$4)</f>
        <v>254.43586579710382</v>
      </c>
      <c r="S90" s="81">
        <f>IF(G90="","",ABS(O90-Components!$C$5)/Components!$D$5)</f>
        <v>0.50304847811316089</v>
      </c>
      <c r="T90" s="81">
        <f>IF(G90="","",ABS(O90-Components!$C$6)/Components!$D$6)</f>
        <v>122.85628401146732</v>
      </c>
      <c r="U90" s="81">
        <f>IF(G90="","",ABS(O90-Components!$C$7)/Components!$D$7)</f>
        <v>126.29138159150629</v>
      </c>
      <c r="V90" s="81" t="str">
        <f>IF(G90="","",IF(M90="OK","NONE",INDEX({"S1","S2","W1","W2","N1","N2"},MATCH(MIN(P90:U90),P90:U90,0))))</f>
        <v>W2</v>
      </c>
      <c r="W90" s="117">
        <f t="shared" si="13"/>
        <v>1</v>
      </c>
      <c r="X90" s="107"/>
    </row>
    <row r="91" spans="1:24">
      <c r="A91" s="115">
        <v>89</v>
      </c>
      <c r="B91" s="116">
        <v>3</v>
      </c>
      <c r="C91" s="81" t="s">
        <v>128</v>
      </c>
      <c r="D91" s="111" t="s">
        <v>240</v>
      </c>
      <c r="E91" s="81" t="s">
        <v>106</v>
      </c>
      <c r="F91" s="52">
        <v>5.4</v>
      </c>
      <c r="G91" s="52">
        <f t="shared" si="7"/>
        <v>6.37</v>
      </c>
      <c r="H91" s="110"/>
      <c r="I91" s="81">
        <f>VLOOKUP(C91,Recipes!$A$2:$N$4,10,FALSE())</f>
        <v>10.940000000000001</v>
      </c>
      <c r="J91" s="81">
        <f>VLOOKUP(C91,Recipes!$A$2:$N$4,12,FALSE())</f>
        <v>5.2703573566378441E-2</v>
      </c>
      <c r="K91" s="81">
        <f t="shared" si="8"/>
        <v>10.62377855860173</v>
      </c>
      <c r="L91" s="81">
        <f t="shared" si="9"/>
        <v>11.256221441398273</v>
      </c>
      <c r="M91" s="81" t="str">
        <f t="shared" si="11"/>
        <v>NG</v>
      </c>
      <c r="N91" s="117">
        <f t="shared" si="10"/>
        <v>1</v>
      </c>
      <c r="O91" s="81">
        <f t="shared" si="12"/>
        <v>4.5700000000000012</v>
      </c>
      <c r="P91" s="81">
        <f>IF(G91="","",ABS(O91-Components!$C$2)/Components!$D$2)</f>
        <v>274.87995785082927</v>
      </c>
      <c r="Q91" s="81">
        <f>IF(G91="","",ABS(O91-Components!$C$3)/Components!$D$3)</f>
        <v>38.705324878020207</v>
      </c>
      <c r="R91" s="81">
        <f>IF(G91="","",ABS(O91-Components!$C$4)/Components!$D$4)</f>
        <v>255.86662043138929</v>
      </c>
      <c r="S91" s="81">
        <f>IF(G91="","",ABS(O91-Components!$C$5)/Components!$D$5)</f>
        <v>0.29123859259167773</v>
      </c>
      <c r="T91" s="81">
        <f>IF(G91="","",ABS(O91-Components!$C$6)/Components!$D$6)</f>
        <v>123.5801745192438</v>
      </c>
      <c r="U91" s="81">
        <f>IF(G91="","",ABS(O91-Components!$C$7)/Components!$D$7)</f>
        <v>127.08675084683223</v>
      </c>
      <c r="V91" s="81" t="str">
        <f>IF(G91="","",IF(M91="OK","NONE",INDEX({"S1","S2","W1","W2","N1","N2"},MATCH(MIN(P91:U91),P91:U91,0))))</f>
        <v>W2</v>
      </c>
      <c r="W91" s="117">
        <f t="shared" si="13"/>
        <v>1</v>
      </c>
      <c r="X91" s="107"/>
    </row>
    <row r="92" spans="1:24">
      <c r="A92" s="115">
        <v>90</v>
      </c>
      <c r="B92" s="116">
        <v>3</v>
      </c>
      <c r="C92" s="81" t="s">
        <v>128</v>
      </c>
      <c r="D92" s="111" t="s">
        <v>240</v>
      </c>
      <c r="E92" s="81" t="s">
        <v>106</v>
      </c>
      <c r="F92" s="52">
        <v>5.42</v>
      </c>
      <c r="G92" s="52">
        <f t="shared" si="7"/>
        <v>6.39</v>
      </c>
      <c r="H92" s="110"/>
      <c r="I92" s="81">
        <f>VLOOKUP(C92,Recipes!$A$2:$N$4,10,FALSE())</f>
        <v>10.940000000000001</v>
      </c>
      <c r="J92" s="81">
        <f>VLOOKUP(C92,Recipes!$A$2:$N$4,12,FALSE())</f>
        <v>5.2703573566378441E-2</v>
      </c>
      <c r="K92" s="81">
        <f t="shared" si="8"/>
        <v>10.62377855860173</v>
      </c>
      <c r="L92" s="81">
        <f t="shared" si="9"/>
        <v>11.256221441398273</v>
      </c>
      <c r="M92" s="81" t="str">
        <f t="shared" si="11"/>
        <v>NG</v>
      </c>
      <c r="N92" s="117">
        <f t="shared" si="10"/>
        <v>1</v>
      </c>
      <c r="O92" s="81">
        <f t="shared" si="12"/>
        <v>4.5500000000000016</v>
      </c>
      <c r="P92" s="81">
        <f>IF(G92="","",ABS(O92-Components!$C$2)/Components!$D$2)</f>
        <v>271.85375647999456</v>
      </c>
      <c r="Q92" s="81">
        <f>IF(G92="","",ABS(O92-Components!$C$3)/Components!$D$3)</f>
        <v>37.255687242139338</v>
      </c>
      <c r="R92" s="81">
        <f>IF(G92="","",ABS(O92-Components!$C$4)/Components!$D$4)</f>
        <v>254.43586579710382</v>
      </c>
      <c r="S92" s="81">
        <f>IF(G92="","",ABS(O92-Components!$C$5)/Components!$D$5)</f>
        <v>0.50304847811316089</v>
      </c>
      <c r="T92" s="81">
        <f>IF(G92="","",ABS(O92-Components!$C$6)/Components!$D$6)</f>
        <v>122.85628401146732</v>
      </c>
      <c r="U92" s="81">
        <f>IF(G92="","",ABS(O92-Components!$C$7)/Components!$D$7)</f>
        <v>126.29138159150629</v>
      </c>
      <c r="V92" s="81" t="str">
        <f>IF(G92="","",IF(M92="OK","NONE",INDEX({"S1","S2","W1","W2","N1","N2"},MATCH(MIN(P92:U92),P92:U92,0))))</f>
        <v>W2</v>
      </c>
      <c r="W92" s="117">
        <f t="shared" si="13"/>
        <v>1</v>
      </c>
      <c r="X92" s="107"/>
    </row>
    <row r="93" spans="1:24">
      <c r="A93" s="115">
        <v>91</v>
      </c>
      <c r="B93" s="116">
        <v>4</v>
      </c>
      <c r="C93" s="81" t="s">
        <v>128</v>
      </c>
      <c r="D93" s="111" t="s">
        <v>240</v>
      </c>
      <c r="E93" s="81" t="s">
        <v>110</v>
      </c>
      <c r="F93" s="52">
        <v>8.61</v>
      </c>
      <c r="G93" s="52">
        <f t="shared" si="7"/>
        <v>9.58</v>
      </c>
      <c r="H93" s="110"/>
      <c r="I93" s="81">
        <f>VLOOKUP(C93,Recipes!$A$2:$N$4,10,FALSE())</f>
        <v>10.940000000000001</v>
      </c>
      <c r="J93" s="81">
        <f>VLOOKUP(C93,Recipes!$A$2:$N$4,12,FALSE())</f>
        <v>5.2703573566378441E-2</v>
      </c>
      <c r="K93" s="81">
        <f t="shared" si="8"/>
        <v>10.62377855860173</v>
      </c>
      <c r="L93" s="81">
        <f t="shared" si="9"/>
        <v>11.256221441398273</v>
      </c>
      <c r="M93" s="81" t="str">
        <f t="shared" si="11"/>
        <v>NG</v>
      </c>
      <c r="N93" s="117">
        <f t="shared" si="10"/>
        <v>1</v>
      </c>
      <c r="O93" s="81">
        <f t="shared" si="12"/>
        <v>1.3600000000000012</v>
      </c>
      <c r="P93" s="81">
        <f>IF(G93="","",ABS(O93-Components!$C$2)/Components!$D$2)</f>
        <v>210.82536216815774</v>
      </c>
      <c r="Q93" s="81">
        <f>IF(G93="","",ABS(O93-Components!$C$3)/Components!$D$3)</f>
        <v>193.96151568086464</v>
      </c>
      <c r="R93" s="81">
        <f>IF(G93="","",ABS(O93-Components!$C$4)/Components!$D$4)</f>
        <v>26.230501628567506</v>
      </c>
      <c r="S93" s="81">
        <f>IF(G93="","",ABS(O93-Components!$C$5)/Components!$D$5)</f>
        <v>127.19183625553764</v>
      </c>
      <c r="T93" s="81">
        <f>IF(G93="","",ABS(O93-Components!$C$6)/Components!$D$6)</f>
        <v>7.395748021116443</v>
      </c>
      <c r="U93" s="81">
        <f>IF(G93="","",ABS(O93-Components!$C$7)/Components!$D$7)</f>
        <v>0.57001463298342292</v>
      </c>
      <c r="V93" s="81" t="str">
        <f>IF(G93="","",IF(M93="OK","NONE",INDEX({"S1","S2","W1","W2","N1","N2"},MATCH(MIN(P93:U93),P93:U93,0))))</f>
        <v>N2</v>
      </c>
      <c r="W93" s="117">
        <f t="shared" si="13"/>
        <v>1</v>
      </c>
      <c r="X93" s="107"/>
    </row>
    <row r="94" spans="1:24">
      <c r="A94" s="115">
        <v>92</v>
      </c>
      <c r="B94" s="116">
        <v>4</v>
      </c>
      <c r="C94" s="81" t="s">
        <v>128</v>
      </c>
      <c r="D94" s="111" t="s">
        <v>240</v>
      </c>
      <c r="E94" s="81" t="s">
        <v>110</v>
      </c>
      <c r="F94" s="52">
        <v>8.6199999999999992</v>
      </c>
      <c r="G94" s="52">
        <f t="shared" si="7"/>
        <v>9.59</v>
      </c>
      <c r="H94" s="110"/>
      <c r="I94" s="81">
        <f>VLOOKUP(C94,Recipes!$A$2:$N$4,10,FALSE())</f>
        <v>10.940000000000001</v>
      </c>
      <c r="J94" s="81">
        <f>VLOOKUP(C94,Recipes!$A$2:$N$4,12,FALSE())</f>
        <v>5.2703573566378441E-2</v>
      </c>
      <c r="K94" s="81">
        <f t="shared" si="8"/>
        <v>10.62377855860173</v>
      </c>
      <c r="L94" s="81">
        <f t="shared" si="9"/>
        <v>11.256221441398273</v>
      </c>
      <c r="M94" s="81" t="str">
        <f t="shared" si="11"/>
        <v>NG</v>
      </c>
      <c r="N94" s="117">
        <f t="shared" si="10"/>
        <v>1</v>
      </c>
      <c r="O94" s="81">
        <f t="shared" si="12"/>
        <v>1.3500000000000014</v>
      </c>
      <c r="P94" s="81">
        <f>IF(G94="","",ABS(O94-Components!$C$2)/Components!$D$2)</f>
        <v>212.33846285357509</v>
      </c>
      <c r="Q94" s="81">
        <f>IF(G94="","",ABS(O94-Components!$C$3)/Components!$D$3)</f>
        <v>194.68633449880505</v>
      </c>
      <c r="R94" s="81">
        <f>IF(G94="","",ABS(O94-Components!$C$4)/Components!$D$4)</f>
        <v>25.515124311424774</v>
      </c>
      <c r="S94" s="81">
        <f>IF(G94="","",ABS(O94-Components!$C$5)/Components!$D$5)</f>
        <v>127.58897979089005</v>
      </c>
      <c r="T94" s="81">
        <f>IF(G94="","",ABS(O94-Components!$C$6)/Components!$D$6)</f>
        <v>7.0338027672282033</v>
      </c>
      <c r="U94" s="81">
        <f>IF(G94="","",ABS(O94-Components!$C$7)/Components!$D$7)</f>
        <v>0.96769926064639156</v>
      </c>
      <c r="V94" s="81" t="str">
        <f>IF(G94="","",IF(M94="OK","NONE",INDEX({"S1","S2","W1","W2","N1","N2"},MATCH(MIN(P94:U94),P94:U94,0))))</f>
        <v>N2</v>
      </c>
      <c r="W94" s="117">
        <f t="shared" si="13"/>
        <v>1</v>
      </c>
      <c r="X94" s="107"/>
    </row>
    <row r="95" spans="1:24">
      <c r="A95" s="115">
        <v>93</v>
      </c>
      <c r="B95" s="116">
        <v>4</v>
      </c>
      <c r="C95" s="81" t="s">
        <v>128</v>
      </c>
      <c r="D95" s="111" t="s">
        <v>240</v>
      </c>
      <c r="E95" s="81" t="s">
        <v>110</v>
      </c>
      <c r="F95" s="52">
        <v>8.6300000000000008</v>
      </c>
      <c r="G95" s="52">
        <f t="shared" si="7"/>
        <v>9.6000000000000014</v>
      </c>
      <c r="H95" s="110"/>
      <c r="I95" s="81">
        <f>VLOOKUP(C95,Recipes!$A$2:$N$4,10,FALSE())</f>
        <v>10.940000000000001</v>
      </c>
      <c r="J95" s="81">
        <f>VLOOKUP(C95,Recipes!$A$2:$N$4,12,FALSE())</f>
        <v>5.2703573566378441E-2</v>
      </c>
      <c r="K95" s="81">
        <f t="shared" si="8"/>
        <v>10.62377855860173</v>
      </c>
      <c r="L95" s="81">
        <f t="shared" si="9"/>
        <v>11.256221441398273</v>
      </c>
      <c r="M95" s="81" t="str">
        <f t="shared" si="11"/>
        <v>NG</v>
      </c>
      <c r="N95" s="117">
        <f t="shared" si="10"/>
        <v>1</v>
      </c>
      <c r="O95" s="81">
        <f t="shared" si="12"/>
        <v>1.3399999999999999</v>
      </c>
      <c r="P95" s="81">
        <f>IF(G95="","",ABS(O95-Components!$C$2)/Components!$D$2)</f>
        <v>213.85156353899274</v>
      </c>
      <c r="Q95" s="81">
        <f>IF(G95="","",ABS(O95-Components!$C$3)/Components!$D$3)</f>
        <v>195.41115331674561</v>
      </c>
      <c r="R95" s="81">
        <f>IF(G95="","",ABS(O95-Components!$C$4)/Components!$D$4)</f>
        <v>24.799746994281914</v>
      </c>
      <c r="S95" s="81">
        <f>IF(G95="","",ABS(O95-Components!$C$5)/Components!$D$5)</f>
        <v>127.98612332624255</v>
      </c>
      <c r="T95" s="81">
        <f>IF(G95="","",ABS(O95-Components!$C$6)/Components!$D$6)</f>
        <v>6.6718575133398996</v>
      </c>
      <c r="U95" s="81">
        <f>IF(G95="","",ABS(O95-Components!$C$7)/Components!$D$7)</f>
        <v>1.3653838883094307</v>
      </c>
      <c r="V95" s="81" t="str">
        <f>IF(G95="","",IF(M95="OK","NONE",INDEX({"S1","S2","W1","W2","N1","N2"},MATCH(MIN(P95:U95),P95:U95,0))))</f>
        <v>N2</v>
      </c>
      <c r="W95" s="117">
        <f t="shared" si="13"/>
        <v>1</v>
      </c>
      <c r="X95" s="107"/>
    </row>
    <row r="96" spans="1:24">
      <c r="A96" s="115">
        <v>94</v>
      </c>
      <c r="B96" s="116">
        <v>4</v>
      </c>
      <c r="C96" s="81" t="s">
        <v>128</v>
      </c>
      <c r="D96" s="111" t="s">
        <v>240</v>
      </c>
      <c r="E96" s="81" t="s">
        <v>110</v>
      </c>
      <c r="F96" s="52">
        <v>8.6199999999999992</v>
      </c>
      <c r="G96" s="52">
        <f t="shared" si="7"/>
        <v>9.59</v>
      </c>
      <c r="H96" s="110"/>
      <c r="I96" s="81">
        <f>VLOOKUP(C96,Recipes!$A$2:$N$4,10,FALSE())</f>
        <v>10.940000000000001</v>
      </c>
      <c r="J96" s="81">
        <f>VLOOKUP(C96,Recipes!$A$2:$N$4,12,FALSE())</f>
        <v>5.2703573566378441E-2</v>
      </c>
      <c r="K96" s="81">
        <f t="shared" si="8"/>
        <v>10.62377855860173</v>
      </c>
      <c r="L96" s="81">
        <f t="shared" si="9"/>
        <v>11.256221441398273</v>
      </c>
      <c r="M96" s="81" t="str">
        <f t="shared" si="11"/>
        <v>NG</v>
      </c>
      <c r="N96" s="117">
        <f t="shared" si="10"/>
        <v>1</v>
      </c>
      <c r="O96" s="81">
        <f t="shared" si="12"/>
        <v>1.3500000000000014</v>
      </c>
      <c r="P96" s="81">
        <f>IF(G96="","",ABS(O96-Components!$C$2)/Components!$D$2)</f>
        <v>212.33846285357509</v>
      </c>
      <c r="Q96" s="81">
        <f>IF(G96="","",ABS(O96-Components!$C$3)/Components!$D$3)</f>
        <v>194.68633449880505</v>
      </c>
      <c r="R96" s="81">
        <f>IF(G96="","",ABS(O96-Components!$C$4)/Components!$D$4)</f>
        <v>25.515124311424774</v>
      </c>
      <c r="S96" s="81">
        <f>IF(G96="","",ABS(O96-Components!$C$5)/Components!$D$5)</f>
        <v>127.58897979089005</v>
      </c>
      <c r="T96" s="81">
        <f>IF(G96="","",ABS(O96-Components!$C$6)/Components!$D$6)</f>
        <v>7.0338027672282033</v>
      </c>
      <c r="U96" s="81">
        <f>IF(G96="","",ABS(O96-Components!$C$7)/Components!$D$7)</f>
        <v>0.96769926064639156</v>
      </c>
      <c r="V96" s="81" t="str">
        <f>IF(G96="","",IF(M96="OK","NONE",INDEX({"S1","S2","W1","W2","N1","N2"},MATCH(MIN(P96:U96),P96:U96,0))))</f>
        <v>N2</v>
      </c>
      <c r="W96" s="117">
        <f t="shared" si="13"/>
        <v>1</v>
      </c>
      <c r="X96" s="107"/>
    </row>
    <row r="97" spans="1:24">
      <c r="A97" s="115">
        <v>95</v>
      </c>
      <c r="B97" s="116">
        <v>4</v>
      </c>
      <c r="C97" s="81" t="s">
        <v>128</v>
      </c>
      <c r="D97" s="111" t="s">
        <v>240</v>
      </c>
      <c r="E97" s="81" t="s">
        <v>110</v>
      </c>
      <c r="F97" s="52">
        <v>8.5399999999999991</v>
      </c>
      <c r="G97" s="52">
        <f t="shared" si="7"/>
        <v>9.51</v>
      </c>
      <c r="H97" s="110"/>
      <c r="I97" s="81">
        <f>VLOOKUP(C97,Recipes!$A$2:$N$4,10,FALSE())</f>
        <v>10.940000000000001</v>
      </c>
      <c r="J97" s="81">
        <f>VLOOKUP(C97,Recipes!$A$2:$N$4,12,FALSE())</f>
        <v>5.2703573566378441E-2</v>
      </c>
      <c r="K97" s="81">
        <f t="shared" si="8"/>
        <v>10.62377855860173</v>
      </c>
      <c r="L97" s="81">
        <f t="shared" si="9"/>
        <v>11.256221441398273</v>
      </c>
      <c r="M97" s="81" t="str">
        <f t="shared" si="11"/>
        <v>NG</v>
      </c>
      <c r="N97" s="117">
        <f t="shared" si="10"/>
        <v>1</v>
      </c>
      <c r="O97" s="81">
        <f t="shared" si="12"/>
        <v>1.4300000000000015</v>
      </c>
      <c r="P97" s="81">
        <f>IF(G97="","",ABS(O97-Components!$C$2)/Components!$D$2)</f>
        <v>200.23365737023585</v>
      </c>
      <c r="Q97" s="81">
        <f>IF(G97="","",ABS(O97-Components!$C$3)/Components!$D$3)</f>
        <v>188.88778395528144</v>
      </c>
      <c r="R97" s="81">
        <f>IF(G97="","",ABS(O97-Components!$C$4)/Components!$D$4)</f>
        <v>31.238142848566753</v>
      </c>
      <c r="S97" s="81">
        <f>IF(G97="","",ABS(O97-Components!$C$5)/Components!$D$5)</f>
        <v>124.41183150807063</v>
      </c>
      <c r="T97" s="81">
        <f>IF(G97="","",ABS(O97-Components!$C$6)/Components!$D$6)</f>
        <v>9.9293647983341842</v>
      </c>
      <c r="U97" s="81">
        <f>IF(G97="","",ABS(O97-Components!$C$7)/Components!$D$7)</f>
        <v>2.213777760657428</v>
      </c>
      <c r="V97" s="81" t="str">
        <f>IF(G97="","",IF(M97="OK","NONE",INDEX({"S1","S2","W1","W2","N1","N2"},MATCH(MIN(P97:U97),P97:U97,0))))</f>
        <v>N2</v>
      </c>
      <c r="W97" s="117">
        <f t="shared" si="13"/>
        <v>1</v>
      </c>
      <c r="X97" s="107"/>
    </row>
    <row r="98" spans="1:24">
      <c r="A98" s="115">
        <v>96</v>
      </c>
      <c r="B98" s="116">
        <v>4</v>
      </c>
      <c r="C98" s="81" t="s">
        <v>128</v>
      </c>
      <c r="D98" s="111" t="s">
        <v>240</v>
      </c>
      <c r="E98" s="81" t="s">
        <v>110</v>
      </c>
      <c r="F98" s="52">
        <v>8.48</v>
      </c>
      <c r="G98" s="52">
        <f t="shared" si="7"/>
        <v>9.4500000000000011</v>
      </c>
      <c r="H98" s="110"/>
      <c r="I98" s="81">
        <f>VLOOKUP(C98,Recipes!$A$2:$N$4,10,FALSE())</f>
        <v>10.940000000000001</v>
      </c>
      <c r="J98" s="81">
        <f>VLOOKUP(C98,Recipes!$A$2:$N$4,12,FALSE())</f>
        <v>5.2703573566378441E-2</v>
      </c>
      <c r="K98" s="81">
        <f t="shared" si="8"/>
        <v>10.62377855860173</v>
      </c>
      <c r="L98" s="81">
        <f t="shared" si="9"/>
        <v>11.256221441398273</v>
      </c>
      <c r="M98" s="81" t="str">
        <f t="shared" si="11"/>
        <v>NG</v>
      </c>
      <c r="N98" s="117">
        <f t="shared" si="10"/>
        <v>1</v>
      </c>
      <c r="O98" s="81">
        <f t="shared" si="12"/>
        <v>1.4900000000000002</v>
      </c>
      <c r="P98" s="81">
        <f>IF(G98="","",ABS(O98-Components!$C$2)/Components!$D$2)</f>
        <v>191.15505325773162</v>
      </c>
      <c r="Q98" s="81">
        <f>IF(G98="","",ABS(O98-Components!$C$3)/Components!$D$3)</f>
        <v>184.53887104763882</v>
      </c>
      <c r="R98" s="81">
        <f>IF(G98="","",ABS(O98-Components!$C$4)/Components!$D$4)</f>
        <v>35.530406751423143</v>
      </c>
      <c r="S98" s="81">
        <f>IF(G98="","",ABS(O98-Components!$C$5)/Components!$D$5)</f>
        <v>122.02897029595611</v>
      </c>
      <c r="T98" s="81">
        <f>IF(G98="","",ABS(O98-Components!$C$6)/Components!$D$6)</f>
        <v>12.101036321663621</v>
      </c>
      <c r="U98" s="81">
        <f>IF(G98="","",ABS(O98-Components!$C$7)/Components!$D$7)</f>
        <v>4.5998855266352399</v>
      </c>
      <c r="V98" s="81" t="str">
        <f>IF(G98="","",IF(M98="OK","NONE",INDEX({"S1","S2","W1","W2","N1","N2"},MATCH(MIN(P98:U98),P98:U98,0))))</f>
        <v>N2</v>
      </c>
      <c r="W98" s="117">
        <f t="shared" si="13"/>
        <v>1</v>
      </c>
      <c r="X98" s="107"/>
    </row>
    <row r="99" spans="1:24">
      <c r="A99" s="115">
        <v>97</v>
      </c>
      <c r="B99" s="116">
        <v>4</v>
      </c>
      <c r="C99" s="81" t="s">
        <v>128</v>
      </c>
      <c r="D99" s="111" t="s">
        <v>240</v>
      </c>
      <c r="E99" s="81" t="s">
        <v>110</v>
      </c>
      <c r="F99" s="52">
        <v>8.6</v>
      </c>
      <c r="G99" s="52">
        <f t="shared" si="7"/>
        <v>9.57</v>
      </c>
      <c r="H99" s="110"/>
      <c r="I99" s="81">
        <f>VLOOKUP(C99,Recipes!$A$2:$N$4,10,FALSE())</f>
        <v>10.940000000000001</v>
      </c>
      <c r="J99" s="81">
        <f>VLOOKUP(C99,Recipes!$A$2:$N$4,12,FALSE())</f>
        <v>5.2703573566378441E-2</v>
      </c>
      <c r="K99" s="81">
        <f t="shared" si="8"/>
        <v>10.62377855860173</v>
      </c>
      <c r="L99" s="81">
        <f t="shared" si="9"/>
        <v>11.256221441398273</v>
      </c>
      <c r="M99" s="81" t="str">
        <f t="shared" si="11"/>
        <v>NG</v>
      </c>
      <c r="N99" s="117">
        <f t="shared" si="10"/>
        <v>1</v>
      </c>
      <c r="O99" s="81">
        <f t="shared" si="12"/>
        <v>1.370000000000001</v>
      </c>
      <c r="P99" s="81">
        <f>IF(G99="","",ABS(O99-Components!$C$2)/Components!$D$2)</f>
        <v>209.31226148274035</v>
      </c>
      <c r="Q99" s="81">
        <f>IF(G99="","",ABS(O99-Components!$C$3)/Components!$D$3)</f>
        <v>193.23669686292419</v>
      </c>
      <c r="R99" s="81">
        <f>IF(G99="","",ABS(O99-Components!$C$4)/Components!$D$4)</f>
        <v>26.945878945710238</v>
      </c>
      <c r="S99" s="81">
        <f>IF(G99="","",ABS(O99-Components!$C$5)/Components!$D$5)</f>
        <v>126.79469272018522</v>
      </c>
      <c r="T99" s="81">
        <f>IF(G99="","",ABS(O99-Components!$C$6)/Components!$D$6)</f>
        <v>7.7576932750046828</v>
      </c>
      <c r="U99" s="81">
        <f>IF(G99="","",ABS(O99-Components!$C$7)/Components!$D$7)</f>
        <v>0.17233000532045431</v>
      </c>
      <c r="V99" s="81" t="str">
        <f>IF(G99="","",IF(M99="OK","NONE",INDEX({"S1","S2","W1","W2","N1","N2"},MATCH(MIN(P99:U99),P99:U99,0))))</f>
        <v>N2</v>
      </c>
      <c r="W99" s="117">
        <f t="shared" si="13"/>
        <v>1</v>
      </c>
      <c r="X99" s="107"/>
    </row>
    <row r="100" spans="1:24">
      <c r="A100" s="115">
        <v>98</v>
      </c>
      <c r="B100" s="116">
        <v>4</v>
      </c>
      <c r="C100" s="81" t="s">
        <v>128</v>
      </c>
      <c r="D100" s="111" t="s">
        <v>240</v>
      </c>
      <c r="E100" s="81" t="s">
        <v>110</v>
      </c>
      <c r="F100" s="52">
        <v>8.6300000000000008</v>
      </c>
      <c r="G100" s="52">
        <f t="shared" si="7"/>
        <v>9.6000000000000014</v>
      </c>
      <c r="H100" s="110"/>
      <c r="I100" s="81">
        <f>VLOOKUP(C100,Recipes!$A$2:$N$4,10,FALSE())</f>
        <v>10.940000000000001</v>
      </c>
      <c r="J100" s="81">
        <f>VLOOKUP(C100,Recipes!$A$2:$N$4,12,FALSE())</f>
        <v>5.2703573566378441E-2</v>
      </c>
      <c r="K100" s="81">
        <f t="shared" si="8"/>
        <v>10.62377855860173</v>
      </c>
      <c r="L100" s="81">
        <f t="shared" si="9"/>
        <v>11.256221441398273</v>
      </c>
      <c r="M100" s="81" t="str">
        <f t="shared" si="11"/>
        <v>NG</v>
      </c>
      <c r="N100" s="117">
        <f t="shared" si="10"/>
        <v>1</v>
      </c>
      <c r="O100" s="81">
        <f t="shared" si="12"/>
        <v>1.3399999999999999</v>
      </c>
      <c r="P100" s="81">
        <f>IF(G100="","",ABS(O100-Components!$C$2)/Components!$D$2)</f>
        <v>213.85156353899274</v>
      </c>
      <c r="Q100" s="81">
        <f>IF(G100="","",ABS(O100-Components!$C$3)/Components!$D$3)</f>
        <v>195.41115331674561</v>
      </c>
      <c r="R100" s="81">
        <f>IF(G100="","",ABS(O100-Components!$C$4)/Components!$D$4)</f>
        <v>24.799746994281914</v>
      </c>
      <c r="S100" s="81">
        <f>IF(G100="","",ABS(O100-Components!$C$5)/Components!$D$5)</f>
        <v>127.98612332624255</v>
      </c>
      <c r="T100" s="81">
        <f>IF(G100="","",ABS(O100-Components!$C$6)/Components!$D$6)</f>
        <v>6.6718575133398996</v>
      </c>
      <c r="U100" s="81">
        <f>IF(G100="","",ABS(O100-Components!$C$7)/Components!$D$7)</f>
        <v>1.3653838883094307</v>
      </c>
      <c r="V100" s="81" t="str">
        <f>IF(G100="","",IF(M100="OK","NONE",INDEX({"S1","S2","W1","W2","N1","N2"},MATCH(MIN(P100:U100),P100:U100,0))))</f>
        <v>N2</v>
      </c>
      <c r="W100" s="117">
        <f t="shared" si="13"/>
        <v>1</v>
      </c>
      <c r="X100" s="107"/>
    </row>
    <row r="101" spans="1:24">
      <c r="A101" s="115">
        <v>99</v>
      </c>
      <c r="B101" s="116">
        <v>4</v>
      </c>
      <c r="C101" s="81" t="s">
        <v>128</v>
      </c>
      <c r="D101" s="111" t="s">
        <v>240</v>
      </c>
      <c r="E101" s="81" t="s">
        <v>110</v>
      </c>
      <c r="F101" s="52">
        <v>8.6</v>
      </c>
      <c r="G101" s="52">
        <f t="shared" si="7"/>
        <v>9.57</v>
      </c>
      <c r="H101" s="110"/>
      <c r="I101" s="81">
        <f>VLOOKUP(C101,Recipes!$A$2:$N$4,10,FALSE())</f>
        <v>10.940000000000001</v>
      </c>
      <c r="J101" s="81">
        <f>VLOOKUP(C101,Recipes!$A$2:$N$4,12,FALSE())</f>
        <v>5.2703573566378441E-2</v>
      </c>
      <c r="K101" s="81">
        <f t="shared" si="8"/>
        <v>10.62377855860173</v>
      </c>
      <c r="L101" s="81">
        <f t="shared" si="9"/>
        <v>11.256221441398273</v>
      </c>
      <c r="M101" s="81" t="str">
        <f t="shared" si="11"/>
        <v>NG</v>
      </c>
      <c r="N101" s="117">
        <f t="shared" si="10"/>
        <v>1</v>
      </c>
      <c r="O101" s="81">
        <f t="shared" si="12"/>
        <v>1.370000000000001</v>
      </c>
      <c r="P101" s="81">
        <f>IF(G101="","",ABS(O101-Components!$C$2)/Components!$D$2)</f>
        <v>209.31226148274035</v>
      </c>
      <c r="Q101" s="81">
        <f>IF(G101="","",ABS(O101-Components!$C$3)/Components!$D$3)</f>
        <v>193.23669686292419</v>
      </c>
      <c r="R101" s="81">
        <f>IF(G101="","",ABS(O101-Components!$C$4)/Components!$D$4)</f>
        <v>26.945878945710238</v>
      </c>
      <c r="S101" s="81">
        <f>IF(G101="","",ABS(O101-Components!$C$5)/Components!$D$5)</f>
        <v>126.79469272018522</v>
      </c>
      <c r="T101" s="81">
        <f>IF(G101="","",ABS(O101-Components!$C$6)/Components!$D$6)</f>
        <v>7.7576932750046828</v>
      </c>
      <c r="U101" s="81">
        <f>IF(G101="","",ABS(O101-Components!$C$7)/Components!$D$7)</f>
        <v>0.17233000532045431</v>
      </c>
      <c r="V101" s="81" t="str">
        <f>IF(G101="","",IF(M101="OK","NONE",INDEX({"S1","S2","W1","W2","N1","N2"},MATCH(MIN(P101:U101),P101:U101,0))))</f>
        <v>N2</v>
      </c>
      <c r="W101" s="117">
        <f t="shared" si="13"/>
        <v>1</v>
      </c>
      <c r="X101" s="107"/>
    </row>
    <row r="102" spans="1:24">
      <c r="A102" s="115">
        <v>100</v>
      </c>
      <c r="B102" s="116">
        <v>4</v>
      </c>
      <c r="C102" s="81" t="s">
        <v>128</v>
      </c>
      <c r="D102" s="111" t="s">
        <v>240</v>
      </c>
      <c r="E102" s="81" t="s">
        <v>110</v>
      </c>
      <c r="F102" s="52">
        <v>8.6199999999999992</v>
      </c>
      <c r="G102" s="52">
        <f t="shared" si="7"/>
        <v>9.59</v>
      </c>
      <c r="H102" s="110"/>
      <c r="I102" s="81">
        <f>VLOOKUP(C102,Recipes!$A$2:$N$4,10,FALSE())</f>
        <v>10.940000000000001</v>
      </c>
      <c r="J102" s="81">
        <f>VLOOKUP(C102,Recipes!$A$2:$N$4,12,FALSE())</f>
        <v>5.2703573566378441E-2</v>
      </c>
      <c r="K102" s="81">
        <f t="shared" si="8"/>
        <v>10.62377855860173</v>
      </c>
      <c r="L102" s="81">
        <f t="shared" si="9"/>
        <v>11.256221441398273</v>
      </c>
      <c r="M102" s="81" t="str">
        <f t="shared" si="11"/>
        <v>NG</v>
      </c>
      <c r="N102" s="117">
        <f t="shared" si="10"/>
        <v>1</v>
      </c>
      <c r="O102" s="81">
        <f t="shared" si="12"/>
        <v>1.3500000000000014</v>
      </c>
      <c r="P102" s="81">
        <f>IF(G102="","",ABS(O102-Components!$C$2)/Components!$D$2)</f>
        <v>212.33846285357509</v>
      </c>
      <c r="Q102" s="81">
        <f>IF(G102="","",ABS(O102-Components!$C$3)/Components!$D$3)</f>
        <v>194.68633449880505</v>
      </c>
      <c r="R102" s="81">
        <f>IF(G102="","",ABS(O102-Components!$C$4)/Components!$D$4)</f>
        <v>25.515124311424774</v>
      </c>
      <c r="S102" s="81">
        <f>IF(G102="","",ABS(O102-Components!$C$5)/Components!$D$5)</f>
        <v>127.58897979089005</v>
      </c>
      <c r="T102" s="81">
        <f>IF(G102="","",ABS(O102-Components!$C$6)/Components!$D$6)</f>
        <v>7.0338027672282033</v>
      </c>
      <c r="U102" s="81">
        <f>IF(G102="","",ABS(O102-Components!$C$7)/Components!$D$7)</f>
        <v>0.96769926064639156</v>
      </c>
      <c r="V102" s="81" t="str">
        <f>IF(G102="","",IF(M102="OK","NONE",INDEX({"S1","S2","W1","W2","N1","N2"},MATCH(MIN(P102:U102),P102:U102,0))))</f>
        <v>N2</v>
      </c>
      <c r="W102" s="117">
        <f t="shared" si="13"/>
        <v>1</v>
      </c>
      <c r="X102" s="107"/>
    </row>
    <row r="103" spans="1:24">
      <c r="A103" s="115">
        <v>101</v>
      </c>
      <c r="B103" s="116">
        <v>4</v>
      </c>
      <c r="C103" s="81" t="s">
        <v>128</v>
      </c>
      <c r="D103" s="111" t="s">
        <v>240</v>
      </c>
      <c r="E103" s="81" t="s">
        <v>110</v>
      </c>
      <c r="F103" s="52">
        <v>8.6</v>
      </c>
      <c r="G103" s="52">
        <f t="shared" si="7"/>
        <v>9.57</v>
      </c>
      <c r="H103" s="110"/>
      <c r="I103" s="81">
        <f>VLOOKUP(C103,Recipes!$A$2:$N$4,10,FALSE())</f>
        <v>10.940000000000001</v>
      </c>
      <c r="J103" s="81">
        <f>VLOOKUP(C103,Recipes!$A$2:$N$4,12,FALSE())</f>
        <v>5.2703573566378441E-2</v>
      </c>
      <c r="K103" s="81">
        <f t="shared" si="8"/>
        <v>10.62377855860173</v>
      </c>
      <c r="L103" s="81">
        <f t="shared" si="9"/>
        <v>11.256221441398273</v>
      </c>
      <c r="M103" s="81" t="str">
        <f t="shared" si="11"/>
        <v>NG</v>
      </c>
      <c r="N103" s="117">
        <f t="shared" si="10"/>
        <v>1</v>
      </c>
      <c r="O103" s="81">
        <f t="shared" si="12"/>
        <v>1.370000000000001</v>
      </c>
      <c r="P103" s="81">
        <f>IF(G103="","",ABS(O103-Components!$C$2)/Components!$D$2)</f>
        <v>209.31226148274035</v>
      </c>
      <c r="Q103" s="81">
        <f>IF(G103="","",ABS(O103-Components!$C$3)/Components!$D$3)</f>
        <v>193.23669686292419</v>
      </c>
      <c r="R103" s="81">
        <f>IF(G103="","",ABS(O103-Components!$C$4)/Components!$D$4)</f>
        <v>26.945878945710238</v>
      </c>
      <c r="S103" s="81">
        <f>IF(G103="","",ABS(O103-Components!$C$5)/Components!$D$5)</f>
        <v>126.79469272018522</v>
      </c>
      <c r="T103" s="81">
        <f>IF(G103="","",ABS(O103-Components!$C$6)/Components!$D$6)</f>
        <v>7.7576932750046828</v>
      </c>
      <c r="U103" s="81">
        <f>IF(G103="","",ABS(O103-Components!$C$7)/Components!$D$7)</f>
        <v>0.17233000532045431</v>
      </c>
      <c r="V103" s="81" t="str">
        <f>IF(G103="","",IF(M103="OK","NONE",INDEX({"S1","S2","W1","W2","N1","N2"},MATCH(MIN(P103:U103),P103:U103,0))))</f>
        <v>N2</v>
      </c>
      <c r="W103" s="117">
        <f t="shared" si="13"/>
        <v>1</v>
      </c>
      <c r="X103" s="107"/>
    </row>
    <row r="104" spans="1:24">
      <c r="A104" s="115">
        <v>102</v>
      </c>
      <c r="B104" s="116">
        <v>4</v>
      </c>
      <c r="C104" s="81" t="s">
        <v>128</v>
      </c>
      <c r="D104" s="111" t="s">
        <v>240</v>
      </c>
      <c r="E104" s="81" t="s">
        <v>110</v>
      </c>
      <c r="F104" s="52">
        <v>8.5399999999999991</v>
      </c>
      <c r="G104" s="52">
        <f t="shared" si="7"/>
        <v>9.51</v>
      </c>
      <c r="H104" s="110"/>
      <c r="I104" s="81">
        <f>VLOOKUP(C104,Recipes!$A$2:$N$4,10,FALSE())</f>
        <v>10.940000000000001</v>
      </c>
      <c r="J104" s="81">
        <f>VLOOKUP(C104,Recipes!$A$2:$N$4,12,FALSE())</f>
        <v>5.2703573566378441E-2</v>
      </c>
      <c r="K104" s="81">
        <f t="shared" si="8"/>
        <v>10.62377855860173</v>
      </c>
      <c r="L104" s="81">
        <f t="shared" si="9"/>
        <v>11.256221441398273</v>
      </c>
      <c r="M104" s="81" t="str">
        <f t="shared" si="11"/>
        <v>NG</v>
      </c>
      <c r="N104" s="117">
        <f t="shared" si="10"/>
        <v>1</v>
      </c>
      <c r="O104" s="81">
        <f t="shared" si="12"/>
        <v>1.4300000000000015</v>
      </c>
      <c r="P104" s="81">
        <f>IF(G104="","",ABS(O104-Components!$C$2)/Components!$D$2)</f>
        <v>200.23365737023585</v>
      </c>
      <c r="Q104" s="81">
        <f>IF(G104="","",ABS(O104-Components!$C$3)/Components!$D$3)</f>
        <v>188.88778395528144</v>
      </c>
      <c r="R104" s="81">
        <f>IF(G104="","",ABS(O104-Components!$C$4)/Components!$D$4)</f>
        <v>31.238142848566753</v>
      </c>
      <c r="S104" s="81">
        <f>IF(G104="","",ABS(O104-Components!$C$5)/Components!$D$5)</f>
        <v>124.41183150807063</v>
      </c>
      <c r="T104" s="81">
        <f>IF(G104="","",ABS(O104-Components!$C$6)/Components!$D$6)</f>
        <v>9.9293647983341842</v>
      </c>
      <c r="U104" s="81">
        <f>IF(G104="","",ABS(O104-Components!$C$7)/Components!$D$7)</f>
        <v>2.213777760657428</v>
      </c>
      <c r="V104" s="81" t="str">
        <f>IF(G104="","",IF(M104="OK","NONE",INDEX({"S1","S2","W1","W2","N1","N2"},MATCH(MIN(P104:U104),P104:U104,0))))</f>
        <v>N2</v>
      </c>
      <c r="W104" s="117">
        <f t="shared" si="13"/>
        <v>1</v>
      </c>
      <c r="X104" s="107"/>
    </row>
    <row r="105" spans="1:24">
      <c r="A105" s="115">
        <v>103</v>
      </c>
      <c r="B105" s="116">
        <v>4</v>
      </c>
      <c r="C105" s="81" t="s">
        <v>128</v>
      </c>
      <c r="D105" s="111" t="s">
        <v>240</v>
      </c>
      <c r="E105" s="81" t="s">
        <v>110</v>
      </c>
      <c r="F105" s="52">
        <v>8.64</v>
      </c>
      <c r="G105" s="52">
        <f t="shared" si="7"/>
        <v>9.6100000000000012</v>
      </c>
      <c r="H105" s="110"/>
      <c r="I105" s="81">
        <f>VLOOKUP(C105,Recipes!$A$2:$N$4,10,FALSE())</f>
        <v>10.940000000000001</v>
      </c>
      <c r="J105" s="81">
        <f>VLOOKUP(C105,Recipes!$A$2:$N$4,12,FALSE())</f>
        <v>5.2703573566378441E-2</v>
      </c>
      <c r="K105" s="81">
        <f t="shared" si="8"/>
        <v>10.62377855860173</v>
      </c>
      <c r="L105" s="81">
        <f t="shared" si="9"/>
        <v>11.256221441398273</v>
      </c>
      <c r="M105" s="81" t="str">
        <f t="shared" si="11"/>
        <v>NG</v>
      </c>
      <c r="N105" s="117">
        <f t="shared" si="10"/>
        <v>1</v>
      </c>
      <c r="O105" s="81">
        <f t="shared" si="12"/>
        <v>1.33</v>
      </c>
      <c r="P105" s="81">
        <f>IF(G105="","",ABS(O105-Components!$C$2)/Components!$D$2)</f>
        <v>215.36466422441012</v>
      </c>
      <c r="Q105" s="81">
        <f>IF(G105="","",ABS(O105-Components!$C$3)/Components!$D$3)</f>
        <v>196.13597213468606</v>
      </c>
      <c r="R105" s="81">
        <f>IF(G105="","",ABS(O105-Components!$C$4)/Components!$D$4)</f>
        <v>24.084369677139183</v>
      </c>
      <c r="S105" s="81">
        <f>IF(G105="","",ABS(O105-Components!$C$5)/Components!$D$5)</f>
        <v>128.38326686159496</v>
      </c>
      <c r="T105" s="81">
        <f>IF(G105="","",ABS(O105-Components!$C$6)/Components!$D$6)</f>
        <v>6.3099122594516599</v>
      </c>
      <c r="U105" s="81">
        <f>IF(G105="","",ABS(O105-Components!$C$7)/Components!$D$7)</f>
        <v>1.7630685159723993</v>
      </c>
      <c r="V105" s="81" t="str">
        <f>IF(G105="","",IF(M105="OK","NONE",INDEX({"S1","S2","W1","W2","N1","N2"},MATCH(MIN(P105:U105),P105:U105,0))))</f>
        <v>N2</v>
      </c>
      <c r="W105" s="117">
        <f t="shared" si="13"/>
        <v>1</v>
      </c>
      <c r="X105" s="107"/>
    </row>
    <row r="106" spans="1:24">
      <c r="A106" s="115">
        <v>104</v>
      </c>
      <c r="B106" s="116">
        <v>4</v>
      </c>
      <c r="C106" s="81" t="s">
        <v>128</v>
      </c>
      <c r="D106" s="111" t="s">
        <v>240</v>
      </c>
      <c r="E106" s="81" t="s">
        <v>110</v>
      </c>
      <c r="F106" s="52">
        <v>8.6</v>
      </c>
      <c r="G106" s="52">
        <f t="shared" si="7"/>
        <v>9.57</v>
      </c>
      <c r="H106" s="110"/>
      <c r="I106" s="81">
        <f>VLOOKUP(C106,Recipes!$A$2:$N$4,10,FALSE())</f>
        <v>10.940000000000001</v>
      </c>
      <c r="J106" s="81">
        <f>VLOOKUP(C106,Recipes!$A$2:$N$4,12,FALSE())</f>
        <v>5.2703573566378441E-2</v>
      </c>
      <c r="K106" s="81">
        <f t="shared" si="8"/>
        <v>10.62377855860173</v>
      </c>
      <c r="L106" s="81">
        <f t="shared" si="9"/>
        <v>11.256221441398273</v>
      </c>
      <c r="M106" s="81" t="str">
        <f t="shared" si="11"/>
        <v>NG</v>
      </c>
      <c r="N106" s="117">
        <f t="shared" si="10"/>
        <v>1</v>
      </c>
      <c r="O106" s="81">
        <f t="shared" si="12"/>
        <v>1.370000000000001</v>
      </c>
      <c r="P106" s="81">
        <f>IF(G106="","",ABS(O106-Components!$C$2)/Components!$D$2)</f>
        <v>209.31226148274035</v>
      </c>
      <c r="Q106" s="81">
        <f>IF(G106="","",ABS(O106-Components!$C$3)/Components!$D$3)</f>
        <v>193.23669686292419</v>
      </c>
      <c r="R106" s="81">
        <f>IF(G106="","",ABS(O106-Components!$C$4)/Components!$D$4)</f>
        <v>26.945878945710238</v>
      </c>
      <c r="S106" s="81">
        <f>IF(G106="","",ABS(O106-Components!$C$5)/Components!$D$5)</f>
        <v>126.79469272018522</v>
      </c>
      <c r="T106" s="81">
        <f>IF(G106="","",ABS(O106-Components!$C$6)/Components!$D$6)</f>
        <v>7.7576932750046828</v>
      </c>
      <c r="U106" s="81">
        <f>IF(G106="","",ABS(O106-Components!$C$7)/Components!$D$7)</f>
        <v>0.17233000532045431</v>
      </c>
      <c r="V106" s="81" t="str">
        <f>IF(G106="","",IF(M106="OK","NONE",INDEX({"S1","S2","W1","W2","N1","N2"},MATCH(MIN(P106:U106),P106:U106,0))))</f>
        <v>N2</v>
      </c>
      <c r="W106" s="117">
        <f t="shared" si="13"/>
        <v>1</v>
      </c>
      <c r="X106" s="107"/>
    </row>
    <row r="107" spans="1:24">
      <c r="A107" s="115">
        <v>105</v>
      </c>
      <c r="B107" s="116">
        <v>4</v>
      </c>
      <c r="C107" s="81" t="s">
        <v>128</v>
      </c>
      <c r="D107" s="111" t="s">
        <v>240</v>
      </c>
      <c r="E107" s="81" t="s">
        <v>110</v>
      </c>
      <c r="F107" s="52">
        <v>8.59</v>
      </c>
      <c r="G107" s="52">
        <f t="shared" si="7"/>
        <v>9.56</v>
      </c>
      <c r="H107" s="110"/>
      <c r="I107" s="81">
        <f>VLOOKUP(C107,Recipes!$A$2:$N$4,10,FALSE())</f>
        <v>10.940000000000001</v>
      </c>
      <c r="J107" s="81">
        <f>VLOOKUP(C107,Recipes!$A$2:$N$4,12,FALSE())</f>
        <v>5.2703573566378441E-2</v>
      </c>
      <c r="K107" s="81">
        <f t="shared" si="8"/>
        <v>10.62377855860173</v>
      </c>
      <c r="L107" s="81">
        <f t="shared" si="9"/>
        <v>11.256221441398273</v>
      </c>
      <c r="M107" s="81" t="str">
        <f t="shared" si="11"/>
        <v>NG</v>
      </c>
      <c r="N107" s="117">
        <f t="shared" si="10"/>
        <v>1</v>
      </c>
      <c r="O107" s="81">
        <f t="shared" si="12"/>
        <v>1.3800000000000008</v>
      </c>
      <c r="P107" s="81">
        <f>IF(G107="","",ABS(O107-Components!$C$2)/Components!$D$2)</f>
        <v>207.799160797323</v>
      </c>
      <c r="Q107" s="81">
        <f>IF(G107="","",ABS(O107-Components!$C$3)/Components!$D$3)</f>
        <v>192.51187804498375</v>
      </c>
      <c r="R107" s="81">
        <f>IF(G107="","",ABS(O107-Components!$C$4)/Components!$D$4)</f>
        <v>27.661256262852969</v>
      </c>
      <c r="S107" s="81">
        <f>IF(G107="","",ABS(O107-Components!$C$5)/Components!$D$5)</f>
        <v>126.3975491848328</v>
      </c>
      <c r="T107" s="81">
        <f>IF(G107="","",ABS(O107-Components!$C$6)/Components!$D$6)</f>
        <v>8.1196385288929225</v>
      </c>
      <c r="U107" s="81">
        <f>IF(G107="","",ABS(O107-Components!$C$7)/Components!$D$7)</f>
        <v>0.2253546223425143</v>
      </c>
      <c r="V107" s="81" t="str">
        <f>IF(G107="","",IF(M107="OK","NONE",INDEX({"S1","S2","W1","W2","N1","N2"},MATCH(MIN(P107:U107),P107:U107,0))))</f>
        <v>N2</v>
      </c>
      <c r="W107" s="117">
        <f t="shared" si="13"/>
        <v>1</v>
      </c>
      <c r="X107" s="107"/>
    </row>
    <row r="108" spans="1:24">
      <c r="A108" s="115">
        <v>106</v>
      </c>
      <c r="B108" s="116">
        <v>4</v>
      </c>
      <c r="C108" s="81" t="s">
        <v>128</v>
      </c>
      <c r="D108" s="111" t="s">
        <v>240</v>
      </c>
      <c r="E108" s="81" t="s">
        <v>110</v>
      </c>
      <c r="F108" s="52">
        <v>8.57</v>
      </c>
      <c r="G108" s="52">
        <f t="shared" si="7"/>
        <v>9.5400000000000009</v>
      </c>
      <c r="H108" s="110"/>
      <c r="I108" s="81">
        <f>VLOOKUP(C108,Recipes!$A$2:$N$4,10,FALSE())</f>
        <v>10.940000000000001</v>
      </c>
      <c r="J108" s="81">
        <f>VLOOKUP(C108,Recipes!$A$2:$N$4,12,FALSE())</f>
        <v>5.2703573566378441E-2</v>
      </c>
      <c r="K108" s="81">
        <f t="shared" si="8"/>
        <v>10.62377855860173</v>
      </c>
      <c r="L108" s="81">
        <f t="shared" si="9"/>
        <v>11.256221441398273</v>
      </c>
      <c r="M108" s="81" t="str">
        <f t="shared" si="11"/>
        <v>NG</v>
      </c>
      <c r="N108" s="117">
        <f t="shared" si="10"/>
        <v>1</v>
      </c>
      <c r="O108" s="81">
        <f t="shared" si="12"/>
        <v>1.4000000000000004</v>
      </c>
      <c r="P108" s="81">
        <f>IF(G108="","",ABS(O108-Components!$C$2)/Components!$D$2)</f>
        <v>204.77295942648823</v>
      </c>
      <c r="Q108" s="81">
        <f>IF(G108="","",ABS(O108-Components!$C$3)/Components!$D$3)</f>
        <v>191.06224040910288</v>
      </c>
      <c r="R108" s="81">
        <f>IF(G108="","",ABS(O108-Components!$C$4)/Components!$D$4)</f>
        <v>29.092010897138433</v>
      </c>
      <c r="S108" s="81">
        <f>IF(G108="","",ABS(O108-Components!$C$5)/Components!$D$5)</f>
        <v>125.60326211412796</v>
      </c>
      <c r="T108" s="81">
        <f>IF(G108="","",ABS(O108-Components!$C$6)/Components!$D$6)</f>
        <v>8.8435290366694002</v>
      </c>
      <c r="U108" s="81">
        <f>IF(G108="","",ABS(O108-Components!$C$7)/Components!$D$7)</f>
        <v>1.0207238776684515</v>
      </c>
      <c r="V108" s="81" t="str">
        <f>IF(G108="","",IF(M108="OK","NONE",INDEX({"S1","S2","W1","W2","N1","N2"},MATCH(MIN(P108:U108),P108:U108,0))))</f>
        <v>N2</v>
      </c>
      <c r="W108" s="117">
        <f t="shared" si="13"/>
        <v>1</v>
      </c>
      <c r="X108" s="107"/>
    </row>
    <row r="109" spans="1:24">
      <c r="A109" s="115">
        <v>107</v>
      </c>
      <c r="B109" s="116">
        <v>4</v>
      </c>
      <c r="C109" s="81" t="s">
        <v>128</v>
      </c>
      <c r="D109" s="111" t="s">
        <v>240</v>
      </c>
      <c r="E109" s="81" t="s">
        <v>110</v>
      </c>
      <c r="F109" s="52">
        <v>8.61</v>
      </c>
      <c r="G109" s="52">
        <f t="shared" si="7"/>
        <v>9.58</v>
      </c>
      <c r="H109" s="110"/>
      <c r="I109" s="81">
        <f>VLOOKUP(C109,Recipes!$A$2:$N$4,10,FALSE())</f>
        <v>10.940000000000001</v>
      </c>
      <c r="J109" s="81">
        <f>VLOOKUP(C109,Recipes!$A$2:$N$4,12,FALSE())</f>
        <v>5.2703573566378441E-2</v>
      </c>
      <c r="K109" s="81">
        <f t="shared" si="8"/>
        <v>10.62377855860173</v>
      </c>
      <c r="L109" s="81">
        <f t="shared" si="9"/>
        <v>11.256221441398273</v>
      </c>
      <c r="M109" s="81" t="str">
        <f t="shared" si="11"/>
        <v>NG</v>
      </c>
      <c r="N109" s="117">
        <f t="shared" si="10"/>
        <v>1</v>
      </c>
      <c r="O109" s="81">
        <f t="shared" si="12"/>
        <v>1.3600000000000012</v>
      </c>
      <c r="P109" s="81">
        <f>IF(G109="","",ABS(O109-Components!$C$2)/Components!$D$2)</f>
        <v>210.82536216815774</v>
      </c>
      <c r="Q109" s="81">
        <f>IF(G109="","",ABS(O109-Components!$C$3)/Components!$D$3)</f>
        <v>193.96151568086464</v>
      </c>
      <c r="R109" s="81">
        <f>IF(G109="","",ABS(O109-Components!$C$4)/Components!$D$4)</f>
        <v>26.230501628567506</v>
      </c>
      <c r="S109" s="81">
        <f>IF(G109="","",ABS(O109-Components!$C$5)/Components!$D$5)</f>
        <v>127.19183625553764</v>
      </c>
      <c r="T109" s="81">
        <f>IF(G109="","",ABS(O109-Components!$C$6)/Components!$D$6)</f>
        <v>7.395748021116443</v>
      </c>
      <c r="U109" s="81">
        <f>IF(G109="","",ABS(O109-Components!$C$7)/Components!$D$7)</f>
        <v>0.57001463298342292</v>
      </c>
      <c r="V109" s="81" t="str">
        <f>IF(G109="","",IF(M109="OK","NONE",INDEX({"S1","S2","W1","W2","N1","N2"},MATCH(MIN(P109:U109),P109:U109,0))))</f>
        <v>N2</v>
      </c>
      <c r="W109" s="117">
        <f t="shared" si="13"/>
        <v>1</v>
      </c>
      <c r="X109" s="107"/>
    </row>
    <row r="110" spans="1:24">
      <c r="A110" s="115">
        <v>108</v>
      </c>
      <c r="B110" s="116">
        <v>4</v>
      </c>
      <c r="C110" s="81" t="s">
        <v>128</v>
      </c>
      <c r="D110" s="111" t="s">
        <v>240</v>
      </c>
      <c r="E110" s="81" t="s">
        <v>110</v>
      </c>
      <c r="F110" s="52">
        <v>8.59</v>
      </c>
      <c r="G110" s="52">
        <f t="shared" si="7"/>
        <v>9.56</v>
      </c>
      <c r="H110" s="110"/>
      <c r="I110" s="81">
        <f>VLOOKUP(C110,Recipes!$A$2:$N$4,10,FALSE())</f>
        <v>10.940000000000001</v>
      </c>
      <c r="J110" s="81">
        <f>VLOOKUP(C110,Recipes!$A$2:$N$4,12,FALSE())</f>
        <v>5.2703573566378441E-2</v>
      </c>
      <c r="K110" s="81">
        <f t="shared" si="8"/>
        <v>10.62377855860173</v>
      </c>
      <c r="L110" s="81">
        <f t="shared" si="9"/>
        <v>11.256221441398273</v>
      </c>
      <c r="M110" s="81" t="str">
        <f t="shared" si="11"/>
        <v>NG</v>
      </c>
      <c r="N110" s="117">
        <f t="shared" si="10"/>
        <v>1</v>
      </c>
      <c r="O110" s="81">
        <f t="shared" si="12"/>
        <v>1.3800000000000008</v>
      </c>
      <c r="P110" s="81">
        <f>IF(G110="","",ABS(O110-Components!$C$2)/Components!$D$2)</f>
        <v>207.799160797323</v>
      </c>
      <c r="Q110" s="81">
        <f>IF(G110="","",ABS(O110-Components!$C$3)/Components!$D$3)</f>
        <v>192.51187804498375</v>
      </c>
      <c r="R110" s="81">
        <f>IF(G110="","",ABS(O110-Components!$C$4)/Components!$D$4)</f>
        <v>27.661256262852969</v>
      </c>
      <c r="S110" s="81">
        <f>IF(G110="","",ABS(O110-Components!$C$5)/Components!$D$5)</f>
        <v>126.3975491848328</v>
      </c>
      <c r="T110" s="81">
        <f>IF(G110="","",ABS(O110-Components!$C$6)/Components!$D$6)</f>
        <v>8.1196385288929225</v>
      </c>
      <c r="U110" s="81">
        <f>IF(G110="","",ABS(O110-Components!$C$7)/Components!$D$7)</f>
        <v>0.2253546223425143</v>
      </c>
      <c r="V110" s="81" t="str">
        <f>IF(G110="","",IF(M110="OK","NONE",INDEX({"S1","S2","W1","W2","N1","N2"},MATCH(MIN(P110:U110),P110:U110,0))))</f>
        <v>N2</v>
      </c>
      <c r="W110" s="117">
        <f t="shared" si="13"/>
        <v>1</v>
      </c>
      <c r="X110" s="107"/>
    </row>
    <row r="111" spans="1:24">
      <c r="A111" s="115">
        <v>109</v>
      </c>
      <c r="B111" s="116">
        <v>4</v>
      </c>
      <c r="C111" s="81" t="s">
        <v>128</v>
      </c>
      <c r="D111" s="111" t="s">
        <v>240</v>
      </c>
      <c r="E111" s="81" t="s">
        <v>110</v>
      </c>
      <c r="F111" s="52">
        <v>8.5</v>
      </c>
      <c r="G111" s="52">
        <f t="shared" si="7"/>
        <v>9.4700000000000006</v>
      </c>
      <c r="H111" s="110"/>
      <c r="I111" s="81">
        <f>VLOOKUP(C111,Recipes!$A$2:$N$4,10,FALSE())</f>
        <v>10.940000000000001</v>
      </c>
      <c r="J111" s="81">
        <f>VLOOKUP(C111,Recipes!$A$2:$N$4,12,FALSE())</f>
        <v>5.2703573566378441E-2</v>
      </c>
      <c r="K111" s="81">
        <f t="shared" si="8"/>
        <v>10.62377855860173</v>
      </c>
      <c r="L111" s="81">
        <f t="shared" si="9"/>
        <v>11.256221441398273</v>
      </c>
      <c r="M111" s="81" t="str">
        <f t="shared" si="11"/>
        <v>NG</v>
      </c>
      <c r="N111" s="117">
        <f t="shared" si="10"/>
        <v>1</v>
      </c>
      <c r="O111" s="81">
        <f t="shared" si="12"/>
        <v>1.4700000000000006</v>
      </c>
      <c r="P111" s="81">
        <f>IF(G111="","",ABS(O111-Components!$C$2)/Components!$D$2)</f>
        <v>194.18125462856636</v>
      </c>
      <c r="Q111" s="81">
        <f>IF(G111="","",ABS(O111-Components!$C$3)/Components!$D$3)</f>
        <v>185.98850868351971</v>
      </c>
      <c r="R111" s="81">
        <f>IF(G111="","",ABS(O111-Components!$C$4)/Components!$D$4)</f>
        <v>34.09965211713768</v>
      </c>
      <c r="S111" s="81">
        <f>IF(G111="","",ABS(O111-Components!$C$5)/Components!$D$5)</f>
        <v>122.82325736666095</v>
      </c>
      <c r="T111" s="81">
        <f>IF(G111="","",ABS(O111-Components!$C$6)/Components!$D$6)</f>
        <v>11.377145813887141</v>
      </c>
      <c r="U111" s="81">
        <f>IF(G111="","",ABS(O111-Components!$C$7)/Components!$D$7)</f>
        <v>3.8045162713093026</v>
      </c>
      <c r="V111" s="81" t="str">
        <f>IF(G111="","",IF(M111="OK","NONE",INDEX({"S1","S2","W1","W2","N1","N2"},MATCH(MIN(P111:U111),P111:U111,0))))</f>
        <v>N2</v>
      </c>
      <c r="W111" s="117">
        <f t="shared" si="13"/>
        <v>1</v>
      </c>
      <c r="X111" s="107"/>
    </row>
    <row r="112" spans="1:24">
      <c r="A112" s="115">
        <v>110</v>
      </c>
      <c r="B112" s="116">
        <v>4</v>
      </c>
      <c r="C112" s="81" t="s">
        <v>128</v>
      </c>
      <c r="D112" s="111" t="s">
        <v>240</v>
      </c>
      <c r="E112" s="81" t="s">
        <v>110</v>
      </c>
      <c r="F112" s="52">
        <v>8.6199999999999992</v>
      </c>
      <c r="G112" s="52">
        <f t="shared" si="7"/>
        <v>9.59</v>
      </c>
      <c r="H112" s="110"/>
      <c r="I112" s="81">
        <f>VLOOKUP(C112,Recipes!$A$2:$N$4,10,FALSE())</f>
        <v>10.940000000000001</v>
      </c>
      <c r="J112" s="81">
        <f>VLOOKUP(C112,Recipes!$A$2:$N$4,12,FALSE())</f>
        <v>5.2703573566378441E-2</v>
      </c>
      <c r="K112" s="81">
        <f t="shared" si="8"/>
        <v>10.62377855860173</v>
      </c>
      <c r="L112" s="81">
        <f t="shared" si="9"/>
        <v>11.256221441398273</v>
      </c>
      <c r="M112" s="81" t="str">
        <f t="shared" si="11"/>
        <v>NG</v>
      </c>
      <c r="N112" s="117">
        <f t="shared" si="10"/>
        <v>1</v>
      </c>
      <c r="O112" s="81">
        <f t="shared" si="12"/>
        <v>1.3500000000000014</v>
      </c>
      <c r="P112" s="81">
        <f>IF(G112="","",ABS(O112-Components!$C$2)/Components!$D$2)</f>
        <v>212.33846285357509</v>
      </c>
      <c r="Q112" s="81">
        <f>IF(G112="","",ABS(O112-Components!$C$3)/Components!$D$3)</f>
        <v>194.68633449880505</v>
      </c>
      <c r="R112" s="81">
        <f>IF(G112="","",ABS(O112-Components!$C$4)/Components!$D$4)</f>
        <v>25.515124311424774</v>
      </c>
      <c r="S112" s="81">
        <f>IF(G112="","",ABS(O112-Components!$C$5)/Components!$D$5)</f>
        <v>127.58897979089005</v>
      </c>
      <c r="T112" s="81">
        <f>IF(G112="","",ABS(O112-Components!$C$6)/Components!$D$6)</f>
        <v>7.0338027672282033</v>
      </c>
      <c r="U112" s="81">
        <f>IF(G112="","",ABS(O112-Components!$C$7)/Components!$D$7)</f>
        <v>0.96769926064639156</v>
      </c>
      <c r="V112" s="81" t="str">
        <f>IF(G112="","",IF(M112="OK","NONE",INDEX({"S1","S2","W1","W2","N1","N2"},MATCH(MIN(P112:U112),P112:U112,0))))</f>
        <v>N2</v>
      </c>
      <c r="W112" s="117">
        <f t="shared" si="13"/>
        <v>1</v>
      </c>
      <c r="X112" s="107"/>
    </row>
    <row r="113" spans="1:24">
      <c r="A113" s="115">
        <v>111</v>
      </c>
      <c r="B113" s="116">
        <v>4</v>
      </c>
      <c r="C113" s="81" t="s">
        <v>128</v>
      </c>
      <c r="D113" s="111" t="s">
        <v>240</v>
      </c>
      <c r="E113" s="81" t="s">
        <v>110</v>
      </c>
      <c r="F113" s="52">
        <v>8.61</v>
      </c>
      <c r="G113" s="52">
        <f t="shared" si="7"/>
        <v>9.58</v>
      </c>
      <c r="H113" s="110"/>
      <c r="I113" s="81">
        <f>VLOOKUP(C113,Recipes!$A$2:$N$4,10,FALSE())</f>
        <v>10.940000000000001</v>
      </c>
      <c r="J113" s="81">
        <f>VLOOKUP(C113,Recipes!$A$2:$N$4,12,FALSE())</f>
        <v>5.2703573566378441E-2</v>
      </c>
      <c r="K113" s="81">
        <f t="shared" si="8"/>
        <v>10.62377855860173</v>
      </c>
      <c r="L113" s="81">
        <f t="shared" si="9"/>
        <v>11.256221441398273</v>
      </c>
      <c r="M113" s="81" t="str">
        <f t="shared" si="11"/>
        <v>NG</v>
      </c>
      <c r="N113" s="117">
        <f t="shared" si="10"/>
        <v>1</v>
      </c>
      <c r="O113" s="81">
        <f t="shared" si="12"/>
        <v>1.3600000000000012</v>
      </c>
      <c r="P113" s="81">
        <f>IF(G113="","",ABS(O113-Components!$C$2)/Components!$D$2)</f>
        <v>210.82536216815774</v>
      </c>
      <c r="Q113" s="81">
        <f>IF(G113="","",ABS(O113-Components!$C$3)/Components!$D$3)</f>
        <v>193.96151568086464</v>
      </c>
      <c r="R113" s="81">
        <f>IF(G113="","",ABS(O113-Components!$C$4)/Components!$D$4)</f>
        <v>26.230501628567506</v>
      </c>
      <c r="S113" s="81">
        <f>IF(G113="","",ABS(O113-Components!$C$5)/Components!$D$5)</f>
        <v>127.19183625553764</v>
      </c>
      <c r="T113" s="81">
        <f>IF(G113="","",ABS(O113-Components!$C$6)/Components!$D$6)</f>
        <v>7.395748021116443</v>
      </c>
      <c r="U113" s="81">
        <f>IF(G113="","",ABS(O113-Components!$C$7)/Components!$D$7)</f>
        <v>0.57001463298342292</v>
      </c>
      <c r="V113" s="81" t="str">
        <f>IF(G113="","",IF(M113="OK","NONE",INDEX({"S1","S2","W1","W2","N1","N2"},MATCH(MIN(P113:U113),P113:U113,0))))</f>
        <v>N2</v>
      </c>
      <c r="W113" s="117">
        <f t="shared" si="13"/>
        <v>1</v>
      </c>
      <c r="X113" s="107"/>
    </row>
    <row r="114" spans="1:24">
      <c r="A114" s="115">
        <v>112</v>
      </c>
      <c r="B114" s="116">
        <v>4</v>
      </c>
      <c r="C114" s="81" t="s">
        <v>128</v>
      </c>
      <c r="D114" s="111" t="s">
        <v>240</v>
      </c>
      <c r="E114" s="81" t="s">
        <v>110</v>
      </c>
      <c r="F114" s="52">
        <v>8.58</v>
      </c>
      <c r="G114" s="52">
        <f t="shared" si="7"/>
        <v>9.5500000000000007</v>
      </c>
      <c r="H114" s="110"/>
      <c r="I114" s="81">
        <f>VLOOKUP(C114,Recipes!$A$2:$N$4,10,FALSE())</f>
        <v>10.940000000000001</v>
      </c>
      <c r="J114" s="81">
        <f>VLOOKUP(C114,Recipes!$A$2:$N$4,12,FALSE())</f>
        <v>5.2703573566378441E-2</v>
      </c>
      <c r="K114" s="81">
        <f t="shared" si="8"/>
        <v>10.62377855860173</v>
      </c>
      <c r="L114" s="81">
        <f t="shared" si="9"/>
        <v>11.256221441398273</v>
      </c>
      <c r="M114" s="81" t="str">
        <f t="shared" si="11"/>
        <v>NG</v>
      </c>
      <c r="N114" s="117">
        <f t="shared" si="10"/>
        <v>1</v>
      </c>
      <c r="O114" s="81">
        <f t="shared" si="12"/>
        <v>1.3900000000000006</v>
      </c>
      <c r="P114" s="81">
        <f>IF(G114="","",ABS(O114-Components!$C$2)/Components!$D$2)</f>
        <v>206.28606011190561</v>
      </c>
      <c r="Q114" s="81">
        <f>IF(G114="","",ABS(O114-Components!$C$3)/Components!$D$3)</f>
        <v>191.78705922704333</v>
      </c>
      <c r="R114" s="81">
        <f>IF(G114="","",ABS(O114-Components!$C$4)/Components!$D$4)</f>
        <v>28.376633579995701</v>
      </c>
      <c r="S114" s="81">
        <f>IF(G114="","",ABS(O114-Components!$C$5)/Components!$D$5)</f>
        <v>126.00040564948038</v>
      </c>
      <c r="T114" s="81">
        <f>IF(G114="","",ABS(O114-Components!$C$6)/Components!$D$6)</f>
        <v>8.4815837827811613</v>
      </c>
      <c r="U114" s="81">
        <f>IF(G114="","",ABS(O114-Components!$C$7)/Components!$D$7)</f>
        <v>0.62303925000548288</v>
      </c>
      <c r="V114" s="81" t="str">
        <f>IF(G114="","",IF(M114="OK","NONE",INDEX({"S1","S2","W1","W2","N1","N2"},MATCH(MIN(P114:U114),P114:U114,0))))</f>
        <v>N2</v>
      </c>
      <c r="W114" s="117">
        <f t="shared" si="13"/>
        <v>1</v>
      </c>
      <c r="X114" s="107"/>
    </row>
    <row r="115" spans="1:24">
      <c r="A115" s="115">
        <v>113</v>
      </c>
      <c r="B115" s="116">
        <v>4</v>
      </c>
      <c r="C115" s="81" t="s">
        <v>128</v>
      </c>
      <c r="D115" s="111" t="s">
        <v>240</v>
      </c>
      <c r="E115" s="81" t="s">
        <v>110</v>
      </c>
      <c r="F115" s="52">
        <v>8.59</v>
      </c>
      <c r="G115" s="52">
        <f t="shared" si="7"/>
        <v>9.56</v>
      </c>
      <c r="H115" s="110"/>
      <c r="I115" s="81">
        <f>VLOOKUP(C115,Recipes!$A$2:$N$4,10,FALSE())</f>
        <v>10.940000000000001</v>
      </c>
      <c r="J115" s="81">
        <f>VLOOKUP(C115,Recipes!$A$2:$N$4,12,FALSE())</f>
        <v>5.2703573566378441E-2</v>
      </c>
      <c r="K115" s="81">
        <f t="shared" si="8"/>
        <v>10.62377855860173</v>
      </c>
      <c r="L115" s="81">
        <f t="shared" si="9"/>
        <v>11.256221441398273</v>
      </c>
      <c r="M115" s="81" t="str">
        <f t="shared" si="11"/>
        <v>NG</v>
      </c>
      <c r="N115" s="117">
        <f t="shared" si="10"/>
        <v>1</v>
      </c>
      <c r="O115" s="81">
        <f t="shared" si="12"/>
        <v>1.3800000000000008</v>
      </c>
      <c r="P115" s="81">
        <f>IF(G115="","",ABS(O115-Components!$C$2)/Components!$D$2)</f>
        <v>207.799160797323</v>
      </c>
      <c r="Q115" s="81">
        <f>IF(G115="","",ABS(O115-Components!$C$3)/Components!$D$3)</f>
        <v>192.51187804498375</v>
      </c>
      <c r="R115" s="81">
        <f>IF(G115="","",ABS(O115-Components!$C$4)/Components!$D$4)</f>
        <v>27.661256262852969</v>
      </c>
      <c r="S115" s="81">
        <f>IF(G115="","",ABS(O115-Components!$C$5)/Components!$D$5)</f>
        <v>126.3975491848328</v>
      </c>
      <c r="T115" s="81">
        <f>IF(G115="","",ABS(O115-Components!$C$6)/Components!$D$6)</f>
        <v>8.1196385288929225</v>
      </c>
      <c r="U115" s="81">
        <f>IF(G115="","",ABS(O115-Components!$C$7)/Components!$D$7)</f>
        <v>0.2253546223425143</v>
      </c>
      <c r="V115" s="81" t="str">
        <f>IF(G115="","",IF(M115="OK","NONE",INDEX({"S1","S2","W1","W2","N1","N2"},MATCH(MIN(P115:U115),P115:U115,0))))</f>
        <v>N2</v>
      </c>
      <c r="W115" s="117">
        <f t="shared" si="13"/>
        <v>1</v>
      </c>
      <c r="X115" s="107"/>
    </row>
    <row r="116" spans="1:24">
      <c r="A116" s="115">
        <v>114</v>
      </c>
      <c r="B116" s="116">
        <v>4</v>
      </c>
      <c r="C116" s="81" t="s">
        <v>128</v>
      </c>
      <c r="D116" s="111" t="s">
        <v>240</v>
      </c>
      <c r="E116" s="81" t="s">
        <v>110</v>
      </c>
      <c r="F116" s="52">
        <v>8.6300000000000008</v>
      </c>
      <c r="G116" s="52">
        <f t="shared" si="7"/>
        <v>9.6000000000000014</v>
      </c>
      <c r="H116" s="110"/>
      <c r="I116" s="81">
        <f>VLOOKUP(C116,Recipes!$A$2:$N$4,10,FALSE())</f>
        <v>10.940000000000001</v>
      </c>
      <c r="J116" s="81">
        <f>VLOOKUP(C116,Recipes!$A$2:$N$4,12,FALSE())</f>
        <v>5.2703573566378441E-2</v>
      </c>
      <c r="K116" s="81">
        <f t="shared" si="8"/>
        <v>10.62377855860173</v>
      </c>
      <c r="L116" s="81">
        <f t="shared" si="9"/>
        <v>11.256221441398273</v>
      </c>
      <c r="M116" s="81" t="str">
        <f t="shared" si="11"/>
        <v>NG</v>
      </c>
      <c r="N116" s="117">
        <f t="shared" si="10"/>
        <v>1</v>
      </c>
      <c r="O116" s="81">
        <f t="shared" si="12"/>
        <v>1.3399999999999999</v>
      </c>
      <c r="P116" s="81">
        <f>IF(G116="","",ABS(O116-Components!$C$2)/Components!$D$2)</f>
        <v>213.85156353899274</v>
      </c>
      <c r="Q116" s="81">
        <f>IF(G116="","",ABS(O116-Components!$C$3)/Components!$D$3)</f>
        <v>195.41115331674561</v>
      </c>
      <c r="R116" s="81">
        <f>IF(G116="","",ABS(O116-Components!$C$4)/Components!$D$4)</f>
        <v>24.799746994281914</v>
      </c>
      <c r="S116" s="81">
        <f>IF(G116="","",ABS(O116-Components!$C$5)/Components!$D$5)</f>
        <v>127.98612332624255</v>
      </c>
      <c r="T116" s="81">
        <f>IF(G116="","",ABS(O116-Components!$C$6)/Components!$D$6)</f>
        <v>6.6718575133398996</v>
      </c>
      <c r="U116" s="81">
        <f>IF(G116="","",ABS(O116-Components!$C$7)/Components!$D$7)</f>
        <v>1.3653838883094307</v>
      </c>
      <c r="V116" s="81" t="str">
        <f>IF(G116="","",IF(M116="OK","NONE",INDEX({"S1","S2","W1","W2","N1","N2"},MATCH(MIN(P116:U116),P116:U116,0))))</f>
        <v>N2</v>
      </c>
      <c r="W116" s="117">
        <f t="shared" si="13"/>
        <v>1</v>
      </c>
      <c r="X116" s="107"/>
    </row>
    <row r="117" spans="1:24">
      <c r="A117" s="115">
        <v>115</v>
      </c>
      <c r="B117" s="116">
        <v>4</v>
      </c>
      <c r="C117" s="81" t="s">
        <v>128</v>
      </c>
      <c r="D117" s="111" t="s">
        <v>240</v>
      </c>
      <c r="E117" s="81" t="s">
        <v>110</v>
      </c>
      <c r="F117" s="52">
        <v>8.6300000000000008</v>
      </c>
      <c r="G117" s="52">
        <f t="shared" si="7"/>
        <v>9.6000000000000014</v>
      </c>
      <c r="H117" s="110"/>
      <c r="I117" s="81">
        <f>VLOOKUP(C117,Recipes!$A$2:$N$4,10,FALSE())</f>
        <v>10.940000000000001</v>
      </c>
      <c r="J117" s="81">
        <f>VLOOKUP(C117,Recipes!$A$2:$N$4,12,FALSE())</f>
        <v>5.2703573566378441E-2</v>
      </c>
      <c r="K117" s="81">
        <f t="shared" si="8"/>
        <v>10.62377855860173</v>
      </c>
      <c r="L117" s="81">
        <f t="shared" si="9"/>
        <v>11.256221441398273</v>
      </c>
      <c r="M117" s="81" t="str">
        <f t="shared" si="11"/>
        <v>NG</v>
      </c>
      <c r="N117" s="117">
        <f t="shared" si="10"/>
        <v>1</v>
      </c>
      <c r="O117" s="81">
        <f t="shared" si="12"/>
        <v>1.3399999999999999</v>
      </c>
      <c r="P117" s="81">
        <f>IF(G117="","",ABS(O117-Components!$C$2)/Components!$D$2)</f>
        <v>213.85156353899274</v>
      </c>
      <c r="Q117" s="81">
        <f>IF(G117="","",ABS(O117-Components!$C$3)/Components!$D$3)</f>
        <v>195.41115331674561</v>
      </c>
      <c r="R117" s="81">
        <f>IF(G117="","",ABS(O117-Components!$C$4)/Components!$D$4)</f>
        <v>24.799746994281914</v>
      </c>
      <c r="S117" s="81">
        <f>IF(G117="","",ABS(O117-Components!$C$5)/Components!$D$5)</f>
        <v>127.98612332624255</v>
      </c>
      <c r="T117" s="81">
        <f>IF(G117="","",ABS(O117-Components!$C$6)/Components!$D$6)</f>
        <v>6.6718575133398996</v>
      </c>
      <c r="U117" s="81">
        <f>IF(G117="","",ABS(O117-Components!$C$7)/Components!$D$7)</f>
        <v>1.3653838883094307</v>
      </c>
      <c r="V117" s="81" t="str">
        <f>IF(G117="","",IF(M117="OK","NONE",INDEX({"S1","S2","W1","W2","N1","N2"},MATCH(MIN(P117:U117),P117:U117,0))))</f>
        <v>N2</v>
      </c>
      <c r="W117" s="117">
        <f t="shared" si="13"/>
        <v>1</v>
      </c>
      <c r="X117" s="107"/>
    </row>
    <row r="118" spans="1:24">
      <c r="A118" s="115">
        <v>116</v>
      </c>
      <c r="B118" s="116">
        <v>4</v>
      </c>
      <c r="C118" s="81" t="s">
        <v>128</v>
      </c>
      <c r="D118" s="111" t="s">
        <v>240</v>
      </c>
      <c r="E118" s="81" t="s">
        <v>110</v>
      </c>
      <c r="F118" s="52">
        <v>8.59</v>
      </c>
      <c r="G118" s="52">
        <f t="shared" si="7"/>
        <v>9.56</v>
      </c>
      <c r="H118" s="110"/>
      <c r="I118" s="81">
        <f>VLOOKUP(C118,Recipes!$A$2:$N$4,10,FALSE())</f>
        <v>10.940000000000001</v>
      </c>
      <c r="J118" s="81">
        <f>VLOOKUP(C118,Recipes!$A$2:$N$4,12,FALSE())</f>
        <v>5.2703573566378441E-2</v>
      </c>
      <c r="K118" s="81">
        <f t="shared" si="8"/>
        <v>10.62377855860173</v>
      </c>
      <c r="L118" s="81">
        <f t="shared" si="9"/>
        <v>11.256221441398273</v>
      </c>
      <c r="M118" s="81" t="str">
        <f t="shared" si="11"/>
        <v>NG</v>
      </c>
      <c r="N118" s="117">
        <f t="shared" si="10"/>
        <v>1</v>
      </c>
      <c r="O118" s="81">
        <f t="shared" si="12"/>
        <v>1.3800000000000008</v>
      </c>
      <c r="P118" s="81">
        <f>IF(G118="","",ABS(O118-Components!$C$2)/Components!$D$2)</f>
        <v>207.799160797323</v>
      </c>
      <c r="Q118" s="81">
        <f>IF(G118="","",ABS(O118-Components!$C$3)/Components!$D$3)</f>
        <v>192.51187804498375</v>
      </c>
      <c r="R118" s="81">
        <f>IF(G118="","",ABS(O118-Components!$C$4)/Components!$D$4)</f>
        <v>27.661256262852969</v>
      </c>
      <c r="S118" s="81">
        <f>IF(G118="","",ABS(O118-Components!$C$5)/Components!$D$5)</f>
        <v>126.3975491848328</v>
      </c>
      <c r="T118" s="81">
        <f>IF(G118="","",ABS(O118-Components!$C$6)/Components!$D$6)</f>
        <v>8.1196385288929225</v>
      </c>
      <c r="U118" s="81">
        <f>IF(G118="","",ABS(O118-Components!$C$7)/Components!$D$7)</f>
        <v>0.2253546223425143</v>
      </c>
      <c r="V118" s="81" t="str">
        <f>IF(G118="","",IF(M118="OK","NONE",INDEX({"S1","S2","W1","W2","N1","N2"},MATCH(MIN(P118:U118),P118:U118,0))))</f>
        <v>N2</v>
      </c>
      <c r="W118" s="117">
        <f t="shared" si="13"/>
        <v>1</v>
      </c>
      <c r="X118" s="107"/>
    </row>
    <row r="119" spans="1:24">
      <c r="A119" s="115">
        <v>117</v>
      </c>
      <c r="B119" s="116">
        <v>4</v>
      </c>
      <c r="C119" s="81" t="s">
        <v>128</v>
      </c>
      <c r="D119" s="111" t="s">
        <v>240</v>
      </c>
      <c r="E119" s="81" t="s">
        <v>110</v>
      </c>
      <c r="F119" s="52">
        <v>8.56</v>
      </c>
      <c r="G119" s="52">
        <f t="shared" si="7"/>
        <v>9.5300000000000011</v>
      </c>
      <c r="H119" s="110"/>
      <c r="I119" s="81">
        <f>VLOOKUP(C119,Recipes!$A$2:$N$4,10,FALSE())</f>
        <v>10.940000000000001</v>
      </c>
      <c r="J119" s="81">
        <f>VLOOKUP(C119,Recipes!$A$2:$N$4,12,FALSE())</f>
        <v>5.2703573566378441E-2</v>
      </c>
      <c r="K119" s="81">
        <f t="shared" si="8"/>
        <v>10.62377855860173</v>
      </c>
      <c r="L119" s="81">
        <f t="shared" si="9"/>
        <v>11.256221441398273</v>
      </c>
      <c r="M119" s="81" t="str">
        <f t="shared" si="11"/>
        <v>NG</v>
      </c>
      <c r="N119" s="117">
        <f t="shared" si="10"/>
        <v>1</v>
      </c>
      <c r="O119" s="81">
        <f t="shared" si="12"/>
        <v>1.4100000000000001</v>
      </c>
      <c r="P119" s="81">
        <f>IF(G119="","",ABS(O119-Components!$C$2)/Components!$D$2)</f>
        <v>203.25985874107087</v>
      </c>
      <c r="Q119" s="81">
        <f>IF(G119="","",ABS(O119-Components!$C$3)/Components!$D$3)</f>
        <v>190.33742159116244</v>
      </c>
      <c r="R119" s="81">
        <f>IF(G119="","",ABS(O119-Components!$C$4)/Components!$D$4)</f>
        <v>29.807388214281165</v>
      </c>
      <c r="S119" s="81">
        <f>IF(G119="","",ABS(O119-Components!$C$5)/Components!$D$5)</f>
        <v>125.20611857877554</v>
      </c>
      <c r="T119" s="81">
        <f>IF(G119="","",ABS(O119-Components!$C$6)/Components!$D$6)</f>
        <v>9.2054742905576408</v>
      </c>
      <c r="U119" s="81">
        <f>IF(G119="","",ABS(O119-Components!$C$7)/Components!$D$7)</f>
        <v>1.4184085053314202</v>
      </c>
      <c r="V119" s="81" t="str">
        <f>IF(G119="","",IF(M119="OK","NONE",INDEX({"S1","S2","W1","W2","N1","N2"},MATCH(MIN(P119:U119),P119:U119,0))))</f>
        <v>N2</v>
      </c>
      <c r="W119" s="117">
        <f t="shared" si="13"/>
        <v>1</v>
      </c>
      <c r="X119" s="107"/>
    </row>
    <row r="120" spans="1:24">
      <c r="A120" s="115">
        <v>118</v>
      </c>
      <c r="B120" s="116">
        <v>4</v>
      </c>
      <c r="C120" s="81" t="s">
        <v>128</v>
      </c>
      <c r="D120" s="111" t="s">
        <v>240</v>
      </c>
      <c r="E120" s="81" t="s">
        <v>110</v>
      </c>
      <c r="F120" s="52">
        <v>8.58</v>
      </c>
      <c r="G120" s="52">
        <f t="shared" si="7"/>
        <v>9.5500000000000007</v>
      </c>
      <c r="H120" s="110"/>
      <c r="I120" s="81">
        <f>VLOOKUP(C120,Recipes!$A$2:$N$4,10,FALSE())</f>
        <v>10.940000000000001</v>
      </c>
      <c r="J120" s="81">
        <f>VLOOKUP(C120,Recipes!$A$2:$N$4,12,FALSE())</f>
        <v>5.2703573566378441E-2</v>
      </c>
      <c r="K120" s="81">
        <f t="shared" si="8"/>
        <v>10.62377855860173</v>
      </c>
      <c r="L120" s="81">
        <f t="shared" si="9"/>
        <v>11.256221441398273</v>
      </c>
      <c r="M120" s="81" t="str">
        <f t="shared" si="11"/>
        <v>NG</v>
      </c>
      <c r="N120" s="117">
        <f t="shared" si="10"/>
        <v>1</v>
      </c>
      <c r="O120" s="81">
        <f t="shared" si="12"/>
        <v>1.3900000000000006</v>
      </c>
      <c r="P120" s="81">
        <f>IF(G120="","",ABS(O120-Components!$C$2)/Components!$D$2)</f>
        <v>206.28606011190561</v>
      </c>
      <c r="Q120" s="81">
        <f>IF(G120="","",ABS(O120-Components!$C$3)/Components!$D$3)</f>
        <v>191.78705922704333</v>
      </c>
      <c r="R120" s="81">
        <f>IF(G120="","",ABS(O120-Components!$C$4)/Components!$D$4)</f>
        <v>28.376633579995701</v>
      </c>
      <c r="S120" s="81">
        <f>IF(G120="","",ABS(O120-Components!$C$5)/Components!$D$5)</f>
        <v>126.00040564948038</v>
      </c>
      <c r="T120" s="81">
        <f>IF(G120="","",ABS(O120-Components!$C$6)/Components!$D$6)</f>
        <v>8.4815837827811613</v>
      </c>
      <c r="U120" s="81">
        <f>IF(G120="","",ABS(O120-Components!$C$7)/Components!$D$7)</f>
        <v>0.62303925000548288</v>
      </c>
      <c r="V120" s="81" t="str">
        <f>IF(G120="","",IF(M120="OK","NONE",INDEX({"S1","S2","W1","W2","N1","N2"},MATCH(MIN(P120:U120),P120:U120,0))))</f>
        <v>N2</v>
      </c>
      <c r="W120" s="117">
        <f t="shared" si="13"/>
        <v>1</v>
      </c>
      <c r="X120" s="107"/>
    </row>
    <row r="121" spans="1:24">
      <c r="A121" s="115">
        <v>119</v>
      </c>
      <c r="B121" s="116">
        <v>4</v>
      </c>
      <c r="C121" s="81" t="s">
        <v>128</v>
      </c>
      <c r="D121" s="111" t="s">
        <v>240</v>
      </c>
      <c r="E121" s="81" t="s">
        <v>110</v>
      </c>
      <c r="F121" s="52">
        <v>8.6300000000000008</v>
      </c>
      <c r="G121" s="52">
        <f t="shared" si="7"/>
        <v>9.6000000000000014</v>
      </c>
      <c r="H121" s="110"/>
      <c r="I121" s="81">
        <f>VLOOKUP(C121,Recipes!$A$2:$N$4,10,FALSE())</f>
        <v>10.940000000000001</v>
      </c>
      <c r="J121" s="81">
        <f>VLOOKUP(C121,Recipes!$A$2:$N$4,12,FALSE())</f>
        <v>5.2703573566378441E-2</v>
      </c>
      <c r="K121" s="81">
        <f t="shared" si="8"/>
        <v>10.62377855860173</v>
      </c>
      <c r="L121" s="81">
        <f t="shared" si="9"/>
        <v>11.256221441398273</v>
      </c>
      <c r="M121" s="81" t="str">
        <f t="shared" si="11"/>
        <v>NG</v>
      </c>
      <c r="N121" s="117">
        <f t="shared" si="10"/>
        <v>1</v>
      </c>
      <c r="O121" s="81">
        <f t="shared" si="12"/>
        <v>1.3399999999999999</v>
      </c>
      <c r="P121" s="81">
        <f>IF(G121="","",ABS(O121-Components!$C$2)/Components!$D$2)</f>
        <v>213.85156353899274</v>
      </c>
      <c r="Q121" s="81">
        <f>IF(G121="","",ABS(O121-Components!$C$3)/Components!$D$3)</f>
        <v>195.41115331674561</v>
      </c>
      <c r="R121" s="81">
        <f>IF(G121="","",ABS(O121-Components!$C$4)/Components!$D$4)</f>
        <v>24.799746994281914</v>
      </c>
      <c r="S121" s="81">
        <f>IF(G121="","",ABS(O121-Components!$C$5)/Components!$D$5)</f>
        <v>127.98612332624255</v>
      </c>
      <c r="T121" s="81">
        <f>IF(G121="","",ABS(O121-Components!$C$6)/Components!$D$6)</f>
        <v>6.6718575133398996</v>
      </c>
      <c r="U121" s="81">
        <f>IF(G121="","",ABS(O121-Components!$C$7)/Components!$D$7)</f>
        <v>1.3653838883094307</v>
      </c>
      <c r="V121" s="81" t="str">
        <f>IF(G121="","",IF(M121="OK","NONE",INDEX({"S1","S2","W1","W2","N1","N2"},MATCH(MIN(P121:U121),P121:U121,0))))</f>
        <v>N2</v>
      </c>
      <c r="W121" s="117">
        <f t="shared" si="13"/>
        <v>1</v>
      </c>
      <c r="X121" s="107"/>
    </row>
    <row r="122" spans="1:24">
      <c r="A122" s="115">
        <v>120</v>
      </c>
      <c r="B122" s="116">
        <v>4</v>
      </c>
      <c r="C122" s="81" t="s">
        <v>128</v>
      </c>
      <c r="D122" s="111" t="s">
        <v>240</v>
      </c>
      <c r="E122" s="81" t="s">
        <v>110</v>
      </c>
      <c r="F122" s="52">
        <v>8.59</v>
      </c>
      <c r="G122" s="52">
        <f t="shared" si="7"/>
        <v>9.56</v>
      </c>
      <c r="H122" s="110"/>
      <c r="I122" s="81">
        <f>VLOOKUP(C122,Recipes!$A$2:$N$4,10,FALSE())</f>
        <v>10.940000000000001</v>
      </c>
      <c r="J122" s="81">
        <f>VLOOKUP(C122,Recipes!$A$2:$N$4,12,FALSE())</f>
        <v>5.2703573566378441E-2</v>
      </c>
      <c r="K122" s="81">
        <f t="shared" si="8"/>
        <v>10.62377855860173</v>
      </c>
      <c r="L122" s="81">
        <f t="shared" si="9"/>
        <v>11.256221441398273</v>
      </c>
      <c r="M122" s="81" t="str">
        <f t="shared" si="11"/>
        <v>NG</v>
      </c>
      <c r="N122" s="117">
        <f t="shared" si="10"/>
        <v>1</v>
      </c>
      <c r="O122" s="81">
        <f t="shared" si="12"/>
        <v>1.3800000000000008</v>
      </c>
      <c r="P122" s="81">
        <f>IF(G122="","",ABS(O122-Components!$C$2)/Components!$D$2)</f>
        <v>207.799160797323</v>
      </c>
      <c r="Q122" s="81">
        <f>IF(G122="","",ABS(O122-Components!$C$3)/Components!$D$3)</f>
        <v>192.51187804498375</v>
      </c>
      <c r="R122" s="81">
        <f>IF(G122="","",ABS(O122-Components!$C$4)/Components!$D$4)</f>
        <v>27.661256262852969</v>
      </c>
      <c r="S122" s="81">
        <f>IF(G122="","",ABS(O122-Components!$C$5)/Components!$D$5)</f>
        <v>126.3975491848328</v>
      </c>
      <c r="T122" s="81">
        <f>IF(G122="","",ABS(O122-Components!$C$6)/Components!$D$6)</f>
        <v>8.1196385288929225</v>
      </c>
      <c r="U122" s="81">
        <f>IF(G122="","",ABS(O122-Components!$C$7)/Components!$D$7)</f>
        <v>0.2253546223425143</v>
      </c>
      <c r="V122" s="81" t="str">
        <f>IF(G122="","",IF(M122="OK","NONE",INDEX({"S1","S2","W1","W2","N1","N2"},MATCH(MIN(P122:U122),P122:U122,0))))</f>
        <v>N2</v>
      </c>
      <c r="W122" s="117">
        <f t="shared" si="13"/>
        <v>1</v>
      </c>
      <c r="X122" s="107"/>
    </row>
    <row r="123" spans="1:24">
      <c r="A123" s="115">
        <v>121</v>
      </c>
      <c r="B123" s="116">
        <v>5</v>
      </c>
      <c r="C123" s="81" t="s">
        <v>130</v>
      </c>
      <c r="D123" s="109" t="s">
        <v>238</v>
      </c>
      <c r="E123" s="81" t="s">
        <v>239</v>
      </c>
      <c r="F123" s="52">
        <v>8.9499999999999993</v>
      </c>
      <c r="G123" s="52">
        <f t="shared" si="7"/>
        <v>9.92</v>
      </c>
      <c r="H123" s="110"/>
      <c r="I123" s="81">
        <v>9.91</v>
      </c>
      <c r="J123" s="81">
        <f>VLOOKUP(C123,Recipes!$A$2:$N$4,12,FALSE())</f>
        <v>5.0137397426368718E-2</v>
      </c>
      <c r="K123" s="81">
        <f t="shared" si="8"/>
        <v>9.6091756154417887</v>
      </c>
      <c r="L123" s="81">
        <f t="shared" si="9"/>
        <v>10.210824384558212</v>
      </c>
      <c r="M123" s="81" t="str">
        <f t="shared" si="11"/>
        <v>OK</v>
      </c>
      <c r="N123" s="117">
        <f t="shared" si="10"/>
        <v>1</v>
      </c>
      <c r="O123" s="81">
        <f t="shared" si="12"/>
        <v>-9.9999999999997868E-3</v>
      </c>
      <c r="P123" s="81">
        <f>IF(G123="","",ABS(O123-Components!$C$2)/Components!$D$2)</f>
        <v>418.12015607034238</v>
      </c>
      <c r="Q123" s="81">
        <f>IF(G123="","",ABS(O123-Components!$C$3)/Components!$D$3)</f>
        <v>293.26169373870653</v>
      </c>
      <c r="R123" s="81">
        <f>IF(G123="","",ABS(O123-Components!$C$4)/Components!$D$4)</f>
        <v>71.776190819988912</v>
      </c>
      <c r="S123" s="81">
        <f>IF(G123="","",ABS(O123-Components!$C$5)/Components!$D$5)</f>
        <v>181.60050059882028</v>
      </c>
      <c r="T123" s="81">
        <f>IF(G123="","",ABS(O123-Components!$C$6)/Components!$D$6)</f>
        <v>42.190751761573459</v>
      </c>
      <c r="U123" s="81">
        <f>IF(G123="","",ABS(O123-Components!$C$7)/Components!$D$7)</f>
        <v>55.05280862281132</v>
      </c>
      <c r="V123" s="81" t="str">
        <f>IF(G123="","",IF(M123="OK","NONE",INDEX({"S1","S2","W1","W2","N1","N2"},MATCH(MIN(P123:U123),P123:U123,0))))</f>
        <v>NONE</v>
      </c>
      <c r="W123" s="117">
        <f t="shared" si="13"/>
        <v>1</v>
      </c>
      <c r="X123" s="107"/>
    </row>
    <row r="124" spans="1:24">
      <c r="A124" s="115">
        <v>122</v>
      </c>
      <c r="B124" s="116">
        <v>5</v>
      </c>
      <c r="C124" s="81" t="s">
        <v>130</v>
      </c>
      <c r="D124" s="109" t="s">
        <v>238</v>
      </c>
      <c r="E124" s="81" t="s">
        <v>239</v>
      </c>
      <c r="F124" s="52">
        <v>8.94</v>
      </c>
      <c r="G124" s="52">
        <f t="shared" si="7"/>
        <v>9.91</v>
      </c>
      <c r="H124" s="110"/>
      <c r="I124" s="81">
        <v>9.91</v>
      </c>
      <c r="J124" s="81">
        <f>VLOOKUP(C124,Recipes!$A$2:$N$4,12,FALSE())</f>
        <v>5.0137397426368718E-2</v>
      </c>
      <c r="K124" s="81">
        <f t="shared" si="8"/>
        <v>9.6091756154417887</v>
      </c>
      <c r="L124" s="81">
        <f t="shared" si="9"/>
        <v>10.210824384558212</v>
      </c>
      <c r="M124" s="81" t="str">
        <f t="shared" si="11"/>
        <v>OK</v>
      </c>
      <c r="N124" s="117">
        <f t="shared" si="10"/>
        <v>1</v>
      </c>
      <c r="O124" s="81">
        <f t="shared" si="12"/>
        <v>0</v>
      </c>
      <c r="P124" s="81">
        <f>IF(G124="","",ABS(O124-Components!$C$2)/Components!$D$2)</f>
        <v>416.60705538492499</v>
      </c>
      <c r="Q124" s="81">
        <f>IF(G124="","",ABS(O124-Components!$C$3)/Components!$D$3)</f>
        <v>292.53687492076608</v>
      </c>
      <c r="R124" s="81">
        <f>IF(G124="","",ABS(O124-Components!$C$4)/Components!$D$4)</f>
        <v>71.060813502846173</v>
      </c>
      <c r="S124" s="81">
        <f>IF(G124="","",ABS(O124-Components!$C$5)/Components!$D$5)</f>
        <v>181.20335706346788</v>
      </c>
      <c r="T124" s="81">
        <f>IF(G124="","",ABS(O124-Components!$C$6)/Components!$D$6)</f>
        <v>41.828806507685222</v>
      </c>
      <c r="U124" s="81">
        <f>IF(G124="","",ABS(O124-Components!$C$7)/Components!$D$7)</f>
        <v>54.655123995148351</v>
      </c>
      <c r="V124" s="81" t="str">
        <f>IF(G124="","",IF(M124="OK","NONE",INDEX({"S1","S2","W1","W2","N1","N2"},MATCH(MIN(P124:U124),P124:U124,0))))</f>
        <v>NONE</v>
      </c>
      <c r="W124" s="117">
        <f t="shared" si="13"/>
        <v>1</v>
      </c>
      <c r="X124" s="107"/>
    </row>
    <row r="125" spans="1:24">
      <c r="A125" s="115">
        <v>123</v>
      </c>
      <c r="B125" s="116">
        <v>5</v>
      </c>
      <c r="C125" s="81" t="s">
        <v>130</v>
      </c>
      <c r="D125" s="109" t="s">
        <v>238</v>
      </c>
      <c r="E125" s="81" t="s">
        <v>239</v>
      </c>
      <c r="F125" s="52">
        <v>8.94</v>
      </c>
      <c r="G125" s="52">
        <f t="shared" si="7"/>
        <v>9.91</v>
      </c>
      <c r="H125" s="110"/>
      <c r="I125" s="81">
        <v>9.91</v>
      </c>
      <c r="J125" s="81">
        <f>VLOOKUP(C125,Recipes!$A$2:$N$4,12,FALSE())</f>
        <v>5.0137397426368718E-2</v>
      </c>
      <c r="K125" s="81">
        <f t="shared" si="8"/>
        <v>9.6091756154417887</v>
      </c>
      <c r="L125" s="81">
        <f t="shared" si="9"/>
        <v>10.210824384558212</v>
      </c>
      <c r="M125" s="81" t="str">
        <f t="shared" si="11"/>
        <v>OK</v>
      </c>
      <c r="N125" s="117">
        <f t="shared" si="10"/>
        <v>1</v>
      </c>
      <c r="O125" s="81">
        <f t="shared" si="12"/>
        <v>0</v>
      </c>
      <c r="P125" s="81">
        <f>IF(G125="","",ABS(O125-Components!$C$2)/Components!$D$2)</f>
        <v>416.60705538492499</v>
      </c>
      <c r="Q125" s="81">
        <f>IF(G125="","",ABS(O125-Components!$C$3)/Components!$D$3)</f>
        <v>292.53687492076608</v>
      </c>
      <c r="R125" s="81">
        <f>IF(G125="","",ABS(O125-Components!$C$4)/Components!$D$4)</f>
        <v>71.060813502846173</v>
      </c>
      <c r="S125" s="81">
        <f>IF(G125="","",ABS(O125-Components!$C$5)/Components!$D$5)</f>
        <v>181.20335706346788</v>
      </c>
      <c r="T125" s="81">
        <f>IF(G125="","",ABS(O125-Components!$C$6)/Components!$D$6)</f>
        <v>41.828806507685222</v>
      </c>
      <c r="U125" s="81">
        <f>IF(G125="","",ABS(O125-Components!$C$7)/Components!$D$7)</f>
        <v>54.655123995148351</v>
      </c>
      <c r="V125" s="81" t="str">
        <f>IF(G125="","",IF(M125="OK","NONE",INDEX({"S1","S2","W1","W2","N1","N2"},MATCH(MIN(P125:U125),P125:U125,0))))</f>
        <v>NONE</v>
      </c>
      <c r="W125" s="117">
        <f t="shared" si="13"/>
        <v>1</v>
      </c>
      <c r="X125" s="107"/>
    </row>
    <row r="126" spans="1:24">
      <c r="A126" s="115">
        <v>124</v>
      </c>
      <c r="B126" s="116">
        <v>5</v>
      </c>
      <c r="C126" s="81" t="s">
        <v>130</v>
      </c>
      <c r="D126" s="109" t="s">
        <v>238</v>
      </c>
      <c r="E126" s="81" t="s">
        <v>239</v>
      </c>
      <c r="F126" s="52">
        <v>8.89</v>
      </c>
      <c r="G126" s="52">
        <f t="shared" si="7"/>
        <v>9.8600000000000012</v>
      </c>
      <c r="H126" s="110"/>
      <c r="I126" s="81">
        <v>9.91</v>
      </c>
      <c r="J126" s="81">
        <f>VLOOKUP(C126,Recipes!$A$2:$N$4,12,FALSE())</f>
        <v>5.0137397426368718E-2</v>
      </c>
      <c r="K126" s="81">
        <f t="shared" si="8"/>
        <v>9.6091756154417887</v>
      </c>
      <c r="L126" s="81">
        <f t="shared" si="9"/>
        <v>10.210824384558212</v>
      </c>
      <c r="M126" s="81" t="str">
        <f t="shared" si="11"/>
        <v>OK</v>
      </c>
      <c r="N126" s="117">
        <f t="shared" si="10"/>
        <v>1</v>
      </c>
      <c r="O126" s="81">
        <f t="shared" si="12"/>
        <v>4.9999999999998934E-2</v>
      </c>
      <c r="P126" s="81">
        <f>IF(G126="","",ABS(O126-Components!$C$2)/Components!$D$2)</f>
        <v>409.04155195783812</v>
      </c>
      <c r="Q126" s="81">
        <f>IF(G126="","",ABS(O126-Components!$C$3)/Components!$D$3)</f>
        <v>288.91278083106391</v>
      </c>
      <c r="R126" s="81">
        <f>IF(G126="","",ABS(O126-Components!$C$4)/Components!$D$4)</f>
        <v>67.483926917132521</v>
      </c>
      <c r="S126" s="81">
        <f>IF(G126="","",ABS(O126-Components!$C$5)/Components!$D$5)</f>
        <v>179.21763938670577</v>
      </c>
      <c r="T126" s="81">
        <f>IF(G126="","",ABS(O126-Components!$C$6)/Components!$D$6)</f>
        <v>40.019080238244022</v>
      </c>
      <c r="U126" s="81">
        <f>IF(G126="","",ABS(O126-Components!$C$7)/Components!$D$7)</f>
        <v>52.666700856833515</v>
      </c>
      <c r="V126" s="81" t="str">
        <f>IF(G126="","",IF(M126="OK","NONE",INDEX({"S1","S2","W1","W2","N1","N2"},MATCH(MIN(P126:U126),P126:U126,0))))</f>
        <v>NONE</v>
      </c>
      <c r="W126" s="117">
        <f t="shared" si="13"/>
        <v>1</v>
      </c>
      <c r="X126" s="107"/>
    </row>
    <row r="127" spans="1:24">
      <c r="A127" s="115">
        <v>125</v>
      </c>
      <c r="B127" s="116">
        <v>5</v>
      </c>
      <c r="C127" s="81" t="s">
        <v>130</v>
      </c>
      <c r="D127" s="109" t="s">
        <v>238</v>
      </c>
      <c r="E127" s="81" t="s">
        <v>239</v>
      </c>
      <c r="F127" s="52">
        <v>8.89</v>
      </c>
      <c r="G127" s="52">
        <f t="shared" si="7"/>
        <v>9.8600000000000012</v>
      </c>
      <c r="H127" s="110"/>
      <c r="I127" s="81">
        <v>9.91</v>
      </c>
      <c r="J127" s="81">
        <f>VLOOKUP(C127,Recipes!$A$2:$N$4,12,FALSE())</f>
        <v>5.0137397426368718E-2</v>
      </c>
      <c r="K127" s="81">
        <f t="shared" si="8"/>
        <v>9.6091756154417887</v>
      </c>
      <c r="L127" s="81">
        <f t="shared" si="9"/>
        <v>10.210824384558212</v>
      </c>
      <c r="M127" s="81" t="str">
        <f t="shared" si="11"/>
        <v>OK</v>
      </c>
      <c r="N127" s="117">
        <f t="shared" si="10"/>
        <v>1</v>
      </c>
      <c r="O127" s="81">
        <f t="shared" si="12"/>
        <v>4.9999999999998934E-2</v>
      </c>
      <c r="P127" s="81">
        <f>IF(G127="","",ABS(O127-Components!$C$2)/Components!$D$2)</f>
        <v>409.04155195783812</v>
      </c>
      <c r="Q127" s="81">
        <f>IF(G127="","",ABS(O127-Components!$C$3)/Components!$D$3)</f>
        <v>288.91278083106391</v>
      </c>
      <c r="R127" s="81">
        <f>IF(G127="","",ABS(O127-Components!$C$4)/Components!$D$4)</f>
        <v>67.483926917132521</v>
      </c>
      <c r="S127" s="81">
        <f>IF(G127="","",ABS(O127-Components!$C$5)/Components!$D$5)</f>
        <v>179.21763938670577</v>
      </c>
      <c r="T127" s="81">
        <f>IF(G127="","",ABS(O127-Components!$C$6)/Components!$D$6)</f>
        <v>40.019080238244022</v>
      </c>
      <c r="U127" s="81">
        <f>IF(G127="","",ABS(O127-Components!$C$7)/Components!$D$7)</f>
        <v>52.666700856833515</v>
      </c>
      <c r="V127" s="81" t="str">
        <f>IF(G127="","",IF(M127="OK","NONE",INDEX({"S1","S2","W1","W2","N1","N2"},MATCH(MIN(P127:U127),P127:U127,0))))</f>
        <v>NONE</v>
      </c>
      <c r="W127" s="117">
        <f t="shared" si="13"/>
        <v>1</v>
      </c>
      <c r="X127" s="107"/>
    </row>
    <row r="128" spans="1:24">
      <c r="A128" s="115">
        <v>126</v>
      </c>
      <c r="B128" s="116">
        <v>5</v>
      </c>
      <c r="C128" s="81" t="s">
        <v>130</v>
      </c>
      <c r="D128" s="109" t="s">
        <v>238</v>
      </c>
      <c r="E128" s="81" t="s">
        <v>239</v>
      </c>
      <c r="F128" s="61">
        <v>8.8800000000000008</v>
      </c>
      <c r="G128" s="52">
        <f t="shared" si="7"/>
        <v>9.8500000000000014</v>
      </c>
      <c r="H128" s="110"/>
      <c r="I128" s="81">
        <v>9.91</v>
      </c>
      <c r="J128" s="81">
        <f>VLOOKUP(C128,Recipes!$A$2:$N$4,12,FALSE())</f>
        <v>5.0137397426368718E-2</v>
      </c>
      <c r="K128" s="81">
        <f t="shared" si="8"/>
        <v>9.6091756154417887</v>
      </c>
      <c r="L128" s="81">
        <f t="shared" si="9"/>
        <v>10.210824384558212</v>
      </c>
      <c r="M128" s="81" t="str">
        <f t="shared" si="11"/>
        <v>OK</v>
      </c>
      <c r="N128" s="117">
        <f t="shared" si="10"/>
        <v>1</v>
      </c>
      <c r="O128" s="81">
        <f t="shared" si="12"/>
        <v>5.9999999999998721E-2</v>
      </c>
      <c r="P128" s="81">
        <f>IF(G128="","",ABS(O128-Components!$C$2)/Components!$D$2)</f>
        <v>407.52845127242074</v>
      </c>
      <c r="Q128" s="81">
        <f>IF(G128="","",ABS(O128-Components!$C$3)/Components!$D$3)</f>
        <v>288.18796201312347</v>
      </c>
      <c r="R128" s="81">
        <f>IF(G128="","",ABS(O128-Components!$C$4)/Components!$D$4)</f>
        <v>66.768549599989782</v>
      </c>
      <c r="S128" s="81">
        <f>IF(G128="","",ABS(O128-Components!$C$5)/Components!$D$5)</f>
        <v>178.82049585135334</v>
      </c>
      <c r="T128" s="81">
        <f>IF(G128="","",ABS(O128-Components!$C$6)/Components!$D$6)</f>
        <v>39.657134984355785</v>
      </c>
      <c r="U128" s="81">
        <f>IF(G128="","",ABS(O128-Components!$C$7)/Components!$D$7)</f>
        <v>52.269016229170546</v>
      </c>
      <c r="V128" s="81" t="str">
        <f>IF(G128="","",IF(M128="OK","NONE",INDEX({"S1","S2","W1","W2","N1","N2"},MATCH(MIN(P128:U128),P128:U128,0))))</f>
        <v>NONE</v>
      </c>
      <c r="W128" s="117">
        <f t="shared" si="13"/>
        <v>1</v>
      </c>
      <c r="X128" s="107"/>
    </row>
    <row r="129" spans="1:24">
      <c r="A129" s="115">
        <v>127</v>
      </c>
      <c r="B129" s="116">
        <v>5</v>
      </c>
      <c r="C129" s="81" t="s">
        <v>130</v>
      </c>
      <c r="D129" s="109" t="s">
        <v>238</v>
      </c>
      <c r="E129" s="81" t="s">
        <v>239</v>
      </c>
      <c r="F129" s="61">
        <v>8.91</v>
      </c>
      <c r="G129" s="52">
        <f t="shared" si="7"/>
        <v>9.8800000000000008</v>
      </c>
      <c r="H129" s="110"/>
      <c r="I129" s="81">
        <v>9.91</v>
      </c>
      <c r="J129" s="81">
        <f>VLOOKUP(C129,Recipes!$A$2:$N$4,12,FALSE())</f>
        <v>5.0137397426368718E-2</v>
      </c>
      <c r="K129" s="81">
        <f t="shared" si="8"/>
        <v>9.6091756154417887</v>
      </c>
      <c r="L129" s="81">
        <f t="shared" si="9"/>
        <v>10.210824384558212</v>
      </c>
      <c r="M129" s="81" t="str">
        <f t="shared" si="11"/>
        <v>OK</v>
      </c>
      <c r="N129" s="117">
        <f t="shared" si="10"/>
        <v>1</v>
      </c>
      <c r="O129" s="81">
        <f t="shared" si="12"/>
        <v>2.9999999999999361E-2</v>
      </c>
      <c r="P129" s="81">
        <f>IF(G129="","",ABS(O129-Components!$C$2)/Components!$D$2)</f>
        <v>412.06775332867289</v>
      </c>
      <c r="Q129" s="81">
        <f>IF(G129="","",ABS(O129-Components!$C$3)/Components!$D$3)</f>
        <v>290.36241846694475</v>
      </c>
      <c r="R129" s="81">
        <f>IF(G129="","",ABS(O129-Components!$C$4)/Components!$D$4)</f>
        <v>68.914681551417985</v>
      </c>
      <c r="S129" s="81">
        <f>IF(G129="","",ABS(O129-Components!$C$5)/Components!$D$5)</f>
        <v>180.0119264574106</v>
      </c>
      <c r="T129" s="81">
        <f>IF(G129="","",ABS(O129-Components!$C$6)/Components!$D$6)</f>
        <v>40.742970746020504</v>
      </c>
      <c r="U129" s="81">
        <f>IF(G129="","",ABS(O129-Components!$C$7)/Components!$D$7)</f>
        <v>53.462070112159452</v>
      </c>
      <c r="V129" s="81" t="str">
        <f>IF(G129="","",IF(M129="OK","NONE",INDEX({"S1","S2","W1","W2","N1","N2"},MATCH(MIN(P129:U129),P129:U129,0))))</f>
        <v>NONE</v>
      </c>
      <c r="W129" s="117">
        <f t="shared" si="13"/>
        <v>1</v>
      </c>
      <c r="X129" s="107"/>
    </row>
    <row r="130" spans="1:24">
      <c r="A130" s="115">
        <v>128</v>
      </c>
      <c r="B130" s="116">
        <v>5</v>
      </c>
      <c r="C130" s="81" t="s">
        <v>130</v>
      </c>
      <c r="D130" s="109" t="s">
        <v>238</v>
      </c>
      <c r="E130" s="81" t="s">
        <v>239</v>
      </c>
      <c r="F130" s="61">
        <v>8.85</v>
      </c>
      <c r="G130" s="52">
        <f t="shared" si="7"/>
        <v>9.82</v>
      </c>
      <c r="H130" s="110"/>
      <c r="I130" s="81">
        <v>9.91</v>
      </c>
      <c r="J130" s="81">
        <f>VLOOKUP(C130,Recipes!$A$2:$N$4,12,FALSE())</f>
        <v>5.0137397426368718E-2</v>
      </c>
      <c r="K130" s="81">
        <f t="shared" si="8"/>
        <v>9.6091756154417887</v>
      </c>
      <c r="L130" s="81">
        <f t="shared" si="9"/>
        <v>10.210824384558212</v>
      </c>
      <c r="M130" s="81" t="str">
        <f t="shared" si="11"/>
        <v>OK</v>
      </c>
      <c r="N130" s="117">
        <f t="shared" si="10"/>
        <v>1</v>
      </c>
      <c r="O130" s="81">
        <f t="shared" si="12"/>
        <v>8.9999999999999858E-2</v>
      </c>
      <c r="P130" s="81">
        <f>IF(G130="","",ABS(O130-Components!$C$2)/Components!$D$2)</f>
        <v>402.98914921616836</v>
      </c>
      <c r="Q130" s="81">
        <f>IF(G130="","",ABS(O130-Components!$C$3)/Components!$D$3)</f>
        <v>286.01350555930202</v>
      </c>
      <c r="R130" s="81">
        <f>IF(G130="","",ABS(O130-Components!$C$4)/Components!$D$4)</f>
        <v>64.622417648561466</v>
      </c>
      <c r="S130" s="81">
        <f>IF(G130="","",ABS(O130-Components!$C$5)/Components!$D$5)</f>
        <v>177.62906524529603</v>
      </c>
      <c r="T130" s="81">
        <f>IF(G130="","",ABS(O130-Components!$C$6)/Components!$D$6)</f>
        <v>38.571299222691003</v>
      </c>
      <c r="U130" s="81">
        <f>IF(G130="","",ABS(O130-Components!$C$7)/Components!$D$7)</f>
        <v>51.075962346181569</v>
      </c>
      <c r="V130" s="81" t="str">
        <f>IF(G130="","",IF(M130="OK","NONE",INDEX({"S1","S2","W1","W2","N1","N2"},MATCH(MIN(P130:U130),P130:U130,0))))</f>
        <v>NONE</v>
      </c>
      <c r="W130" s="117">
        <f t="shared" si="13"/>
        <v>1</v>
      </c>
      <c r="X130" s="107"/>
    </row>
    <row r="131" spans="1:24">
      <c r="A131" s="115">
        <v>129</v>
      </c>
      <c r="B131" s="116">
        <v>5</v>
      </c>
      <c r="C131" s="81" t="s">
        <v>130</v>
      </c>
      <c r="D131" s="109" t="s">
        <v>238</v>
      </c>
      <c r="E131" s="81" t="s">
        <v>239</v>
      </c>
      <c r="F131" s="61">
        <v>8.8800000000000008</v>
      </c>
      <c r="G131" s="52">
        <f t="shared" ref="G131:G194" si="14">0.97+F131</f>
        <v>9.8500000000000014</v>
      </c>
      <c r="H131" s="110"/>
      <c r="I131" s="81">
        <v>9.91</v>
      </c>
      <c r="J131" s="81">
        <f>VLOOKUP(C131,Recipes!$A$2:$N$4,12,FALSE())</f>
        <v>5.0137397426368718E-2</v>
      </c>
      <c r="K131" s="81">
        <f t="shared" ref="K131:K194" si="15">I131-6*J131</f>
        <v>9.6091756154417887</v>
      </c>
      <c r="L131" s="81">
        <f t="shared" ref="L131:L194" si="16">I131+6*J131</f>
        <v>10.210824384558212</v>
      </c>
      <c r="M131" s="81" t="str">
        <f t="shared" si="11"/>
        <v>OK</v>
      </c>
      <c r="N131" s="117">
        <f t="shared" ref="N131:N194" si="17">IF(M131="","",IF(M131=D131,1,0))</f>
        <v>1</v>
      </c>
      <c r="O131" s="81">
        <f t="shared" si="12"/>
        <v>5.9999999999998721E-2</v>
      </c>
      <c r="P131" s="81">
        <f>IF(G131="","",ABS(O131-Components!$C$2)/Components!$D$2)</f>
        <v>407.52845127242074</v>
      </c>
      <c r="Q131" s="81">
        <f>IF(G131="","",ABS(O131-Components!$C$3)/Components!$D$3)</f>
        <v>288.18796201312347</v>
      </c>
      <c r="R131" s="81">
        <f>IF(G131="","",ABS(O131-Components!$C$4)/Components!$D$4)</f>
        <v>66.768549599989782</v>
      </c>
      <c r="S131" s="81">
        <f>IF(G131="","",ABS(O131-Components!$C$5)/Components!$D$5)</f>
        <v>178.82049585135334</v>
      </c>
      <c r="T131" s="81">
        <f>IF(G131="","",ABS(O131-Components!$C$6)/Components!$D$6)</f>
        <v>39.657134984355785</v>
      </c>
      <c r="U131" s="81">
        <f>IF(G131="","",ABS(O131-Components!$C$7)/Components!$D$7)</f>
        <v>52.269016229170546</v>
      </c>
      <c r="V131" s="81" t="str">
        <f>IF(G131="","",IF(M131="OK","NONE",INDEX({"S1","S2","W1","W2","N1","N2"},MATCH(MIN(P131:U131),P131:U131,0))))</f>
        <v>NONE</v>
      </c>
      <c r="W131" s="117">
        <f t="shared" si="13"/>
        <v>1</v>
      </c>
      <c r="X131" s="107"/>
    </row>
    <row r="132" spans="1:24">
      <c r="A132" s="115">
        <v>130</v>
      </c>
      <c r="B132" s="116">
        <v>5</v>
      </c>
      <c r="C132" s="81" t="s">
        <v>130</v>
      </c>
      <c r="D132" s="109" t="s">
        <v>238</v>
      </c>
      <c r="E132" s="81" t="s">
        <v>239</v>
      </c>
      <c r="F132" s="61">
        <v>8.8699999999999992</v>
      </c>
      <c r="G132" s="52">
        <f t="shared" si="14"/>
        <v>9.84</v>
      </c>
      <c r="H132" s="110"/>
      <c r="I132" s="81">
        <v>9.91</v>
      </c>
      <c r="J132" s="81">
        <f>VLOOKUP(C132,Recipes!$A$2:$N$4,12,FALSE())</f>
        <v>5.0137397426368718E-2</v>
      </c>
      <c r="K132" s="81">
        <f t="shared" si="15"/>
        <v>9.6091756154417887</v>
      </c>
      <c r="L132" s="81">
        <f t="shared" si="16"/>
        <v>10.210824384558212</v>
      </c>
      <c r="M132" s="81" t="str">
        <f t="shared" ref="M132:M195" si="18">IF(G132="","",IF(AND(G132&gt;=K132,G132&lt;=L132),"OK","NG"))</f>
        <v>OK</v>
      </c>
      <c r="N132" s="117">
        <f t="shared" si="17"/>
        <v>1</v>
      </c>
      <c r="O132" s="81">
        <f t="shared" ref="O132:O195" si="19">IF(G132="","",I132-G132)</f>
        <v>7.0000000000000284E-2</v>
      </c>
      <c r="P132" s="81">
        <f>IF(G132="","",ABS(O132-Components!$C$2)/Components!$D$2)</f>
        <v>406.01535058700313</v>
      </c>
      <c r="Q132" s="81">
        <f>IF(G132="","",ABS(O132-Components!$C$3)/Components!$D$3)</f>
        <v>287.46314319518291</v>
      </c>
      <c r="R132" s="81">
        <f>IF(G132="","",ABS(O132-Components!$C$4)/Components!$D$4)</f>
        <v>66.05317228284693</v>
      </c>
      <c r="S132" s="81">
        <f>IF(G132="","",ABS(O132-Components!$C$5)/Components!$D$5)</f>
        <v>178.42335231600086</v>
      </c>
      <c r="T132" s="81">
        <f>IF(G132="","",ABS(O132-Components!$C$6)/Components!$D$6)</f>
        <v>39.295189730467477</v>
      </c>
      <c r="U132" s="81">
        <f>IF(G132="","",ABS(O132-Components!$C$7)/Components!$D$7)</f>
        <v>51.871331601507507</v>
      </c>
      <c r="V132" s="81" t="str">
        <f>IF(G132="","",IF(M132="OK","NONE",INDEX({"S1","S2","W1","W2","N1","N2"},MATCH(MIN(P132:U132),P132:U132,0))))</f>
        <v>NONE</v>
      </c>
      <c r="W132" s="117">
        <f t="shared" ref="W132:W195" si="20">IF(G132="","",IF(V132=E132,1,0))</f>
        <v>1</v>
      </c>
      <c r="X132" s="107"/>
    </row>
    <row r="133" spans="1:24">
      <c r="A133" s="115">
        <v>131</v>
      </c>
      <c r="B133" s="116">
        <v>5</v>
      </c>
      <c r="C133" s="81" t="s">
        <v>130</v>
      </c>
      <c r="D133" s="109" t="s">
        <v>238</v>
      </c>
      <c r="E133" s="81" t="s">
        <v>239</v>
      </c>
      <c r="F133" s="61">
        <v>8.89</v>
      </c>
      <c r="G133" s="52">
        <f t="shared" si="14"/>
        <v>9.8600000000000012</v>
      </c>
      <c r="H133" s="110"/>
      <c r="I133" s="81">
        <v>9.91</v>
      </c>
      <c r="J133" s="81">
        <f>VLOOKUP(C133,Recipes!$A$2:$N$4,12,FALSE())</f>
        <v>5.0137397426368718E-2</v>
      </c>
      <c r="K133" s="81">
        <f t="shared" si="15"/>
        <v>9.6091756154417887</v>
      </c>
      <c r="L133" s="81">
        <f t="shared" si="16"/>
        <v>10.210824384558212</v>
      </c>
      <c r="M133" s="81" t="str">
        <f t="shared" si="18"/>
        <v>OK</v>
      </c>
      <c r="N133" s="117">
        <f t="shared" si="17"/>
        <v>1</v>
      </c>
      <c r="O133" s="81">
        <f t="shared" si="19"/>
        <v>4.9999999999998934E-2</v>
      </c>
      <c r="P133" s="81">
        <f>IF(G133="","",ABS(O133-Components!$C$2)/Components!$D$2)</f>
        <v>409.04155195783812</v>
      </c>
      <c r="Q133" s="81">
        <f>IF(G133="","",ABS(O133-Components!$C$3)/Components!$D$3)</f>
        <v>288.91278083106391</v>
      </c>
      <c r="R133" s="81">
        <f>IF(G133="","",ABS(O133-Components!$C$4)/Components!$D$4)</f>
        <v>67.483926917132521</v>
      </c>
      <c r="S133" s="81">
        <f>IF(G133="","",ABS(O133-Components!$C$5)/Components!$D$5)</f>
        <v>179.21763938670577</v>
      </c>
      <c r="T133" s="81">
        <f>IF(G133="","",ABS(O133-Components!$C$6)/Components!$D$6)</f>
        <v>40.019080238244022</v>
      </c>
      <c r="U133" s="81">
        <f>IF(G133="","",ABS(O133-Components!$C$7)/Components!$D$7)</f>
        <v>52.666700856833515</v>
      </c>
      <c r="V133" s="81" t="str">
        <f>IF(G133="","",IF(M133="OK","NONE",INDEX({"S1","S2","W1","W2","N1","N2"},MATCH(MIN(P133:U133),P133:U133,0))))</f>
        <v>NONE</v>
      </c>
      <c r="W133" s="117">
        <f t="shared" si="20"/>
        <v>1</v>
      </c>
      <c r="X133" s="107"/>
    </row>
    <row r="134" spans="1:24">
      <c r="A134" s="115">
        <v>132</v>
      </c>
      <c r="B134" s="116">
        <v>5</v>
      </c>
      <c r="C134" s="81" t="s">
        <v>130</v>
      </c>
      <c r="D134" s="109" t="s">
        <v>238</v>
      </c>
      <c r="E134" s="81" t="s">
        <v>239</v>
      </c>
      <c r="F134" s="61">
        <v>8.8699999999999992</v>
      </c>
      <c r="G134" s="52">
        <f t="shared" si="14"/>
        <v>9.84</v>
      </c>
      <c r="H134" s="110"/>
      <c r="I134" s="81">
        <v>9.91</v>
      </c>
      <c r="J134" s="81">
        <f>VLOOKUP(C134,Recipes!$A$2:$N$4,12,FALSE())</f>
        <v>5.0137397426368718E-2</v>
      </c>
      <c r="K134" s="81">
        <f t="shared" si="15"/>
        <v>9.6091756154417887</v>
      </c>
      <c r="L134" s="81">
        <f t="shared" si="16"/>
        <v>10.210824384558212</v>
      </c>
      <c r="M134" s="81" t="str">
        <f t="shared" si="18"/>
        <v>OK</v>
      </c>
      <c r="N134" s="117">
        <f t="shared" si="17"/>
        <v>1</v>
      </c>
      <c r="O134" s="81">
        <f t="shared" si="19"/>
        <v>7.0000000000000284E-2</v>
      </c>
      <c r="P134" s="81">
        <f>IF(G134="","",ABS(O134-Components!$C$2)/Components!$D$2)</f>
        <v>406.01535058700313</v>
      </c>
      <c r="Q134" s="81">
        <f>IF(G134="","",ABS(O134-Components!$C$3)/Components!$D$3)</f>
        <v>287.46314319518291</v>
      </c>
      <c r="R134" s="81">
        <f>IF(G134="","",ABS(O134-Components!$C$4)/Components!$D$4)</f>
        <v>66.05317228284693</v>
      </c>
      <c r="S134" s="81">
        <f>IF(G134="","",ABS(O134-Components!$C$5)/Components!$D$5)</f>
        <v>178.42335231600086</v>
      </c>
      <c r="T134" s="81">
        <f>IF(G134="","",ABS(O134-Components!$C$6)/Components!$D$6)</f>
        <v>39.295189730467477</v>
      </c>
      <c r="U134" s="81">
        <f>IF(G134="","",ABS(O134-Components!$C$7)/Components!$D$7)</f>
        <v>51.871331601507507</v>
      </c>
      <c r="V134" s="81" t="str">
        <f>IF(G134="","",IF(M134="OK","NONE",INDEX({"S1","S2","W1","W2","N1","N2"},MATCH(MIN(P134:U134),P134:U134,0))))</f>
        <v>NONE</v>
      </c>
      <c r="W134" s="117">
        <f t="shared" si="20"/>
        <v>1</v>
      </c>
      <c r="X134" s="107"/>
    </row>
    <row r="135" spans="1:24">
      <c r="A135" s="115">
        <v>133</v>
      </c>
      <c r="B135" s="116">
        <v>5</v>
      </c>
      <c r="C135" s="81" t="s">
        <v>130</v>
      </c>
      <c r="D135" s="109" t="s">
        <v>238</v>
      </c>
      <c r="E135" s="81" t="s">
        <v>239</v>
      </c>
      <c r="F135" s="61">
        <v>8.9700000000000006</v>
      </c>
      <c r="G135" s="52">
        <f t="shared" si="14"/>
        <v>9.9400000000000013</v>
      </c>
      <c r="H135" s="110"/>
      <c r="I135" s="81">
        <v>9.91</v>
      </c>
      <c r="J135" s="81">
        <f>VLOOKUP(C135,Recipes!$A$2:$N$4,12,FALSE())</f>
        <v>5.0137397426368718E-2</v>
      </c>
      <c r="K135" s="81">
        <f t="shared" si="15"/>
        <v>9.6091756154417887</v>
      </c>
      <c r="L135" s="81">
        <f t="shared" si="16"/>
        <v>10.210824384558212</v>
      </c>
      <c r="M135" s="81" t="str">
        <f t="shared" si="18"/>
        <v>OK</v>
      </c>
      <c r="N135" s="117">
        <f t="shared" si="17"/>
        <v>1</v>
      </c>
      <c r="O135" s="81">
        <f t="shared" si="19"/>
        <v>-3.0000000000001137E-2</v>
      </c>
      <c r="P135" s="81">
        <f>IF(G135="","",ABS(O135-Components!$C$2)/Components!$D$2)</f>
        <v>421.14635744117737</v>
      </c>
      <c r="Q135" s="81">
        <f>IF(G135="","",ABS(O135-Components!$C$3)/Components!$D$3)</f>
        <v>294.71133137458753</v>
      </c>
      <c r="R135" s="81">
        <f>IF(G135="","",ABS(O135-Components!$C$4)/Components!$D$4)</f>
        <v>73.206945454274504</v>
      </c>
      <c r="S135" s="81">
        <f>IF(G135="","",ABS(O135-Components!$C$5)/Components!$D$5)</f>
        <v>182.39478766952519</v>
      </c>
      <c r="T135" s="81">
        <f>IF(G135="","",ABS(O135-Components!$C$6)/Components!$D$6)</f>
        <v>42.914642269350004</v>
      </c>
      <c r="U135" s="81">
        <f>IF(G135="","",ABS(O135-Components!$C$7)/Components!$D$7)</f>
        <v>55.848177878137328</v>
      </c>
      <c r="V135" s="81" t="str">
        <f>IF(G135="","",IF(M135="OK","NONE",INDEX({"S1","S2","W1","W2","N1","N2"},MATCH(MIN(P135:U135),P135:U135,0))))</f>
        <v>NONE</v>
      </c>
      <c r="W135" s="117">
        <f t="shared" si="20"/>
        <v>1</v>
      </c>
      <c r="X135" s="107"/>
    </row>
    <row r="136" spans="1:24">
      <c r="A136" s="115">
        <v>134</v>
      </c>
      <c r="B136" s="116">
        <v>5</v>
      </c>
      <c r="C136" s="81" t="s">
        <v>130</v>
      </c>
      <c r="D136" s="109" t="s">
        <v>238</v>
      </c>
      <c r="E136" s="81" t="s">
        <v>239</v>
      </c>
      <c r="F136" s="61">
        <v>8.94</v>
      </c>
      <c r="G136" s="52">
        <f t="shared" si="14"/>
        <v>9.91</v>
      </c>
      <c r="H136" s="110"/>
      <c r="I136" s="81">
        <v>9.91</v>
      </c>
      <c r="J136" s="81">
        <f>VLOOKUP(C136,Recipes!$A$2:$N$4,12,FALSE())</f>
        <v>5.0137397426368718E-2</v>
      </c>
      <c r="K136" s="81">
        <f t="shared" si="15"/>
        <v>9.6091756154417887</v>
      </c>
      <c r="L136" s="81">
        <f t="shared" si="16"/>
        <v>10.210824384558212</v>
      </c>
      <c r="M136" s="81" t="str">
        <f t="shared" si="18"/>
        <v>OK</v>
      </c>
      <c r="N136" s="117">
        <f t="shared" si="17"/>
        <v>1</v>
      </c>
      <c r="O136" s="81">
        <f t="shared" si="19"/>
        <v>0</v>
      </c>
      <c r="P136" s="81">
        <f>IF(G136="","",ABS(O136-Components!$C$2)/Components!$D$2)</f>
        <v>416.60705538492499</v>
      </c>
      <c r="Q136" s="81">
        <f>IF(G136="","",ABS(O136-Components!$C$3)/Components!$D$3)</f>
        <v>292.53687492076608</v>
      </c>
      <c r="R136" s="81">
        <f>IF(G136="","",ABS(O136-Components!$C$4)/Components!$D$4)</f>
        <v>71.060813502846173</v>
      </c>
      <c r="S136" s="81">
        <f>IF(G136="","",ABS(O136-Components!$C$5)/Components!$D$5)</f>
        <v>181.20335706346788</v>
      </c>
      <c r="T136" s="81">
        <f>IF(G136="","",ABS(O136-Components!$C$6)/Components!$D$6)</f>
        <v>41.828806507685222</v>
      </c>
      <c r="U136" s="81">
        <f>IF(G136="","",ABS(O136-Components!$C$7)/Components!$D$7)</f>
        <v>54.655123995148351</v>
      </c>
      <c r="V136" s="81" t="str">
        <f>IF(G136="","",IF(M136="OK","NONE",INDEX({"S1","S2","W1","W2","N1","N2"},MATCH(MIN(P136:U136),P136:U136,0))))</f>
        <v>NONE</v>
      </c>
      <c r="W136" s="117">
        <f t="shared" si="20"/>
        <v>1</v>
      </c>
      <c r="X136" s="107"/>
    </row>
    <row r="137" spans="1:24">
      <c r="A137" s="115">
        <v>135</v>
      </c>
      <c r="B137" s="116">
        <v>5</v>
      </c>
      <c r="C137" s="81" t="s">
        <v>130</v>
      </c>
      <c r="D137" s="109" t="s">
        <v>238</v>
      </c>
      <c r="E137" s="81" t="s">
        <v>239</v>
      </c>
      <c r="F137" s="61">
        <v>8.89</v>
      </c>
      <c r="G137" s="52">
        <f t="shared" si="14"/>
        <v>9.8600000000000012</v>
      </c>
      <c r="H137" s="110"/>
      <c r="I137" s="81">
        <v>9.91</v>
      </c>
      <c r="J137" s="81">
        <f>VLOOKUP(C137,Recipes!$A$2:$N$4,12,FALSE())</f>
        <v>5.0137397426368718E-2</v>
      </c>
      <c r="K137" s="81">
        <f t="shared" si="15"/>
        <v>9.6091756154417887</v>
      </c>
      <c r="L137" s="81">
        <f t="shared" si="16"/>
        <v>10.210824384558212</v>
      </c>
      <c r="M137" s="81" t="str">
        <f t="shared" si="18"/>
        <v>OK</v>
      </c>
      <c r="N137" s="117">
        <f t="shared" si="17"/>
        <v>1</v>
      </c>
      <c r="O137" s="81">
        <f t="shared" si="19"/>
        <v>4.9999999999998934E-2</v>
      </c>
      <c r="P137" s="81">
        <f>IF(G137="","",ABS(O137-Components!$C$2)/Components!$D$2)</f>
        <v>409.04155195783812</v>
      </c>
      <c r="Q137" s="81">
        <f>IF(G137="","",ABS(O137-Components!$C$3)/Components!$D$3)</f>
        <v>288.91278083106391</v>
      </c>
      <c r="R137" s="81">
        <f>IF(G137="","",ABS(O137-Components!$C$4)/Components!$D$4)</f>
        <v>67.483926917132521</v>
      </c>
      <c r="S137" s="81">
        <f>IF(G137="","",ABS(O137-Components!$C$5)/Components!$D$5)</f>
        <v>179.21763938670577</v>
      </c>
      <c r="T137" s="81">
        <f>IF(G137="","",ABS(O137-Components!$C$6)/Components!$D$6)</f>
        <v>40.019080238244022</v>
      </c>
      <c r="U137" s="81">
        <f>IF(G137="","",ABS(O137-Components!$C$7)/Components!$D$7)</f>
        <v>52.666700856833515</v>
      </c>
      <c r="V137" s="81" t="str">
        <f>IF(G137="","",IF(M137="OK","NONE",INDEX({"S1","S2","W1","W2","N1","N2"},MATCH(MIN(P137:U137),P137:U137,0))))</f>
        <v>NONE</v>
      </c>
      <c r="W137" s="117">
        <f t="shared" si="20"/>
        <v>1</v>
      </c>
      <c r="X137" s="107"/>
    </row>
    <row r="138" spans="1:24">
      <c r="A138" s="115">
        <v>136</v>
      </c>
      <c r="B138" s="116">
        <v>5</v>
      </c>
      <c r="C138" s="81" t="s">
        <v>130</v>
      </c>
      <c r="D138" s="109" t="s">
        <v>238</v>
      </c>
      <c r="E138" s="81" t="s">
        <v>239</v>
      </c>
      <c r="F138" s="61">
        <v>8.8800000000000008</v>
      </c>
      <c r="G138" s="52">
        <f t="shared" si="14"/>
        <v>9.8500000000000014</v>
      </c>
      <c r="H138" s="110"/>
      <c r="I138" s="81">
        <v>9.91</v>
      </c>
      <c r="J138" s="81">
        <f>VLOOKUP(C138,Recipes!$A$2:$N$4,12,FALSE())</f>
        <v>5.0137397426368718E-2</v>
      </c>
      <c r="K138" s="81">
        <f t="shared" si="15"/>
        <v>9.6091756154417887</v>
      </c>
      <c r="L138" s="81">
        <f t="shared" si="16"/>
        <v>10.210824384558212</v>
      </c>
      <c r="M138" s="81" t="str">
        <f t="shared" si="18"/>
        <v>OK</v>
      </c>
      <c r="N138" s="117">
        <f t="shared" si="17"/>
        <v>1</v>
      </c>
      <c r="O138" s="81">
        <f t="shared" si="19"/>
        <v>5.9999999999998721E-2</v>
      </c>
      <c r="P138" s="81">
        <f>IF(G138="","",ABS(O138-Components!$C$2)/Components!$D$2)</f>
        <v>407.52845127242074</v>
      </c>
      <c r="Q138" s="81">
        <f>IF(G138="","",ABS(O138-Components!$C$3)/Components!$D$3)</f>
        <v>288.18796201312347</v>
      </c>
      <c r="R138" s="81">
        <f>IF(G138="","",ABS(O138-Components!$C$4)/Components!$D$4)</f>
        <v>66.768549599989782</v>
      </c>
      <c r="S138" s="81">
        <f>IF(G138="","",ABS(O138-Components!$C$5)/Components!$D$5)</f>
        <v>178.82049585135334</v>
      </c>
      <c r="T138" s="81">
        <f>IF(G138="","",ABS(O138-Components!$C$6)/Components!$D$6)</f>
        <v>39.657134984355785</v>
      </c>
      <c r="U138" s="81">
        <f>IF(G138="","",ABS(O138-Components!$C$7)/Components!$D$7)</f>
        <v>52.269016229170546</v>
      </c>
      <c r="V138" s="81" t="str">
        <f>IF(G138="","",IF(M138="OK","NONE",INDEX({"S1","S2","W1","W2","N1","N2"},MATCH(MIN(P138:U138),P138:U138,0))))</f>
        <v>NONE</v>
      </c>
      <c r="W138" s="117">
        <f t="shared" si="20"/>
        <v>1</v>
      </c>
      <c r="X138" s="107"/>
    </row>
    <row r="139" spans="1:24">
      <c r="A139" s="115">
        <v>137</v>
      </c>
      <c r="B139" s="116">
        <v>5</v>
      </c>
      <c r="C139" s="81" t="s">
        <v>130</v>
      </c>
      <c r="D139" s="109" t="s">
        <v>238</v>
      </c>
      <c r="E139" s="81" t="s">
        <v>239</v>
      </c>
      <c r="F139" s="61">
        <v>8.93</v>
      </c>
      <c r="G139" s="52">
        <f t="shared" si="14"/>
        <v>9.9</v>
      </c>
      <c r="H139" s="110"/>
      <c r="I139" s="81">
        <v>9.91</v>
      </c>
      <c r="J139" s="81">
        <f>VLOOKUP(C139,Recipes!$A$2:$N$4,12,FALSE())</f>
        <v>5.0137397426368718E-2</v>
      </c>
      <c r="K139" s="81">
        <f t="shared" si="15"/>
        <v>9.6091756154417887</v>
      </c>
      <c r="L139" s="81">
        <f t="shared" si="16"/>
        <v>10.210824384558212</v>
      </c>
      <c r="M139" s="81" t="str">
        <f t="shared" si="18"/>
        <v>OK</v>
      </c>
      <c r="N139" s="117">
        <f t="shared" si="17"/>
        <v>1</v>
      </c>
      <c r="O139" s="81">
        <f t="shared" si="19"/>
        <v>9.9999999999997868E-3</v>
      </c>
      <c r="P139" s="81">
        <f>IF(G139="","",ABS(O139-Components!$C$2)/Components!$D$2)</f>
        <v>415.09395469950761</v>
      </c>
      <c r="Q139" s="81">
        <f>IF(G139="","",ABS(O139-Components!$C$3)/Components!$D$3)</f>
        <v>291.81205610282564</v>
      </c>
      <c r="R139" s="81">
        <f>IF(G139="","",ABS(O139-Components!$C$4)/Components!$D$4)</f>
        <v>70.345436185703448</v>
      </c>
      <c r="S139" s="81">
        <f>IF(G139="","",ABS(O139-Components!$C$5)/Components!$D$5)</f>
        <v>180.80621352811545</v>
      </c>
      <c r="T139" s="81">
        <f>IF(G139="","",ABS(O139-Components!$C$6)/Components!$D$6)</f>
        <v>41.466861253796985</v>
      </c>
      <c r="U139" s="81">
        <f>IF(G139="","",ABS(O139-Components!$C$7)/Components!$D$7)</f>
        <v>54.257439367485389</v>
      </c>
      <c r="V139" s="81" t="str">
        <f>IF(G139="","",IF(M139="OK","NONE",INDEX({"S1","S2","W1","W2","N1","N2"},MATCH(MIN(P139:U139),P139:U139,0))))</f>
        <v>NONE</v>
      </c>
      <c r="W139" s="117">
        <f t="shared" si="20"/>
        <v>1</v>
      </c>
      <c r="X139" s="107"/>
    </row>
    <row r="140" spans="1:24">
      <c r="A140" s="115">
        <v>138</v>
      </c>
      <c r="B140" s="116">
        <v>5</v>
      </c>
      <c r="C140" s="81" t="s">
        <v>130</v>
      </c>
      <c r="D140" s="109" t="s">
        <v>238</v>
      </c>
      <c r="E140" s="81" t="s">
        <v>239</v>
      </c>
      <c r="F140" s="61">
        <v>8.93</v>
      </c>
      <c r="G140" s="52">
        <f t="shared" si="14"/>
        <v>9.9</v>
      </c>
      <c r="H140" s="110"/>
      <c r="I140" s="81">
        <v>9.91</v>
      </c>
      <c r="J140" s="81">
        <f>VLOOKUP(C140,Recipes!$A$2:$N$4,12,FALSE())</f>
        <v>5.0137397426368718E-2</v>
      </c>
      <c r="K140" s="81">
        <f t="shared" si="15"/>
        <v>9.6091756154417887</v>
      </c>
      <c r="L140" s="81">
        <f t="shared" si="16"/>
        <v>10.210824384558212</v>
      </c>
      <c r="M140" s="81" t="str">
        <f t="shared" si="18"/>
        <v>OK</v>
      </c>
      <c r="N140" s="117">
        <f t="shared" si="17"/>
        <v>1</v>
      </c>
      <c r="O140" s="81">
        <f t="shared" si="19"/>
        <v>9.9999999999997868E-3</v>
      </c>
      <c r="P140" s="81">
        <f>IF(G140="","",ABS(O140-Components!$C$2)/Components!$D$2)</f>
        <v>415.09395469950761</v>
      </c>
      <c r="Q140" s="81">
        <f>IF(G140="","",ABS(O140-Components!$C$3)/Components!$D$3)</f>
        <v>291.81205610282564</v>
      </c>
      <c r="R140" s="81">
        <f>IF(G140="","",ABS(O140-Components!$C$4)/Components!$D$4)</f>
        <v>70.345436185703448</v>
      </c>
      <c r="S140" s="81">
        <f>IF(G140="","",ABS(O140-Components!$C$5)/Components!$D$5)</f>
        <v>180.80621352811545</v>
      </c>
      <c r="T140" s="81">
        <f>IF(G140="","",ABS(O140-Components!$C$6)/Components!$D$6)</f>
        <v>41.466861253796985</v>
      </c>
      <c r="U140" s="81">
        <f>IF(G140="","",ABS(O140-Components!$C$7)/Components!$D$7)</f>
        <v>54.257439367485389</v>
      </c>
      <c r="V140" s="81" t="str">
        <f>IF(G140="","",IF(M140="OK","NONE",INDEX({"S1","S2","W1","W2","N1","N2"},MATCH(MIN(P140:U140),P140:U140,0))))</f>
        <v>NONE</v>
      </c>
      <c r="W140" s="117">
        <f t="shared" si="20"/>
        <v>1</v>
      </c>
      <c r="X140" s="107"/>
    </row>
    <row r="141" spans="1:24">
      <c r="A141" s="115">
        <v>139</v>
      </c>
      <c r="B141" s="116">
        <v>5</v>
      </c>
      <c r="C141" s="81" t="s">
        <v>130</v>
      </c>
      <c r="D141" s="109" t="s">
        <v>238</v>
      </c>
      <c r="E141" s="81" t="s">
        <v>239</v>
      </c>
      <c r="F141" s="61">
        <v>8.92</v>
      </c>
      <c r="G141" s="52">
        <f t="shared" si="14"/>
        <v>9.89</v>
      </c>
      <c r="H141" s="110"/>
      <c r="I141" s="81">
        <v>9.91</v>
      </c>
      <c r="J141" s="81">
        <f>VLOOKUP(C141,Recipes!$A$2:$N$4,12,FALSE())</f>
        <v>5.0137397426368718E-2</v>
      </c>
      <c r="K141" s="81">
        <f t="shared" si="15"/>
        <v>9.6091756154417887</v>
      </c>
      <c r="L141" s="81">
        <f t="shared" si="16"/>
        <v>10.210824384558212</v>
      </c>
      <c r="M141" s="81" t="str">
        <f t="shared" si="18"/>
        <v>OK</v>
      </c>
      <c r="N141" s="117">
        <f t="shared" si="17"/>
        <v>1</v>
      </c>
      <c r="O141" s="81">
        <f t="shared" si="19"/>
        <v>1.9999999999999574E-2</v>
      </c>
      <c r="P141" s="81">
        <f>IF(G141="","",ABS(O141-Components!$C$2)/Components!$D$2)</f>
        <v>413.58085401409028</v>
      </c>
      <c r="Q141" s="81">
        <f>IF(G141="","",ABS(O141-Components!$C$3)/Components!$D$3)</f>
        <v>291.08723728488519</v>
      </c>
      <c r="R141" s="81">
        <f>IF(G141="","",ABS(O141-Components!$C$4)/Components!$D$4)</f>
        <v>69.63005886856071</v>
      </c>
      <c r="S141" s="81">
        <f>IF(G141="","",ABS(O141-Components!$C$5)/Components!$D$5)</f>
        <v>180.40906999276302</v>
      </c>
      <c r="T141" s="81">
        <f>IF(G141="","",ABS(O141-Components!$C$6)/Components!$D$6)</f>
        <v>41.104915999908741</v>
      </c>
      <c r="U141" s="81">
        <f>IF(G141="","",ABS(O141-Components!$C$7)/Components!$D$7)</f>
        <v>53.859754739822421</v>
      </c>
      <c r="V141" s="81" t="str">
        <f>IF(G141="","",IF(M141="OK","NONE",INDEX({"S1","S2","W1","W2","N1","N2"},MATCH(MIN(P141:U141),P141:U141,0))))</f>
        <v>NONE</v>
      </c>
      <c r="W141" s="117">
        <f t="shared" si="20"/>
        <v>1</v>
      </c>
      <c r="X141" s="107"/>
    </row>
    <row r="142" spans="1:24">
      <c r="A142" s="115">
        <v>140</v>
      </c>
      <c r="B142" s="116">
        <v>5</v>
      </c>
      <c r="C142" s="81" t="s">
        <v>130</v>
      </c>
      <c r="D142" s="109" t="s">
        <v>238</v>
      </c>
      <c r="E142" s="81" t="s">
        <v>239</v>
      </c>
      <c r="F142" s="61">
        <v>8.8800000000000008</v>
      </c>
      <c r="G142" s="52">
        <f t="shared" si="14"/>
        <v>9.8500000000000014</v>
      </c>
      <c r="H142" s="110"/>
      <c r="I142" s="81">
        <v>9.91</v>
      </c>
      <c r="J142" s="81">
        <f>VLOOKUP(C142,Recipes!$A$2:$N$4,12,FALSE())</f>
        <v>5.0137397426368718E-2</v>
      </c>
      <c r="K142" s="81">
        <f t="shared" si="15"/>
        <v>9.6091756154417887</v>
      </c>
      <c r="L142" s="81">
        <f t="shared" si="16"/>
        <v>10.210824384558212</v>
      </c>
      <c r="M142" s="81" t="str">
        <f t="shared" si="18"/>
        <v>OK</v>
      </c>
      <c r="N142" s="117">
        <f t="shared" si="17"/>
        <v>1</v>
      </c>
      <c r="O142" s="81">
        <f t="shared" si="19"/>
        <v>5.9999999999998721E-2</v>
      </c>
      <c r="P142" s="81">
        <f>IF(G142="","",ABS(O142-Components!$C$2)/Components!$D$2)</f>
        <v>407.52845127242074</v>
      </c>
      <c r="Q142" s="81">
        <f>IF(G142="","",ABS(O142-Components!$C$3)/Components!$D$3)</f>
        <v>288.18796201312347</v>
      </c>
      <c r="R142" s="81">
        <f>IF(G142="","",ABS(O142-Components!$C$4)/Components!$D$4)</f>
        <v>66.768549599989782</v>
      </c>
      <c r="S142" s="81">
        <f>IF(G142="","",ABS(O142-Components!$C$5)/Components!$D$5)</f>
        <v>178.82049585135334</v>
      </c>
      <c r="T142" s="81">
        <f>IF(G142="","",ABS(O142-Components!$C$6)/Components!$D$6)</f>
        <v>39.657134984355785</v>
      </c>
      <c r="U142" s="81">
        <f>IF(G142="","",ABS(O142-Components!$C$7)/Components!$D$7)</f>
        <v>52.269016229170546</v>
      </c>
      <c r="V142" s="81" t="str">
        <f>IF(G142="","",IF(M142="OK","NONE",INDEX({"S1","S2","W1","W2","N1","N2"},MATCH(MIN(P142:U142),P142:U142,0))))</f>
        <v>NONE</v>
      </c>
      <c r="W142" s="117">
        <f t="shared" si="20"/>
        <v>1</v>
      </c>
      <c r="X142" s="107"/>
    </row>
    <row r="143" spans="1:24">
      <c r="A143" s="115">
        <v>141</v>
      </c>
      <c r="B143" s="116">
        <v>5</v>
      </c>
      <c r="C143" s="81" t="s">
        <v>130</v>
      </c>
      <c r="D143" s="109" t="s">
        <v>238</v>
      </c>
      <c r="E143" s="81" t="s">
        <v>239</v>
      </c>
      <c r="F143" s="61">
        <v>8.9</v>
      </c>
      <c r="G143" s="52">
        <f t="shared" si="14"/>
        <v>9.870000000000001</v>
      </c>
      <c r="H143" s="110"/>
      <c r="I143" s="81">
        <v>9.91</v>
      </c>
      <c r="J143" s="81">
        <f>VLOOKUP(C143,Recipes!$A$2:$N$4,12,FALSE())</f>
        <v>5.0137397426368718E-2</v>
      </c>
      <c r="K143" s="81">
        <f t="shared" si="15"/>
        <v>9.6091756154417887</v>
      </c>
      <c r="L143" s="81">
        <f t="shared" si="16"/>
        <v>10.210824384558212</v>
      </c>
      <c r="M143" s="81" t="str">
        <f t="shared" si="18"/>
        <v>OK</v>
      </c>
      <c r="N143" s="117">
        <f t="shared" si="17"/>
        <v>1</v>
      </c>
      <c r="O143" s="81">
        <f t="shared" si="19"/>
        <v>3.9999999999999147E-2</v>
      </c>
      <c r="P143" s="81">
        <f>IF(G143="","",ABS(O143-Components!$C$2)/Components!$D$2)</f>
        <v>410.55465264325551</v>
      </c>
      <c r="Q143" s="81">
        <f>IF(G143="","",ABS(O143-Components!$C$3)/Components!$D$3)</f>
        <v>289.63759964900436</v>
      </c>
      <c r="R143" s="81">
        <f>IF(G143="","",ABS(O143-Components!$C$4)/Components!$D$4)</f>
        <v>68.199304234275246</v>
      </c>
      <c r="S143" s="81">
        <f>IF(G143="","",ABS(O143-Components!$C$5)/Components!$D$5)</f>
        <v>179.6147829220582</v>
      </c>
      <c r="T143" s="81">
        <f>IF(G143="","",ABS(O143-Components!$C$6)/Components!$D$6)</f>
        <v>40.381025492132267</v>
      </c>
      <c r="U143" s="81">
        <f>IF(G143="","",ABS(O143-Components!$C$7)/Components!$D$7)</f>
        <v>53.064385484496484</v>
      </c>
      <c r="V143" s="81" t="str">
        <f>IF(G143="","",IF(M143="OK","NONE",INDEX({"S1","S2","W1","W2","N1","N2"},MATCH(MIN(P143:U143),P143:U143,0))))</f>
        <v>NONE</v>
      </c>
      <c r="W143" s="117">
        <f t="shared" si="20"/>
        <v>1</v>
      </c>
      <c r="X143" s="107"/>
    </row>
    <row r="144" spans="1:24">
      <c r="A144" s="115">
        <v>142</v>
      </c>
      <c r="B144" s="116">
        <v>5</v>
      </c>
      <c r="C144" s="81" t="s">
        <v>130</v>
      </c>
      <c r="D144" s="109" t="s">
        <v>238</v>
      </c>
      <c r="E144" s="81" t="s">
        <v>239</v>
      </c>
      <c r="F144" s="61">
        <v>8.8699999999999992</v>
      </c>
      <c r="G144" s="52">
        <f t="shared" si="14"/>
        <v>9.84</v>
      </c>
      <c r="H144" s="110"/>
      <c r="I144" s="81">
        <v>9.91</v>
      </c>
      <c r="J144" s="81">
        <f>VLOOKUP(C144,Recipes!$A$2:$N$4,12,FALSE())</f>
        <v>5.0137397426368718E-2</v>
      </c>
      <c r="K144" s="81">
        <f t="shared" si="15"/>
        <v>9.6091756154417887</v>
      </c>
      <c r="L144" s="81">
        <f t="shared" si="16"/>
        <v>10.210824384558212</v>
      </c>
      <c r="M144" s="81" t="str">
        <f t="shared" si="18"/>
        <v>OK</v>
      </c>
      <c r="N144" s="117">
        <f t="shared" si="17"/>
        <v>1</v>
      </c>
      <c r="O144" s="81">
        <f t="shared" si="19"/>
        <v>7.0000000000000284E-2</v>
      </c>
      <c r="P144" s="81">
        <f>IF(G144="","",ABS(O144-Components!$C$2)/Components!$D$2)</f>
        <v>406.01535058700313</v>
      </c>
      <c r="Q144" s="81">
        <f>IF(G144="","",ABS(O144-Components!$C$3)/Components!$D$3)</f>
        <v>287.46314319518291</v>
      </c>
      <c r="R144" s="81">
        <f>IF(G144="","",ABS(O144-Components!$C$4)/Components!$D$4)</f>
        <v>66.05317228284693</v>
      </c>
      <c r="S144" s="81">
        <f>IF(G144="","",ABS(O144-Components!$C$5)/Components!$D$5)</f>
        <v>178.42335231600086</v>
      </c>
      <c r="T144" s="81">
        <f>IF(G144="","",ABS(O144-Components!$C$6)/Components!$D$6)</f>
        <v>39.295189730467477</v>
      </c>
      <c r="U144" s="81">
        <f>IF(G144="","",ABS(O144-Components!$C$7)/Components!$D$7)</f>
        <v>51.871331601507507</v>
      </c>
      <c r="V144" s="81" t="str">
        <f>IF(G144="","",IF(M144="OK","NONE",INDEX({"S1","S2","W1","W2","N1","N2"},MATCH(MIN(P144:U144),P144:U144,0))))</f>
        <v>NONE</v>
      </c>
      <c r="W144" s="117">
        <f t="shared" si="20"/>
        <v>1</v>
      </c>
      <c r="X144" s="107"/>
    </row>
    <row r="145" spans="1:24">
      <c r="A145" s="115">
        <v>143</v>
      </c>
      <c r="B145" s="116">
        <v>5</v>
      </c>
      <c r="C145" s="81" t="s">
        <v>130</v>
      </c>
      <c r="D145" s="109" t="s">
        <v>238</v>
      </c>
      <c r="E145" s="81" t="s">
        <v>239</v>
      </c>
      <c r="F145" s="61">
        <v>8.93</v>
      </c>
      <c r="G145" s="52">
        <f t="shared" si="14"/>
        <v>9.9</v>
      </c>
      <c r="H145" s="110"/>
      <c r="I145" s="81">
        <v>9.91</v>
      </c>
      <c r="J145" s="81">
        <f>VLOOKUP(C145,Recipes!$A$2:$N$4,12,FALSE())</f>
        <v>5.0137397426368718E-2</v>
      </c>
      <c r="K145" s="81">
        <f t="shared" si="15"/>
        <v>9.6091756154417887</v>
      </c>
      <c r="L145" s="81">
        <f t="shared" si="16"/>
        <v>10.210824384558212</v>
      </c>
      <c r="M145" s="81" t="str">
        <f t="shared" si="18"/>
        <v>OK</v>
      </c>
      <c r="N145" s="117">
        <f t="shared" si="17"/>
        <v>1</v>
      </c>
      <c r="O145" s="81">
        <f t="shared" si="19"/>
        <v>9.9999999999997868E-3</v>
      </c>
      <c r="P145" s="81">
        <f>IF(G145="","",ABS(O145-Components!$C$2)/Components!$D$2)</f>
        <v>415.09395469950761</v>
      </c>
      <c r="Q145" s="81">
        <f>IF(G145="","",ABS(O145-Components!$C$3)/Components!$D$3)</f>
        <v>291.81205610282564</v>
      </c>
      <c r="R145" s="81">
        <f>IF(G145="","",ABS(O145-Components!$C$4)/Components!$D$4)</f>
        <v>70.345436185703448</v>
      </c>
      <c r="S145" s="81">
        <f>IF(G145="","",ABS(O145-Components!$C$5)/Components!$D$5)</f>
        <v>180.80621352811545</v>
      </c>
      <c r="T145" s="81">
        <f>IF(G145="","",ABS(O145-Components!$C$6)/Components!$D$6)</f>
        <v>41.466861253796985</v>
      </c>
      <c r="U145" s="81">
        <f>IF(G145="","",ABS(O145-Components!$C$7)/Components!$D$7)</f>
        <v>54.257439367485389</v>
      </c>
      <c r="V145" s="81" t="str">
        <f>IF(G145="","",IF(M145="OK","NONE",INDEX({"S1","S2","W1","W2","N1","N2"},MATCH(MIN(P145:U145),P145:U145,0))))</f>
        <v>NONE</v>
      </c>
      <c r="W145" s="117">
        <f t="shared" si="20"/>
        <v>1</v>
      </c>
      <c r="X145" s="107"/>
    </row>
    <row r="146" spans="1:24">
      <c r="A146" s="115">
        <v>144</v>
      </c>
      <c r="B146" s="116">
        <v>5</v>
      </c>
      <c r="C146" s="81" t="s">
        <v>130</v>
      </c>
      <c r="D146" s="109" t="s">
        <v>238</v>
      </c>
      <c r="E146" s="81" t="s">
        <v>239</v>
      </c>
      <c r="F146" s="61">
        <v>8.94</v>
      </c>
      <c r="G146" s="52">
        <f t="shared" si="14"/>
        <v>9.91</v>
      </c>
      <c r="H146" s="110"/>
      <c r="I146" s="81">
        <v>9.91</v>
      </c>
      <c r="J146" s="81">
        <f>VLOOKUP(C146,Recipes!$A$2:$N$4,12,FALSE())</f>
        <v>5.0137397426368718E-2</v>
      </c>
      <c r="K146" s="81">
        <f t="shared" si="15"/>
        <v>9.6091756154417887</v>
      </c>
      <c r="L146" s="81">
        <f t="shared" si="16"/>
        <v>10.210824384558212</v>
      </c>
      <c r="M146" s="81" t="str">
        <f t="shared" si="18"/>
        <v>OK</v>
      </c>
      <c r="N146" s="117">
        <f t="shared" si="17"/>
        <v>1</v>
      </c>
      <c r="O146" s="81">
        <f t="shared" si="19"/>
        <v>0</v>
      </c>
      <c r="P146" s="81">
        <f>IF(G146="","",ABS(O146-Components!$C$2)/Components!$D$2)</f>
        <v>416.60705538492499</v>
      </c>
      <c r="Q146" s="81">
        <f>IF(G146="","",ABS(O146-Components!$C$3)/Components!$D$3)</f>
        <v>292.53687492076608</v>
      </c>
      <c r="R146" s="81">
        <f>IF(G146="","",ABS(O146-Components!$C$4)/Components!$D$4)</f>
        <v>71.060813502846173</v>
      </c>
      <c r="S146" s="81">
        <f>IF(G146="","",ABS(O146-Components!$C$5)/Components!$D$5)</f>
        <v>181.20335706346788</v>
      </c>
      <c r="T146" s="81">
        <f>IF(G146="","",ABS(O146-Components!$C$6)/Components!$D$6)</f>
        <v>41.828806507685222</v>
      </c>
      <c r="U146" s="81">
        <f>IF(G146="","",ABS(O146-Components!$C$7)/Components!$D$7)</f>
        <v>54.655123995148351</v>
      </c>
      <c r="V146" s="81" t="str">
        <f>IF(G146="","",IF(M146="OK","NONE",INDEX({"S1","S2","W1","W2","N1","N2"},MATCH(MIN(P146:U146),P146:U146,0))))</f>
        <v>NONE</v>
      </c>
      <c r="W146" s="117">
        <f t="shared" si="20"/>
        <v>1</v>
      </c>
      <c r="X146" s="107"/>
    </row>
    <row r="147" spans="1:24">
      <c r="A147" s="115">
        <v>145</v>
      </c>
      <c r="B147" s="116">
        <v>5</v>
      </c>
      <c r="C147" s="81" t="s">
        <v>130</v>
      </c>
      <c r="D147" s="109" t="s">
        <v>238</v>
      </c>
      <c r="E147" s="81" t="s">
        <v>239</v>
      </c>
      <c r="F147" s="61">
        <v>8.8800000000000008</v>
      </c>
      <c r="G147" s="52">
        <f t="shared" si="14"/>
        <v>9.8500000000000014</v>
      </c>
      <c r="H147" s="110"/>
      <c r="I147" s="81">
        <v>9.91</v>
      </c>
      <c r="J147" s="81">
        <f>VLOOKUP(C147,Recipes!$A$2:$N$4,12,FALSE())</f>
        <v>5.0137397426368718E-2</v>
      </c>
      <c r="K147" s="81">
        <f t="shared" si="15"/>
        <v>9.6091756154417887</v>
      </c>
      <c r="L147" s="81">
        <f t="shared" si="16"/>
        <v>10.210824384558212</v>
      </c>
      <c r="M147" s="81" t="str">
        <f t="shared" si="18"/>
        <v>OK</v>
      </c>
      <c r="N147" s="117">
        <f t="shared" si="17"/>
        <v>1</v>
      </c>
      <c r="O147" s="81">
        <f t="shared" si="19"/>
        <v>5.9999999999998721E-2</v>
      </c>
      <c r="P147" s="81">
        <f>IF(G147="","",ABS(O147-Components!$C$2)/Components!$D$2)</f>
        <v>407.52845127242074</v>
      </c>
      <c r="Q147" s="81">
        <f>IF(G147="","",ABS(O147-Components!$C$3)/Components!$D$3)</f>
        <v>288.18796201312347</v>
      </c>
      <c r="R147" s="81">
        <f>IF(G147="","",ABS(O147-Components!$C$4)/Components!$D$4)</f>
        <v>66.768549599989782</v>
      </c>
      <c r="S147" s="81">
        <f>IF(G147="","",ABS(O147-Components!$C$5)/Components!$D$5)</f>
        <v>178.82049585135334</v>
      </c>
      <c r="T147" s="81">
        <f>IF(G147="","",ABS(O147-Components!$C$6)/Components!$D$6)</f>
        <v>39.657134984355785</v>
      </c>
      <c r="U147" s="81">
        <f>IF(G147="","",ABS(O147-Components!$C$7)/Components!$D$7)</f>
        <v>52.269016229170546</v>
      </c>
      <c r="V147" s="81" t="str">
        <f>IF(G147="","",IF(M147="OK","NONE",INDEX({"S1","S2","W1","W2","N1","N2"},MATCH(MIN(P147:U147),P147:U147,0))))</f>
        <v>NONE</v>
      </c>
      <c r="W147" s="117">
        <f t="shared" si="20"/>
        <v>1</v>
      </c>
      <c r="X147" s="107"/>
    </row>
    <row r="148" spans="1:24">
      <c r="A148" s="115">
        <v>146</v>
      </c>
      <c r="B148" s="116">
        <v>5</v>
      </c>
      <c r="C148" s="81" t="s">
        <v>130</v>
      </c>
      <c r="D148" s="109" t="s">
        <v>238</v>
      </c>
      <c r="E148" s="81" t="s">
        <v>239</v>
      </c>
      <c r="F148" s="61">
        <v>8.89</v>
      </c>
      <c r="G148" s="52">
        <f t="shared" si="14"/>
        <v>9.8600000000000012</v>
      </c>
      <c r="H148" s="110"/>
      <c r="I148" s="81">
        <v>9.91</v>
      </c>
      <c r="J148" s="81">
        <f>VLOOKUP(C148,Recipes!$A$2:$N$4,12,FALSE())</f>
        <v>5.0137397426368718E-2</v>
      </c>
      <c r="K148" s="81">
        <f t="shared" si="15"/>
        <v>9.6091756154417887</v>
      </c>
      <c r="L148" s="81">
        <f t="shared" si="16"/>
        <v>10.210824384558212</v>
      </c>
      <c r="M148" s="81" t="str">
        <f t="shared" si="18"/>
        <v>OK</v>
      </c>
      <c r="N148" s="117">
        <f t="shared" si="17"/>
        <v>1</v>
      </c>
      <c r="O148" s="81">
        <f t="shared" si="19"/>
        <v>4.9999999999998934E-2</v>
      </c>
      <c r="P148" s="81">
        <f>IF(G148="","",ABS(O148-Components!$C$2)/Components!$D$2)</f>
        <v>409.04155195783812</v>
      </c>
      <c r="Q148" s="81">
        <f>IF(G148="","",ABS(O148-Components!$C$3)/Components!$D$3)</f>
        <v>288.91278083106391</v>
      </c>
      <c r="R148" s="81">
        <f>IF(G148="","",ABS(O148-Components!$C$4)/Components!$D$4)</f>
        <v>67.483926917132521</v>
      </c>
      <c r="S148" s="81">
        <f>IF(G148="","",ABS(O148-Components!$C$5)/Components!$D$5)</f>
        <v>179.21763938670577</v>
      </c>
      <c r="T148" s="81">
        <f>IF(G148="","",ABS(O148-Components!$C$6)/Components!$D$6)</f>
        <v>40.019080238244022</v>
      </c>
      <c r="U148" s="81">
        <f>IF(G148="","",ABS(O148-Components!$C$7)/Components!$D$7)</f>
        <v>52.666700856833515</v>
      </c>
      <c r="V148" s="81" t="str">
        <f>IF(G148="","",IF(M148="OK","NONE",INDEX({"S1","S2","W1","W2","N1","N2"},MATCH(MIN(P148:U148),P148:U148,0))))</f>
        <v>NONE</v>
      </c>
      <c r="W148" s="117">
        <f t="shared" si="20"/>
        <v>1</v>
      </c>
      <c r="X148" s="107"/>
    </row>
    <row r="149" spans="1:24">
      <c r="A149" s="115">
        <v>147</v>
      </c>
      <c r="B149" s="116">
        <v>5</v>
      </c>
      <c r="C149" s="81" t="s">
        <v>130</v>
      </c>
      <c r="D149" s="109" t="s">
        <v>238</v>
      </c>
      <c r="E149" s="81" t="s">
        <v>239</v>
      </c>
      <c r="F149" s="61">
        <v>8.8800000000000008</v>
      </c>
      <c r="G149" s="52">
        <f t="shared" si="14"/>
        <v>9.8500000000000014</v>
      </c>
      <c r="H149" s="110"/>
      <c r="I149" s="81">
        <v>9.91</v>
      </c>
      <c r="J149" s="81">
        <f>VLOOKUP(C149,Recipes!$A$2:$N$4,12,FALSE())</f>
        <v>5.0137397426368718E-2</v>
      </c>
      <c r="K149" s="81">
        <f t="shared" si="15"/>
        <v>9.6091756154417887</v>
      </c>
      <c r="L149" s="81">
        <f t="shared" si="16"/>
        <v>10.210824384558212</v>
      </c>
      <c r="M149" s="81" t="str">
        <f t="shared" si="18"/>
        <v>OK</v>
      </c>
      <c r="N149" s="117">
        <f t="shared" si="17"/>
        <v>1</v>
      </c>
      <c r="O149" s="81">
        <f t="shared" si="19"/>
        <v>5.9999999999998721E-2</v>
      </c>
      <c r="P149" s="81">
        <f>IF(G149="","",ABS(O149-Components!$C$2)/Components!$D$2)</f>
        <v>407.52845127242074</v>
      </c>
      <c r="Q149" s="81">
        <f>IF(G149="","",ABS(O149-Components!$C$3)/Components!$D$3)</f>
        <v>288.18796201312347</v>
      </c>
      <c r="R149" s="81">
        <f>IF(G149="","",ABS(O149-Components!$C$4)/Components!$D$4)</f>
        <v>66.768549599989782</v>
      </c>
      <c r="S149" s="81">
        <f>IF(G149="","",ABS(O149-Components!$C$5)/Components!$D$5)</f>
        <v>178.82049585135334</v>
      </c>
      <c r="T149" s="81">
        <f>IF(G149="","",ABS(O149-Components!$C$6)/Components!$D$6)</f>
        <v>39.657134984355785</v>
      </c>
      <c r="U149" s="81">
        <f>IF(G149="","",ABS(O149-Components!$C$7)/Components!$D$7)</f>
        <v>52.269016229170546</v>
      </c>
      <c r="V149" s="81" t="str">
        <f>IF(G149="","",IF(M149="OK","NONE",INDEX({"S1","S2","W1","W2","N1","N2"},MATCH(MIN(P149:U149),P149:U149,0))))</f>
        <v>NONE</v>
      </c>
      <c r="W149" s="117">
        <f t="shared" si="20"/>
        <v>1</v>
      </c>
      <c r="X149" s="107"/>
    </row>
    <row r="150" spans="1:24">
      <c r="A150" s="115">
        <v>148</v>
      </c>
      <c r="B150" s="116">
        <v>5</v>
      </c>
      <c r="C150" s="81" t="s">
        <v>130</v>
      </c>
      <c r="D150" s="109" t="s">
        <v>238</v>
      </c>
      <c r="E150" s="81" t="s">
        <v>239</v>
      </c>
      <c r="F150" s="61">
        <v>8.7100000000000009</v>
      </c>
      <c r="G150" s="52">
        <f t="shared" si="14"/>
        <v>9.6800000000000015</v>
      </c>
      <c r="H150" s="110"/>
      <c r="I150" s="81">
        <v>9.91</v>
      </c>
      <c r="J150" s="81">
        <f>VLOOKUP(C150,Recipes!$A$2:$N$4,12,FALSE())</f>
        <v>5.0137397426368718E-2</v>
      </c>
      <c r="K150" s="81">
        <f t="shared" si="15"/>
        <v>9.6091756154417887</v>
      </c>
      <c r="L150" s="81">
        <f t="shared" si="16"/>
        <v>10.210824384558212</v>
      </c>
      <c r="M150" s="81" t="str">
        <f t="shared" si="18"/>
        <v>OK</v>
      </c>
      <c r="N150" s="122">
        <f t="shared" si="17"/>
        <v>1</v>
      </c>
      <c r="O150" s="81">
        <f t="shared" si="19"/>
        <v>0.22999999999999865</v>
      </c>
      <c r="P150" s="81">
        <f>IF(G150="","",ABS(O150-Components!$C$2)/Components!$D$2)</f>
        <v>381.80573962032491</v>
      </c>
      <c r="Q150" s="81">
        <f>IF(G150="","",ABS(O150-Components!$C$3)/Components!$D$3)</f>
        <v>275.86604210813579</v>
      </c>
      <c r="R150" s="81">
        <f>IF(G150="","",ABS(O150-Components!$C$4)/Components!$D$4)</f>
        <v>54.607135208563093</v>
      </c>
      <c r="S150" s="81">
        <f>IF(G150="","",ABS(O150-Components!$C$5)/Components!$D$5)</f>
        <v>172.06905575036208</v>
      </c>
      <c r="T150" s="81">
        <f>IF(G150="","",ABS(O150-Components!$C$6)/Components!$D$6)</f>
        <v>33.504065668255585</v>
      </c>
      <c r="U150" s="81">
        <f>IF(G150="","",ABS(O150-Components!$C$7)/Components!$D$7)</f>
        <v>45.508377558899937</v>
      </c>
      <c r="V150" s="81" t="str">
        <f>IF(G150="","",IF(M150="OK","NONE",INDEX({"S1","S2","W1","W2","N1","N2"},MATCH(MIN(P150:U150),P150:U150,0))))</f>
        <v>NONE</v>
      </c>
      <c r="W150" s="117">
        <f t="shared" si="20"/>
        <v>1</v>
      </c>
      <c r="X150" s="107"/>
    </row>
    <row r="151" spans="1:24">
      <c r="A151" s="115">
        <v>149</v>
      </c>
      <c r="B151" s="116">
        <v>5</v>
      </c>
      <c r="C151" s="81" t="s">
        <v>130</v>
      </c>
      <c r="D151" s="109" t="s">
        <v>238</v>
      </c>
      <c r="E151" s="81" t="s">
        <v>239</v>
      </c>
      <c r="F151" s="61">
        <v>8.94</v>
      </c>
      <c r="G151" s="52">
        <f t="shared" si="14"/>
        <v>9.91</v>
      </c>
      <c r="H151" s="110"/>
      <c r="I151" s="81">
        <v>9.91</v>
      </c>
      <c r="J151" s="81">
        <f>VLOOKUP(C151,Recipes!$A$2:$N$4,12,FALSE())</f>
        <v>5.0137397426368718E-2</v>
      </c>
      <c r="K151" s="81">
        <f t="shared" si="15"/>
        <v>9.6091756154417887</v>
      </c>
      <c r="L151" s="81">
        <f t="shared" si="16"/>
        <v>10.210824384558212</v>
      </c>
      <c r="M151" s="81" t="str">
        <f t="shared" si="18"/>
        <v>OK</v>
      </c>
      <c r="N151" s="117">
        <f t="shared" si="17"/>
        <v>1</v>
      </c>
      <c r="O151" s="81">
        <f t="shared" si="19"/>
        <v>0</v>
      </c>
      <c r="P151" s="81">
        <f>IF(G151="","",ABS(O151-Components!$C$2)/Components!$D$2)</f>
        <v>416.60705538492499</v>
      </c>
      <c r="Q151" s="81">
        <f>IF(G151="","",ABS(O151-Components!$C$3)/Components!$D$3)</f>
        <v>292.53687492076608</v>
      </c>
      <c r="R151" s="81">
        <f>IF(G151="","",ABS(O151-Components!$C$4)/Components!$D$4)</f>
        <v>71.060813502846173</v>
      </c>
      <c r="S151" s="81">
        <f>IF(G151="","",ABS(O151-Components!$C$5)/Components!$D$5)</f>
        <v>181.20335706346788</v>
      </c>
      <c r="T151" s="81">
        <f>IF(G151="","",ABS(O151-Components!$C$6)/Components!$D$6)</f>
        <v>41.828806507685222</v>
      </c>
      <c r="U151" s="81">
        <f>IF(G151="","",ABS(O151-Components!$C$7)/Components!$D$7)</f>
        <v>54.655123995148351</v>
      </c>
      <c r="V151" s="81" t="str">
        <f>IF(G151="","",IF(M151="OK","NONE",INDEX({"S1","S2","W1","W2","N1","N2"},MATCH(MIN(P151:U151),P151:U151,0))))</f>
        <v>NONE</v>
      </c>
      <c r="W151" s="117">
        <f t="shared" si="20"/>
        <v>1</v>
      </c>
      <c r="X151" s="107"/>
    </row>
    <row r="152" spans="1:24">
      <c r="A152" s="115">
        <v>150</v>
      </c>
      <c r="B152" s="116">
        <v>5</v>
      </c>
      <c r="C152" s="81" t="s">
        <v>130</v>
      </c>
      <c r="D152" s="109" t="s">
        <v>238</v>
      </c>
      <c r="E152" s="81" t="s">
        <v>239</v>
      </c>
      <c r="F152" s="61">
        <v>8.9700000000000006</v>
      </c>
      <c r="G152" s="52">
        <f t="shared" si="14"/>
        <v>9.9400000000000013</v>
      </c>
      <c r="H152" s="110"/>
      <c r="I152" s="81">
        <v>9.91</v>
      </c>
      <c r="J152" s="81">
        <f>VLOOKUP(C152,Recipes!$A$2:$N$4,12,FALSE())</f>
        <v>5.0137397426368718E-2</v>
      </c>
      <c r="K152" s="81">
        <f t="shared" si="15"/>
        <v>9.6091756154417887</v>
      </c>
      <c r="L152" s="81">
        <f t="shared" si="16"/>
        <v>10.210824384558212</v>
      </c>
      <c r="M152" s="81" t="str">
        <f t="shared" si="18"/>
        <v>OK</v>
      </c>
      <c r="N152" s="117">
        <f t="shared" si="17"/>
        <v>1</v>
      </c>
      <c r="O152" s="81">
        <f t="shared" si="19"/>
        <v>-3.0000000000001137E-2</v>
      </c>
      <c r="P152" s="81">
        <f>IF(G152="","",ABS(O152-Components!$C$2)/Components!$D$2)</f>
        <v>421.14635744117737</v>
      </c>
      <c r="Q152" s="81">
        <f>IF(G152="","",ABS(O152-Components!$C$3)/Components!$D$3)</f>
        <v>294.71133137458753</v>
      </c>
      <c r="R152" s="81">
        <f>IF(G152="","",ABS(O152-Components!$C$4)/Components!$D$4)</f>
        <v>73.206945454274504</v>
      </c>
      <c r="S152" s="81">
        <f>IF(G152="","",ABS(O152-Components!$C$5)/Components!$D$5)</f>
        <v>182.39478766952519</v>
      </c>
      <c r="T152" s="81">
        <f>IF(G152="","",ABS(O152-Components!$C$6)/Components!$D$6)</f>
        <v>42.914642269350004</v>
      </c>
      <c r="U152" s="81">
        <f>IF(G152="","",ABS(O152-Components!$C$7)/Components!$D$7)</f>
        <v>55.848177878137328</v>
      </c>
      <c r="V152" s="81" t="str">
        <f>IF(G152="","",IF(M152="OK","NONE",INDEX({"S1","S2","W1","W2","N1","N2"},MATCH(MIN(P152:U152),P152:U152,0))))</f>
        <v>NONE</v>
      </c>
      <c r="W152" s="117">
        <f t="shared" si="20"/>
        <v>1</v>
      </c>
      <c r="X152" s="107"/>
    </row>
    <row r="153" spans="1:24">
      <c r="A153" s="115">
        <v>151</v>
      </c>
      <c r="B153" s="116">
        <v>6</v>
      </c>
      <c r="C153" s="81" t="s">
        <v>130</v>
      </c>
      <c r="D153" s="111" t="s">
        <v>240</v>
      </c>
      <c r="E153" s="81" t="s">
        <v>99</v>
      </c>
      <c r="F153" s="52">
        <v>6.18</v>
      </c>
      <c r="G153" s="52">
        <f t="shared" si="14"/>
        <v>7.1499999999999995</v>
      </c>
      <c r="H153" s="110"/>
      <c r="I153" s="81">
        <v>9.91</v>
      </c>
      <c r="J153" s="81">
        <f>VLOOKUP(C153,Recipes!$A$2:$N$4,12,FALSE())</f>
        <v>5.0137397426368718E-2</v>
      </c>
      <c r="K153" s="81">
        <f t="shared" si="15"/>
        <v>9.6091756154417887</v>
      </c>
      <c r="L153" s="81">
        <f t="shared" si="16"/>
        <v>10.210824384558212</v>
      </c>
      <c r="M153" s="81" t="str">
        <f t="shared" si="18"/>
        <v>NG</v>
      </c>
      <c r="N153" s="117">
        <f t="shared" si="17"/>
        <v>1</v>
      </c>
      <c r="O153" s="81">
        <f t="shared" si="19"/>
        <v>2.7600000000000007</v>
      </c>
      <c r="P153" s="81">
        <f>IF(G153="","",ABS(O153-Components!$C$2)/Components!$D$2)</f>
        <v>1.0087337902788982</v>
      </c>
      <c r="Q153" s="81">
        <f>IF(G153="","",ABS(O153-Components!$C$3)/Components!$D$3)</f>
        <v>92.486881169201496</v>
      </c>
      <c r="R153" s="81">
        <f>IF(G153="","",ABS(O153-Components!$C$4)/Components!$D$4)</f>
        <v>126.38332602855205</v>
      </c>
      <c r="S153" s="81">
        <f>IF(G153="","",ABS(O153-Components!$C$5)/Components!$D$5)</f>
        <v>71.591741306197775</v>
      </c>
      <c r="T153" s="81">
        <f>IF(G153="","",ABS(O153-Components!$C$6)/Components!$D$6)</f>
        <v>58.068083565471035</v>
      </c>
      <c r="U153" s="81">
        <f>IF(G153="","",ABS(O153-Components!$C$7)/Components!$D$7)</f>
        <v>55.105833239833345</v>
      </c>
      <c r="V153" s="81" t="str">
        <f>IF(G153="","",IF(M153="OK","NONE",INDEX({"S1","S2","W1","W2","N1","N2"},MATCH(MIN(P153:U153),P153:U153,0))))</f>
        <v>S1</v>
      </c>
      <c r="W153" s="117">
        <f t="shared" si="20"/>
        <v>1</v>
      </c>
      <c r="X153" s="107"/>
    </row>
    <row r="154" spans="1:24">
      <c r="A154" s="115">
        <v>152</v>
      </c>
      <c r="B154" s="116">
        <v>6</v>
      </c>
      <c r="C154" s="81" t="s">
        <v>130</v>
      </c>
      <c r="D154" s="111" t="s">
        <v>240</v>
      </c>
      <c r="E154" s="81" t="s">
        <v>99</v>
      </c>
      <c r="F154" s="52">
        <v>6.18</v>
      </c>
      <c r="G154" s="52">
        <f t="shared" si="14"/>
        <v>7.1499999999999995</v>
      </c>
      <c r="H154" s="110"/>
      <c r="I154" s="81">
        <v>9.91</v>
      </c>
      <c r="J154" s="81">
        <f>VLOOKUP(C154,Recipes!$A$2:$N$4,12,FALSE())</f>
        <v>5.0137397426368718E-2</v>
      </c>
      <c r="K154" s="81">
        <f t="shared" si="15"/>
        <v>9.6091756154417887</v>
      </c>
      <c r="L154" s="81">
        <f t="shared" si="16"/>
        <v>10.210824384558212</v>
      </c>
      <c r="M154" s="81" t="str">
        <f t="shared" si="18"/>
        <v>NG</v>
      </c>
      <c r="N154" s="117">
        <f t="shared" si="17"/>
        <v>1</v>
      </c>
      <c r="O154" s="81">
        <f t="shared" si="19"/>
        <v>2.7600000000000007</v>
      </c>
      <c r="P154" s="81">
        <f>IF(G154="","",ABS(O154-Components!$C$2)/Components!$D$2)</f>
        <v>1.0087337902788982</v>
      </c>
      <c r="Q154" s="81">
        <f>IF(G154="","",ABS(O154-Components!$C$3)/Components!$D$3)</f>
        <v>92.486881169201496</v>
      </c>
      <c r="R154" s="81">
        <f>IF(G154="","",ABS(O154-Components!$C$4)/Components!$D$4)</f>
        <v>126.38332602855205</v>
      </c>
      <c r="S154" s="81">
        <f>IF(G154="","",ABS(O154-Components!$C$5)/Components!$D$5)</f>
        <v>71.591741306197775</v>
      </c>
      <c r="T154" s="81">
        <f>IF(G154="","",ABS(O154-Components!$C$6)/Components!$D$6)</f>
        <v>58.068083565471035</v>
      </c>
      <c r="U154" s="81">
        <f>IF(G154="","",ABS(O154-Components!$C$7)/Components!$D$7)</f>
        <v>55.105833239833345</v>
      </c>
      <c r="V154" s="81" t="str">
        <f>IF(G154="","",IF(M154="OK","NONE",INDEX({"S1","S2","W1","W2","N1","N2"},MATCH(MIN(P154:U154),P154:U154,0))))</f>
        <v>S1</v>
      </c>
      <c r="W154" s="117">
        <f t="shared" si="20"/>
        <v>1</v>
      </c>
      <c r="X154" s="107"/>
    </row>
    <row r="155" spans="1:24">
      <c r="A155" s="115">
        <v>153</v>
      </c>
      <c r="B155" s="116">
        <v>6</v>
      </c>
      <c r="C155" s="81" t="s">
        <v>130</v>
      </c>
      <c r="D155" s="111" t="s">
        <v>240</v>
      </c>
      <c r="E155" s="81" t="s">
        <v>99</v>
      </c>
      <c r="F155" s="52">
        <v>6.15</v>
      </c>
      <c r="G155" s="52">
        <f t="shared" si="14"/>
        <v>7.12</v>
      </c>
      <c r="H155" s="110"/>
      <c r="I155" s="81">
        <v>9.91</v>
      </c>
      <c r="J155" s="81">
        <f>VLOOKUP(C155,Recipes!$A$2:$N$4,12,FALSE())</f>
        <v>5.0137397426368718E-2</v>
      </c>
      <c r="K155" s="81">
        <f t="shared" si="15"/>
        <v>9.6091756154417887</v>
      </c>
      <c r="L155" s="81">
        <f t="shared" si="16"/>
        <v>10.210824384558212</v>
      </c>
      <c r="M155" s="81" t="str">
        <f t="shared" si="18"/>
        <v>NG</v>
      </c>
      <c r="N155" s="117">
        <f t="shared" si="17"/>
        <v>1</v>
      </c>
      <c r="O155" s="81">
        <f t="shared" si="19"/>
        <v>2.79</v>
      </c>
      <c r="P155" s="81">
        <f>IF(G155="","",ABS(O155-Components!$C$2)/Components!$D$2)</f>
        <v>5.5480358465310164</v>
      </c>
      <c r="Q155" s="81">
        <f>IF(G155="","",ABS(O155-Components!$C$3)/Components!$D$3)</f>
        <v>90.312424715380189</v>
      </c>
      <c r="R155" s="81">
        <f>IF(G155="","",ABS(O155-Components!$C$4)/Components!$D$4)</f>
        <v>128.52945797998024</v>
      </c>
      <c r="S155" s="81">
        <f>IF(G155="","",ABS(O155-Components!$C$5)/Components!$D$5)</f>
        <v>70.400310700140508</v>
      </c>
      <c r="T155" s="81">
        <f>IF(G155="","",ABS(O155-Components!$C$6)/Components!$D$6)</f>
        <v>59.153919327135753</v>
      </c>
      <c r="U155" s="81">
        <f>IF(G155="","",ABS(O155-Components!$C$7)/Components!$D$7)</f>
        <v>56.298887122822251</v>
      </c>
      <c r="V155" s="81" t="str">
        <f>IF(G155="","",IF(M155="OK","NONE",INDEX({"S1","S2","W1","W2","N1","N2"},MATCH(MIN(P155:U155),P155:U155,0))))</f>
        <v>S1</v>
      </c>
      <c r="W155" s="117">
        <f t="shared" si="20"/>
        <v>1</v>
      </c>
      <c r="X155" s="107"/>
    </row>
    <row r="156" spans="1:24">
      <c r="A156" s="115">
        <v>154</v>
      </c>
      <c r="B156" s="116">
        <v>6</v>
      </c>
      <c r="C156" s="81" t="s">
        <v>130</v>
      </c>
      <c r="D156" s="111" t="s">
        <v>240</v>
      </c>
      <c r="E156" s="81" t="s">
        <v>99</v>
      </c>
      <c r="F156" s="52">
        <v>6.12</v>
      </c>
      <c r="G156" s="52">
        <f t="shared" si="14"/>
        <v>7.09</v>
      </c>
      <c r="H156" s="110"/>
      <c r="I156" s="81">
        <v>9.91</v>
      </c>
      <c r="J156" s="81">
        <f>VLOOKUP(C156,Recipes!$A$2:$N$4,12,FALSE())</f>
        <v>5.0137397426368718E-2</v>
      </c>
      <c r="K156" s="81">
        <f t="shared" si="15"/>
        <v>9.6091756154417887</v>
      </c>
      <c r="L156" s="81">
        <f t="shared" si="16"/>
        <v>10.210824384558212</v>
      </c>
      <c r="M156" s="81" t="str">
        <f t="shared" si="18"/>
        <v>NG</v>
      </c>
      <c r="N156" s="117">
        <f t="shared" si="17"/>
        <v>1</v>
      </c>
      <c r="O156" s="81">
        <f t="shared" si="19"/>
        <v>2.8200000000000003</v>
      </c>
      <c r="P156" s="81">
        <f>IF(G156="","",ABS(O156-Components!$C$2)/Components!$D$2)</f>
        <v>10.08733790278327</v>
      </c>
      <c r="Q156" s="81">
        <f>IF(G156="","",ABS(O156-Components!$C$3)/Components!$D$3)</f>
        <v>88.137968261558811</v>
      </c>
      <c r="R156" s="81">
        <f>IF(G156="","",ABS(O156-Components!$C$4)/Components!$D$4)</f>
        <v>130.6755899314085</v>
      </c>
      <c r="S156" s="81">
        <f>IF(G156="","",ABS(O156-Components!$C$5)/Components!$D$5)</f>
        <v>69.208880094083213</v>
      </c>
      <c r="T156" s="81">
        <f>IF(G156="","",ABS(O156-Components!$C$6)/Components!$D$6)</f>
        <v>60.2397550888005</v>
      </c>
      <c r="U156" s="81">
        <f>IF(G156="","",ABS(O156-Components!$C$7)/Components!$D$7)</f>
        <v>57.491941005811192</v>
      </c>
      <c r="V156" s="81" t="str">
        <f>IF(G156="","",IF(M156="OK","NONE",INDEX({"S1","S2","W1","W2","N1","N2"},MATCH(MIN(P156:U156),P156:U156,0))))</f>
        <v>S1</v>
      </c>
      <c r="W156" s="117">
        <f t="shared" si="20"/>
        <v>1</v>
      </c>
      <c r="X156" s="107"/>
    </row>
    <row r="157" spans="1:24">
      <c r="A157" s="115">
        <v>155</v>
      </c>
      <c r="B157" s="116">
        <v>6</v>
      </c>
      <c r="C157" s="61" t="s">
        <v>130</v>
      </c>
      <c r="D157" s="61" t="s">
        <v>240</v>
      </c>
      <c r="E157" s="61" t="s">
        <v>99</v>
      </c>
      <c r="F157" s="61">
        <v>6.16</v>
      </c>
      <c r="G157" s="52">
        <f t="shared" si="14"/>
        <v>7.13</v>
      </c>
      <c r="H157" s="110"/>
      <c r="I157" s="81">
        <v>9.91</v>
      </c>
      <c r="J157" s="81">
        <f>VLOOKUP(C157,Recipes!$A$2:$N$4,12,FALSE())</f>
        <v>5.0137397426368718E-2</v>
      </c>
      <c r="K157" s="81">
        <f t="shared" si="15"/>
        <v>9.6091756154417887</v>
      </c>
      <c r="L157" s="81">
        <f t="shared" si="16"/>
        <v>10.210824384558212</v>
      </c>
      <c r="M157" s="81" t="str">
        <f t="shared" si="18"/>
        <v>NG</v>
      </c>
      <c r="N157" s="117">
        <f t="shared" si="17"/>
        <v>1</v>
      </c>
      <c r="O157" s="81">
        <f t="shared" si="19"/>
        <v>2.7800000000000002</v>
      </c>
      <c r="P157" s="81">
        <f>IF(G157="","",ABS(O157-Components!$C$2)/Components!$D$2)</f>
        <v>4.0349351611136441</v>
      </c>
      <c r="Q157" s="81">
        <f>IF(G157="","",ABS(O157-Components!$C$3)/Components!$D$3)</f>
        <v>91.03724353332062</v>
      </c>
      <c r="R157" s="81">
        <f>IF(G157="","",ABS(O157-Components!$C$4)/Components!$D$4)</f>
        <v>127.81408066283751</v>
      </c>
      <c r="S157" s="81">
        <f>IF(G157="","",ABS(O157-Components!$C$5)/Components!$D$5)</f>
        <v>70.797454235492935</v>
      </c>
      <c r="T157" s="81">
        <f>IF(G157="","",ABS(O157-Components!$C$6)/Components!$D$6)</f>
        <v>58.791974073247509</v>
      </c>
      <c r="U157" s="81">
        <f>IF(G157="","",ABS(O157-Components!$C$7)/Components!$D$7)</f>
        <v>55.901202495159282</v>
      </c>
      <c r="V157" s="81" t="str">
        <f>IF(G157="","",IF(M157="OK","NONE",INDEX({"S1","S2","W1","W2","N1","N2"},MATCH(MIN(P157:U157),P157:U157,0))))</f>
        <v>S1</v>
      </c>
      <c r="W157" s="117">
        <f t="shared" si="20"/>
        <v>1</v>
      </c>
      <c r="X157" s="107"/>
    </row>
    <row r="158" spans="1:24">
      <c r="A158" s="115">
        <v>156</v>
      </c>
      <c r="B158" s="116">
        <v>6</v>
      </c>
      <c r="C158" s="81" t="s">
        <v>130</v>
      </c>
      <c r="D158" s="111" t="s">
        <v>240</v>
      </c>
      <c r="E158" s="81" t="s">
        <v>99</v>
      </c>
      <c r="F158" s="61">
        <v>6.19</v>
      </c>
      <c r="G158" s="52">
        <f t="shared" si="14"/>
        <v>7.16</v>
      </c>
      <c r="H158" s="110"/>
      <c r="I158" s="81">
        <v>9.91</v>
      </c>
      <c r="J158" s="81">
        <f>VLOOKUP(C158,Recipes!$A$2:$N$4,12,FALSE())</f>
        <v>5.0137397426368718E-2</v>
      </c>
      <c r="K158" s="81">
        <f t="shared" si="15"/>
        <v>9.6091756154417887</v>
      </c>
      <c r="L158" s="81">
        <f t="shared" si="16"/>
        <v>10.210824384558212</v>
      </c>
      <c r="M158" s="81" t="str">
        <f t="shared" si="18"/>
        <v>NG</v>
      </c>
      <c r="N158" s="117">
        <f t="shared" si="17"/>
        <v>1</v>
      </c>
      <c r="O158" s="81">
        <f t="shared" si="19"/>
        <v>2.75</v>
      </c>
      <c r="P158" s="81">
        <f>IF(G158="","",ABS(O158-Components!$C$2)/Components!$D$2)</f>
        <v>0.50436689513860911</v>
      </c>
      <c r="Q158" s="81">
        <f>IF(G158="","",ABS(O158-Components!$C$3)/Components!$D$3)</f>
        <v>93.211699987141998</v>
      </c>
      <c r="R158" s="81">
        <f>IF(G158="","",ABS(O158-Components!$C$4)/Components!$D$4)</f>
        <v>125.66794871140925</v>
      </c>
      <c r="S158" s="81">
        <f>IF(G158="","",ABS(O158-Components!$C$5)/Components!$D$5)</f>
        <v>71.988884841550231</v>
      </c>
      <c r="T158" s="81">
        <f>IF(G158="","",ABS(O158-Components!$C$6)/Components!$D$6)</f>
        <v>57.706138311582762</v>
      </c>
      <c r="U158" s="81">
        <f>IF(G158="","",ABS(O158-Components!$C$7)/Components!$D$7)</f>
        <v>54.708148612170341</v>
      </c>
      <c r="V158" s="81" t="str">
        <f>IF(G158="","",IF(M158="OK","NONE",INDEX({"S1","S2","W1","W2","N1","N2"},MATCH(MIN(P158:U158),P158:U158,0))))</f>
        <v>S1</v>
      </c>
      <c r="W158" s="117">
        <f t="shared" si="20"/>
        <v>1</v>
      </c>
      <c r="X158" s="107"/>
    </row>
    <row r="159" spans="1:24">
      <c r="A159" s="115">
        <v>157</v>
      </c>
      <c r="B159" s="116">
        <v>6</v>
      </c>
      <c r="C159" s="81" t="s">
        <v>130</v>
      </c>
      <c r="D159" s="111" t="s">
        <v>240</v>
      </c>
      <c r="E159" s="81" t="s">
        <v>99</v>
      </c>
      <c r="F159" s="61">
        <v>6.18</v>
      </c>
      <c r="G159" s="52">
        <f t="shared" si="14"/>
        <v>7.1499999999999995</v>
      </c>
      <c r="H159" s="110"/>
      <c r="I159" s="81">
        <v>9.91</v>
      </c>
      <c r="J159" s="81">
        <f>VLOOKUP(C159,Recipes!$A$2:$N$4,12,FALSE())</f>
        <v>5.0137397426368718E-2</v>
      </c>
      <c r="K159" s="81">
        <f t="shared" si="15"/>
        <v>9.6091756154417887</v>
      </c>
      <c r="L159" s="81">
        <f t="shared" si="16"/>
        <v>10.210824384558212</v>
      </c>
      <c r="M159" s="81" t="str">
        <f t="shared" si="18"/>
        <v>NG</v>
      </c>
      <c r="N159" s="117">
        <f t="shared" si="17"/>
        <v>1</v>
      </c>
      <c r="O159" s="81">
        <f t="shared" si="19"/>
        <v>2.7600000000000007</v>
      </c>
      <c r="P159" s="81">
        <f>IF(G159="","",ABS(O159-Components!$C$2)/Components!$D$2)</f>
        <v>1.0087337902788982</v>
      </c>
      <c r="Q159" s="81">
        <f>IF(G159="","",ABS(O159-Components!$C$3)/Components!$D$3)</f>
        <v>92.486881169201496</v>
      </c>
      <c r="R159" s="81">
        <f>IF(G159="","",ABS(O159-Components!$C$4)/Components!$D$4)</f>
        <v>126.38332602855205</v>
      </c>
      <c r="S159" s="81">
        <f>IF(G159="","",ABS(O159-Components!$C$5)/Components!$D$5)</f>
        <v>71.591741306197775</v>
      </c>
      <c r="T159" s="81">
        <f>IF(G159="","",ABS(O159-Components!$C$6)/Components!$D$6)</f>
        <v>58.068083565471035</v>
      </c>
      <c r="U159" s="81">
        <f>IF(G159="","",ABS(O159-Components!$C$7)/Components!$D$7)</f>
        <v>55.105833239833345</v>
      </c>
      <c r="V159" s="81" t="str">
        <f>IF(G159="","",IF(M159="OK","NONE",INDEX({"S1","S2","W1","W2","N1","N2"},MATCH(MIN(P159:U159),P159:U159,0))))</f>
        <v>S1</v>
      </c>
      <c r="W159" s="117">
        <f t="shared" si="20"/>
        <v>1</v>
      </c>
      <c r="X159" s="107"/>
    </row>
    <row r="160" spans="1:24">
      <c r="A160" s="115">
        <v>158</v>
      </c>
      <c r="B160" s="116">
        <v>6</v>
      </c>
      <c r="C160" s="81" t="s">
        <v>130</v>
      </c>
      <c r="D160" s="111" t="s">
        <v>240</v>
      </c>
      <c r="E160" s="81" t="s">
        <v>99</v>
      </c>
      <c r="F160" s="61">
        <v>6.13</v>
      </c>
      <c r="G160" s="52">
        <f t="shared" si="14"/>
        <v>7.1</v>
      </c>
      <c r="H160" s="110"/>
      <c r="I160" s="81">
        <v>9.91</v>
      </c>
      <c r="J160" s="81">
        <f>VLOOKUP(C160,Recipes!$A$2:$N$4,12,FALSE())</f>
        <v>5.0137397426368718E-2</v>
      </c>
      <c r="K160" s="81">
        <f t="shared" si="15"/>
        <v>9.6091756154417887</v>
      </c>
      <c r="L160" s="81">
        <f t="shared" si="16"/>
        <v>10.210824384558212</v>
      </c>
      <c r="M160" s="81" t="str">
        <f t="shared" si="18"/>
        <v>NG</v>
      </c>
      <c r="N160" s="117">
        <f t="shared" si="17"/>
        <v>1</v>
      </c>
      <c r="O160" s="81">
        <f t="shared" si="19"/>
        <v>2.8100000000000005</v>
      </c>
      <c r="P160" s="81">
        <f>IF(G160="","",ABS(O160-Components!$C$2)/Components!$D$2)</f>
        <v>8.5742372173658961</v>
      </c>
      <c r="Q160" s="81">
        <f>IF(G160="","",ABS(O160-Components!$C$3)/Components!$D$3)</f>
        <v>88.862787079499256</v>
      </c>
      <c r="R160" s="81">
        <f>IF(G160="","",ABS(O160-Components!$C$4)/Components!$D$4)</f>
        <v>129.96021261426577</v>
      </c>
      <c r="S160" s="81">
        <f>IF(G160="","",ABS(O160-Components!$C$5)/Components!$D$5)</f>
        <v>69.60602362943564</v>
      </c>
      <c r="T160" s="81">
        <f>IF(G160="","",ABS(O160-Components!$C$6)/Components!$D$6)</f>
        <v>59.877809834912263</v>
      </c>
      <c r="U160" s="81">
        <f>IF(G160="","",ABS(O160-Components!$C$7)/Components!$D$7)</f>
        <v>57.094256378148224</v>
      </c>
      <c r="V160" s="81" t="str">
        <f>IF(G160="","",IF(M160="OK","NONE",INDEX({"S1","S2","W1","W2","N1","N2"},MATCH(MIN(P160:U160),P160:U160,0))))</f>
        <v>S1</v>
      </c>
      <c r="W160" s="117">
        <f t="shared" si="20"/>
        <v>1</v>
      </c>
      <c r="X160" s="107"/>
    </row>
    <row r="161" spans="1:24">
      <c r="A161" s="115">
        <v>159</v>
      </c>
      <c r="B161" s="116">
        <v>6</v>
      </c>
      <c r="C161" s="81" t="s">
        <v>130</v>
      </c>
      <c r="D161" s="111" t="s">
        <v>240</v>
      </c>
      <c r="E161" s="81" t="s">
        <v>99</v>
      </c>
      <c r="F161" s="61">
        <v>6.22</v>
      </c>
      <c r="G161" s="52">
        <f t="shared" si="14"/>
        <v>7.1899999999999995</v>
      </c>
      <c r="H161" s="110"/>
      <c r="I161" s="81">
        <v>9.91</v>
      </c>
      <c r="J161" s="81">
        <f>VLOOKUP(C161,Recipes!$A$2:$N$4,12,FALSE())</f>
        <v>5.0137397426368718E-2</v>
      </c>
      <c r="K161" s="81">
        <f t="shared" si="15"/>
        <v>9.6091756154417887</v>
      </c>
      <c r="L161" s="81">
        <f t="shared" si="16"/>
        <v>10.210824384558212</v>
      </c>
      <c r="M161" s="81" t="str">
        <f t="shared" si="18"/>
        <v>NG</v>
      </c>
      <c r="N161" s="117">
        <f t="shared" si="17"/>
        <v>1</v>
      </c>
      <c r="O161" s="81">
        <f t="shared" si="19"/>
        <v>2.7200000000000006</v>
      </c>
      <c r="P161" s="81">
        <f>IF(G161="","",ABS(O161-Components!$C$2)/Components!$D$2)</f>
        <v>5.0436689513907274</v>
      </c>
      <c r="Q161" s="81">
        <f>IF(G161="","",ABS(O161-Components!$C$3)/Components!$D$3)</f>
        <v>95.386156440963305</v>
      </c>
      <c r="R161" s="81">
        <f>IF(G161="","",ABS(O161-Components!$C$4)/Components!$D$4)</f>
        <v>123.52181675998106</v>
      </c>
      <c r="S161" s="81">
        <f>IF(G161="","",ABS(O161-Components!$C$5)/Components!$D$5)</f>
        <v>73.180315447607484</v>
      </c>
      <c r="T161" s="81">
        <f>IF(G161="","",ABS(O161-Components!$C$6)/Components!$D$6)</f>
        <v>56.620302549918044</v>
      </c>
      <c r="U161" s="81">
        <f>IF(G161="","",ABS(O161-Components!$C$7)/Components!$D$7)</f>
        <v>53.515094729181435</v>
      </c>
      <c r="V161" s="81" t="str">
        <f>IF(G161="","",IF(M161="OK","NONE",INDEX({"S1","S2","W1","W2","N1","N2"},MATCH(MIN(P161:U161),P161:U161,0))))</f>
        <v>S1</v>
      </c>
      <c r="W161" s="117">
        <f t="shared" si="20"/>
        <v>1</v>
      </c>
      <c r="X161" s="107"/>
    </row>
    <row r="162" spans="1:24">
      <c r="A162" s="115">
        <v>160</v>
      </c>
      <c r="B162" s="116">
        <v>6</v>
      </c>
      <c r="C162" s="61" t="s">
        <v>130</v>
      </c>
      <c r="D162" s="61" t="s">
        <v>240</v>
      </c>
      <c r="E162" s="61" t="s">
        <v>99</v>
      </c>
      <c r="F162" s="61">
        <v>6.17</v>
      </c>
      <c r="G162" s="52">
        <f t="shared" si="14"/>
        <v>7.14</v>
      </c>
      <c r="H162" s="110"/>
      <c r="I162" s="81">
        <v>9.91</v>
      </c>
      <c r="J162" s="81">
        <f>VLOOKUP(C162,Recipes!$A$2:$N$4,12,FALSE())</f>
        <v>5.0137397426368718E-2</v>
      </c>
      <c r="K162" s="81">
        <f t="shared" si="15"/>
        <v>9.6091756154417887</v>
      </c>
      <c r="L162" s="81">
        <f t="shared" si="16"/>
        <v>10.210824384558212</v>
      </c>
      <c r="M162" s="81" t="str">
        <f t="shared" si="18"/>
        <v>NG</v>
      </c>
      <c r="N162" s="117">
        <f t="shared" si="17"/>
        <v>1</v>
      </c>
      <c r="O162" s="81">
        <f t="shared" si="19"/>
        <v>2.7700000000000005</v>
      </c>
      <c r="P162" s="81">
        <f>IF(G162="","",ABS(O162-Components!$C$2)/Components!$D$2)</f>
        <v>2.5218344756962709</v>
      </c>
      <c r="Q162" s="81">
        <f>IF(G162="","",ABS(O162-Components!$C$3)/Components!$D$3)</f>
        <v>91.762062351261065</v>
      </c>
      <c r="R162" s="81">
        <f>IF(G162="","",ABS(O162-Components!$C$4)/Components!$D$4)</f>
        <v>127.09870334569479</v>
      </c>
      <c r="S162" s="81">
        <f>IF(G162="","",ABS(O162-Components!$C$5)/Components!$D$5)</f>
        <v>71.194597770845348</v>
      </c>
      <c r="T162" s="81">
        <f>IF(G162="","",ABS(O162-Components!$C$6)/Components!$D$6)</f>
        <v>58.430028819359272</v>
      </c>
      <c r="U162" s="81">
        <f>IF(G162="","",ABS(O162-Components!$C$7)/Components!$D$7)</f>
        <v>55.503517867496313</v>
      </c>
      <c r="V162" s="81" t="str">
        <f>IF(G162="","",IF(M162="OK","NONE",INDEX({"S1","S2","W1","W2","N1","N2"},MATCH(MIN(P162:U162),P162:U162,0))))</f>
        <v>S1</v>
      </c>
      <c r="W162" s="117">
        <f t="shared" si="20"/>
        <v>1</v>
      </c>
      <c r="X162" s="107"/>
    </row>
    <row r="163" spans="1:24">
      <c r="A163" s="115">
        <v>161</v>
      </c>
      <c r="B163" s="116">
        <v>6</v>
      </c>
      <c r="C163" s="81" t="s">
        <v>130</v>
      </c>
      <c r="D163" s="111" t="s">
        <v>240</v>
      </c>
      <c r="E163" s="81" t="s">
        <v>99</v>
      </c>
      <c r="F163" s="61">
        <v>6.16</v>
      </c>
      <c r="G163" s="52">
        <f t="shared" si="14"/>
        <v>7.13</v>
      </c>
      <c r="H163" s="110"/>
      <c r="I163" s="81">
        <v>9.91</v>
      </c>
      <c r="J163" s="81">
        <f>VLOOKUP(C163,Recipes!$A$2:$N$4,12,FALSE())</f>
        <v>5.0137397426368718E-2</v>
      </c>
      <c r="K163" s="81">
        <f t="shared" si="15"/>
        <v>9.6091756154417887</v>
      </c>
      <c r="L163" s="81">
        <f t="shared" si="16"/>
        <v>10.210824384558212</v>
      </c>
      <c r="M163" s="81" t="str">
        <f t="shared" si="18"/>
        <v>NG</v>
      </c>
      <c r="N163" s="117">
        <f t="shared" si="17"/>
        <v>1</v>
      </c>
      <c r="O163" s="81">
        <f t="shared" si="19"/>
        <v>2.7800000000000002</v>
      </c>
      <c r="P163" s="81">
        <f>IF(G163="","",ABS(O163-Components!$C$2)/Components!$D$2)</f>
        <v>4.0349351611136441</v>
      </c>
      <c r="Q163" s="81">
        <f>IF(G163="","",ABS(O163-Components!$C$3)/Components!$D$3)</f>
        <v>91.03724353332062</v>
      </c>
      <c r="R163" s="81">
        <f>IF(G163="","",ABS(O163-Components!$C$4)/Components!$D$4)</f>
        <v>127.81408066283751</v>
      </c>
      <c r="S163" s="81">
        <f>IF(G163="","",ABS(O163-Components!$C$5)/Components!$D$5)</f>
        <v>70.797454235492935</v>
      </c>
      <c r="T163" s="81">
        <f>IF(G163="","",ABS(O163-Components!$C$6)/Components!$D$6)</f>
        <v>58.791974073247509</v>
      </c>
      <c r="U163" s="81">
        <f>IF(G163="","",ABS(O163-Components!$C$7)/Components!$D$7)</f>
        <v>55.901202495159282</v>
      </c>
      <c r="V163" s="81" t="str">
        <f>IF(G163="","",IF(M163="OK","NONE",INDEX({"S1","S2","W1","W2","N1","N2"},MATCH(MIN(P163:U163),P163:U163,0))))</f>
        <v>S1</v>
      </c>
      <c r="W163" s="117">
        <f t="shared" si="20"/>
        <v>1</v>
      </c>
      <c r="X163" s="107"/>
    </row>
    <row r="164" spans="1:24">
      <c r="A164" s="115">
        <v>162</v>
      </c>
      <c r="B164" s="116">
        <v>6</v>
      </c>
      <c r="C164" s="81" t="s">
        <v>130</v>
      </c>
      <c r="D164" s="111" t="s">
        <v>240</v>
      </c>
      <c r="E164" s="81" t="s">
        <v>99</v>
      </c>
      <c r="F164" s="61">
        <v>6.17</v>
      </c>
      <c r="G164" s="52">
        <f t="shared" si="14"/>
        <v>7.14</v>
      </c>
      <c r="H164" s="110"/>
      <c r="I164" s="81">
        <v>9.91</v>
      </c>
      <c r="J164" s="81">
        <f>VLOOKUP(C164,Recipes!$A$2:$N$4,12,FALSE())</f>
        <v>5.0137397426368718E-2</v>
      </c>
      <c r="K164" s="81">
        <f t="shared" si="15"/>
        <v>9.6091756154417887</v>
      </c>
      <c r="L164" s="81">
        <f t="shared" si="16"/>
        <v>10.210824384558212</v>
      </c>
      <c r="M164" s="81" t="str">
        <f t="shared" si="18"/>
        <v>NG</v>
      </c>
      <c r="N164" s="117">
        <f t="shared" si="17"/>
        <v>1</v>
      </c>
      <c r="O164" s="81">
        <f t="shared" si="19"/>
        <v>2.7700000000000005</v>
      </c>
      <c r="P164" s="81">
        <f>IF(G164="","",ABS(O164-Components!$C$2)/Components!$D$2)</f>
        <v>2.5218344756962709</v>
      </c>
      <c r="Q164" s="81">
        <f>IF(G164="","",ABS(O164-Components!$C$3)/Components!$D$3)</f>
        <v>91.762062351261065</v>
      </c>
      <c r="R164" s="81">
        <f>IF(G164="","",ABS(O164-Components!$C$4)/Components!$D$4)</f>
        <v>127.09870334569479</v>
      </c>
      <c r="S164" s="81">
        <f>IF(G164="","",ABS(O164-Components!$C$5)/Components!$D$5)</f>
        <v>71.194597770845348</v>
      </c>
      <c r="T164" s="81">
        <f>IF(G164="","",ABS(O164-Components!$C$6)/Components!$D$6)</f>
        <v>58.430028819359272</v>
      </c>
      <c r="U164" s="81">
        <f>IF(G164="","",ABS(O164-Components!$C$7)/Components!$D$7)</f>
        <v>55.503517867496313</v>
      </c>
      <c r="V164" s="81" t="str">
        <f>IF(G164="","",IF(M164="OK","NONE",INDEX({"S1","S2","W1","W2","N1","N2"},MATCH(MIN(P164:U164),P164:U164,0))))</f>
        <v>S1</v>
      </c>
      <c r="W164" s="117">
        <f t="shared" si="20"/>
        <v>1</v>
      </c>
      <c r="X164" s="107"/>
    </row>
    <row r="165" spans="1:24">
      <c r="A165" s="115">
        <v>163</v>
      </c>
      <c r="B165" s="116">
        <v>6</v>
      </c>
      <c r="C165" s="81" t="s">
        <v>130</v>
      </c>
      <c r="D165" s="111" t="s">
        <v>240</v>
      </c>
      <c r="E165" s="81" t="s">
        <v>99</v>
      </c>
      <c r="F165" s="61">
        <v>6.14</v>
      </c>
      <c r="G165" s="52">
        <f t="shared" si="14"/>
        <v>7.1099999999999994</v>
      </c>
      <c r="H165" s="110"/>
      <c r="I165" s="81">
        <v>9.91</v>
      </c>
      <c r="J165" s="81">
        <f>VLOOKUP(C165,Recipes!$A$2:$N$4,12,FALSE())</f>
        <v>5.0137397426368718E-2</v>
      </c>
      <c r="K165" s="81">
        <f t="shared" si="15"/>
        <v>9.6091756154417887</v>
      </c>
      <c r="L165" s="81">
        <f t="shared" si="16"/>
        <v>10.210824384558212</v>
      </c>
      <c r="M165" s="81" t="str">
        <f t="shared" si="18"/>
        <v>NG</v>
      </c>
      <c r="N165" s="117">
        <f t="shared" si="17"/>
        <v>1</v>
      </c>
      <c r="O165" s="81">
        <f t="shared" si="19"/>
        <v>2.8000000000000007</v>
      </c>
      <c r="P165" s="81">
        <f>IF(G165="","",ABS(O165-Components!$C$2)/Components!$D$2)</f>
        <v>7.0611365319485238</v>
      </c>
      <c r="Q165" s="81">
        <f>IF(G165="","",ABS(O165-Components!$C$3)/Components!$D$3)</f>
        <v>89.587605897439687</v>
      </c>
      <c r="R165" s="81">
        <f>IF(G165="","",ABS(O165-Components!$C$4)/Components!$D$4)</f>
        <v>129.24483529712305</v>
      </c>
      <c r="S165" s="81">
        <f>IF(G165="","",ABS(O165-Components!$C$5)/Components!$D$5)</f>
        <v>70.003167164788053</v>
      </c>
      <c r="T165" s="81">
        <f>IF(G165="","",ABS(O165-Components!$C$6)/Components!$D$6)</f>
        <v>59.515864581024026</v>
      </c>
      <c r="U165" s="81">
        <f>IF(G165="","",ABS(O165-Components!$C$7)/Components!$D$7)</f>
        <v>56.696571750485255</v>
      </c>
      <c r="V165" s="81" t="str">
        <f>IF(G165="","",IF(M165="OK","NONE",INDEX({"S1","S2","W1","W2","N1","N2"},MATCH(MIN(P165:U165),P165:U165,0))))</f>
        <v>S1</v>
      </c>
      <c r="W165" s="117">
        <f t="shared" si="20"/>
        <v>1</v>
      </c>
      <c r="X165" s="107"/>
    </row>
    <row r="166" spans="1:24">
      <c r="A166" s="115">
        <v>164</v>
      </c>
      <c r="B166" s="116">
        <v>6</v>
      </c>
      <c r="C166" s="81" t="s">
        <v>130</v>
      </c>
      <c r="D166" s="111" t="s">
        <v>240</v>
      </c>
      <c r="E166" s="81" t="s">
        <v>99</v>
      </c>
      <c r="F166" s="61">
        <v>6.2</v>
      </c>
      <c r="G166" s="52">
        <f t="shared" si="14"/>
        <v>7.17</v>
      </c>
      <c r="H166" s="110"/>
      <c r="I166" s="81">
        <v>9.91</v>
      </c>
      <c r="J166" s="81">
        <f>VLOOKUP(C166,Recipes!$A$2:$N$4,12,FALSE())</f>
        <v>5.0137397426368718E-2</v>
      </c>
      <c r="K166" s="81">
        <f t="shared" si="15"/>
        <v>9.6091756154417887</v>
      </c>
      <c r="L166" s="81">
        <f t="shared" si="16"/>
        <v>10.210824384558212</v>
      </c>
      <c r="M166" s="81" t="str">
        <f t="shared" si="18"/>
        <v>NG</v>
      </c>
      <c r="N166" s="117">
        <f t="shared" si="17"/>
        <v>1</v>
      </c>
      <c r="O166" s="81">
        <f t="shared" si="19"/>
        <v>2.74</v>
      </c>
      <c r="P166" s="81">
        <f>IF(G166="","",ABS(O166-Components!$C$2)/Components!$D$2)</f>
        <v>2.0174675805559819</v>
      </c>
      <c r="Q166" s="81">
        <f>IF(G166="","",ABS(O166-Components!$C$3)/Components!$D$3)</f>
        <v>93.936518805082429</v>
      </c>
      <c r="R166" s="81">
        <f>IF(G166="","",ABS(O166-Components!$C$4)/Components!$D$4)</f>
        <v>124.95257139426653</v>
      </c>
      <c r="S166" s="81">
        <f>IF(G166="","",ABS(O166-Components!$C$5)/Components!$D$5)</f>
        <v>72.386028376902644</v>
      </c>
      <c r="T166" s="81">
        <f>IF(G166="","",ABS(O166-Components!$C$6)/Components!$D$6)</f>
        <v>57.344193057694518</v>
      </c>
      <c r="U166" s="81">
        <f>IF(G166="","",ABS(O166-Components!$C$7)/Components!$D$7)</f>
        <v>54.310463984507372</v>
      </c>
      <c r="V166" s="81" t="str">
        <f>IF(G166="","",IF(M166="OK","NONE",INDEX({"S1","S2","W1","W2","N1","N2"},MATCH(MIN(P166:U166),P166:U166,0))))</f>
        <v>S1</v>
      </c>
      <c r="W166" s="117">
        <f t="shared" si="20"/>
        <v>1</v>
      </c>
      <c r="X166" s="107"/>
    </row>
    <row r="167" spans="1:24">
      <c r="A167" s="115">
        <v>165</v>
      </c>
      <c r="B167" s="116">
        <v>6</v>
      </c>
      <c r="C167" s="61" t="s">
        <v>130</v>
      </c>
      <c r="D167" s="61" t="s">
        <v>240</v>
      </c>
      <c r="E167" s="61" t="s">
        <v>99</v>
      </c>
      <c r="F167" s="61">
        <v>6.19</v>
      </c>
      <c r="G167" s="52">
        <f t="shared" si="14"/>
        <v>7.16</v>
      </c>
      <c r="H167" s="110"/>
      <c r="I167" s="81">
        <v>9.91</v>
      </c>
      <c r="J167" s="81">
        <f>VLOOKUP(C167,Recipes!$A$2:$N$4,12,FALSE())</f>
        <v>5.0137397426368718E-2</v>
      </c>
      <c r="K167" s="81">
        <f t="shared" si="15"/>
        <v>9.6091756154417887</v>
      </c>
      <c r="L167" s="81">
        <f t="shared" si="16"/>
        <v>10.210824384558212</v>
      </c>
      <c r="M167" s="81" t="str">
        <f t="shared" si="18"/>
        <v>NG</v>
      </c>
      <c r="N167" s="117">
        <f t="shared" si="17"/>
        <v>1</v>
      </c>
      <c r="O167" s="81">
        <f t="shared" si="19"/>
        <v>2.75</v>
      </c>
      <c r="P167" s="81">
        <f>IF(G167="","",ABS(O167-Components!$C$2)/Components!$D$2)</f>
        <v>0.50436689513860911</v>
      </c>
      <c r="Q167" s="81">
        <f>IF(G167="","",ABS(O167-Components!$C$3)/Components!$D$3)</f>
        <v>93.211699987141998</v>
      </c>
      <c r="R167" s="81">
        <f>IF(G167="","",ABS(O167-Components!$C$4)/Components!$D$4)</f>
        <v>125.66794871140925</v>
      </c>
      <c r="S167" s="81">
        <f>IF(G167="","",ABS(O167-Components!$C$5)/Components!$D$5)</f>
        <v>71.988884841550231</v>
      </c>
      <c r="T167" s="81">
        <f>IF(G167="","",ABS(O167-Components!$C$6)/Components!$D$6)</f>
        <v>57.706138311582762</v>
      </c>
      <c r="U167" s="81">
        <f>IF(G167="","",ABS(O167-Components!$C$7)/Components!$D$7)</f>
        <v>54.708148612170341</v>
      </c>
      <c r="V167" s="81" t="str">
        <f>IF(G167="","",IF(M167="OK","NONE",INDEX({"S1","S2","W1","W2","N1","N2"},MATCH(MIN(P167:U167),P167:U167,0))))</f>
        <v>S1</v>
      </c>
      <c r="W167" s="117">
        <f t="shared" si="20"/>
        <v>1</v>
      </c>
      <c r="X167" s="107"/>
    </row>
    <row r="168" spans="1:24">
      <c r="A168" s="115">
        <v>166</v>
      </c>
      <c r="B168" s="116">
        <v>6</v>
      </c>
      <c r="C168" s="81" t="s">
        <v>130</v>
      </c>
      <c r="D168" s="111" t="s">
        <v>240</v>
      </c>
      <c r="E168" s="81" t="s">
        <v>99</v>
      </c>
      <c r="F168" s="61">
        <v>6.19</v>
      </c>
      <c r="G168" s="52">
        <f t="shared" si="14"/>
        <v>7.16</v>
      </c>
      <c r="H168" s="110"/>
      <c r="I168" s="81">
        <v>9.91</v>
      </c>
      <c r="J168" s="81">
        <f>VLOOKUP(C168,Recipes!$A$2:$N$4,12,FALSE())</f>
        <v>5.0137397426368718E-2</v>
      </c>
      <c r="K168" s="81">
        <f t="shared" si="15"/>
        <v>9.6091756154417887</v>
      </c>
      <c r="L168" s="81">
        <f t="shared" si="16"/>
        <v>10.210824384558212</v>
      </c>
      <c r="M168" s="81" t="str">
        <f t="shared" si="18"/>
        <v>NG</v>
      </c>
      <c r="N168" s="117">
        <f t="shared" si="17"/>
        <v>1</v>
      </c>
      <c r="O168" s="81">
        <f t="shared" si="19"/>
        <v>2.75</v>
      </c>
      <c r="P168" s="81">
        <f>IF(G168="","",ABS(O168-Components!$C$2)/Components!$D$2)</f>
        <v>0.50436689513860911</v>
      </c>
      <c r="Q168" s="81">
        <f>IF(G168="","",ABS(O168-Components!$C$3)/Components!$D$3)</f>
        <v>93.211699987141998</v>
      </c>
      <c r="R168" s="81">
        <f>IF(G168="","",ABS(O168-Components!$C$4)/Components!$D$4)</f>
        <v>125.66794871140925</v>
      </c>
      <c r="S168" s="81">
        <f>IF(G168="","",ABS(O168-Components!$C$5)/Components!$D$5)</f>
        <v>71.988884841550231</v>
      </c>
      <c r="T168" s="81">
        <f>IF(G168="","",ABS(O168-Components!$C$6)/Components!$D$6)</f>
        <v>57.706138311582762</v>
      </c>
      <c r="U168" s="81">
        <f>IF(G168="","",ABS(O168-Components!$C$7)/Components!$D$7)</f>
        <v>54.708148612170341</v>
      </c>
      <c r="V168" s="81" t="str">
        <f>IF(G168="","",IF(M168="OK","NONE",INDEX({"S1","S2","W1","W2","N1","N2"},MATCH(MIN(P168:U168),P168:U168,0))))</f>
        <v>S1</v>
      </c>
      <c r="W168" s="117">
        <f t="shared" si="20"/>
        <v>1</v>
      </c>
      <c r="X168" s="107"/>
    </row>
    <row r="169" spans="1:24">
      <c r="A169" s="115">
        <v>167</v>
      </c>
      <c r="B169" s="116">
        <v>6</v>
      </c>
      <c r="C169" s="81" t="s">
        <v>130</v>
      </c>
      <c r="D169" s="111" t="s">
        <v>240</v>
      </c>
      <c r="E169" s="81" t="s">
        <v>99</v>
      </c>
      <c r="F169" s="61">
        <v>6.13</v>
      </c>
      <c r="G169" s="52">
        <f t="shared" si="14"/>
        <v>7.1</v>
      </c>
      <c r="H169" s="110"/>
      <c r="I169" s="81">
        <v>9.91</v>
      </c>
      <c r="J169" s="81">
        <f>VLOOKUP(C169,Recipes!$A$2:$N$4,12,FALSE())</f>
        <v>5.0137397426368718E-2</v>
      </c>
      <c r="K169" s="81">
        <f t="shared" si="15"/>
        <v>9.6091756154417887</v>
      </c>
      <c r="L169" s="81">
        <f t="shared" si="16"/>
        <v>10.210824384558212</v>
      </c>
      <c r="M169" s="81" t="str">
        <f t="shared" si="18"/>
        <v>NG</v>
      </c>
      <c r="N169" s="117">
        <f t="shared" si="17"/>
        <v>1</v>
      </c>
      <c r="O169" s="81">
        <f t="shared" si="19"/>
        <v>2.8100000000000005</v>
      </c>
      <c r="P169" s="81">
        <f>IF(G169="","",ABS(O169-Components!$C$2)/Components!$D$2)</f>
        <v>8.5742372173658961</v>
      </c>
      <c r="Q169" s="81">
        <f>IF(G169="","",ABS(O169-Components!$C$3)/Components!$D$3)</f>
        <v>88.862787079499256</v>
      </c>
      <c r="R169" s="81">
        <f>IF(G169="","",ABS(O169-Components!$C$4)/Components!$D$4)</f>
        <v>129.96021261426577</v>
      </c>
      <c r="S169" s="81">
        <f>IF(G169="","",ABS(O169-Components!$C$5)/Components!$D$5)</f>
        <v>69.60602362943564</v>
      </c>
      <c r="T169" s="81">
        <f>IF(G169="","",ABS(O169-Components!$C$6)/Components!$D$6)</f>
        <v>59.877809834912263</v>
      </c>
      <c r="U169" s="81">
        <f>IF(G169="","",ABS(O169-Components!$C$7)/Components!$D$7)</f>
        <v>57.094256378148224</v>
      </c>
      <c r="V169" s="81" t="str">
        <f>IF(G169="","",IF(M169="OK","NONE",INDEX({"S1","S2","W1","W2","N1","N2"},MATCH(MIN(P169:U169),P169:U169,0))))</f>
        <v>S1</v>
      </c>
      <c r="W169" s="117">
        <f t="shared" si="20"/>
        <v>1</v>
      </c>
      <c r="X169" s="107"/>
    </row>
    <row r="170" spans="1:24">
      <c r="A170" s="115">
        <v>168</v>
      </c>
      <c r="B170" s="116">
        <v>6</v>
      </c>
      <c r="C170" s="81" t="s">
        <v>130</v>
      </c>
      <c r="D170" s="111" t="s">
        <v>240</v>
      </c>
      <c r="E170" s="81" t="s">
        <v>99</v>
      </c>
      <c r="F170" s="61">
        <v>6.17</v>
      </c>
      <c r="G170" s="52">
        <f t="shared" si="14"/>
        <v>7.14</v>
      </c>
      <c r="H170" s="110"/>
      <c r="I170" s="81">
        <v>9.91</v>
      </c>
      <c r="J170" s="81">
        <f>VLOOKUP(C170,Recipes!$A$2:$N$4,12,FALSE())</f>
        <v>5.0137397426368718E-2</v>
      </c>
      <c r="K170" s="81">
        <f t="shared" si="15"/>
        <v>9.6091756154417887</v>
      </c>
      <c r="L170" s="81">
        <f t="shared" si="16"/>
        <v>10.210824384558212</v>
      </c>
      <c r="M170" s="81" t="str">
        <f t="shared" si="18"/>
        <v>NG</v>
      </c>
      <c r="N170" s="117">
        <f t="shared" si="17"/>
        <v>1</v>
      </c>
      <c r="O170" s="81">
        <f t="shared" si="19"/>
        <v>2.7700000000000005</v>
      </c>
      <c r="P170" s="81">
        <f>IF(G170="","",ABS(O170-Components!$C$2)/Components!$D$2)</f>
        <v>2.5218344756962709</v>
      </c>
      <c r="Q170" s="81">
        <f>IF(G170="","",ABS(O170-Components!$C$3)/Components!$D$3)</f>
        <v>91.762062351261065</v>
      </c>
      <c r="R170" s="81">
        <f>IF(G170="","",ABS(O170-Components!$C$4)/Components!$D$4)</f>
        <v>127.09870334569479</v>
      </c>
      <c r="S170" s="81">
        <f>IF(G170="","",ABS(O170-Components!$C$5)/Components!$D$5)</f>
        <v>71.194597770845348</v>
      </c>
      <c r="T170" s="81">
        <f>IF(G170="","",ABS(O170-Components!$C$6)/Components!$D$6)</f>
        <v>58.430028819359272</v>
      </c>
      <c r="U170" s="81">
        <f>IF(G170="","",ABS(O170-Components!$C$7)/Components!$D$7)</f>
        <v>55.503517867496313</v>
      </c>
      <c r="V170" s="81" t="str">
        <f>IF(G170="","",IF(M170="OK","NONE",INDEX({"S1","S2","W1","W2","N1","N2"},MATCH(MIN(P170:U170),P170:U170,0))))</f>
        <v>S1</v>
      </c>
      <c r="W170" s="117">
        <f t="shared" si="20"/>
        <v>1</v>
      </c>
      <c r="X170" s="107"/>
    </row>
    <row r="171" spans="1:24">
      <c r="A171" s="115">
        <v>169</v>
      </c>
      <c r="B171" s="116">
        <v>6</v>
      </c>
      <c r="C171" s="81" t="s">
        <v>130</v>
      </c>
      <c r="D171" s="111" t="s">
        <v>240</v>
      </c>
      <c r="E171" s="81" t="s">
        <v>99</v>
      </c>
      <c r="F171" s="61">
        <v>6.19</v>
      </c>
      <c r="G171" s="52">
        <f t="shared" si="14"/>
        <v>7.16</v>
      </c>
      <c r="H171" s="110"/>
      <c r="I171" s="81">
        <v>9.91</v>
      </c>
      <c r="J171" s="81">
        <f>VLOOKUP(C171,Recipes!$A$2:$N$4,12,FALSE())</f>
        <v>5.0137397426368718E-2</v>
      </c>
      <c r="K171" s="81">
        <f t="shared" si="15"/>
        <v>9.6091756154417887</v>
      </c>
      <c r="L171" s="81">
        <f t="shared" si="16"/>
        <v>10.210824384558212</v>
      </c>
      <c r="M171" s="81" t="str">
        <f t="shared" si="18"/>
        <v>NG</v>
      </c>
      <c r="N171" s="117">
        <f t="shared" si="17"/>
        <v>1</v>
      </c>
      <c r="O171" s="81">
        <f t="shared" si="19"/>
        <v>2.75</v>
      </c>
      <c r="P171" s="81">
        <f>IF(G171="","",ABS(O171-Components!$C$2)/Components!$D$2)</f>
        <v>0.50436689513860911</v>
      </c>
      <c r="Q171" s="81">
        <f>IF(G171="","",ABS(O171-Components!$C$3)/Components!$D$3)</f>
        <v>93.211699987141998</v>
      </c>
      <c r="R171" s="81">
        <f>IF(G171="","",ABS(O171-Components!$C$4)/Components!$D$4)</f>
        <v>125.66794871140925</v>
      </c>
      <c r="S171" s="81">
        <f>IF(G171="","",ABS(O171-Components!$C$5)/Components!$D$5)</f>
        <v>71.988884841550231</v>
      </c>
      <c r="T171" s="81">
        <f>IF(G171="","",ABS(O171-Components!$C$6)/Components!$D$6)</f>
        <v>57.706138311582762</v>
      </c>
      <c r="U171" s="81">
        <f>IF(G171="","",ABS(O171-Components!$C$7)/Components!$D$7)</f>
        <v>54.708148612170341</v>
      </c>
      <c r="V171" s="81" t="str">
        <f>IF(G171="","",IF(M171="OK","NONE",INDEX({"S1","S2","W1","W2","N1","N2"},MATCH(MIN(P171:U171),P171:U171,0))))</f>
        <v>S1</v>
      </c>
      <c r="W171" s="117">
        <f t="shared" si="20"/>
        <v>1</v>
      </c>
      <c r="X171" s="107"/>
    </row>
    <row r="172" spans="1:24">
      <c r="A172" s="115">
        <v>170</v>
      </c>
      <c r="B172" s="116">
        <v>6</v>
      </c>
      <c r="C172" s="61" t="s">
        <v>130</v>
      </c>
      <c r="D172" s="61" t="s">
        <v>240</v>
      </c>
      <c r="E172" s="61" t="s">
        <v>99</v>
      </c>
      <c r="F172" s="61">
        <v>6.09</v>
      </c>
      <c r="G172" s="52">
        <f t="shared" si="14"/>
        <v>7.06</v>
      </c>
      <c r="H172" s="110"/>
      <c r="I172" s="81">
        <v>9.91</v>
      </c>
      <c r="J172" s="81">
        <f>VLOOKUP(C172,Recipes!$A$2:$N$4,12,FALSE())</f>
        <v>5.0137397426368718E-2</v>
      </c>
      <c r="K172" s="81">
        <f t="shared" si="15"/>
        <v>9.6091756154417887</v>
      </c>
      <c r="L172" s="81">
        <f t="shared" si="16"/>
        <v>10.210824384558212</v>
      </c>
      <c r="M172" s="81" t="str">
        <f t="shared" si="18"/>
        <v>NG</v>
      </c>
      <c r="N172" s="117">
        <f t="shared" si="17"/>
        <v>1</v>
      </c>
      <c r="O172" s="81">
        <f t="shared" si="19"/>
        <v>2.8500000000000005</v>
      </c>
      <c r="P172" s="81">
        <f>IF(G172="","",ABS(O172-Components!$C$2)/Components!$D$2)</f>
        <v>14.626639959035522</v>
      </c>
      <c r="Q172" s="81">
        <f>IF(G172="","",ABS(O172-Components!$C$3)/Components!$D$3)</f>
        <v>85.963511807737447</v>
      </c>
      <c r="R172" s="81">
        <f>IF(G172="","",ABS(O172-Components!$C$4)/Components!$D$4)</f>
        <v>132.82172188283675</v>
      </c>
      <c r="S172" s="81">
        <f>IF(G172="","",ABS(O172-Components!$C$5)/Components!$D$5)</f>
        <v>68.017449488025932</v>
      </c>
      <c r="T172" s="81">
        <f>IF(G172="","",ABS(O172-Components!$C$6)/Components!$D$6)</f>
        <v>61.325590850465254</v>
      </c>
      <c r="U172" s="81">
        <f>IF(G172="","",ABS(O172-Components!$C$7)/Components!$D$7)</f>
        <v>58.684994888800134</v>
      </c>
      <c r="V172" s="81" t="str">
        <f>IF(G172="","",IF(M172="OK","NONE",INDEX({"S1","S2","W1","W2","N1","N2"},MATCH(MIN(P172:U172),P172:U172,0))))</f>
        <v>S1</v>
      </c>
      <c r="W172" s="117">
        <f t="shared" si="20"/>
        <v>1</v>
      </c>
      <c r="X172" s="107"/>
    </row>
    <row r="173" spans="1:24">
      <c r="A173" s="115">
        <v>171</v>
      </c>
      <c r="B173" s="116">
        <v>6</v>
      </c>
      <c r="C173" s="81" t="s">
        <v>130</v>
      </c>
      <c r="D173" s="111" t="s">
        <v>240</v>
      </c>
      <c r="E173" s="81" t="s">
        <v>99</v>
      </c>
      <c r="F173" s="61">
        <v>6.19</v>
      </c>
      <c r="G173" s="52">
        <f t="shared" si="14"/>
        <v>7.16</v>
      </c>
      <c r="H173" s="110"/>
      <c r="I173" s="81">
        <v>9.91</v>
      </c>
      <c r="J173" s="81">
        <f>VLOOKUP(C173,Recipes!$A$2:$N$4,12,FALSE())</f>
        <v>5.0137397426368718E-2</v>
      </c>
      <c r="K173" s="81">
        <f t="shared" si="15"/>
        <v>9.6091756154417887</v>
      </c>
      <c r="L173" s="81">
        <f t="shared" si="16"/>
        <v>10.210824384558212</v>
      </c>
      <c r="M173" s="81" t="str">
        <f t="shared" si="18"/>
        <v>NG</v>
      </c>
      <c r="N173" s="117">
        <f t="shared" si="17"/>
        <v>1</v>
      </c>
      <c r="O173" s="81">
        <f t="shared" si="19"/>
        <v>2.75</v>
      </c>
      <c r="P173" s="81">
        <f>IF(G173="","",ABS(O173-Components!$C$2)/Components!$D$2)</f>
        <v>0.50436689513860911</v>
      </c>
      <c r="Q173" s="81">
        <f>IF(G173="","",ABS(O173-Components!$C$3)/Components!$D$3)</f>
        <v>93.211699987141998</v>
      </c>
      <c r="R173" s="81">
        <f>IF(G173="","",ABS(O173-Components!$C$4)/Components!$D$4)</f>
        <v>125.66794871140925</v>
      </c>
      <c r="S173" s="81">
        <f>IF(G173="","",ABS(O173-Components!$C$5)/Components!$D$5)</f>
        <v>71.988884841550231</v>
      </c>
      <c r="T173" s="81">
        <f>IF(G173="","",ABS(O173-Components!$C$6)/Components!$D$6)</f>
        <v>57.706138311582762</v>
      </c>
      <c r="U173" s="81">
        <f>IF(G173="","",ABS(O173-Components!$C$7)/Components!$D$7)</f>
        <v>54.708148612170341</v>
      </c>
      <c r="V173" s="81" t="str">
        <f>IF(G173="","",IF(M173="OK","NONE",INDEX({"S1","S2","W1","W2","N1","N2"},MATCH(MIN(P173:U173),P173:U173,0))))</f>
        <v>S1</v>
      </c>
      <c r="W173" s="117">
        <f t="shared" si="20"/>
        <v>1</v>
      </c>
      <c r="X173" s="107"/>
    </row>
    <row r="174" spans="1:24">
      <c r="A174" s="115">
        <v>172</v>
      </c>
      <c r="B174" s="116">
        <v>6</v>
      </c>
      <c r="C174" s="81" t="s">
        <v>130</v>
      </c>
      <c r="D174" s="111" t="s">
        <v>240</v>
      </c>
      <c r="E174" s="81" t="s">
        <v>99</v>
      </c>
      <c r="F174" s="61">
        <v>6.18</v>
      </c>
      <c r="G174" s="52">
        <f t="shared" si="14"/>
        <v>7.1499999999999995</v>
      </c>
      <c r="H174" s="110"/>
      <c r="I174" s="81">
        <v>9.91</v>
      </c>
      <c r="J174" s="81">
        <f>VLOOKUP(C174,Recipes!$A$2:$N$4,12,FALSE())</f>
        <v>5.0137397426368718E-2</v>
      </c>
      <c r="K174" s="81">
        <f t="shared" si="15"/>
        <v>9.6091756154417887</v>
      </c>
      <c r="L174" s="81">
        <f t="shared" si="16"/>
        <v>10.210824384558212</v>
      </c>
      <c r="M174" s="81" t="str">
        <f t="shared" si="18"/>
        <v>NG</v>
      </c>
      <c r="N174" s="117">
        <f t="shared" si="17"/>
        <v>1</v>
      </c>
      <c r="O174" s="81">
        <f t="shared" si="19"/>
        <v>2.7600000000000007</v>
      </c>
      <c r="P174" s="81">
        <f>IF(G174="","",ABS(O174-Components!$C$2)/Components!$D$2)</f>
        <v>1.0087337902788982</v>
      </c>
      <c r="Q174" s="81">
        <f>IF(G174="","",ABS(O174-Components!$C$3)/Components!$D$3)</f>
        <v>92.486881169201496</v>
      </c>
      <c r="R174" s="81">
        <f>IF(G174="","",ABS(O174-Components!$C$4)/Components!$D$4)</f>
        <v>126.38332602855205</v>
      </c>
      <c r="S174" s="81">
        <f>IF(G174="","",ABS(O174-Components!$C$5)/Components!$D$5)</f>
        <v>71.591741306197775</v>
      </c>
      <c r="T174" s="81">
        <f>IF(G174="","",ABS(O174-Components!$C$6)/Components!$D$6)</f>
        <v>58.068083565471035</v>
      </c>
      <c r="U174" s="81">
        <f>IF(G174="","",ABS(O174-Components!$C$7)/Components!$D$7)</f>
        <v>55.105833239833345</v>
      </c>
      <c r="V174" s="81" t="str">
        <f>IF(G174="","",IF(M174="OK","NONE",INDEX({"S1","S2","W1","W2","N1","N2"},MATCH(MIN(P174:U174),P174:U174,0))))</f>
        <v>S1</v>
      </c>
      <c r="W174" s="117">
        <f t="shared" si="20"/>
        <v>1</v>
      </c>
      <c r="X174" s="107"/>
    </row>
    <row r="175" spans="1:24">
      <c r="A175" s="115">
        <v>173</v>
      </c>
      <c r="B175" s="116">
        <v>6</v>
      </c>
      <c r="C175" s="81" t="s">
        <v>130</v>
      </c>
      <c r="D175" s="111" t="s">
        <v>240</v>
      </c>
      <c r="E175" s="81" t="s">
        <v>99</v>
      </c>
      <c r="F175" s="61">
        <v>6.19</v>
      </c>
      <c r="G175" s="52">
        <f t="shared" si="14"/>
        <v>7.16</v>
      </c>
      <c r="H175" s="110"/>
      <c r="I175" s="81">
        <v>9.91</v>
      </c>
      <c r="J175" s="81">
        <f>VLOOKUP(C175,Recipes!$A$2:$N$4,12,FALSE())</f>
        <v>5.0137397426368718E-2</v>
      </c>
      <c r="K175" s="81">
        <f t="shared" si="15"/>
        <v>9.6091756154417887</v>
      </c>
      <c r="L175" s="81">
        <f t="shared" si="16"/>
        <v>10.210824384558212</v>
      </c>
      <c r="M175" s="81" t="str">
        <f t="shared" si="18"/>
        <v>NG</v>
      </c>
      <c r="N175" s="117">
        <f t="shared" si="17"/>
        <v>1</v>
      </c>
      <c r="O175" s="81">
        <f t="shared" si="19"/>
        <v>2.75</v>
      </c>
      <c r="P175" s="81">
        <f>IF(G175="","",ABS(O175-Components!$C$2)/Components!$D$2)</f>
        <v>0.50436689513860911</v>
      </c>
      <c r="Q175" s="81">
        <f>IF(G175="","",ABS(O175-Components!$C$3)/Components!$D$3)</f>
        <v>93.211699987141998</v>
      </c>
      <c r="R175" s="81">
        <f>IF(G175="","",ABS(O175-Components!$C$4)/Components!$D$4)</f>
        <v>125.66794871140925</v>
      </c>
      <c r="S175" s="81">
        <f>IF(G175="","",ABS(O175-Components!$C$5)/Components!$D$5)</f>
        <v>71.988884841550231</v>
      </c>
      <c r="T175" s="81">
        <f>IF(G175="","",ABS(O175-Components!$C$6)/Components!$D$6)</f>
        <v>57.706138311582762</v>
      </c>
      <c r="U175" s="81">
        <f>IF(G175="","",ABS(O175-Components!$C$7)/Components!$D$7)</f>
        <v>54.708148612170341</v>
      </c>
      <c r="V175" s="81" t="str">
        <f>IF(G175="","",IF(M175="OK","NONE",INDEX({"S1","S2","W1","W2","N1","N2"},MATCH(MIN(P175:U175),P175:U175,0))))</f>
        <v>S1</v>
      </c>
      <c r="W175" s="117">
        <f t="shared" si="20"/>
        <v>1</v>
      </c>
      <c r="X175" s="107"/>
    </row>
    <row r="176" spans="1:24">
      <c r="A176" s="115">
        <v>174</v>
      </c>
      <c r="B176" s="116">
        <v>6</v>
      </c>
      <c r="C176" s="81" t="s">
        <v>130</v>
      </c>
      <c r="D176" s="111" t="s">
        <v>240</v>
      </c>
      <c r="E176" s="81" t="s">
        <v>99</v>
      </c>
      <c r="F176" s="61">
        <v>6.15</v>
      </c>
      <c r="G176" s="52">
        <f t="shared" si="14"/>
        <v>7.12</v>
      </c>
      <c r="H176" s="110"/>
      <c r="I176" s="81">
        <v>9.91</v>
      </c>
      <c r="J176" s="81">
        <f>VLOOKUP(C176,Recipes!$A$2:$N$4,12,FALSE())</f>
        <v>5.0137397426368718E-2</v>
      </c>
      <c r="K176" s="81">
        <f t="shared" si="15"/>
        <v>9.6091756154417887</v>
      </c>
      <c r="L176" s="81">
        <f t="shared" si="16"/>
        <v>10.210824384558212</v>
      </c>
      <c r="M176" s="81" t="str">
        <f t="shared" si="18"/>
        <v>NG</v>
      </c>
      <c r="N176" s="117">
        <f t="shared" si="17"/>
        <v>1</v>
      </c>
      <c r="O176" s="81">
        <f t="shared" si="19"/>
        <v>2.79</v>
      </c>
      <c r="P176" s="81">
        <f>IF(G176="","",ABS(O176-Components!$C$2)/Components!$D$2)</f>
        <v>5.5480358465310164</v>
      </c>
      <c r="Q176" s="81">
        <f>IF(G176="","",ABS(O176-Components!$C$3)/Components!$D$3)</f>
        <v>90.312424715380189</v>
      </c>
      <c r="R176" s="81">
        <f>IF(G176="","",ABS(O176-Components!$C$4)/Components!$D$4)</f>
        <v>128.52945797998024</v>
      </c>
      <c r="S176" s="81">
        <f>IF(G176="","",ABS(O176-Components!$C$5)/Components!$D$5)</f>
        <v>70.400310700140508</v>
      </c>
      <c r="T176" s="81">
        <f>IF(G176="","",ABS(O176-Components!$C$6)/Components!$D$6)</f>
        <v>59.153919327135753</v>
      </c>
      <c r="U176" s="81">
        <f>IF(G176="","",ABS(O176-Components!$C$7)/Components!$D$7)</f>
        <v>56.298887122822251</v>
      </c>
      <c r="V176" s="81" t="str">
        <f>IF(G176="","",IF(M176="OK","NONE",INDEX({"S1","S2","W1","W2","N1","N2"},MATCH(MIN(P176:U176),P176:U176,0))))</f>
        <v>S1</v>
      </c>
      <c r="W176" s="117">
        <f t="shared" si="20"/>
        <v>1</v>
      </c>
      <c r="X176" s="107"/>
    </row>
    <row r="177" spans="1:24">
      <c r="A177" s="115">
        <v>175</v>
      </c>
      <c r="B177" s="116">
        <v>6</v>
      </c>
      <c r="C177" s="61" t="s">
        <v>130</v>
      </c>
      <c r="D177" s="61" t="s">
        <v>240</v>
      </c>
      <c r="E177" s="61" t="s">
        <v>99</v>
      </c>
      <c r="F177" s="61">
        <v>6.16</v>
      </c>
      <c r="G177" s="52">
        <f t="shared" si="14"/>
        <v>7.13</v>
      </c>
      <c r="H177" s="110"/>
      <c r="I177" s="81">
        <v>9.91</v>
      </c>
      <c r="J177" s="81">
        <f>VLOOKUP(C177,Recipes!$A$2:$N$4,12,FALSE())</f>
        <v>5.0137397426368718E-2</v>
      </c>
      <c r="K177" s="81">
        <f t="shared" si="15"/>
        <v>9.6091756154417887</v>
      </c>
      <c r="L177" s="81">
        <f t="shared" si="16"/>
        <v>10.210824384558212</v>
      </c>
      <c r="M177" s="81" t="str">
        <f t="shared" si="18"/>
        <v>NG</v>
      </c>
      <c r="N177" s="117">
        <f t="shared" si="17"/>
        <v>1</v>
      </c>
      <c r="O177" s="81">
        <f t="shared" si="19"/>
        <v>2.7800000000000002</v>
      </c>
      <c r="P177" s="81">
        <f>IF(G177="","",ABS(O177-Components!$C$2)/Components!$D$2)</f>
        <v>4.0349351611136441</v>
      </c>
      <c r="Q177" s="81">
        <f>IF(G177="","",ABS(O177-Components!$C$3)/Components!$D$3)</f>
        <v>91.03724353332062</v>
      </c>
      <c r="R177" s="81">
        <f>IF(G177="","",ABS(O177-Components!$C$4)/Components!$D$4)</f>
        <v>127.81408066283751</v>
      </c>
      <c r="S177" s="81">
        <f>IF(G177="","",ABS(O177-Components!$C$5)/Components!$D$5)</f>
        <v>70.797454235492935</v>
      </c>
      <c r="T177" s="81">
        <f>IF(G177="","",ABS(O177-Components!$C$6)/Components!$D$6)</f>
        <v>58.791974073247509</v>
      </c>
      <c r="U177" s="81">
        <f>IF(G177="","",ABS(O177-Components!$C$7)/Components!$D$7)</f>
        <v>55.901202495159282</v>
      </c>
      <c r="V177" s="81" t="str">
        <f>IF(G177="","",IF(M177="OK","NONE",INDEX({"S1","S2","W1","W2","N1","N2"},MATCH(MIN(P177:U177),P177:U177,0))))</f>
        <v>S1</v>
      </c>
      <c r="W177" s="117">
        <f t="shared" si="20"/>
        <v>1</v>
      </c>
      <c r="X177" s="107"/>
    </row>
    <row r="178" spans="1:24">
      <c r="A178" s="115">
        <v>176</v>
      </c>
      <c r="B178" s="116">
        <v>6</v>
      </c>
      <c r="C178" s="81" t="s">
        <v>130</v>
      </c>
      <c r="D178" s="111" t="s">
        <v>240</v>
      </c>
      <c r="E178" s="81" t="s">
        <v>99</v>
      </c>
      <c r="F178" s="61">
        <v>6.16</v>
      </c>
      <c r="G178" s="52">
        <f t="shared" si="14"/>
        <v>7.13</v>
      </c>
      <c r="H178" s="110"/>
      <c r="I178" s="81">
        <v>9.91</v>
      </c>
      <c r="J178" s="81">
        <f>VLOOKUP(C178,Recipes!$A$2:$N$4,12,FALSE())</f>
        <v>5.0137397426368718E-2</v>
      </c>
      <c r="K178" s="81">
        <f t="shared" si="15"/>
        <v>9.6091756154417887</v>
      </c>
      <c r="L178" s="81">
        <f t="shared" si="16"/>
        <v>10.210824384558212</v>
      </c>
      <c r="M178" s="81" t="str">
        <f t="shared" si="18"/>
        <v>NG</v>
      </c>
      <c r="N178" s="117">
        <f t="shared" si="17"/>
        <v>1</v>
      </c>
      <c r="O178" s="81">
        <f t="shared" si="19"/>
        <v>2.7800000000000002</v>
      </c>
      <c r="P178" s="81">
        <f>IF(G178="","",ABS(O178-Components!$C$2)/Components!$D$2)</f>
        <v>4.0349351611136441</v>
      </c>
      <c r="Q178" s="81">
        <f>IF(G178="","",ABS(O178-Components!$C$3)/Components!$D$3)</f>
        <v>91.03724353332062</v>
      </c>
      <c r="R178" s="81">
        <f>IF(G178="","",ABS(O178-Components!$C$4)/Components!$D$4)</f>
        <v>127.81408066283751</v>
      </c>
      <c r="S178" s="81">
        <f>IF(G178="","",ABS(O178-Components!$C$5)/Components!$D$5)</f>
        <v>70.797454235492935</v>
      </c>
      <c r="T178" s="81">
        <f>IF(G178="","",ABS(O178-Components!$C$6)/Components!$D$6)</f>
        <v>58.791974073247509</v>
      </c>
      <c r="U178" s="81">
        <f>IF(G178="","",ABS(O178-Components!$C$7)/Components!$D$7)</f>
        <v>55.901202495159282</v>
      </c>
      <c r="V178" s="81" t="str">
        <f>IF(G178="","",IF(M178="OK","NONE",INDEX({"S1","S2","W1","W2","N1","N2"},MATCH(MIN(P178:U178),P178:U178,0))))</f>
        <v>S1</v>
      </c>
      <c r="W178" s="117">
        <f t="shared" si="20"/>
        <v>1</v>
      </c>
      <c r="X178" s="107"/>
    </row>
    <row r="179" spans="1:24">
      <c r="A179" s="115">
        <v>177</v>
      </c>
      <c r="B179" s="116">
        <v>6</v>
      </c>
      <c r="C179" s="81" t="s">
        <v>130</v>
      </c>
      <c r="D179" s="111" t="s">
        <v>240</v>
      </c>
      <c r="E179" s="81" t="s">
        <v>99</v>
      </c>
      <c r="F179" s="61">
        <v>6.15</v>
      </c>
      <c r="G179" s="52">
        <f t="shared" si="14"/>
        <v>7.12</v>
      </c>
      <c r="H179" s="110"/>
      <c r="I179" s="81">
        <v>9.91</v>
      </c>
      <c r="J179" s="81">
        <f>VLOOKUP(C179,Recipes!$A$2:$N$4,12,FALSE())</f>
        <v>5.0137397426368718E-2</v>
      </c>
      <c r="K179" s="81">
        <f t="shared" si="15"/>
        <v>9.6091756154417887</v>
      </c>
      <c r="L179" s="81">
        <f t="shared" si="16"/>
        <v>10.210824384558212</v>
      </c>
      <c r="M179" s="81" t="str">
        <f t="shared" si="18"/>
        <v>NG</v>
      </c>
      <c r="N179" s="117">
        <f t="shared" si="17"/>
        <v>1</v>
      </c>
      <c r="O179" s="81">
        <f t="shared" si="19"/>
        <v>2.79</v>
      </c>
      <c r="P179" s="81">
        <f>IF(G179="","",ABS(O179-Components!$C$2)/Components!$D$2)</f>
        <v>5.5480358465310164</v>
      </c>
      <c r="Q179" s="81">
        <f>IF(G179="","",ABS(O179-Components!$C$3)/Components!$D$3)</f>
        <v>90.312424715380189</v>
      </c>
      <c r="R179" s="81">
        <f>IF(G179="","",ABS(O179-Components!$C$4)/Components!$D$4)</f>
        <v>128.52945797998024</v>
      </c>
      <c r="S179" s="81">
        <f>IF(G179="","",ABS(O179-Components!$C$5)/Components!$D$5)</f>
        <v>70.400310700140508</v>
      </c>
      <c r="T179" s="81">
        <f>IF(G179="","",ABS(O179-Components!$C$6)/Components!$D$6)</f>
        <v>59.153919327135753</v>
      </c>
      <c r="U179" s="81">
        <f>IF(G179="","",ABS(O179-Components!$C$7)/Components!$D$7)</f>
        <v>56.298887122822251</v>
      </c>
      <c r="V179" s="81" t="str">
        <f>IF(G179="","",IF(M179="OK","NONE",INDEX({"S1","S2","W1","W2","N1","N2"},MATCH(MIN(P179:U179),P179:U179,0))))</f>
        <v>S1</v>
      </c>
      <c r="W179" s="117">
        <f t="shared" si="20"/>
        <v>1</v>
      </c>
      <c r="X179" s="107"/>
    </row>
    <row r="180" spans="1:24">
      <c r="A180" s="115">
        <v>178</v>
      </c>
      <c r="B180" s="116">
        <v>6</v>
      </c>
      <c r="C180" s="81" t="s">
        <v>130</v>
      </c>
      <c r="D180" s="111" t="s">
        <v>240</v>
      </c>
      <c r="E180" s="81" t="s">
        <v>99</v>
      </c>
      <c r="F180" s="61">
        <v>6.17</v>
      </c>
      <c r="G180" s="52">
        <f t="shared" si="14"/>
        <v>7.14</v>
      </c>
      <c r="H180" s="110"/>
      <c r="I180" s="81">
        <v>9.91</v>
      </c>
      <c r="J180" s="81">
        <f>VLOOKUP(C180,Recipes!$A$2:$N$4,12,FALSE())</f>
        <v>5.0137397426368718E-2</v>
      </c>
      <c r="K180" s="81">
        <f t="shared" si="15"/>
        <v>9.6091756154417887</v>
      </c>
      <c r="L180" s="81">
        <f t="shared" si="16"/>
        <v>10.210824384558212</v>
      </c>
      <c r="M180" s="81" t="str">
        <f t="shared" si="18"/>
        <v>NG</v>
      </c>
      <c r="N180" s="117">
        <f t="shared" si="17"/>
        <v>1</v>
      </c>
      <c r="O180" s="81">
        <f t="shared" si="19"/>
        <v>2.7700000000000005</v>
      </c>
      <c r="P180" s="81">
        <f>IF(G180="","",ABS(O180-Components!$C$2)/Components!$D$2)</f>
        <v>2.5218344756962709</v>
      </c>
      <c r="Q180" s="81">
        <f>IF(G180="","",ABS(O180-Components!$C$3)/Components!$D$3)</f>
        <v>91.762062351261065</v>
      </c>
      <c r="R180" s="81">
        <f>IF(G180="","",ABS(O180-Components!$C$4)/Components!$D$4)</f>
        <v>127.09870334569479</v>
      </c>
      <c r="S180" s="81">
        <f>IF(G180="","",ABS(O180-Components!$C$5)/Components!$D$5)</f>
        <v>71.194597770845348</v>
      </c>
      <c r="T180" s="81">
        <f>IF(G180="","",ABS(O180-Components!$C$6)/Components!$D$6)</f>
        <v>58.430028819359272</v>
      </c>
      <c r="U180" s="81">
        <f>IF(G180="","",ABS(O180-Components!$C$7)/Components!$D$7)</f>
        <v>55.503517867496313</v>
      </c>
      <c r="V180" s="81" t="str">
        <f>IF(G180="","",IF(M180="OK","NONE",INDEX({"S1","S2","W1","W2","N1","N2"},MATCH(MIN(P180:U180),P180:U180,0))))</f>
        <v>S1</v>
      </c>
      <c r="W180" s="117">
        <f t="shared" si="20"/>
        <v>1</v>
      </c>
      <c r="X180" s="107"/>
    </row>
    <row r="181" spans="1:24">
      <c r="A181" s="115">
        <v>179</v>
      </c>
      <c r="B181" s="116">
        <v>6</v>
      </c>
      <c r="C181" s="81" t="s">
        <v>130</v>
      </c>
      <c r="D181" s="111" t="s">
        <v>240</v>
      </c>
      <c r="E181" s="81" t="s">
        <v>99</v>
      </c>
      <c r="F181" s="61">
        <v>6.2</v>
      </c>
      <c r="G181" s="52">
        <f t="shared" si="14"/>
        <v>7.17</v>
      </c>
      <c r="H181" s="110"/>
      <c r="I181" s="81">
        <v>9.91</v>
      </c>
      <c r="J181" s="81">
        <f>VLOOKUP(C181,Recipes!$A$2:$N$4,12,FALSE())</f>
        <v>5.0137397426368718E-2</v>
      </c>
      <c r="K181" s="81">
        <f t="shared" si="15"/>
        <v>9.6091756154417887</v>
      </c>
      <c r="L181" s="81">
        <f t="shared" si="16"/>
        <v>10.210824384558212</v>
      </c>
      <c r="M181" s="81" t="str">
        <f t="shared" si="18"/>
        <v>NG</v>
      </c>
      <c r="N181" s="117">
        <f t="shared" si="17"/>
        <v>1</v>
      </c>
      <c r="O181" s="81">
        <f t="shared" si="19"/>
        <v>2.74</v>
      </c>
      <c r="P181" s="81">
        <f>IF(G181="","",ABS(O181-Components!$C$2)/Components!$D$2)</f>
        <v>2.0174675805559819</v>
      </c>
      <c r="Q181" s="81">
        <f>IF(G181="","",ABS(O181-Components!$C$3)/Components!$D$3)</f>
        <v>93.936518805082429</v>
      </c>
      <c r="R181" s="81">
        <f>IF(G181="","",ABS(O181-Components!$C$4)/Components!$D$4)</f>
        <v>124.95257139426653</v>
      </c>
      <c r="S181" s="81">
        <f>IF(G181="","",ABS(O181-Components!$C$5)/Components!$D$5)</f>
        <v>72.386028376902644</v>
      </c>
      <c r="T181" s="81">
        <f>IF(G181="","",ABS(O181-Components!$C$6)/Components!$D$6)</f>
        <v>57.344193057694518</v>
      </c>
      <c r="U181" s="81">
        <f>IF(G181="","",ABS(O181-Components!$C$7)/Components!$D$7)</f>
        <v>54.310463984507372</v>
      </c>
      <c r="V181" s="81" t="str">
        <f>IF(G181="","",IF(M181="OK","NONE",INDEX({"S1","S2","W1","W2","N1","N2"},MATCH(MIN(P181:U181),P181:U181,0))))</f>
        <v>S1</v>
      </c>
      <c r="W181" s="117">
        <f t="shared" si="20"/>
        <v>1</v>
      </c>
      <c r="X181" s="107"/>
    </row>
    <row r="182" spans="1:24">
      <c r="A182" s="115">
        <v>180</v>
      </c>
      <c r="B182" s="116">
        <v>6</v>
      </c>
      <c r="C182" s="61" t="s">
        <v>130</v>
      </c>
      <c r="D182" s="61" t="s">
        <v>240</v>
      </c>
      <c r="E182" s="61" t="s">
        <v>99</v>
      </c>
      <c r="F182" s="61">
        <v>6.14</v>
      </c>
      <c r="G182" s="52">
        <f t="shared" si="14"/>
        <v>7.1099999999999994</v>
      </c>
      <c r="H182" s="110"/>
      <c r="I182" s="81">
        <v>9.91</v>
      </c>
      <c r="J182" s="81">
        <f>VLOOKUP(C182,Recipes!$A$2:$N$4,12,FALSE())</f>
        <v>5.0137397426368718E-2</v>
      </c>
      <c r="K182" s="81">
        <f t="shared" si="15"/>
        <v>9.6091756154417887</v>
      </c>
      <c r="L182" s="81">
        <f t="shared" si="16"/>
        <v>10.210824384558212</v>
      </c>
      <c r="M182" s="81" t="str">
        <f t="shared" si="18"/>
        <v>NG</v>
      </c>
      <c r="N182" s="117">
        <f t="shared" si="17"/>
        <v>1</v>
      </c>
      <c r="O182" s="81">
        <f t="shared" si="19"/>
        <v>2.8000000000000007</v>
      </c>
      <c r="P182" s="81">
        <f>IF(G182="","",ABS(O182-Components!$C$2)/Components!$D$2)</f>
        <v>7.0611365319485238</v>
      </c>
      <c r="Q182" s="81">
        <f>IF(G182="","",ABS(O182-Components!$C$3)/Components!$D$3)</f>
        <v>89.587605897439687</v>
      </c>
      <c r="R182" s="81">
        <f>IF(G182="","",ABS(O182-Components!$C$4)/Components!$D$4)</f>
        <v>129.24483529712305</v>
      </c>
      <c r="S182" s="81">
        <f>IF(G182="","",ABS(O182-Components!$C$5)/Components!$D$5)</f>
        <v>70.003167164788053</v>
      </c>
      <c r="T182" s="81">
        <f>IF(G182="","",ABS(O182-Components!$C$6)/Components!$D$6)</f>
        <v>59.515864581024026</v>
      </c>
      <c r="U182" s="81">
        <f>IF(G182="","",ABS(O182-Components!$C$7)/Components!$D$7)</f>
        <v>56.696571750485255</v>
      </c>
      <c r="V182" s="81" t="str">
        <f>IF(G182="","",IF(M182="OK","NONE",INDEX({"S1","S2","W1","W2","N1","N2"},MATCH(MIN(P182:U182),P182:U182,0))))</f>
        <v>S1</v>
      </c>
      <c r="W182" s="117">
        <f t="shared" si="20"/>
        <v>1</v>
      </c>
      <c r="X182" s="107"/>
    </row>
    <row r="183" spans="1:24">
      <c r="A183" s="115">
        <v>181</v>
      </c>
      <c r="B183" s="116">
        <v>7</v>
      </c>
      <c r="C183" s="81" t="s">
        <v>130</v>
      </c>
      <c r="D183" s="111" t="s">
        <v>240</v>
      </c>
      <c r="E183" s="81" t="s">
        <v>104</v>
      </c>
      <c r="F183" s="52">
        <v>7.99</v>
      </c>
      <c r="G183" s="52">
        <f t="shared" si="14"/>
        <v>8.9600000000000009</v>
      </c>
      <c r="H183" s="110"/>
      <c r="I183" s="81">
        <v>9.91</v>
      </c>
      <c r="J183" s="81">
        <f>VLOOKUP(C183,Recipes!$A$2:$N$4,12,FALSE())</f>
        <v>5.0137397426368718E-2</v>
      </c>
      <c r="K183" s="81">
        <f t="shared" si="15"/>
        <v>9.6091756154417887</v>
      </c>
      <c r="L183" s="81">
        <f t="shared" si="16"/>
        <v>10.210824384558212</v>
      </c>
      <c r="M183" s="81" t="str">
        <f t="shared" si="18"/>
        <v>NG</v>
      </c>
      <c r="N183" s="117">
        <f t="shared" si="17"/>
        <v>1</v>
      </c>
      <c r="O183" s="81">
        <f t="shared" si="19"/>
        <v>0.94999999999999929</v>
      </c>
      <c r="P183" s="81">
        <f>IF(G183="","",ABS(O183-Components!$C$2)/Components!$D$2)</f>
        <v>272.86249027027162</v>
      </c>
      <c r="Q183" s="81">
        <f>IF(G183="","",ABS(O183-Components!$C$3)/Components!$D$3)</f>
        <v>223.67908721642326</v>
      </c>
      <c r="R183" s="81">
        <f>IF(G183="","",ABS(O183-Components!$C$4)/Components!$D$4)</f>
        <v>3.0999683742852611</v>
      </c>
      <c r="S183" s="81">
        <f>IF(G183="","",ABS(O183-Components!$C$5)/Components!$D$5)</f>
        <v>143.47472120498725</v>
      </c>
      <c r="T183" s="81">
        <f>IF(G183="","",ABS(O183-Components!$C$6)/Components!$D$6)</f>
        <v>7.4440073883017623</v>
      </c>
      <c r="U183" s="81">
        <f>IF(G183="","",ABS(O183-Components!$C$7)/Components!$D$7)</f>
        <v>16.875084367165559</v>
      </c>
      <c r="V183" s="81" t="str">
        <f>IF(G183="","",IF(M183="OK","NONE",INDEX({"S1","S2","W1","W2","N1","N2"},MATCH(MIN(P183:U183),P183:U183,0))))</f>
        <v>W1</v>
      </c>
      <c r="W183" s="117">
        <f t="shared" si="20"/>
        <v>1</v>
      </c>
      <c r="X183" s="107"/>
    </row>
    <row r="184" spans="1:24">
      <c r="A184" s="115">
        <v>182</v>
      </c>
      <c r="B184" s="116">
        <v>7</v>
      </c>
      <c r="C184" s="81" t="s">
        <v>130</v>
      </c>
      <c r="D184" s="111" t="s">
        <v>240</v>
      </c>
      <c r="E184" s="81" t="s">
        <v>104</v>
      </c>
      <c r="F184" s="52">
        <v>7.97</v>
      </c>
      <c r="G184" s="52">
        <f t="shared" si="14"/>
        <v>8.94</v>
      </c>
      <c r="H184" s="110"/>
      <c r="I184" s="81">
        <v>9.91</v>
      </c>
      <c r="J184" s="81">
        <f>VLOOKUP(C184,Recipes!$A$2:$N$4,12,FALSE())</f>
        <v>5.0137397426368718E-2</v>
      </c>
      <c r="K184" s="81">
        <f t="shared" si="15"/>
        <v>9.6091756154417887</v>
      </c>
      <c r="L184" s="81">
        <f t="shared" si="16"/>
        <v>10.210824384558212</v>
      </c>
      <c r="M184" s="81" t="str">
        <f t="shared" si="18"/>
        <v>NG</v>
      </c>
      <c r="N184" s="117">
        <f t="shared" si="17"/>
        <v>1</v>
      </c>
      <c r="O184" s="81">
        <f t="shared" si="19"/>
        <v>0.97000000000000064</v>
      </c>
      <c r="P184" s="81">
        <f>IF(G184="","",ABS(O184-Components!$C$2)/Components!$D$2)</f>
        <v>269.83628889943662</v>
      </c>
      <c r="Q184" s="81">
        <f>IF(G184="","",ABS(O184-Components!$C$3)/Components!$D$3)</f>
        <v>222.22944958054225</v>
      </c>
      <c r="R184" s="81">
        <f>IF(G184="","",ABS(O184-Components!$C$4)/Components!$D$4)</f>
        <v>1.6692137399996705</v>
      </c>
      <c r="S184" s="81">
        <f>IF(G184="","",ABS(O184-Components!$C$5)/Components!$D$5)</f>
        <v>142.68043413428234</v>
      </c>
      <c r="T184" s="81">
        <f>IF(G184="","",ABS(O184-Components!$C$6)/Components!$D$6)</f>
        <v>6.7201168805252189</v>
      </c>
      <c r="U184" s="81">
        <f>IF(G184="","",ABS(O184-Components!$C$7)/Components!$D$7)</f>
        <v>16.079715111839551</v>
      </c>
      <c r="V184" s="81" t="str">
        <f>IF(G184="","",IF(M184="OK","NONE",INDEX({"S1","S2","W1","W2","N1","N2"},MATCH(MIN(P184:U184),P184:U184,0))))</f>
        <v>W1</v>
      </c>
      <c r="W184" s="117">
        <f t="shared" si="20"/>
        <v>1</v>
      </c>
      <c r="X184" s="107"/>
    </row>
    <row r="185" spans="1:24">
      <c r="A185" s="115">
        <v>183</v>
      </c>
      <c r="B185" s="116">
        <v>7</v>
      </c>
      <c r="C185" s="81" t="s">
        <v>130</v>
      </c>
      <c r="D185" s="111" t="s">
        <v>240</v>
      </c>
      <c r="E185" s="81" t="s">
        <v>104</v>
      </c>
      <c r="F185" s="52">
        <v>7.97</v>
      </c>
      <c r="G185" s="52">
        <f t="shared" si="14"/>
        <v>8.94</v>
      </c>
      <c r="H185" s="110"/>
      <c r="I185" s="81">
        <v>9.91</v>
      </c>
      <c r="J185" s="81">
        <f>VLOOKUP(C185,Recipes!$A$2:$N$4,12,FALSE())</f>
        <v>5.0137397426368718E-2</v>
      </c>
      <c r="K185" s="81">
        <f t="shared" si="15"/>
        <v>9.6091756154417887</v>
      </c>
      <c r="L185" s="81">
        <f t="shared" si="16"/>
        <v>10.210824384558212</v>
      </c>
      <c r="M185" s="81" t="str">
        <f t="shared" si="18"/>
        <v>NG</v>
      </c>
      <c r="N185" s="117">
        <f t="shared" si="17"/>
        <v>1</v>
      </c>
      <c r="O185" s="81">
        <f t="shared" si="19"/>
        <v>0.97000000000000064</v>
      </c>
      <c r="P185" s="81">
        <f>IF(G185="","",ABS(O185-Components!$C$2)/Components!$D$2)</f>
        <v>269.83628889943662</v>
      </c>
      <c r="Q185" s="81">
        <f>IF(G185="","",ABS(O185-Components!$C$3)/Components!$D$3)</f>
        <v>222.22944958054225</v>
      </c>
      <c r="R185" s="81">
        <f>IF(G185="","",ABS(O185-Components!$C$4)/Components!$D$4)</f>
        <v>1.6692137399996705</v>
      </c>
      <c r="S185" s="81">
        <f>IF(G185="","",ABS(O185-Components!$C$5)/Components!$D$5)</f>
        <v>142.68043413428234</v>
      </c>
      <c r="T185" s="81">
        <f>IF(G185="","",ABS(O185-Components!$C$6)/Components!$D$6)</f>
        <v>6.7201168805252189</v>
      </c>
      <c r="U185" s="81">
        <f>IF(G185="","",ABS(O185-Components!$C$7)/Components!$D$7)</f>
        <v>16.079715111839551</v>
      </c>
      <c r="V185" s="81" t="str">
        <f>IF(G185="","",IF(M185="OK","NONE",INDEX({"S1","S2","W1","W2","N1","N2"},MATCH(MIN(P185:U185),P185:U185,0))))</f>
        <v>W1</v>
      </c>
      <c r="W185" s="117">
        <f t="shared" si="20"/>
        <v>1</v>
      </c>
      <c r="X185" s="107"/>
    </row>
    <row r="186" spans="1:24">
      <c r="A186" s="115">
        <v>184</v>
      </c>
      <c r="B186" s="116">
        <v>7</v>
      </c>
      <c r="C186" s="81" t="s">
        <v>130</v>
      </c>
      <c r="D186" s="111" t="s">
        <v>240</v>
      </c>
      <c r="E186" s="81" t="s">
        <v>104</v>
      </c>
      <c r="F186" s="52">
        <v>7.94</v>
      </c>
      <c r="G186" s="52">
        <f t="shared" si="14"/>
        <v>8.91</v>
      </c>
      <c r="H186" s="110"/>
      <c r="I186" s="81">
        <v>9.91</v>
      </c>
      <c r="J186" s="81">
        <f>VLOOKUP(C186,Recipes!$A$2:$N$4,12,FALSE())</f>
        <v>5.0137397426368718E-2</v>
      </c>
      <c r="K186" s="81">
        <f t="shared" si="15"/>
        <v>9.6091756154417887</v>
      </c>
      <c r="L186" s="81">
        <f t="shared" si="16"/>
        <v>10.210824384558212</v>
      </c>
      <c r="M186" s="81" t="str">
        <f t="shared" si="18"/>
        <v>NG</v>
      </c>
      <c r="N186" s="117">
        <f t="shared" si="17"/>
        <v>1</v>
      </c>
      <c r="O186" s="81">
        <f t="shared" si="19"/>
        <v>1</v>
      </c>
      <c r="P186" s="81">
        <f>IF(G186="","",ABS(O186-Components!$C$2)/Components!$D$2)</f>
        <v>265.29698684318447</v>
      </c>
      <c r="Q186" s="81">
        <f>IF(G186="","",ABS(O186-Components!$C$3)/Components!$D$3)</f>
        <v>220.05499312672094</v>
      </c>
      <c r="R186" s="81">
        <f>IF(G186="","",ABS(O186-Components!$C$4)/Components!$D$4)</f>
        <v>0.47691821142852492</v>
      </c>
      <c r="S186" s="81">
        <f>IF(G186="","",ABS(O186-Components!$C$5)/Components!$D$5)</f>
        <v>141.48900352822508</v>
      </c>
      <c r="T186" s="81">
        <f>IF(G186="","",ABS(O186-Components!$C$6)/Components!$D$6)</f>
        <v>5.6342811188605006</v>
      </c>
      <c r="U186" s="81">
        <f>IF(G186="","",ABS(O186-Components!$C$7)/Components!$D$7)</f>
        <v>14.886661228850645</v>
      </c>
      <c r="V186" s="81" t="str">
        <f>IF(G186="","",IF(M186="OK","NONE",INDEX({"S1","S2","W1","W2","N1","N2"},MATCH(MIN(P186:U186),P186:U186,0))))</f>
        <v>W1</v>
      </c>
      <c r="W186" s="117">
        <f t="shared" si="20"/>
        <v>1</v>
      </c>
      <c r="X186" s="107"/>
    </row>
    <row r="187" spans="1:24">
      <c r="A187" s="115">
        <v>185</v>
      </c>
      <c r="B187" s="116">
        <v>7</v>
      </c>
      <c r="C187" s="61" t="s">
        <v>130</v>
      </c>
      <c r="D187" s="61" t="s">
        <v>240</v>
      </c>
      <c r="E187" s="61" t="s">
        <v>104</v>
      </c>
      <c r="F187" s="61">
        <v>7.96</v>
      </c>
      <c r="G187" s="52">
        <f t="shared" si="14"/>
        <v>8.93</v>
      </c>
      <c r="H187" s="110"/>
      <c r="I187" s="81">
        <v>9.91</v>
      </c>
      <c r="J187" s="81">
        <f>VLOOKUP(C187,Recipes!$A$2:$N$4,12,FALSE())</f>
        <v>5.0137397426368718E-2</v>
      </c>
      <c r="K187" s="81">
        <f t="shared" si="15"/>
        <v>9.6091756154417887</v>
      </c>
      <c r="L187" s="81">
        <f t="shared" si="16"/>
        <v>10.210824384558212</v>
      </c>
      <c r="M187" s="81" t="str">
        <f t="shared" si="18"/>
        <v>NG</v>
      </c>
      <c r="N187" s="117">
        <f t="shared" si="17"/>
        <v>1</v>
      </c>
      <c r="O187" s="81">
        <f t="shared" si="19"/>
        <v>0.98000000000000043</v>
      </c>
      <c r="P187" s="81">
        <f>IF(G187="","",ABS(O187-Components!$C$2)/Components!$D$2)</f>
        <v>268.32318821401924</v>
      </c>
      <c r="Q187" s="81">
        <f>IF(G187="","",ABS(O187-Components!$C$3)/Components!$D$3)</f>
        <v>221.50463076260183</v>
      </c>
      <c r="R187" s="81">
        <f>IF(G187="","",ABS(O187-Components!$C$4)/Components!$D$4)</f>
        <v>0.9538364228569387</v>
      </c>
      <c r="S187" s="81">
        <f>IF(G187="","",ABS(O187-Components!$C$5)/Components!$D$5)</f>
        <v>142.28329059892994</v>
      </c>
      <c r="T187" s="81">
        <f>IF(G187="","",ABS(O187-Components!$C$6)/Components!$D$6)</f>
        <v>6.3581716266369792</v>
      </c>
      <c r="U187" s="81">
        <f>IF(G187="","",ABS(O187-Components!$C$7)/Components!$D$7)</f>
        <v>15.682030484176583</v>
      </c>
      <c r="V187" s="81" t="str">
        <f>IF(G187="","",IF(M187="OK","NONE",INDEX({"S1","S2","W1","W2","N1","N2"},MATCH(MIN(P187:U187),P187:U187,0))))</f>
        <v>W1</v>
      </c>
      <c r="W187" s="117">
        <f t="shared" si="20"/>
        <v>1</v>
      </c>
      <c r="X187" s="107"/>
    </row>
    <row r="188" spans="1:24">
      <c r="A188" s="115">
        <v>186</v>
      </c>
      <c r="B188" s="116">
        <v>7</v>
      </c>
      <c r="C188" s="81" t="s">
        <v>130</v>
      </c>
      <c r="D188" s="111" t="s">
        <v>240</v>
      </c>
      <c r="E188" s="81" t="s">
        <v>104</v>
      </c>
      <c r="F188" s="61">
        <v>8.02</v>
      </c>
      <c r="G188" s="52">
        <f t="shared" si="14"/>
        <v>8.99</v>
      </c>
      <c r="H188" s="110"/>
      <c r="I188" s="81">
        <v>9.91</v>
      </c>
      <c r="J188" s="81">
        <f>VLOOKUP(C188,Recipes!$A$2:$N$4,12,FALSE())</f>
        <v>5.0137397426368718E-2</v>
      </c>
      <c r="K188" s="81">
        <f t="shared" si="15"/>
        <v>9.6091756154417887</v>
      </c>
      <c r="L188" s="81">
        <f t="shared" si="16"/>
        <v>10.210824384558212</v>
      </c>
      <c r="M188" s="81" t="str">
        <f t="shared" si="18"/>
        <v>NG</v>
      </c>
      <c r="N188" s="117">
        <f t="shared" si="17"/>
        <v>1</v>
      </c>
      <c r="O188" s="81">
        <f t="shared" si="19"/>
        <v>0.91999999999999993</v>
      </c>
      <c r="P188" s="81">
        <f>IF(G188="","",ABS(O188-Components!$C$2)/Components!$D$2)</f>
        <v>277.40179232652372</v>
      </c>
      <c r="Q188" s="81">
        <f>IF(G188="","",ABS(O188-Components!$C$3)/Components!$D$3)</f>
        <v>225.85354367024456</v>
      </c>
      <c r="R188" s="81">
        <f>IF(G188="","",ABS(O188-Components!$C$4)/Components!$D$4)</f>
        <v>5.2461003257134564</v>
      </c>
      <c r="S188" s="81">
        <f>IF(G188="","",ABS(O188-Components!$C$5)/Components!$D$5)</f>
        <v>144.6661518110445</v>
      </c>
      <c r="T188" s="81">
        <f>IF(G188="","",ABS(O188-Components!$C$6)/Components!$D$6)</f>
        <v>8.5298431499664815</v>
      </c>
      <c r="U188" s="81">
        <f>IF(G188="","",ABS(O188-Components!$C$7)/Components!$D$7)</f>
        <v>18.068138250154465</v>
      </c>
      <c r="V188" s="81" t="str">
        <f>IF(G188="","",IF(M188="OK","NONE",INDEX({"S1","S2","W1","W2","N1","N2"},MATCH(MIN(P188:U188),P188:U188,0))))</f>
        <v>W1</v>
      </c>
      <c r="W188" s="117">
        <f t="shared" si="20"/>
        <v>1</v>
      </c>
      <c r="X188" s="107"/>
    </row>
    <row r="189" spans="1:24">
      <c r="A189" s="115">
        <v>187</v>
      </c>
      <c r="B189" s="116">
        <v>7</v>
      </c>
      <c r="C189" s="81" t="s">
        <v>130</v>
      </c>
      <c r="D189" s="111" t="s">
        <v>240</v>
      </c>
      <c r="E189" s="81" t="s">
        <v>104</v>
      </c>
      <c r="F189" s="61">
        <v>8.07</v>
      </c>
      <c r="G189" s="52">
        <f t="shared" si="14"/>
        <v>9.0400000000000009</v>
      </c>
      <c r="H189" s="110"/>
      <c r="I189" s="81">
        <v>9.91</v>
      </c>
      <c r="J189" s="81">
        <f>VLOOKUP(C189,Recipes!$A$2:$N$4,12,FALSE())</f>
        <v>5.0137397426368718E-2</v>
      </c>
      <c r="K189" s="81">
        <f t="shared" si="15"/>
        <v>9.6091756154417887</v>
      </c>
      <c r="L189" s="81">
        <f t="shared" si="16"/>
        <v>10.210824384558212</v>
      </c>
      <c r="M189" s="81" t="str">
        <f t="shared" si="18"/>
        <v>NG</v>
      </c>
      <c r="N189" s="117">
        <f t="shared" si="17"/>
        <v>1</v>
      </c>
      <c r="O189" s="81">
        <f t="shared" si="19"/>
        <v>0.86999999999999922</v>
      </c>
      <c r="P189" s="81">
        <f>IF(G189="","",ABS(O189-Components!$C$2)/Components!$D$2)</f>
        <v>284.96729575361087</v>
      </c>
      <c r="Q189" s="81">
        <f>IF(G189="","",ABS(O189-Components!$C$3)/Components!$D$3)</f>
        <v>229.47763775994687</v>
      </c>
      <c r="R189" s="81">
        <f>IF(G189="","",ABS(O189-Components!$C$4)/Components!$D$4)</f>
        <v>8.8229869114272432</v>
      </c>
      <c r="S189" s="81">
        <f>IF(G189="","",ABS(O189-Components!$C$5)/Components!$D$5)</f>
        <v>146.65186948780666</v>
      </c>
      <c r="T189" s="81">
        <f>IF(G189="","",ABS(O189-Components!$C$6)/Components!$D$6)</f>
        <v>10.339569419407743</v>
      </c>
      <c r="U189" s="81">
        <f>IF(G189="","",ABS(O189-Components!$C$7)/Components!$D$7)</f>
        <v>20.05656138846938</v>
      </c>
      <c r="V189" s="81" t="str">
        <f>IF(G189="","",IF(M189="OK","NONE",INDEX({"S1","S2","W1","W2","N1","N2"},MATCH(MIN(P189:U189),P189:U189,0))))</f>
        <v>W1</v>
      </c>
      <c r="W189" s="117">
        <f t="shared" si="20"/>
        <v>1</v>
      </c>
      <c r="X189" s="107"/>
    </row>
    <row r="190" spans="1:24">
      <c r="A190" s="115">
        <v>188</v>
      </c>
      <c r="B190" s="116">
        <v>7</v>
      </c>
      <c r="C190" s="81" t="s">
        <v>130</v>
      </c>
      <c r="D190" s="111" t="s">
        <v>240</v>
      </c>
      <c r="E190" s="81" t="s">
        <v>104</v>
      </c>
      <c r="F190" s="61">
        <v>7.89</v>
      </c>
      <c r="G190" s="52">
        <f t="shared" si="14"/>
        <v>8.86</v>
      </c>
      <c r="H190" s="110"/>
      <c r="I190" s="81">
        <v>9.91</v>
      </c>
      <c r="J190" s="81">
        <f>VLOOKUP(C190,Recipes!$A$2:$N$4,12,FALSE())</f>
        <v>5.0137397426368718E-2</v>
      </c>
      <c r="K190" s="81">
        <f t="shared" si="15"/>
        <v>9.6091756154417887</v>
      </c>
      <c r="L190" s="81">
        <f t="shared" si="16"/>
        <v>10.210824384558212</v>
      </c>
      <c r="M190" s="81" t="str">
        <f t="shared" si="18"/>
        <v>NG</v>
      </c>
      <c r="N190" s="117">
        <f t="shared" si="17"/>
        <v>1</v>
      </c>
      <c r="O190" s="81">
        <f t="shared" si="19"/>
        <v>1.0500000000000007</v>
      </c>
      <c r="P190" s="81">
        <f>IF(G190="","",ABS(O190-Components!$C$2)/Components!$D$2)</f>
        <v>257.73148341609738</v>
      </c>
      <c r="Q190" s="81">
        <f>IF(G190="","",ABS(O190-Components!$C$3)/Components!$D$3)</f>
        <v>216.43089903701863</v>
      </c>
      <c r="R190" s="81">
        <f>IF(G190="","",ABS(O190-Components!$C$4)/Components!$D$4)</f>
        <v>4.0538047971423108</v>
      </c>
      <c r="S190" s="81">
        <f>IF(G190="","",ABS(O190-Components!$C$5)/Components!$D$5)</f>
        <v>139.50328585146292</v>
      </c>
      <c r="T190" s="81">
        <f>IF(G190="","",ABS(O190-Components!$C$6)/Components!$D$6)</f>
        <v>3.8245548494192385</v>
      </c>
      <c r="U190" s="81">
        <f>IF(G190="","",ABS(O190-Components!$C$7)/Components!$D$7)</f>
        <v>12.898238090535733</v>
      </c>
      <c r="V190" s="81" t="str">
        <f>IF(G190="","",IF(M190="OK","NONE",INDEX({"S1","S2","W1","W2","N1","N2"},MATCH(MIN(P190:U190),P190:U190,0))))</f>
        <v>N1</v>
      </c>
      <c r="W190" s="122">
        <f t="shared" si="20"/>
        <v>0</v>
      </c>
      <c r="X190" s="107"/>
    </row>
    <row r="191" spans="1:24">
      <c r="A191" s="115">
        <v>189</v>
      </c>
      <c r="B191" s="116">
        <v>7</v>
      </c>
      <c r="C191" s="81" t="s">
        <v>130</v>
      </c>
      <c r="D191" s="111" t="s">
        <v>240</v>
      </c>
      <c r="E191" s="81" t="s">
        <v>104</v>
      </c>
      <c r="F191" s="61">
        <v>7.91</v>
      </c>
      <c r="G191" s="52">
        <f t="shared" si="14"/>
        <v>8.8800000000000008</v>
      </c>
      <c r="H191" s="110"/>
      <c r="I191" s="81">
        <v>9.91</v>
      </c>
      <c r="J191" s="81">
        <f>VLOOKUP(C191,Recipes!$A$2:$N$4,12,FALSE())</f>
        <v>5.0137397426368718E-2</v>
      </c>
      <c r="K191" s="81">
        <f t="shared" si="15"/>
        <v>9.6091756154417887</v>
      </c>
      <c r="L191" s="81">
        <f t="shared" si="16"/>
        <v>10.210824384558212</v>
      </c>
      <c r="M191" s="81" t="str">
        <f t="shared" si="18"/>
        <v>NG</v>
      </c>
      <c r="N191" s="117">
        <f t="shared" si="17"/>
        <v>1</v>
      </c>
      <c r="O191" s="81">
        <f t="shared" si="19"/>
        <v>1.0299999999999994</v>
      </c>
      <c r="P191" s="81">
        <f>IF(G191="","",ABS(O191-Components!$C$2)/Components!$D$2)</f>
        <v>260.75768478693237</v>
      </c>
      <c r="Q191" s="81">
        <f>IF(G191="","",ABS(O191-Components!$C$3)/Components!$D$3)</f>
        <v>217.88053667289964</v>
      </c>
      <c r="R191" s="81">
        <f>IF(G191="","",ABS(O191-Components!$C$4)/Components!$D$4)</f>
        <v>2.6230501628567202</v>
      </c>
      <c r="S191" s="81">
        <f>IF(G191="","",ABS(O191-Components!$C$5)/Components!$D$5)</f>
        <v>140.29757292216783</v>
      </c>
      <c r="T191" s="81">
        <f>IF(G191="","",ABS(O191-Components!$C$6)/Components!$D$6)</f>
        <v>4.5484453571957824</v>
      </c>
      <c r="U191" s="81">
        <f>IF(G191="","",ABS(O191-Components!$C$7)/Components!$D$7)</f>
        <v>13.693607345861739</v>
      </c>
      <c r="V191" s="81" t="str">
        <f>IF(G191="","",IF(M191="OK","NONE",INDEX({"S1","S2","W1","W2","N1","N2"},MATCH(MIN(P191:U191),P191:U191,0))))</f>
        <v>W1</v>
      </c>
      <c r="W191" s="117">
        <f t="shared" si="20"/>
        <v>1</v>
      </c>
      <c r="X191" s="107"/>
    </row>
    <row r="192" spans="1:24">
      <c r="A192" s="115">
        <v>190</v>
      </c>
      <c r="B192" s="116">
        <v>7</v>
      </c>
      <c r="C192" s="61" t="s">
        <v>130</v>
      </c>
      <c r="D192" s="61" t="s">
        <v>240</v>
      </c>
      <c r="E192" s="61" t="s">
        <v>104</v>
      </c>
      <c r="F192" s="61">
        <v>7.95</v>
      </c>
      <c r="G192" s="52">
        <f t="shared" si="14"/>
        <v>8.92</v>
      </c>
      <c r="H192" s="110"/>
      <c r="I192" s="81">
        <v>9.91</v>
      </c>
      <c r="J192" s="81">
        <f>VLOOKUP(C192,Recipes!$A$2:$N$4,12,FALSE())</f>
        <v>5.0137397426368718E-2</v>
      </c>
      <c r="K192" s="81">
        <f t="shared" si="15"/>
        <v>9.6091756154417887</v>
      </c>
      <c r="L192" s="81">
        <f t="shared" si="16"/>
        <v>10.210824384558212</v>
      </c>
      <c r="M192" s="81" t="str">
        <f t="shared" si="18"/>
        <v>NG</v>
      </c>
      <c r="N192" s="117">
        <f t="shared" si="17"/>
        <v>1</v>
      </c>
      <c r="O192" s="81">
        <f t="shared" si="19"/>
        <v>0.99000000000000021</v>
      </c>
      <c r="P192" s="81">
        <f>IF(G192="","",ABS(O192-Components!$C$2)/Components!$D$2)</f>
        <v>266.81008752860185</v>
      </c>
      <c r="Q192" s="81">
        <f>IF(G192="","",ABS(O192-Components!$C$3)/Components!$D$3)</f>
        <v>220.77981194466139</v>
      </c>
      <c r="R192" s="81">
        <f>IF(G192="","",ABS(O192-Components!$C$4)/Components!$D$4)</f>
        <v>0.23845910571420686</v>
      </c>
      <c r="S192" s="81">
        <f>IF(G192="","",ABS(O192-Components!$C$5)/Components!$D$5)</f>
        <v>141.88614706357751</v>
      </c>
      <c r="T192" s="81">
        <f>IF(G192="","",ABS(O192-Components!$C$6)/Components!$D$6)</f>
        <v>5.9962263727487395</v>
      </c>
      <c r="U192" s="81">
        <f>IF(G192="","",ABS(O192-Components!$C$7)/Components!$D$7)</f>
        <v>15.284345856513614</v>
      </c>
      <c r="V192" s="81" t="str">
        <f>IF(G192="","",IF(M192="OK","NONE",INDEX({"S1","S2","W1","W2","N1","N2"},MATCH(MIN(P192:U192),P192:U192,0))))</f>
        <v>W1</v>
      </c>
      <c r="W192" s="117">
        <f t="shared" si="20"/>
        <v>1</v>
      </c>
      <c r="X192" s="107"/>
    </row>
    <row r="193" spans="1:24">
      <c r="A193" s="115">
        <v>191</v>
      </c>
      <c r="B193" s="116">
        <v>7</v>
      </c>
      <c r="C193" s="81" t="s">
        <v>130</v>
      </c>
      <c r="D193" s="111" t="s">
        <v>240</v>
      </c>
      <c r="E193" s="81" t="s">
        <v>104</v>
      </c>
      <c r="F193" s="61">
        <v>7.95</v>
      </c>
      <c r="G193" s="52">
        <f t="shared" si="14"/>
        <v>8.92</v>
      </c>
      <c r="H193" s="110"/>
      <c r="I193" s="81">
        <v>9.91</v>
      </c>
      <c r="J193" s="81">
        <f>VLOOKUP(C193,Recipes!$A$2:$N$4,12,FALSE())</f>
        <v>5.0137397426368718E-2</v>
      </c>
      <c r="K193" s="81">
        <f t="shared" si="15"/>
        <v>9.6091756154417887</v>
      </c>
      <c r="L193" s="81">
        <f t="shared" si="16"/>
        <v>10.210824384558212</v>
      </c>
      <c r="M193" s="81" t="str">
        <f t="shared" si="18"/>
        <v>NG</v>
      </c>
      <c r="N193" s="117">
        <f t="shared" si="17"/>
        <v>1</v>
      </c>
      <c r="O193" s="81">
        <f t="shared" si="19"/>
        <v>0.99000000000000021</v>
      </c>
      <c r="P193" s="81">
        <f>IF(G193="","",ABS(O193-Components!$C$2)/Components!$D$2)</f>
        <v>266.81008752860185</v>
      </c>
      <c r="Q193" s="81">
        <f>IF(G193="","",ABS(O193-Components!$C$3)/Components!$D$3)</f>
        <v>220.77981194466139</v>
      </c>
      <c r="R193" s="81">
        <f>IF(G193="","",ABS(O193-Components!$C$4)/Components!$D$4)</f>
        <v>0.23845910571420686</v>
      </c>
      <c r="S193" s="81">
        <f>IF(G193="","",ABS(O193-Components!$C$5)/Components!$D$5)</f>
        <v>141.88614706357751</v>
      </c>
      <c r="T193" s="81">
        <f>IF(G193="","",ABS(O193-Components!$C$6)/Components!$D$6)</f>
        <v>5.9962263727487395</v>
      </c>
      <c r="U193" s="81">
        <f>IF(G193="","",ABS(O193-Components!$C$7)/Components!$D$7)</f>
        <v>15.284345856513614</v>
      </c>
      <c r="V193" s="81" t="str">
        <f>IF(G193="","",IF(M193="OK","NONE",INDEX({"S1","S2","W1","W2","N1","N2"},MATCH(MIN(P193:U193),P193:U193,0))))</f>
        <v>W1</v>
      </c>
      <c r="W193" s="117">
        <f t="shared" si="20"/>
        <v>1</v>
      </c>
      <c r="X193" s="107"/>
    </row>
    <row r="194" spans="1:24">
      <c r="A194" s="115">
        <v>192</v>
      </c>
      <c r="B194" s="116">
        <v>7</v>
      </c>
      <c r="C194" s="81" t="s">
        <v>130</v>
      </c>
      <c r="D194" s="111" t="s">
        <v>240</v>
      </c>
      <c r="E194" s="81" t="s">
        <v>104</v>
      </c>
      <c r="F194" s="61">
        <v>7.9</v>
      </c>
      <c r="G194" s="52">
        <f t="shared" si="14"/>
        <v>8.870000000000001</v>
      </c>
      <c r="H194" s="110"/>
      <c r="I194" s="81">
        <v>9.91</v>
      </c>
      <c r="J194" s="81">
        <f>VLOOKUP(C194,Recipes!$A$2:$N$4,12,FALSE())</f>
        <v>5.0137397426368718E-2</v>
      </c>
      <c r="K194" s="81">
        <f t="shared" si="15"/>
        <v>9.6091756154417887</v>
      </c>
      <c r="L194" s="81">
        <f t="shared" si="16"/>
        <v>10.210824384558212</v>
      </c>
      <c r="M194" s="81" t="str">
        <f t="shared" si="18"/>
        <v>NG</v>
      </c>
      <c r="N194" s="117">
        <f t="shared" si="17"/>
        <v>1</v>
      </c>
      <c r="O194" s="81">
        <f t="shared" si="19"/>
        <v>1.0399999999999991</v>
      </c>
      <c r="P194" s="81">
        <f>IF(G194="","",ABS(O194-Components!$C$2)/Components!$D$2)</f>
        <v>259.24458410151499</v>
      </c>
      <c r="Q194" s="81">
        <f>IF(G194="","",ABS(O194-Components!$C$3)/Components!$D$3)</f>
        <v>217.15571785495922</v>
      </c>
      <c r="R194" s="81">
        <f>IF(G194="","",ABS(O194-Components!$C$4)/Components!$D$4)</f>
        <v>3.338427479999452</v>
      </c>
      <c r="S194" s="81">
        <f>IF(G194="","",ABS(O194-Components!$C$5)/Components!$D$5)</f>
        <v>139.9004293868154</v>
      </c>
      <c r="T194" s="81">
        <f>IF(G194="","",ABS(O194-Components!$C$6)/Components!$D$6)</f>
        <v>4.1865001033075426</v>
      </c>
      <c r="U194" s="81">
        <f>IF(G194="","",ABS(O194-Components!$C$7)/Components!$D$7)</f>
        <v>13.295922718198771</v>
      </c>
      <c r="V194" s="81" t="str">
        <f>IF(G194="","",IF(M194="OK","NONE",INDEX({"S1","S2","W1","W2","N1","N2"},MATCH(MIN(P194:U194),P194:U194,0))))</f>
        <v>W1</v>
      </c>
      <c r="W194" s="117">
        <f t="shared" si="20"/>
        <v>1</v>
      </c>
      <c r="X194" s="107"/>
    </row>
    <row r="195" spans="1:24">
      <c r="A195" s="115">
        <v>193</v>
      </c>
      <c r="B195" s="116">
        <v>7</v>
      </c>
      <c r="C195" s="81" t="s">
        <v>130</v>
      </c>
      <c r="D195" s="111" t="s">
        <v>240</v>
      </c>
      <c r="E195" s="81" t="s">
        <v>104</v>
      </c>
      <c r="F195" s="61">
        <v>7.91</v>
      </c>
      <c r="G195" s="52">
        <f t="shared" ref="G195:G258" si="21">0.97+F195</f>
        <v>8.8800000000000008</v>
      </c>
      <c r="H195" s="110"/>
      <c r="I195" s="81">
        <v>9.91</v>
      </c>
      <c r="J195" s="81">
        <f>VLOOKUP(C195,Recipes!$A$2:$N$4,12,FALSE())</f>
        <v>5.0137397426368718E-2</v>
      </c>
      <c r="K195" s="81">
        <f t="shared" ref="K195:K258" si="22">I195-6*J195</f>
        <v>9.6091756154417887</v>
      </c>
      <c r="L195" s="81">
        <f t="shared" ref="L195:L258" si="23">I195+6*J195</f>
        <v>10.210824384558212</v>
      </c>
      <c r="M195" s="81" t="str">
        <f t="shared" si="18"/>
        <v>NG</v>
      </c>
      <c r="N195" s="117">
        <f t="shared" ref="N195:N258" si="24">IF(M195="","",IF(M195=D195,1,0))</f>
        <v>1</v>
      </c>
      <c r="O195" s="81">
        <f t="shared" si="19"/>
        <v>1.0299999999999994</v>
      </c>
      <c r="P195" s="81">
        <f>IF(G195="","",ABS(O195-Components!$C$2)/Components!$D$2)</f>
        <v>260.75768478693237</v>
      </c>
      <c r="Q195" s="81">
        <f>IF(G195="","",ABS(O195-Components!$C$3)/Components!$D$3)</f>
        <v>217.88053667289964</v>
      </c>
      <c r="R195" s="81">
        <f>IF(G195="","",ABS(O195-Components!$C$4)/Components!$D$4)</f>
        <v>2.6230501628567202</v>
      </c>
      <c r="S195" s="81">
        <f>IF(G195="","",ABS(O195-Components!$C$5)/Components!$D$5)</f>
        <v>140.29757292216783</v>
      </c>
      <c r="T195" s="81">
        <f>IF(G195="","",ABS(O195-Components!$C$6)/Components!$D$6)</f>
        <v>4.5484453571957824</v>
      </c>
      <c r="U195" s="81">
        <f>IF(G195="","",ABS(O195-Components!$C$7)/Components!$D$7)</f>
        <v>13.693607345861739</v>
      </c>
      <c r="V195" s="81" t="str">
        <f>IF(G195="","",IF(M195="OK","NONE",INDEX({"S1","S2","W1","W2","N1","N2"},MATCH(MIN(P195:U195),P195:U195,0))))</f>
        <v>W1</v>
      </c>
      <c r="W195" s="117">
        <f t="shared" si="20"/>
        <v>1</v>
      </c>
      <c r="X195" s="107"/>
    </row>
    <row r="196" spans="1:24">
      <c r="A196" s="115">
        <v>194</v>
      </c>
      <c r="B196" s="116">
        <v>7</v>
      </c>
      <c r="C196" s="81" t="s">
        <v>130</v>
      </c>
      <c r="D196" s="111" t="s">
        <v>240</v>
      </c>
      <c r="E196" s="81" t="s">
        <v>104</v>
      </c>
      <c r="F196" s="61">
        <v>7.98</v>
      </c>
      <c r="G196" s="52">
        <f t="shared" si="21"/>
        <v>8.9500000000000011</v>
      </c>
      <c r="H196" s="110"/>
      <c r="I196" s="81">
        <v>9.91</v>
      </c>
      <c r="J196" s="81">
        <f>VLOOKUP(C196,Recipes!$A$2:$N$4,12,FALSE())</f>
        <v>5.0137397426368718E-2</v>
      </c>
      <c r="K196" s="81">
        <f t="shared" si="22"/>
        <v>9.6091756154417887</v>
      </c>
      <c r="L196" s="81">
        <f t="shared" si="23"/>
        <v>10.210824384558212</v>
      </c>
      <c r="M196" s="81" t="str">
        <f t="shared" ref="M196:M259" si="25">IF(G196="","",IF(AND(G196&gt;=K196,G196&lt;=L196),"OK","NG"))</f>
        <v>NG</v>
      </c>
      <c r="N196" s="117">
        <f t="shared" si="24"/>
        <v>1</v>
      </c>
      <c r="O196" s="81">
        <f t="shared" ref="O196:O259" si="26">IF(G196="","",I196-G196)</f>
        <v>0.95999999999999908</v>
      </c>
      <c r="P196" s="81">
        <f>IF(G196="","",ABS(O196-Components!$C$2)/Components!$D$2)</f>
        <v>271.34938958485424</v>
      </c>
      <c r="Q196" s="81">
        <f>IF(G196="","",ABS(O196-Components!$C$3)/Components!$D$3)</f>
        <v>222.95426839848284</v>
      </c>
      <c r="R196" s="81">
        <f>IF(G196="","",ABS(O196-Components!$C$4)/Components!$D$4)</f>
        <v>2.3845910571425293</v>
      </c>
      <c r="S196" s="81">
        <f>IF(G196="","",ABS(O196-Components!$C$5)/Components!$D$5)</f>
        <v>143.07757766963482</v>
      </c>
      <c r="T196" s="81">
        <f>IF(G196="","",ABS(O196-Components!$C$6)/Components!$D$6)</f>
        <v>7.0820621344135226</v>
      </c>
      <c r="U196" s="81">
        <f>IF(G196="","",ABS(O196-Components!$C$7)/Components!$D$7)</f>
        <v>16.477399739502591</v>
      </c>
      <c r="V196" s="81" t="str">
        <f>IF(G196="","",IF(M196="OK","NONE",INDEX({"S1","S2","W1","W2","N1","N2"},MATCH(MIN(P196:U196),P196:U196,0))))</f>
        <v>W1</v>
      </c>
      <c r="W196" s="117">
        <f t="shared" ref="W196:W259" si="27">IF(G196="","",IF(V196=E196,1,0))</f>
        <v>1</v>
      </c>
      <c r="X196" s="107"/>
    </row>
    <row r="197" spans="1:24">
      <c r="A197" s="115">
        <v>195</v>
      </c>
      <c r="B197" s="116">
        <v>7</v>
      </c>
      <c r="C197" s="61" t="s">
        <v>130</v>
      </c>
      <c r="D197" s="61" t="s">
        <v>240</v>
      </c>
      <c r="E197" s="61" t="s">
        <v>104</v>
      </c>
      <c r="F197" s="61">
        <v>7.95</v>
      </c>
      <c r="G197" s="52">
        <f t="shared" si="21"/>
        <v>8.92</v>
      </c>
      <c r="H197" s="110"/>
      <c r="I197" s="81">
        <v>9.91</v>
      </c>
      <c r="J197" s="81">
        <f>VLOOKUP(C197,Recipes!$A$2:$N$4,12,FALSE())</f>
        <v>5.0137397426368718E-2</v>
      </c>
      <c r="K197" s="81">
        <f t="shared" si="22"/>
        <v>9.6091756154417887</v>
      </c>
      <c r="L197" s="81">
        <f t="shared" si="23"/>
        <v>10.210824384558212</v>
      </c>
      <c r="M197" s="81" t="str">
        <f t="shared" si="25"/>
        <v>NG</v>
      </c>
      <c r="N197" s="117">
        <f t="shared" si="24"/>
        <v>1</v>
      </c>
      <c r="O197" s="81">
        <f t="shared" si="26"/>
        <v>0.99000000000000021</v>
      </c>
      <c r="P197" s="81">
        <f>IF(G197="","",ABS(O197-Components!$C$2)/Components!$D$2)</f>
        <v>266.81008752860185</v>
      </c>
      <c r="Q197" s="81">
        <f>IF(G197="","",ABS(O197-Components!$C$3)/Components!$D$3)</f>
        <v>220.77981194466139</v>
      </c>
      <c r="R197" s="81">
        <f>IF(G197="","",ABS(O197-Components!$C$4)/Components!$D$4)</f>
        <v>0.23845910571420686</v>
      </c>
      <c r="S197" s="81">
        <f>IF(G197="","",ABS(O197-Components!$C$5)/Components!$D$5)</f>
        <v>141.88614706357751</v>
      </c>
      <c r="T197" s="81">
        <f>IF(G197="","",ABS(O197-Components!$C$6)/Components!$D$6)</f>
        <v>5.9962263727487395</v>
      </c>
      <c r="U197" s="81">
        <f>IF(G197="","",ABS(O197-Components!$C$7)/Components!$D$7)</f>
        <v>15.284345856513614</v>
      </c>
      <c r="V197" s="81" t="str">
        <f>IF(G197="","",IF(M197="OK","NONE",INDEX({"S1","S2","W1","W2","N1","N2"},MATCH(MIN(P197:U197),P197:U197,0))))</f>
        <v>W1</v>
      </c>
      <c r="W197" s="117">
        <f t="shared" si="27"/>
        <v>1</v>
      </c>
      <c r="X197" s="107"/>
    </row>
    <row r="198" spans="1:24">
      <c r="A198" s="115">
        <v>196</v>
      </c>
      <c r="B198" s="116">
        <v>7</v>
      </c>
      <c r="C198" s="81" t="s">
        <v>130</v>
      </c>
      <c r="D198" s="111" t="s">
        <v>240</v>
      </c>
      <c r="E198" s="81" t="s">
        <v>104</v>
      </c>
      <c r="F198" s="61">
        <v>7.9640000000000004</v>
      </c>
      <c r="G198" s="52">
        <f t="shared" si="21"/>
        <v>8.9340000000000011</v>
      </c>
      <c r="H198" s="110"/>
      <c r="I198" s="81">
        <v>9.91</v>
      </c>
      <c r="J198" s="81">
        <f>VLOOKUP(C198,Recipes!$A$2:$N$4,12,FALSE())</f>
        <v>5.0137397426368718E-2</v>
      </c>
      <c r="K198" s="81">
        <f t="shared" si="22"/>
        <v>9.6091756154417887</v>
      </c>
      <c r="L198" s="81">
        <f t="shared" si="23"/>
        <v>10.210824384558212</v>
      </c>
      <c r="M198" s="81" t="str">
        <f t="shared" si="25"/>
        <v>NG</v>
      </c>
      <c r="N198" s="117">
        <f t="shared" si="24"/>
        <v>1</v>
      </c>
      <c r="O198" s="81">
        <f t="shared" si="26"/>
        <v>0.97599999999999909</v>
      </c>
      <c r="P198" s="81">
        <f>IF(G198="","",ABS(O198-Components!$C$2)/Components!$D$2)</f>
        <v>268.9284284881864</v>
      </c>
      <c r="Q198" s="81">
        <f>IF(G198="","",ABS(O198-Components!$C$3)/Components!$D$3)</f>
        <v>221.79455828977811</v>
      </c>
      <c r="R198" s="81">
        <f>IF(G198="","",ABS(O198-Components!$C$4)/Components!$D$4)</f>
        <v>1.2399873497141329</v>
      </c>
      <c r="S198" s="81">
        <f>IF(G198="","",ABS(O198-Components!$C$5)/Components!$D$5)</f>
        <v>142.44214801307095</v>
      </c>
      <c r="T198" s="81">
        <f>IF(G198="","",ABS(O198-Components!$C$6)/Components!$D$6)</f>
        <v>6.502949728192327</v>
      </c>
      <c r="U198" s="81">
        <f>IF(G198="","",ABS(O198-Components!$C$7)/Components!$D$7)</f>
        <v>15.841104335241827</v>
      </c>
      <c r="V198" s="81" t="str">
        <f>IF(G198="","",IF(M198="OK","NONE",INDEX({"S1","S2","W1","W2","N1","N2"},MATCH(MIN(P198:U198),P198:U198,0))))</f>
        <v>W1</v>
      </c>
      <c r="W198" s="117">
        <f t="shared" si="27"/>
        <v>1</v>
      </c>
      <c r="X198" s="107"/>
    </row>
    <row r="199" spans="1:24">
      <c r="A199" s="115">
        <v>197</v>
      </c>
      <c r="B199" s="116">
        <v>7</v>
      </c>
      <c r="C199" s="81" t="s">
        <v>130</v>
      </c>
      <c r="D199" s="111" t="s">
        <v>240</v>
      </c>
      <c r="E199" s="81" t="s">
        <v>104</v>
      </c>
      <c r="F199" s="61">
        <v>7.97</v>
      </c>
      <c r="G199" s="52">
        <f t="shared" si="21"/>
        <v>8.94</v>
      </c>
      <c r="H199" s="110"/>
      <c r="I199" s="81">
        <v>9.91</v>
      </c>
      <c r="J199" s="81">
        <f>VLOOKUP(C199,Recipes!$A$2:$N$4,12,FALSE())</f>
        <v>5.0137397426368718E-2</v>
      </c>
      <c r="K199" s="81">
        <f t="shared" si="22"/>
        <v>9.6091756154417887</v>
      </c>
      <c r="L199" s="81">
        <f t="shared" si="23"/>
        <v>10.210824384558212</v>
      </c>
      <c r="M199" s="81" t="str">
        <f t="shared" si="25"/>
        <v>NG</v>
      </c>
      <c r="N199" s="117">
        <f t="shared" si="24"/>
        <v>1</v>
      </c>
      <c r="O199" s="81">
        <f t="shared" si="26"/>
        <v>0.97000000000000064</v>
      </c>
      <c r="P199" s="81">
        <f>IF(G199="","",ABS(O199-Components!$C$2)/Components!$D$2)</f>
        <v>269.83628889943662</v>
      </c>
      <c r="Q199" s="81">
        <f>IF(G199="","",ABS(O199-Components!$C$3)/Components!$D$3)</f>
        <v>222.22944958054225</v>
      </c>
      <c r="R199" s="81">
        <f>IF(G199="","",ABS(O199-Components!$C$4)/Components!$D$4)</f>
        <v>1.6692137399996705</v>
      </c>
      <c r="S199" s="81">
        <f>IF(G199="","",ABS(O199-Components!$C$5)/Components!$D$5)</f>
        <v>142.68043413428234</v>
      </c>
      <c r="T199" s="81">
        <f>IF(G199="","",ABS(O199-Components!$C$6)/Components!$D$6)</f>
        <v>6.7201168805252189</v>
      </c>
      <c r="U199" s="81">
        <f>IF(G199="","",ABS(O199-Components!$C$7)/Components!$D$7)</f>
        <v>16.079715111839551</v>
      </c>
      <c r="V199" s="81" t="str">
        <f>IF(G199="","",IF(M199="OK","NONE",INDEX({"S1","S2","W1","W2","N1","N2"},MATCH(MIN(P199:U199),P199:U199,0))))</f>
        <v>W1</v>
      </c>
      <c r="W199" s="117">
        <f t="shared" si="27"/>
        <v>1</v>
      </c>
      <c r="X199" s="107"/>
    </row>
    <row r="200" spans="1:24">
      <c r="A200" s="115">
        <v>198</v>
      </c>
      <c r="B200" s="116">
        <v>7</v>
      </c>
      <c r="C200" s="81" t="s">
        <v>130</v>
      </c>
      <c r="D200" s="111" t="s">
        <v>240</v>
      </c>
      <c r="E200" s="81" t="s">
        <v>104</v>
      </c>
      <c r="F200" s="61">
        <v>7.91</v>
      </c>
      <c r="G200" s="52">
        <f t="shared" si="21"/>
        <v>8.8800000000000008</v>
      </c>
      <c r="H200" s="110"/>
      <c r="I200" s="81">
        <v>9.91</v>
      </c>
      <c r="J200" s="81">
        <f>VLOOKUP(C200,Recipes!$A$2:$N$4,12,FALSE())</f>
        <v>5.0137397426368718E-2</v>
      </c>
      <c r="K200" s="81">
        <f t="shared" si="22"/>
        <v>9.6091756154417887</v>
      </c>
      <c r="L200" s="81">
        <f t="shared" si="23"/>
        <v>10.210824384558212</v>
      </c>
      <c r="M200" s="81" t="str">
        <f t="shared" si="25"/>
        <v>NG</v>
      </c>
      <c r="N200" s="117">
        <f t="shared" si="24"/>
        <v>1</v>
      </c>
      <c r="O200" s="81">
        <f t="shared" si="26"/>
        <v>1.0299999999999994</v>
      </c>
      <c r="P200" s="81">
        <f>IF(G200="","",ABS(O200-Components!$C$2)/Components!$D$2)</f>
        <v>260.75768478693237</v>
      </c>
      <c r="Q200" s="81">
        <f>IF(G200="","",ABS(O200-Components!$C$3)/Components!$D$3)</f>
        <v>217.88053667289964</v>
      </c>
      <c r="R200" s="81">
        <f>IF(G200="","",ABS(O200-Components!$C$4)/Components!$D$4)</f>
        <v>2.6230501628567202</v>
      </c>
      <c r="S200" s="81">
        <f>IF(G200="","",ABS(O200-Components!$C$5)/Components!$D$5)</f>
        <v>140.29757292216783</v>
      </c>
      <c r="T200" s="81">
        <f>IF(G200="","",ABS(O200-Components!$C$6)/Components!$D$6)</f>
        <v>4.5484453571957824</v>
      </c>
      <c r="U200" s="81">
        <f>IF(G200="","",ABS(O200-Components!$C$7)/Components!$D$7)</f>
        <v>13.693607345861739</v>
      </c>
      <c r="V200" s="81" t="str">
        <f>IF(G200="","",IF(M200="OK","NONE",INDEX({"S1","S2","W1","W2","N1","N2"},MATCH(MIN(P200:U200),P200:U200,0))))</f>
        <v>W1</v>
      </c>
      <c r="W200" s="117">
        <f t="shared" si="27"/>
        <v>1</v>
      </c>
      <c r="X200" s="107"/>
    </row>
    <row r="201" spans="1:24">
      <c r="A201" s="115">
        <v>199</v>
      </c>
      <c r="B201" s="116">
        <v>7</v>
      </c>
      <c r="C201" s="81" t="s">
        <v>130</v>
      </c>
      <c r="D201" s="111" t="s">
        <v>240</v>
      </c>
      <c r="E201" s="81" t="s">
        <v>104</v>
      </c>
      <c r="F201" s="61">
        <v>7.93</v>
      </c>
      <c r="G201" s="52">
        <f t="shared" si="21"/>
        <v>8.9</v>
      </c>
      <c r="H201" s="110"/>
      <c r="I201" s="81">
        <v>9.91</v>
      </c>
      <c r="J201" s="81">
        <f>VLOOKUP(C201,Recipes!$A$2:$N$4,12,FALSE())</f>
        <v>5.0137397426368718E-2</v>
      </c>
      <c r="K201" s="81">
        <f t="shared" si="22"/>
        <v>9.6091756154417887</v>
      </c>
      <c r="L201" s="81">
        <f t="shared" si="23"/>
        <v>10.210824384558212</v>
      </c>
      <c r="M201" s="81" t="str">
        <f t="shared" si="25"/>
        <v>NG</v>
      </c>
      <c r="N201" s="117">
        <f t="shared" si="24"/>
        <v>1</v>
      </c>
      <c r="O201" s="81">
        <f t="shared" si="26"/>
        <v>1.0099999999999998</v>
      </c>
      <c r="P201" s="81">
        <f>IF(G201="","",ABS(O201-Components!$C$2)/Components!$D$2)</f>
        <v>263.78388615776714</v>
      </c>
      <c r="Q201" s="81">
        <f>IF(G201="","",ABS(O201-Components!$C$3)/Components!$D$3)</f>
        <v>219.33017430878053</v>
      </c>
      <c r="R201" s="81">
        <f>IF(G201="","",ABS(O201-Components!$C$4)/Components!$D$4)</f>
        <v>1.1922955285712566</v>
      </c>
      <c r="S201" s="81">
        <f>IF(G201="","",ABS(O201-Components!$C$5)/Components!$D$5)</f>
        <v>141.09185999287266</v>
      </c>
      <c r="T201" s="81">
        <f>IF(G201="","",ABS(O201-Components!$C$6)/Components!$D$6)</f>
        <v>5.2723358649722609</v>
      </c>
      <c r="U201" s="81">
        <f>IF(G201="","",ABS(O201-Components!$C$7)/Components!$D$7)</f>
        <v>14.488976601187677</v>
      </c>
      <c r="V201" s="81" t="str">
        <f>IF(G201="","",IF(M201="OK","NONE",INDEX({"S1","S2","W1","W2","N1","N2"},MATCH(MIN(P201:U201),P201:U201,0))))</f>
        <v>W1</v>
      </c>
      <c r="W201" s="117">
        <f t="shared" si="27"/>
        <v>1</v>
      </c>
      <c r="X201" s="107"/>
    </row>
    <row r="202" spans="1:24">
      <c r="A202" s="115">
        <v>200</v>
      </c>
      <c r="B202" s="116">
        <v>7</v>
      </c>
      <c r="C202" s="61" t="s">
        <v>130</v>
      </c>
      <c r="D202" s="61" t="s">
        <v>240</v>
      </c>
      <c r="E202" s="61" t="s">
        <v>104</v>
      </c>
      <c r="F202" s="61">
        <v>7.94</v>
      </c>
      <c r="G202" s="52">
        <f t="shared" si="21"/>
        <v>8.91</v>
      </c>
      <c r="H202" s="110"/>
      <c r="I202" s="81">
        <v>9.91</v>
      </c>
      <c r="J202" s="81">
        <f>VLOOKUP(C202,Recipes!$A$2:$N$4,12,FALSE())</f>
        <v>5.0137397426368718E-2</v>
      </c>
      <c r="K202" s="81">
        <f t="shared" si="22"/>
        <v>9.6091756154417887</v>
      </c>
      <c r="L202" s="81">
        <f t="shared" si="23"/>
        <v>10.210824384558212</v>
      </c>
      <c r="M202" s="81" t="str">
        <f t="shared" si="25"/>
        <v>NG</v>
      </c>
      <c r="N202" s="117">
        <f t="shared" si="24"/>
        <v>1</v>
      </c>
      <c r="O202" s="81">
        <f t="shared" si="26"/>
        <v>1</v>
      </c>
      <c r="P202" s="81">
        <f>IF(G202="","",ABS(O202-Components!$C$2)/Components!$D$2)</f>
        <v>265.29698684318447</v>
      </c>
      <c r="Q202" s="81">
        <f>IF(G202="","",ABS(O202-Components!$C$3)/Components!$D$3)</f>
        <v>220.05499312672094</v>
      </c>
      <c r="R202" s="81">
        <f>IF(G202="","",ABS(O202-Components!$C$4)/Components!$D$4)</f>
        <v>0.47691821142852492</v>
      </c>
      <c r="S202" s="81">
        <f>IF(G202="","",ABS(O202-Components!$C$5)/Components!$D$5)</f>
        <v>141.48900352822508</v>
      </c>
      <c r="T202" s="81">
        <f>IF(G202="","",ABS(O202-Components!$C$6)/Components!$D$6)</f>
        <v>5.6342811188605006</v>
      </c>
      <c r="U202" s="81">
        <f>IF(G202="","",ABS(O202-Components!$C$7)/Components!$D$7)</f>
        <v>14.886661228850645</v>
      </c>
      <c r="V202" s="81" t="str">
        <f>IF(G202="","",IF(M202="OK","NONE",INDEX({"S1","S2","W1","W2","N1","N2"},MATCH(MIN(P202:U202),P202:U202,0))))</f>
        <v>W1</v>
      </c>
      <c r="W202" s="117">
        <f t="shared" si="27"/>
        <v>1</v>
      </c>
      <c r="X202" s="107"/>
    </row>
    <row r="203" spans="1:24">
      <c r="A203" s="115">
        <v>201</v>
      </c>
      <c r="B203" s="116">
        <v>7</v>
      </c>
      <c r="C203" s="81" t="s">
        <v>130</v>
      </c>
      <c r="D203" s="111" t="s">
        <v>240</v>
      </c>
      <c r="E203" s="81" t="s">
        <v>104</v>
      </c>
      <c r="F203" s="61">
        <v>7.89</v>
      </c>
      <c r="G203" s="52">
        <f t="shared" si="21"/>
        <v>8.86</v>
      </c>
      <c r="H203" s="110"/>
      <c r="I203" s="81">
        <v>9.91</v>
      </c>
      <c r="J203" s="81">
        <f>VLOOKUP(C203,Recipes!$A$2:$N$4,12,FALSE())</f>
        <v>5.0137397426368718E-2</v>
      </c>
      <c r="K203" s="81">
        <f t="shared" si="22"/>
        <v>9.6091756154417887</v>
      </c>
      <c r="L203" s="81">
        <f t="shared" si="23"/>
        <v>10.210824384558212</v>
      </c>
      <c r="M203" s="81" t="str">
        <f t="shared" si="25"/>
        <v>NG</v>
      </c>
      <c r="N203" s="117">
        <f t="shared" si="24"/>
        <v>1</v>
      </c>
      <c r="O203" s="81">
        <f t="shared" si="26"/>
        <v>1.0500000000000007</v>
      </c>
      <c r="P203" s="81">
        <f>IF(G203="","",ABS(O203-Components!$C$2)/Components!$D$2)</f>
        <v>257.73148341609738</v>
      </c>
      <c r="Q203" s="81">
        <f>IF(G203="","",ABS(O203-Components!$C$3)/Components!$D$3)</f>
        <v>216.43089903701863</v>
      </c>
      <c r="R203" s="81">
        <f>IF(G203="","",ABS(O203-Components!$C$4)/Components!$D$4)</f>
        <v>4.0538047971423108</v>
      </c>
      <c r="S203" s="81">
        <f>IF(G203="","",ABS(O203-Components!$C$5)/Components!$D$5)</f>
        <v>139.50328585146292</v>
      </c>
      <c r="T203" s="81">
        <f>IF(G203="","",ABS(O203-Components!$C$6)/Components!$D$6)</f>
        <v>3.8245548494192385</v>
      </c>
      <c r="U203" s="81">
        <f>IF(G203="","",ABS(O203-Components!$C$7)/Components!$D$7)</f>
        <v>12.898238090535733</v>
      </c>
      <c r="V203" s="81" t="str">
        <f>IF(G203="","",IF(M203="OK","NONE",INDEX({"S1","S2","W1","W2","N1","N2"},MATCH(MIN(P203:U203),P203:U203,0))))</f>
        <v>N1</v>
      </c>
      <c r="W203" s="122">
        <f t="shared" si="27"/>
        <v>0</v>
      </c>
      <c r="X203" s="107"/>
    </row>
    <row r="204" spans="1:24">
      <c r="A204" s="115">
        <v>202</v>
      </c>
      <c r="B204" s="116">
        <v>7</v>
      </c>
      <c r="C204" s="81" t="s">
        <v>130</v>
      </c>
      <c r="D204" s="111" t="s">
        <v>240</v>
      </c>
      <c r="E204" s="81" t="s">
        <v>104</v>
      </c>
      <c r="F204" s="61">
        <v>7.95</v>
      </c>
      <c r="G204" s="52">
        <f t="shared" si="21"/>
        <v>8.92</v>
      </c>
      <c r="H204" s="110"/>
      <c r="I204" s="81">
        <v>9.91</v>
      </c>
      <c r="J204" s="81">
        <f>VLOOKUP(C204,Recipes!$A$2:$N$4,12,FALSE())</f>
        <v>5.0137397426368718E-2</v>
      </c>
      <c r="K204" s="81">
        <f t="shared" si="22"/>
        <v>9.6091756154417887</v>
      </c>
      <c r="L204" s="81">
        <f t="shared" si="23"/>
        <v>10.210824384558212</v>
      </c>
      <c r="M204" s="81" t="str">
        <f t="shared" si="25"/>
        <v>NG</v>
      </c>
      <c r="N204" s="117">
        <f t="shared" si="24"/>
        <v>1</v>
      </c>
      <c r="O204" s="81">
        <f t="shared" si="26"/>
        <v>0.99000000000000021</v>
      </c>
      <c r="P204" s="81">
        <f>IF(G204="","",ABS(O204-Components!$C$2)/Components!$D$2)</f>
        <v>266.81008752860185</v>
      </c>
      <c r="Q204" s="81">
        <f>IF(G204="","",ABS(O204-Components!$C$3)/Components!$D$3)</f>
        <v>220.77981194466139</v>
      </c>
      <c r="R204" s="81">
        <f>IF(G204="","",ABS(O204-Components!$C$4)/Components!$D$4)</f>
        <v>0.23845910571420686</v>
      </c>
      <c r="S204" s="81">
        <f>IF(G204="","",ABS(O204-Components!$C$5)/Components!$D$5)</f>
        <v>141.88614706357751</v>
      </c>
      <c r="T204" s="81">
        <f>IF(G204="","",ABS(O204-Components!$C$6)/Components!$D$6)</f>
        <v>5.9962263727487395</v>
      </c>
      <c r="U204" s="81">
        <f>IF(G204="","",ABS(O204-Components!$C$7)/Components!$D$7)</f>
        <v>15.284345856513614</v>
      </c>
      <c r="V204" s="81" t="str">
        <f>IF(G204="","",IF(M204="OK","NONE",INDEX({"S1","S2","W1","W2","N1","N2"},MATCH(MIN(P204:U204),P204:U204,0))))</f>
        <v>W1</v>
      </c>
      <c r="W204" s="117">
        <f t="shared" si="27"/>
        <v>1</v>
      </c>
      <c r="X204" s="107"/>
    </row>
    <row r="205" spans="1:24">
      <c r="A205" s="115">
        <v>203</v>
      </c>
      <c r="B205" s="116">
        <v>7</v>
      </c>
      <c r="C205" s="81" t="s">
        <v>130</v>
      </c>
      <c r="D205" s="111" t="s">
        <v>240</v>
      </c>
      <c r="E205" s="81" t="s">
        <v>104</v>
      </c>
      <c r="F205" s="61">
        <v>7.9</v>
      </c>
      <c r="G205" s="52">
        <f t="shared" si="21"/>
        <v>8.870000000000001</v>
      </c>
      <c r="H205" s="110"/>
      <c r="I205" s="81">
        <v>9.91</v>
      </c>
      <c r="J205" s="81">
        <f>VLOOKUP(C205,Recipes!$A$2:$N$4,12,FALSE())</f>
        <v>5.0137397426368718E-2</v>
      </c>
      <c r="K205" s="81">
        <f t="shared" si="22"/>
        <v>9.6091756154417887</v>
      </c>
      <c r="L205" s="81">
        <f t="shared" si="23"/>
        <v>10.210824384558212</v>
      </c>
      <c r="M205" s="81" t="str">
        <f t="shared" si="25"/>
        <v>NG</v>
      </c>
      <c r="N205" s="117">
        <f t="shared" si="24"/>
        <v>1</v>
      </c>
      <c r="O205" s="81">
        <f t="shared" si="26"/>
        <v>1.0399999999999991</v>
      </c>
      <c r="P205" s="81">
        <f>IF(G205="","",ABS(O205-Components!$C$2)/Components!$D$2)</f>
        <v>259.24458410151499</v>
      </c>
      <c r="Q205" s="81">
        <f>IF(G205="","",ABS(O205-Components!$C$3)/Components!$D$3)</f>
        <v>217.15571785495922</v>
      </c>
      <c r="R205" s="81">
        <f>IF(G205="","",ABS(O205-Components!$C$4)/Components!$D$4)</f>
        <v>3.338427479999452</v>
      </c>
      <c r="S205" s="81">
        <f>IF(G205="","",ABS(O205-Components!$C$5)/Components!$D$5)</f>
        <v>139.9004293868154</v>
      </c>
      <c r="T205" s="81">
        <f>IF(G205="","",ABS(O205-Components!$C$6)/Components!$D$6)</f>
        <v>4.1865001033075426</v>
      </c>
      <c r="U205" s="81">
        <f>IF(G205="","",ABS(O205-Components!$C$7)/Components!$D$7)</f>
        <v>13.295922718198771</v>
      </c>
      <c r="V205" s="81" t="str">
        <f>IF(G205="","",IF(M205="OK","NONE",INDEX({"S1","S2","W1","W2","N1","N2"},MATCH(MIN(P205:U205),P205:U205,0))))</f>
        <v>W1</v>
      </c>
      <c r="W205" s="117">
        <f t="shared" si="27"/>
        <v>1</v>
      </c>
      <c r="X205" s="107"/>
    </row>
    <row r="206" spans="1:24">
      <c r="A206" s="115">
        <v>204</v>
      </c>
      <c r="B206" s="116">
        <v>7</v>
      </c>
      <c r="C206" s="81" t="s">
        <v>130</v>
      </c>
      <c r="D206" s="111" t="s">
        <v>240</v>
      </c>
      <c r="E206" s="81" t="s">
        <v>104</v>
      </c>
      <c r="F206" s="61">
        <v>7.99</v>
      </c>
      <c r="G206" s="52">
        <f t="shared" si="21"/>
        <v>8.9600000000000009</v>
      </c>
      <c r="H206" s="110"/>
      <c r="I206" s="81">
        <v>9.91</v>
      </c>
      <c r="J206" s="81">
        <f>VLOOKUP(C206,Recipes!$A$2:$N$4,12,FALSE())</f>
        <v>5.0137397426368718E-2</v>
      </c>
      <c r="K206" s="81">
        <f t="shared" si="22"/>
        <v>9.6091756154417887</v>
      </c>
      <c r="L206" s="81">
        <f t="shared" si="23"/>
        <v>10.210824384558212</v>
      </c>
      <c r="M206" s="81" t="str">
        <f t="shared" si="25"/>
        <v>NG</v>
      </c>
      <c r="N206" s="117">
        <f t="shared" si="24"/>
        <v>1</v>
      </c>
      <c r="O206" s="81">
        <f t="shared" si="26"/>
        <v>0.94999999999999929</v>
      </c>
      <c r="P206" s="81">
        <f>IF(G206="","",ABS(O206-Components!$C$2)/Components!$D$2)</f>
        <v>272.86249027027162</v>
      </c>
      <c r="Q206" s="81">
        <f>IF(G206="","",ABS(O206-Components!$C$3)/Components!$D$3)</f>
        <v>223.67908721642326</v>
      </c>
      <c r="R206" s="81">
        <f>IF(G206="","",ABS(O206-Components!$C$4)/Components!$D$4)</f>
        <v>3.0999683742852611</v>
      </c>
      <c r="S206" s="81">
        <f>IF(G206="","",ABS(O206-Components!$C$5)/Components!$D$5)</f>
        <v>143.47472120498725</v>
      </c>
      <c r="T206" s="81">
        <f>IF(G206="","",ABS(O206-Components!$C$6)/Components!$D$6)</f>
        <v>7.4440073883017623</v>
      </c>
      <c r="U206" s="81">
        <f>IF(G206="","",ABS(O206-Components!$C$7)/Components!$D$7)</f>
        <v>16.875084367165559</v>
      </c>
      <c r="V206" s="81" t="str">
        <f>IF(G206="","",IF(M206="OK","NONE",INDEX({"S1","S2","W1","W2","N1","N2"},MATCH(MIN(P206:U206),P206:U206,0))))</f>
        <v>W1</v>
      </c>
      <c r="W206" s="117">
        <f t="shared" si="27"/>
        <v>1</v>
      </c>
      <c r="X206" s="107"/>
    </row>
    <row r="207" spans="1:24">
      <c r="A207" s="115">
        <v>205</v>
      </c>
      <c r="B207" s="116">
        <v>7</v>
      </c>
      <c r="C207" s="61" t="s">
        <v>130</v>
      </c>
      <c r="D207" s="61" t="s">
        <v>240</v>
      </c>
      <c r="E207" s="61" t="s">
        <v>104</v>
      </c>
      <c r="F207" s="61">
        <v>7.97</v>
      </c>
      <c r="G207" s="52">
        <f t="shared" si="21"/>
        <v>8.94</v>
      </c>
      <c r="H207" s="110"/>
      <c r="I207" s="81">
        <v>9.91</v>
      </c>
      <c r="J207" s="81">
        <f>VLOOKUP(C207,Recipes!$A$2:$N$4,12,FALSE())</f>
        <v>5.0137397426368718E-2</v>
      </c>
      <c r="K207" s="81">
        <f t="shared" si="22"/>
        <v>9.6091756154417887</v>
      </c>
      <c r="L207" s="81">
        <f t="shared" si="23"/>
        <v>10.210824384558212</v>
      </c>
      <c r="M207" s="81" t="str">
        <f t="shared" si="25"/>
        <v>NG</v>
      </c>
      <c r="N207" s="117">
        <f t="shared" si="24"/>
        <v>1</v>
      </c>
      <c r="O207" s="81">
        <f t="shared" si="26"/>
        <v>0.97000000000000064</v>
      </c>
      <c r="P207" s="81">
        <f>IF(G207="","",ABS(O207-Components!$C$2)/Components!$D$2)</f>
        <v>269.83628889943662</v>
      </c>
      <c r="Q207" s="81">
        <f>IF(G207="","",ABS(O207-Components!$C$3)/Components!$D$3)</f>
        <v>222.22944958054225</v>
      </c>
      <c r="R207" s="81">
        <f>IF(G207="","",ABS(O207-Components!$C$4)/Components!$D$4)</f>
        <v>1.6692137399996705</v>
      </c>
      <c r="S207" s="81">
        <f>IF(G207="","",ABS(O207-Components!$C$5)/Components!$D$5)</f>
        <v>142.68043413428234</v>
      </c>
      <c r="T207" s="81">
        <f>IF(G207="","",ABS(O207-Components!$C$6)/Components!$D$6)</f>
        <v>6.7201168805252189</v>
      </c>
      <c r="U207" s="81">
        <f>IF(G207="","",ABS(O207-Components!$C$7)/Components!$D$7)</f>
        <v>16.079715111839551</v>
      </c>
      <c r="V207" s="81" t="str">
        <f>IF(G207="","",IF(M207="OK","NONE",INDEX({"S1","S2","W1","W2","N1","N2"},MATCH(MIN(P207:U207),P207:U207,0))))</f>
        <v>W1</v>
      </c>
      <c r="W207" s="117">
        <f t="shared" si="27"/>
        <v>1</v>
      </c>
      <c r="X207" s="107"/>
    </row>
    <row r="208" spans="1:24">
      <c r="A208" s="115">
        <v>206</v>
      </c>
      <c r="B208" s="116">
        <v>7</v>
      </c>
      <c r="C208" s="81" t="s">
        <v>130</v>
      </c>
      <c r="D208" s="111" t="s">
        <v>240</v>
      </c>
      <c r="E208" s="81" t="s">
        <v>104</v>
      </c>
      <c r="F208" s="61">
        <v>7.96</v>
      </c>
      <c r="G208" s="52">
        <f t="shared" si="21"/>
        <v>8.93</v>
      </c>
      <c r="H208" s="110"/>
      <c r="I208" s="81">
        <v>9.91</v>
      </c>
      <c r="J208" s="81">
        <f>VLOOKUP(C208,Recipes!$A$2:$N$4,12,FALSE())</f>
        <v>5.0137397426368718E-2</v>
      </c>
      <c r="K208" s="81">
        <f t="shared" si="22"/>
        <v>9.6091756154417887</v>
      </c>
      <c r="L208" s="81">
        <f t="shared" si="23"/>
        <v>10.210824384558212</v>
      </c>
      <c r="M208" s="81" t="str">
        <f t="shared" si="25"/>
        <v>NG</v>
      </c>
      <c r="N208" s="117">
        <f t="shared" si="24"/>
        <v>1</v>
      </c>
      <c r="O208" s="81">
        <f t="shared" si="26"/>
        <v>0.98000000000000043</v>
      </c>
      <c r="P208" s="81">
        <f>IF(G208="","",ABS(O208-Components!$C$2)/Components!$D$2)</f>
        <v>268.32318821401924</v>
      </c>
      <c r="Q208" s="81">
        <f>IF(G208="","",ABS(O208-Components!$C$3)/Components!$D$3)</f>
        <v>221.50463076260183</v>
      </c>
      <c r="R208" s="81">
        <f>IF(G208="","",ABS(O208-Components!$C$4)/Components!$D$4)</f>
        <v>0.9538364228569387</v>
      </c>
      <c r="S208" s="81">
        <f>IF(G208="","",ABS(O208-Components!$C$5)/Components!$D$5)</f>
        <v>142.28329059892994</v>
      </c>
      <c r="T208" s="81">
        <f>IF(G208="","",ABS(O208-Components!$C$6)/Components!$D$6)</f>
        <v>6.3581716266369792</v>
      </c>
      <c r="U208" s="81">
        <f>IF(G208="","",ABS(O208-Components!$C$7)/Components!$D$7)</f>
        <v>15.682030484176583</v>
      </c>
      <c r="V208" s="81" t="str">
        <f>IF(G208="","",IF(M208="OK","NONE",INDEX({"S1","S2","W1","W2","N1","N2"},MATCH(MIN(P208:U208),P208:U208,0))))</f>
        <v>W1</v>
      </c>
      <c r="W208" s="117">
        <f t="shared" si="27"/>
        <v>1</v>
      </c>
      <c r="X208" s="107"/>
    </row>
    <row r="209" spans="1:24">
      <c r="A209" s="115">
        <v>207</v>
      </c>
      <c r="B209" s="116">
        <v>7</v>
      </c>
      <c r="C209" s="81" t="s">
        <v>130</v>
      </c>
      <c r="D209" s="111" t="s">
        <v>240</v>
      </c>
      <c r="E209" s="81" t="s">
        <v>104</v>
      </c>
      <c r="F209" s="61">
        <v>7.99</v>
      </c>
      <c r="G209" s="52">
        <f t="shared" si="21"/>
        <v>8.9600000000000009</v>
      </c>
      <c r="H209" s="110"/>
      <c r="I209" s="81">
        <v>9.91</v>
      </c>
      <c r="J209" s="81">
        <f>VLOOKUP(C209,Recipes!$A$2:$N$4,12,FALSE())</f>
        <v>5.0137397426368718E-2</v>
      </c>
      <c r="K209" s="81">
        <f t="shared" si="22"/>
        <v>9.6091756154417887</v>
      </c>
      <c r="L209" s="81">
        <f t="shared" si="23"/>
        <v>10.210824384558212</v>
      </c>
      <c r="M209" s="81" t="str">
        <f t="shared" si="25"/>
        <v>NG</v>
      </c>
      <c r="N209" s="117">
        <f t="shared" si="24"/>
        <v>1</v>
      </c>
      <c r="O209" s="81">
        <f t="shared" si="26"/>
        <v>0.94999999999999929</v>
      </c>
      <c r="P209" s="81">
        <f>IF(G209="","",ABS(O209-Components!$C$2)/Components!$D$2)</f>
        <v>272.86249027027162</v>
      </c>
      <c r="Q209" s="81">
        <f>IF(G209="","",ABS(O209-Components!$C$3)/Components!$D$3)</f>
        <v>223.67908721642326</v>
      </c>
      <c r="R209" s="81">
        <f>IF(G209="","",ABS(O209-Components!$C$4)/Components!$D$4)</f>
        <v>3.0999683742852611</v>
      </c>
      <c r="S209" s="81">
        <f>IF(G209="","",ABS(O209-Components!$C$5)/Components!$D$5)</f>
        <v>143.47472120498725</v>
      </c>
      <c r="T209" s="81">
        <f>IF(G209="","",ABS(O209-Components!$C$6)/Components!$D$6)</f>
        <v>7.4440073883017623</v>
      </c>
      <c r="U209" s="81">
        <f>IF(G209="","",ABS(O209-Components!$C$7)/Components!$D$7)</f>
        <v>16.875084367165559</v>
      </c>
      <c r="V209" s="81" t="str">
        <f>IF(G209="","",IF(M209="OK","NONE",INDEX({"S1","S2","W1","W2","N1","N2"},MATCH(MIN(P209:U209),P209:U209,0))))</f>
        <v>W1</v>
      </c>
      <c r="W209" s="117">
        <f t="shared" si="27"/>
        <v>1</v>
      </c>
      <c r="X209" s="107"/>
    </row>
    <row r="210" spans="1:24">
      <c r="A210" s="115">
        <v>208</v>
      </c>
      <c r="B210" s="116">
        <v>7</v>
      </c>
      <c r="C210" s="81" t="s">
        <v>130</v>
      </c>
      <c r="D210" s="111" t="s">
        <v>240</v>
      </c>
      <c r="E210" s="81" t="s">
        <v>104</v>
      </c>
      <c r="F210" s="61">
        <v>7.87</v>
      </c>
      <c r="G210" s="52">
        <f t="shared" si="21"/>
        <v>8.84</v>
      </c>
      <c r="H210" s="110"/>
      <c r="I210" s="81">
        <v>9.91</v>
      </c>
      <c r="J210" s="81">
        <f>VLOOKUP(C210,Recipes!$A$2:$N$4,12,FALSE())</f>
        <v>5.0137397426368718E-2</v>
      </c>
      <c r="K210" s="81">
        <f t="shared" si="22"/>
        <v>9.6091756154417887</v>
      </c>
      <c r="L210" s="81">
        <f t="shared" si="23"/>
        <v>10.210824384558212</v>
      </c>
      <c r="M210" s="81" t="str">
        <f t="shared" si="25"/>
        <v>NG</v>
      </c>
      <c r="N210" s="117">
        <f t="shared" si="24"/>
        <v>1</v>
      </c>
      <c r="O210" s="81">
        <f t="shared" si="26"/>
        <v>1.0700000000000003</v>
      </c>
      <c r="P210" s="81">
        <f>IF(G210="","",ABS(O210-Components!$C$2)/Components!$D$2)</f>
        <v>254.70528204526261</v>
      </c>
      <c r="Q210" s="81">
        <f>IF(G210="","",ABS(O210-Components!$C$3)/Components!$D$3)</f>
        <v>214.98126140113777</v>
      </c>
      <c r="R210" s="81">
        <f>IF(G210="","",ABS(O210-Components!$C$4)/Components!$D$4)</f>
        <v>5.4845594314277744</v>
      </c>
      <c r="S210" s="81">
        <f>IF(G210="","",ABS(O210-Components!$C$5)/Components!$D$5)</f>
        <v>138.70899878075809</v>
      </c>
      <c r="T210" s="81">
        <f>IF(G210="","",ABS(O210-Components!$C$6)/Components!$D$6)</f>
        <v>3.1006643416427595</v>
      </c>
      <c r="U210" s="81">
        <f>IF(G210="","",ABS(O210-Components!$C$7)/Components!$D$7)</f>
        <v>12.102868835209796</v>
      </c>
      <c r="V210" s="81" t="str">
        <f>IF(G210="","",IF(M210="OK","NONE",INDEX({"S1","S2","W1","W2","N1","N2"},MATCH(MIN(P210:U210),P210:U210,0))))</f>
        <v>N1</v>
      </c>
      <c r="W210" s="122">
        <f t="shared" si="27"/>
        <v>0</v>
      </c>
      <c r="X210" s="107"/>
    </row>
    <row r="211" spans="1:24">
      <c r="A211" s="115">
        <v>209</v>
      </c>
      <c r="B211" s="116">
        <v>7</v>
      </c>
      <c r="C211" s="81" t="s">
        <v>130</v>
      </c>
      <c r="D211" s="111" t="s">
        <v>240</v>
      </c>
      <c r="E211" s="81" t="s">
        <v>104</v>
      </c>
      <c r="F211" s="61">
        <v>7.72</v>
      </c>
      <c r="G211" s="52">
        <f t="shared" si="21"/>
        <v>8.69</v>
      </c>
      <c r="H211" s="110"/>
      <c r="I211" s="81">
        <v>9.91</v>
      </c>
      <c r="J211" s="81">
        <f>VLOOKUP(C211,Recipes!$A$2:$N$4,12,FALSE())</f>
        <v>5.0137397426368718E-2</v>
      </c>
      <c r="K211" s="81">
        <f t="shared" si="22"/>
        <v>9.6091756154417887</v>
      </c>
      <c r="L211" s="81">
        <f t="shared" si="23"/>
        <v>10.210824384558212</v>
      </c>
      <c r="M211" s="81" t="str">
        <f t="shared" si="25"/>
        <v>NG</v>
      </c>
      <c r="N211" s="117">
        <f t="shared" si="24"/>
        <v>1</v>
      </c>
      <c r="O211" s="81">
        <f t="shared" si="26"/>
        <v>1.2200000000000006</v>
      </c>
      <c r="P211" s="81">
        <f>IF(G211="","",ABS(O211-Components!$C$2)/Components!$D$2)</f>
        <v>232.00877176400149</v>
      </c>
      <c r="Q211" s="81">
        <f>IF(G211="","",ABS(O211-Components!$C$3)/Components!$D$3)</f>
        <v>204.10897913203098</v>
      </c>
      <c r="R211" s="81">
        <f>IF(G211="","",ABS(O211-Components!$C$4)/Components!$D$4)</f>
        <v>16.215219188569005</v>
      </c>
      <c r="S211" s="81">
        <f>IF(G211="","",ABS(O211-Components!$C$5)/Components!$D$5)</f>
        <v>132.75184575047166</v>
      </c>
      <c r="T211" s="81">
        <f>IF(G211="","",ABS(O211-Components!$C$6)/Components!$D$6)</f>
        <v>2.3285144666809612</v>
      </c>
      <c r="U211" s="81">
        <f>IF(G211="","",ABS(O211-Components!$C$7)/Components!$D$7)</f>
        <v>6.1375994202651247</v>
      </c>
      <c r="V211" s="81" t="str">
        <f>IF(G211="","",IF(M211="OK","NONE",INDEX({"S1","S2","W1","W2","N1","N2"},MATCH(MIN(P211:U211),P211:U211,0))))</f>
        <v>N1</v>
      </c>
      <c r="W211" s="122">
        <f t="shared" si="27"/>
        <v>0</v>
      </c>
      <c r="X211" s="107"/>
    </row>
    <row r="212" spans="1:24">
      <c r="A212" s="115">
        <v>210</v>
      </c>
      <c r="B212" s="116">
        <v>7</v>
      </c>
      <c r="C212" s="61" t="s">
        <v>130</v>
      </c>
      <c r="D212" s="61" t="s">
        <v>240</v>
      </c>
      <c r="E212" s="61" t="s">
        <v>104</v>
      </c>
      <c r="F212" s="61">
        <v>7.95</v>
      </c>
      <c r="G212" s="52">
        <f t="shared" si="21"/>
        <v>8.92</v>
      </c>
      <c r="H212" s="110"/>
      <c r="I212" s="81">
        <v>9.91</v>
      </c>
      <c r="J212" s="81">
        <f>VLOOKUP(C212,Recipes!$A$2:$N$4,12,FALSE())</f>
        <v>5.0137397426368718E-2</v>
      </c>
      <c r="K212" s="81">
        <f t="shared" si="22"/>
        <v>9.6091756154417887</v>
      </c>
      <c r="L212" s="81">
        <f t="shared" si="23"/>
        <v>10.210824384558212</v>
      </c>
      <c r="M212" s="81" t="str">
        <f t="shared" si="25"/>
        <v>NG</v>
      </c>
      <c r="N212" s="117">
        <f t="shared" si="24"/>
        <v>1</v>
      </c>
      <c r="O212" s="81">
        <f t="shared" si="26"/>
        <v>0.99000000000000021</v>
      </c>
      <c r="P212" s="81">
        <f>IF(G212="","",ABS(O212-Components!$C$2)/Components!$D$2)</f>
        <v>266.81008752860185</v>
      </c>
      <c r="Q212" s="81">
        <f>IF(G212="","",ABS(O212-Components!$C$3)/Components!$D$3)</f>
        <v>220.77981194466139</v>
      </c>
      <c r="R212" s="81">
        <f>IF(G212="","",ABS(O212-Components!$C$4)/Components!$D$4)</f>
        <v>0.23845910571420686</v>
      </c>
      <c r="S212" s="81">
        <f>IF(G212="","",ABS(O212-Components!$C$5)/Components!$D$5)</f>
        <v>141.88614706357751</v>
      </c>
      <c r="T212" s="81">
        <f>IF(G212="","",ABS(O212-Components!$C$6)/Components!$D$6)</f>
        <v>5.9962263727487395</v>
      </c>
      <c r="U212" s="81">
        <f>IF(G212="","",ABS(O212-Components!$C$7)/Components!$D$7)</f>
        <v>15.284345856513614</v>
      </c>
      <c r="V212" s="81" t="str">
        <f>IF(G212="","",IF(M212="OK","NONE",INDEX({"S1","S2","W1","W2","N1","N2"},MATCH(MIN(P212:U212),P212:U212,0))))</f>
        <v>W1</v>
      </c>
      <c r="W212" s="117">
        <f t="shared" si="27"/>
        <v>1</v>
      </c>
      <c r="X212" s="107"/>
    </row>
    <row r="213" spans="1:24">
      <c r="A213" s="115">
        <v>211</v>
      </c>
      <c r="B213" s="116">
        <v>8</v>
      </c>
      <c r="C213" s="81" t="s">
        <v>130</v>
      </c>
      <c r="D213" s="111" t="s">
        <v>240</v>
      </c>
      <c r="E213" s="81" t="s">
        <v>108</v>
      </c>
      <c r="F213" s="61">
        <v>7.72</v>
      </c>
      <c r="G213" s="52">
        <f t="shared" si="21"/>
        <v>8.69</v>
      </c>
      <c r="H213" s="110"/>
      <c r="I213" s="81">
        <v>9.91</v>
      </c>
      <c r="J213" s="81">
        <f>VLOOKUP(C213,Recipes!$A$2:$N$4,12,FALSE())</f>
        <v>5.0137397426368718E-2</v>
      </c>
      <c r="K213" s="81">
        <f t="shared" si="22"/>
        <v>9.6091756154417887</v>
      </c>
      <c r="L213" s="81">
        <f t="shared" si="23"/>
        <v>10.210824384558212</v>
      </c>
      <c r="M213" s="81" t="str">
        <f t="shared" si="25"/>
        <v>NG</v>
      </c>
      <c r="N213" s="117">
        <f t="shared" si="24"/>
        <v>1</v>
      </c>
      <c r="O213" s="81">
        <f t="shared" si="26"/>
        <v>1.2200000000000006</v>
      </c>
      <c r="P213" s="81">
        <f>IF(G213="","",ABS(O213-Components!$C$2)/Components!$D$2)</f>
        <v>232.00877176400149</v>
      </c>
      <c r="Q213" s="81">
        <f>IF(G213="","",ABS(O213-Components!$C$3)/Components!$D$3)</f>
        <v>204.10897913203098</v>
      </c>
      <c r="R213" s="81">
        <f>IF(G213="","",ABS(O213-Components!$C$4)/Components!$D$4)</f>
        <v>16.215219188569005</v>
      </c>
      <c r="S213" s="81">
        <f>IF(G213="","",ABS(O213-Components!$C$5)/Components!$D$5)</f>
        <v>132.75184575047166</v>
      </c>
      <c r="T213" s="81">
        <f>IF(G213="","",ABS(O213-Components!$C$6)/Components!$D$6)</f>
        <v>2.3285144666809612</v>
      </c>
      <c r="U213" s="81">
        <f>IF(G213="","",ABS(O213-Components!$C$7)/Components!$D$7)</f>
        <v>6.1375994202651247</v>
      </c>
      <c r="V213" s="81" t="str">
        <f>IF(G213="","",IF(M213="OK","NONE",INDEX({"S1","S2","W1","W2","N1","N2"},MATCH(MIN(P213:U213),P213:U213,0))))</f>
        <v>N1</v>
      </c>
      <c r="W213" s="117">
        <f t="shared" si="27"/>
        <v>1</v>
      </c>
      <c r="X213" s="107"/>
    </row>
    <row r="214" spans="1:24">
      <c r="A214" s="115">
        <v>212</v>
      </c>
      <c r="B214" s="116">
        <v>8</v>
      </c>
      <c r="C214" s="81" t="s">
        <v>130</v>
      </c>
      <c r="D214" s="111" t="s">
        <v>240</v>
      </c>
      <c r="E214" s="81" t="s">
        <v>108</v>
      </c>
      <c r="F214" s="61">
        <v>7.75</v>
      </c>
      <c r="G214" s="52">
        <f t="shared" si="21"/>
        <v>8.7200000000000006</v>
      </c>
      <c r="H214" s="110"/>
      <c r="I214" s="81">
        <v>9.91</v>
      </c>
      <c r="J214" s="81">
        <f>VLOOKUP(C214,Recipes!$A$2:$N$4,12,FALSE())</f>
        <v>5.0137397426368718E-2</v>
      </c>
      <c r="K214" s="81">
        <f t="shared" si="22"/>
        <v>9.6091756154417887</v>
      </c>
      <c r="L214" s="81">
        <f t="shared" si="23"/>
        <v>10.210824384558212</v>
      </c>
      <c r="M214" s="81" t="str">
        <f t="shared" si="25"/>
        <v>NG</v>
      </c>
      <c r="N214" s="117">
        <f t="shared" si="24"/>
        <v>1</v>
      </c>
      <c r="O214" s="81">
        <f t="shared" si="26"/>
        <v>1.1899999999999995</v>
      </c>
      <c r="P214" s="81">
        <f>IF(G214="","",ABS(O214-Components!$C$2)/Components!$D$2)</f>
        <v>236.54807382025388</v>
      </c>
      <c r="Q214" s="81">
        <f>IF(G214="","",ABS(O214-Components!$C$3)/Components!$D$3)</f>
        <v>206.28343558585243</v>
      </c>
      <c r="R214" s="81">
        <f>IF(G214="","",ABS(O214-Components!$C$4)/Components!$D$4)</f>
        <v>14.069087237140684</v>
      </c>
      <c r="S214" s="81">
        <f>IF(G214="","",ABS(O214-Components!$C$5)/Components!$D$5)</f>
        <v>133.94327635652897</v>
      </c>
      <c r="T214" s="81">
        <f>IF(G214="","",ABS(O214-Components!$C$6)/Components!$D$6)</f>
        <v>1.2426787050161785</v>
      </c>
      <c r="U214" s="81">
        <f>IF(G214="","",ABS(O214-Components!$C$7)/Components!$D$7)</f>
        <v>7.3306533032541008</v>
      </c>
      <c r="V214" s="81" t="str">
        <f>IF(G214="","",IF(M214="OK","NONE",INDEX({"S1","S2","W1","W2","N1","N2"},MATCH(MIN(P214:U214),P214:U214,0))))</f>
        <v>N1</v>
      </c>
      <c r="W214" s="117">
        <f t="shared" si="27"/>
        <v>1</v>
      </c>
      <c r="X214" s="107"/>
    </row>
    <row r="215" spans="1:24">
      <c r="A215" s="115">
        <v>213</v>
      </c>
      <c r="B215" s="116">
        <v>8</v>
      </c>
      <c r="C215" s="81" t="s">
        <v>130</v>
      </c>
      <c r="D215" s="111" t="s">
        <v>240</v>
      </c>
      <c r="E215" s="81" t="s">
        <v>108</v>
      </c>
      <c r="F215" s="61">
        <v>7.8</v>
      </c>
      <c r="G215" s="52">
        <f t="shared" si="21"/>
        <v>8.77</v>
      </c>
      <c r="H215" s="110"/>
      <c r="I215" s="81">
        <v>9.91</v>
      </c>
      <c r="J215" s="81">
        <f>VLOOKUP(C215,Recipes!$A$2:$N$4,12,FALSE())</f>
        <v>5.0137397426368718E-2</v>
      </c>
      <c r="K215" s="81">
        <f t="shared" si="22"/>
        <v>9.6091756154417887</v>
      </c>
      <c r="L215" s="81">
        <f t="shared" si="23"/>
        <v>10.210824384558212</v>
      </c>
      <c r="M215" s="81" t="str">
        <f t="shared" si="25"/>
        <v>NG</v>
      </c>
      <c r="N215" s="117">
        <f t="shared" si="24"/>
        <v>1</v>
      </c>
      <c r="O215" s="81">
        <f t="shared" si="26"/>
        <v>1.1400000000000006</v>
      </c>
      <c r="P215" s="81">
        <f>IF(G215="","",ABS(O215-Components!$C$2)/Components!$D$2)</f>
        <v>244.11357724734074</v>
      </c>
      <c r="Q215" s="81">
        <f>IF(G215="","",ABS(O215-Components!$C$3)/Components!$D$3)</f>
        <v>209.9075296755546</v>
      </c>
      <c r="R215" s="81">
        <f>IF(G215="","",ABS(O215-Components!$C$4)/Components!$D$4)</f>
        <v>10.492200651427025</v>
      </c>
      <c r="S215" s="81">
        <f>IF(G215="","",ABS(O215-Components!$C$5)/Components!$D$5)</f>
        <v>135.92899403329108</v>
      </c>
      <c r="T215" s="81">
        <f>IF(G215="","",ABS(O215-Components!$C$6)/Components!$D$6)</f>
        <v>0.56704756442501891</v>
      </c>
      <c r="U215" s="81">
        <f>IF(G215="","",ABS(O215-Components!$C$7)/Components!$D$7)</f>
        <v>9.319076441568944</v>
      </c>
      <c r="V215" s="81" t="str">
        <f>IF(G215="","",IF(M215="OK","NONE",INDEX({"S1","S2","W1","W2","N1","N2"},MATCH(MIN(P215:U215),P215:U215,0))))</f>
        <v>N1</v>
      </c>
      <c r="W215" s="117">
        <f t="shared" si="27"/>
        <v>1</v>
      </c>
      <c r="X215" s="107"/>
    </row>
    <row r="216" spans="1:24">
      <c r="A216" s="115">
        <v>214</v>
      </c>
      <c r="B216" s="116">
        <v>8</v>
      </c>
      <c r="C216" s="81" t="s">
        <v>130</v>
      </c>
      <c r="D216" s="111" t="s">
        <v>240</v>
      </c>
      <c r="E216" s="81" t="s">
        <v>108</v>
      </c>
      <c r="F216" s="61">
        <v>7.77</v>
      </c>
      <c r="G216" s="52">
        <f t="shared" si="21"/>
        <v>8.74</v>
      </c>
      <c r="H216" s="110"/>
      <c r="I216" s="81">
        <v>9.91</v>
      </c>
      <c r="J216" s="81">
        <f>VLOOKUP(C216,Recipes!$A$2:$N$4,12,FALSE())</f>
        <v>5.0137397426368718E-2</v>
      </c>
      <c r="K216" s="81">
        <f t="shared" si="22"/>
        <v>9.6091756154417887</v>
      </c>
      <c r="L216" s="81">
        <f t="shared" si="23"/>
        <v>10.210824384558212</v>
      </c>
      <c r="M216" s="81" t="str">
        <f t="shared" si="25"/>
        <v>NG</v>
      </c>
      <c r="N216" s="117">
        <f t="shared" si="24"/>
        <v>1</v>
      </c>
      <c r="O216" s="81">
        <f t="shared" si="26"/>
        <v>1.17</v>
      </c>
      <c r="P216" s="81">
        <f>IF(G216="","",ABS(O216-Components!$C$2)/Components!$D$2)</f>
        <v>239.57427519108862</v>
      </c>
      <c r="Q216" s="81">
        <f>IF(G216="","",ABS(O216-Components!$C$3)/Components!$D$3)</f>
        <v>207.73307322173329</v>
      </c>
      <c r="R216" s="81">
        <f>IF(G216="","",ABS(O216-Components!$C$4)/Components!$D$4)</f>
        <v>12.63833260285522</v>
      </c>
      <c r="S216" s="81">
        <f>IF(G216="","",ABS(O216-Components!$C$5)/Components!$D$5)</f>
        <v>134.73756342723382</v>
      </c>
      <c r="T216" s="81">
        <f>IF(G216="","",ABS(O216-Components!$C$6)/Components!$D$6)</f>
        <v>0.5187881972396996</v>
      </c>
      <c r="U216" s="81">
        <f>IF(G216="","",ABS(O216-Components!$C$7)/Components!$D$7)</f>
        <v>8.1260225585800381</v>
      </c>
      <c r="V216" s="81" t="str">
        <f>IF(G216="","",IF(M216="OK","NONE",INDEX({"S1","S2","W1","W2","N1","N2"},MATCH(MIN(P216:U216),P216:U216,0))))</f>
        <v>N1</v>
      </c>
      <c r="W216" s="117">
        <f t="shared" si="27"/>
        <v>1</v>
      </c>
      <c r="X216" s="107"/>
    </row>
    <row r="217" spans="1:24">
      <c r="A217" s="115">
        <v>215</v>
      </c>
      <c r="B217" s="116">
        <v>8</v>
      </c>
      <c r="C217" s="61" t="s">
        <v>130</v>
      </c>
      <c r="D217" s="61" t="s">
        <v>240</v>
      </c>
      <c r="E217" s="61" t="s">
        <v>108</v>
      </c>
      <c r="F217" s="61">
        <v>7.78</v>
      </c>
      <c r="G217" s="52">
        <f t="shared" si="21"/>
        <v>8.75</v>
      </c>
      <c r="H217" s="110"/>
      <c r="I217" s="81">
        <v>9.91</v>
      </c>
      <c r="J217" s="81">
        <f>VLOOKUP(C217,Recipes!$A$2:$N$4,12,FALSE())</f>
        <v>5.0137397426368718E-2</v>
      </c>
      <c r="K217" s="81">
        <f t="shared" si="22"/>
        <v>9.6091756154417887</v>
      </c>
      <c r="L217" s="81">
        <f t="shared" si="23"/>
        <v>10.210824384558212</v>
      </c>
      <c r="M217" s="81" t="str">
        <f t="shared" si="25"/>
        <v>NG</v>
      </c>
      <c r="N217" s="117">
        <f t="shared" si="24"/>
        <v>1</v>
      </c>
      <c r="O217" s="81">
        <f t="shared" si="26"/>
        <v>1.1600000000000001</v>
      </c>
      <c r="P217" s="81">
        <f>IF(G217="","",ABS(O217-Components!$C$2)/Components!$D$2)</f>
        <v>241.087375876506</v>
      </c>
      <c r="Q217" s="81">
        <f>IF(G217="","",ABS(O217-Components!$C$3)/Components!$D$3)</f>
        <v>208.45789203967374</v>
      </c>
      <c r="R217" s="81">
        <f>IF(G217="","",ABS(O217-Components!$C$4)/Components!$D$4)</f>
        <v>11.922955285712488</v>
      </c>
      <c r="S217" s="81">
        <f>IF(G217="","",ABS(O217-Components!$C$5)/Components!$D$5)</f>
        <v>135.13470696258622</v>
      </c>
      <c r="T217" s="81">
        <f>IF(G217="","",ABS(O217-Components!$C$6)/Components!$D$6)</f>
        <v>0.15684294335146007</v>
      </c>
      <c r="U217" s="81">
        <f>IF(G217="","",ABS(O217-Components!$C$7)/Components!$D$7)</f>
        <v>8.5237071862430067</v>
      </c>
      <c r="V217" s="81" t="str">
        <f>IF(G217="","",IF(M217="OK","NONE",INDEX({"S1","S2","W1","W2","N1","N2"},MATCH(MIN(P217:U217),P217:U217,0))))</f>
        <v>N1</v>
      </c>
      <c r="W217" s="117">
        <f t="shared" si="27"/>
        <v>1</v>
      </c>
      <c r="X217" s="107"/>
    </row>
    <row r="218" spans="1:24">
      <c r="A218" s="115">
        <v>216</v>
      </c>
      <c r="B218" s="116">
        <v>8</v>
      </c>
      <c r="C218" s="81" t="s">
        <v>130</v>
      </c>
      <c r="D218" s="111" t="s">
        <v>240</v>
      </c>
      <c r="E218" s="81" t="s">
        <v>108</v>
      </c>
      <c r="F218" s="61">
        <v>7.82</v>
      </c>
      <c r="G218" s="52">
        <f t="shared" si="21"/>
        <v>8.7900000000000009</v>
      </c>
      <c r="H218" s="110"/>
      <c r="I218" s="81">
        <v>9.91</v>
      </c>
      <c r="J218" s="81">
        <f>VLOOKUP(C218,Recipes!$A$2:$N$4,12,FALSE())</f>
        <v>5.0137397426368718E-2</v>
      </c>
      <c r="K218" s="81">
        <f t="shared" si="22"/>
        <v>9.6091756154417887</v>
      </c>
      <c r="L218" s="81">
        <f t="shared" si="23"/>
        <v>10.210824384558212</v>
      </c>
      <c r="M218" s="81" t="str">
        <f t="shared" si="25"/>
        <v>NG</v>
      </c>
      <c r="N218" s="117">
        <f t="shared" si="24"/>
        <v>1</v>
      </c>
      <c r="O218" s="81">
        <f t="shared" si="26"/>
        <v>1.1199999999999992</v>
      </c>
      <c r="P218" s="81">
        <f>IF(G218="","",ABS(O218-Components!$C$2)/Components!$D$2)</f>
        <v>247.13977861817574</v>
      </c>
      <c r="Q218" s="81">
        <f>IF(G218="","",ABS(O218-Components!$C$3)/Components!$D$3)</f>
        <v>211.3571673114356</v>
      </c>
      <c r="R218" s="81">
        <f>IF(G218="","",ABS(O218-Components!$C$4)/Components!$D$4)</f>
        <v>9.0614460171414333</v>
      </c>
      <c r="S218" s="81">
        <f>IF(G218="","",ABS(O218-Components!$C$5)/Components!$D$5)</f>
        <v>136.72328110399599</v>
      </c>
      <c r="T218" s="81">
        <f>IF(G218="","",ABS(O218-Components!$C$6)/Components!$D$6)</f>
        <v>1.2909380722015622</v>
      </c>
      <c r="U218" s="81">
        <f>IF(G218="","",ABS(O218-Components!$C$7)/Components!$D$7)</f>
        <v>10.114445696894952</v>
      </c>
      <c r="V218" s="81" t="str">
        <f>IF(G218="","",IF(M218="OK","NONE",INDEX({"S1","S2","W1","W2","N1","N2"},MATCH(MIN(P218:U218),P218:U218,0))))</f>
        <v>N1</v>
      </c>
      <c r="W218" s="117">
        <f t="shared" si="27"/>
        <v>1</v>
      </c>
      <c r="X218" s="107"/>
    </row>
    <row r="219" spans="1:24">
      <c r="A219" s="115">
        <v>217</v>
      </c>
      <c r="B219" s="116">
        <v>8</v>
      </c>
      <c r="C219" s="81" t="s">
        <v>130</v>
      </c>
      <c r="D219" s="111" t="s">
        <v>240</v>
      </c>
      <c r="E219" s="81" t="s">
        <v>108</v>
      </c>
      <c r="F219" s="61">
        <v>7.78</v>
      </c>
      <c r="G219" s="52">
        <f t="shared" si="21"/>
        <v>8.75</v>
      </c>
      <c r="H219" s="110"/>
      <c r="I219" s="81">
        <v>9.91</v>
      </c>
      <c r="J219" s="81">
        <f>VLOOKUP(C219,Recipes!$A$2:$N$4,12,FALSE())</f>
        <v>5.0137397426368718E-2</v>
      </c>
      <c r="K219" s="81">
        <f t="shared" si="22"/>
        <v>9.6091756154417887</v>
      </c>
      <c r="L219" s="81">
        <f t="shared" si="23"/>
        <v>10.210824384558212</v>
      </c>
      <c r="M219" s="81" t="str">
        <f t="shared" si="25"/>
        <v>NG</v>
      </c>
      <c r="N219" s="117">
        <f t="shared" si="24"/>
        <v>1</v>
      </c>
      <c r="O219" s="81">
        <f t="shared" si="26"/>
        <v>1.1600000000000001</v>
      </c>
      <c r="P219" s="81">
        <f>IF(G219="","",ABS(O219-Components!$C$2)/Components!$D$2)</f>
        <v>241.087375876506</v>
      </c>
      <c r="Q219" s="81">
        <f>IF(G219="","",ABS(O219-Components!$C$3)/Components!$D$3)</f>
        <v>208.45789203967374</v>
      </c>
      <c r="R219" s="81">
        <f>IF(G219="","",ABS(O219-Components!$C$4)/Components!$D$4)</f>
        <v>11.922955285712488</v>
      </c>
      <c r="S219" s="81">
        <f>IF(G219="","",ABS(O219-Components!$C$5)/Components!$D$5)</f>
        <v>135.13470696258622</v>
      </c>
      <c r="T219" s="81">
        <f>IF(G219="","",ABS(O219-Components!$C$6)/Components!$D$6)</f>
        <v>0.15684294335146007</v>
      </c>
      <c r="U219" s="81">
        <f>IF(G219="","",ABS(O219-Components!$C$7)/Components!$D$7)</f>
        <v>8.5237071862430067</v>
      </c>
      <c r="V219" s="81" t="str">
        <f>IF(G219="","",IF(M219="OK","NONE",INDEX({"S1","S2","W1","W2","N1","N2"},MATCH(MIN(P219:U219),P219:U219,0))))</f>
        <v>N1</v>
      </c>
      <c r="W219" s="117">
        <f t="shared" si="27"/>
        <v>1</v>
      </c>
      <c r="X219" s="107"/>
    </row>
    <row r="220" spans="1:24">
      <c r="A220" s="115">
        <v>218</v>
      </c>
      <c r="B220" s="116">
        <v>8</v>
      </c>
      <c r="C220" s="81" t="s">
        <v>130</v>
      </c>
      <c r="D220" s="111" t="s">
        <v>240</v>
      </c>
      <c r="E220" s="81" t="s">
        <v>108</v>
      </c>
      <c r="F220" s="61">
        <v>7.52</v>
      </c>
      <c r="G220" s="52">
        <f t="shared" si="21"/>
        <v>8.49</v>
      </c>
      <c r="H220" s="110"/>
      <c r="I220" s="81">
        <v>9.91</v>
      </c>
      <c r="J220" s="81">
        <f>VLOOKUP(C220,Recipes!$A$2:$N$4,12,FALSE())</f>
        <v>5.0137397426368718E-2</v>
      </c>
      <c r="K220" s="81">
        <f t="shared" si="22"/>
        <v>9.6091756154417887</v>
      </c>
      <c r="L220" s="81">
        <f t="shared" si="23"/>
        <v>10.210824384558212</v>
      </c>
      <c r="M220" s="81" t="str">
        <f t="shared" si="25"/>
        <v>NG</v>
      </c>
      <c r="N220" s="117">
        <f t="shared" si="24"/>
        <v>1</v>
      </c>
      <c r="O220" s="81">
        <f t="shared" si="26"/>
        <v>1.42</v>
      </c>
      <c r="P220" s="81">
        <f>IF(G220="","",ABS(O220-Components!$C$2)/Components!$D$2)</f>
        <v>201.74675805565349</v>
      </c>
      <c r="Q220" s="81">
        <f>IF(G220="","",ABS(O220-Components!$C$3)/Components!$D$3)</f>
        <v>189.61260277322202</v>
      </c>
      <c r="R220" s="81">
        <f>IF(G220="","",ABS(O220-Components!$C$4)/Components!$D$4)</f>
        <v>30.522765531423897</v>
      </c>
      <c r="S220" s="81">
        <f>IF(G220="","",ABS(O220-Components!$C$5)/Components!$D$5)</f>
        <v>124.80897504342312</v>
      </c>
      <c r="T220" s="81">
        <f>IF(G220="","",ABS(O220-Components!$C$6)/Components!$D$6)</f>
        <v>9.5674195444458796</v>
      </c>
      <c r="U220" s="81">
        <f>IF(G220="","",ABS(O220-Components!$C$7)/Components!$D$7)</f>
        <v>1.8160931329943888</v>
      </c>
      <c r="V220" s="81" t="str">
        <f>IF(G220="","",IF(M220="OK","NONE",INDEX({"S1","S2","W1","W2","N1","N2"},MATCH(MIN(P220:U220),P220:U220,0))))</f>
        <v>N2</v>
      </c>
      <c r="W220" s="122">
        <f t="shared" si="27"/>
        <v>0</v>
      </c>
      <c r="X220" s="107"/>
    </row>
    <row r="221" spans="1:24">
      <c r="A221" s="115">
        <v>219</v>
      </c>
      <c r="B221" s="116">
        <v>8</v>
      </c>
      <c r="C221" s="81" t="s">
        <v>130</v>
      </c>
      <c r="D221" s="111" t="s">
        <v>240</v>
      </c>
      <c r="E221" s="81" t="s">
        <v>108</v>
      </c>
      <c r="F221" s="61">
        <v>7.75</v>
      </c>
      <c r="G221" s="52">
        <f t="shared" si="21"/>
        <v>8.7200000000000006</v>
      </c>
      <c r="H221" s="110"/>
      <c r="I221" s="81">
        <v>9.91</v>
      </c>
      <c r="J221" s="81">
        <f>VLOOKUP(C221,Recipes!$A$2:$N$4,12,FALSE())</f>
        <v>5.0137397426368718E-2</v>
      </c>
      <c r="K221" s="81">
        <f t="shared" si="22"/>
        <v>9.6091756154417887</v>
      </c>
      <c r="L221" s="81">
        <f t="shared" si="23"/>
        <v>10.210824384558212</v>
      </c>
      <c r="M221" s="81" t="str">
        <f t="shared" si="25"/>
        <v>NG</v>
      </c>
      <c r="N221" s="117">
        <f t="shared" si="24"/>
        <v>1</v>
      </c>
      <c r="O221" s="81">
        <f t="shared" si="26"/>
        <v>1.1899999999999995</v>
      </c>
      <c r="P221" s="81">
        <f>IF(G221="","",ABS(O221-Components!$C$2)/Components!$D$2)</f>
        <v>236.54807382025388</v>
      </c>
      <c r="Q221" s="81">
        <f>IF(G221="","",ABS(O221-Components!$C$3)/Components!$D$3)</f>
        <v>206.28343558585243</v>
      </c>
      <c r="R221" s="81">
        <f>IF(G221="","",ABS(O221-Components!$C$4)/Components!$D$4)</f>
        <v>14.069087237140684</v>
      </c>
      <c r="S221" s="81">
        <f>IF(G221="","",ABS(O221-Components!$C$5)/Components!$D$5)</f>
        <v>133.94327635652897</v>
      </c>
      <c r="T221" s="81">
        <f>IF(G221="","",ABS(O221-Components!$C$6)/Components!$D$6)</f>
        <v>1.2426787050161785</v>
      </c>
      <c r="U221" s="81">
        <f>IF(G221="","",ABS(O221-Components!$C$7)/Components!$D$7)</f>
        <v>7.3306533032541008</v>
      </c>
      <c r="V221" s="81" t="str">
        <f>IF(G221="","",IF(M221="OK","NONE",INDEX({"S1","S2","W1","W2","N1","N2"},MATCH(MIN(P221:U221),P221:U221,0))))</f>
        <v>N1</v>
      </c>
      <c r="W221" s="117">
        <f t="shared" si="27"/>
        <v>1</v>
      </c>
      <c r="X221" s="107"/>
    </row>
    <row r="222" spans="1:24">
      <c r="A222" s="115">
        <v>220</v>
      </c>
      <c r="B222" s="116">
        <v>8</v>
      </c>
      <c r="C222" s="61" t="s">
        <v>130</v>
      </c>
      <c r="D222" s="61" t="s">
        <v>240</v>
      </c>
      <c r="E222" s="61" t="s">
        <v>108</v>
      </c>
      <c r="F222" s="61">
        <v>7.76</v>
      </c>
      <c r="G222" s="52">
        <f t="shared" si="21"/>
        <v>8.73</v>
      </c>
      <c r="H222" s="110"/>
      <c r="I222" s="81">
        <v>9.91</v>
      </c>
      <c r="J222" s="81">
        <f>VLOOKUP(C222,Recipes!$A$2:$N$4,12,FALSE())</f>
        <v>5.0137397426368718E-2</v>
      </c>
      <c r="K222" s="81">
        <f t="shared" si="22"/>
        <v>9.6091756154417887</v>
      </c>
      <c r="L222" s="81">
        <f t="shared" si="23"/>
        <v>10.210824384558212</v>
      </c>
      <c r="M222" s="81" t="str">
        <f t="shared" si="25"/>
        <v>NG</v>
      </c>
      <c r="N222" s="117">
        <f t="shared" si="24"/>
        <v>1</v>
      </c>
      <c r="O222" s="81">
        <f t="shared" si="26"/>
        <v>1.1799999999999997</v>
      </c>
      <c r="P222" s="81">
        <f>IF(G222="","",ABS(O222-Components!$C$2)/Components!$D$2)</f>
        <v>238.06117450567126</v>
      </c>
      <c r="Q222" s="81">
        <f>IF(G222="","",ABS(O222-Components!$C$3)/Components!$D$3)</f>
        <v>207.00825440379285</v>
      </c>
      <c r="R222" s="81">
        <f>IF(G222="","",ABS(O222-Components!$C$4)/Components!$D$4)</f>
        <v>13.353709919997952</v>
      </c>
      <c r="S222" s="81">
        <f>IF(G222="","",ABS(O222-Components!$C$5)/Components!$D$5)</f>
        <v>134.3404198918814</v>
      </c>
      <c r="T222" s="81">
        <f>IF(G222="","",ABS(O222-Components!$C$6)/Components!$D$6)</f>
        <v>0.8807334511279391</v>
      </c>
      <c r="U222" s="81">
        <f>IF(G222="","",ABS(O222-Components!$C$7)/Components!$D$7)</f>
        <v>7.7283379309170694</v>
      </c>
      <c r="V222" s="81" t="str">
        <f>IF(G222="","",IF(M222="OK","NONE",INDEX({"S1","S2","W1","W2","N1","N2"},MATCH(MIN(P222:U222),P222:U222,0))))</f>
        <v>N1</v>
      </c>
      <c r="W222" s="117">
        <f t="shared" si="27"/>
        <v>1</v>
      </c>
      <c r="X222" s="107"/>
    </row>
    <row r="223" spans="1:24">
      <c r="A223" s="115">
        <v>221</v>
      </c>
      <c r="B223" s="116">
        <v>8</v>
      </c>
      <c r="C223" s="81" t="s">
        <v>130</v>
      </c>
      <c r="D223" s="111" t="s">
        <v>240</v>
      </c>
      <c r="E223" s="81" t="s">
        <v>108</v>
      </c>
      <c r="F223" s="61">
        <v>7.78</v>
      </c>
      <c r="G223" s="52">
        <f t="shared" si="21"/>
        <v>8.75</v>
      </c>
      <c r="H223" s="110"/>
      <c r="I223" s="81">
        <v>9.91</v>
      </c>
      <c r="J223" s="81">
        <f>VLOOKUP(C223,Recipes!$A$2:$N$4,12,FALSE())</f>
        <v>5.0137397426368718E-2</v>
      </c>
      <c r="K223" s="81">
        <f t="shared" si="22"/>
        <v>9.6091756154417887</v>
      </c>
      <c r="L223" s="81">
        <f t="shared" si="23"/>
        <v>10.210824384558212</v>
      </c>
      <c r="M223" s="81" t="str">
        <f t="shared" si="25"/>
        <v>NG</v>
      </c>
      <c r="N223" s="117">
        <f t="shared" si="24"/>
        <v>1</v>
      </c>
      <c r="O223" s="81">
        <f t="shared" si="26"/>
        <v>1.1600000000000001</v>
      </c>
      <c r="P223" s="81">
        <f>IF(G223="","",ABS(O223-Components!$C$2)/Components!$D$2)</f>
        <v>241.087375876506</v>
      </c>
      <c r="Q223" s="81">
        <f>IF(G223="","",ABS(O223-Components!$C$3)/Components!$D$3)</f>
        <v>208.45789203967374</v>
      </c>
      <c r="R223" s="81">
        <f>IF(G223="","",ABS(O223-Components!$C$4)/Components!$D$4)</f>
        <v>11.922955285712488</v>
      </c>
      <c r="S223" s="81">
        <f>IF(G223="","",ABS(O223-Components!$C$5)/Components!$D$5)</f>
        <v>135.13470696258622</v>
      </c>
      <c r="T223" s="81">
        <f>IF(G223="","",ABS(O223-Components!$C$6)/Components!$D$6)</f>
        <v>0.15684294335146007</v>
      </c>
      <c r="U223" s="81">
        <f>IF(G223="","",ABS(O223-Components!$C$7)/Components!$D$7)</f>
        <v>8.5237071862430067</v>
      </c>
      <c r="V223" s="81" t="str">
        <f>IF(G223="","",IF(M223="OK","NONE",INDEX({"S1","S2","W1","W2","N1","N2"},MATCH(MIN(P223:U223),P223:U223,0))))</f>
        <v>N1</v>
      </c>
      <c r="W223" s="117">
        <f t="shared" si="27"/>
        <v>1</v>
      </c>
      <c r="X223" s="107"/>
    </row>
    <row r="224" spans="1:24">
      <c r="A224" s="115">
        <v>222</v>
      </c>
      <c r="B224" s="116">
        <v>8</v>
      </c>
      <c r="C224" s="81" t="s">
        <v>130</v>
      </c>
      <c r="D224" s="111" t="s">
        <v>240</v>
      </c>
      <c r="E224" s="81" t="s">
        <v>108</v>
      </c>
      <c r="F224" s="61">
        <v>7.82</v>
      </c>
      <c r="G224" s="52">
        <f t="shared" si="21"/>
        <v>8.7900000000000009</v>
      </c>
      <c r="H224" s="110"/>
      <c r="I224" s="81">
        <v>9.91</v>
      </c>
      <c r="J224" s="81">
        <f>VLOOKUP(C224,Recipes!$A$2:$N$4,12,FALSE())</f>
        <v>5.0137397426368718E-2</v>
      </c>
      <c r="K224" s="81">
        <f t="shared" si="22"/>
        <v>9.6091756154417887</v>
      </c>
      <c r="L224" s="81">
        <f t="shared" si="23"/>
        <v>10.210824384558212</v>
      </c>
      <c r="M224" s="81" t="str">
        <f t="shared" si="25"/>
        <v>NG</v>
      </c>
      <c r="N224" s="117">
        <f t="shared" si="24"/>
        <v>1</v>
      </c>
      <c r="O224" s="81">
        <f t="shared" si="26"/>
        <v>1.1199999999999992</v>
      </c>
      <c r="P224" s="81">
        <f>IF(G224="","",ABS(O224-Components!$C$2)/Components!$D$2)</f>
        <v>247.13977861817574</v>
      </c>
      <c r="Q224" s="81">
        <f>IF(G224="","",ABS(O224-Components!$C$3)/Components!$D$3)</f>
        <v>211.3571673114356</v>
      </c>
      <c r="R224" s="81">
        <f>IF(G224="","",ABS(O224-Components!$C$4)/Components!$D$4)</f>
        <v>9.0614460171414333</v>
      </c>
      <c r="S224" s="81">
        <f>IF(G224="","",ABS(O224-Components!$C$5)/Components!$D$5)</f>
        <v>136.72328110399599</v>
      </c>
      <c r="T224" s="81">
        <f>IF(G224="","",ABS(O224-Components!$C$6)/Components!$D$6)</f>
        <v>1.2909380722015622</v>
      </c>
      <c r="U224" s="81">
        <f>IF(G224="","",ABS(O224-Components!$C$7)/Components!$D$7)</f>
        <v>10.114445696894952</v>
      </c>
      <c r="V224" s="81" t="str">
        <f>IF(G224="","",IF(M224="OK","NONE",INDEX({"S1","S2","W1","W2","N1","N2"},MATCH(MIN(P224:U224),P224:U224,0))))</f>
        <v>N1</v>
      </c>
      <c r="W224" s="117">
        <f t="shared" si="27"/>
        <v>1</v>
      </c>
      <c r="X224" s="107"/>
    </row>
    <row r="225" spans="1:24">
      <c r="A225" s="115">
        <v>223</v>
      </c>
      <c r="B225" s="116">
        <v>8</v>
      </c>
      <c r="C225" s="81" t="s">
        <v>130</v>
      </c>
      <c r="D225" s="111" t="s">
        <v>240</v>
      </c>
      <c r="E225" s="81" t="s">
        <v>108</v>
      </c>
      <c r="F225" s="61">
        <v>7.8</v>
      </c>
      <c r="G225" s="52">
        <f t="shared" si="21"/>
        <v>8.77</v>
      </c>
      <c r="H225" s="110"/>
      <c r="I225" s="81">
        <v>9.91</v>
      </c>
      <c r="J225" s="81">
        <f>VLOOKUP(C225,Recipes!$A$2:$N$4,12,FALSE())</f>
        <v>5.0137397426368718E-2</v>
      </c>
      <c r="K225" s="81">
        <f t="shared" si="22"/>
        <v>9.6091756154417887</v>
      </c>
      <c r="L225" s="81">
        <f t="shared" si="23"/>
        <v>10.210824384558212</v>
      </c>
      <c r="M225" s="81" t="str">
        <f t="shared" si="25"/>
        <v>NG</v>
      </c>
      <c r="N225" s="117">
        <f t="shared" si="24"/>
        <v>1</v>
      </c>
      <c r="O225" s="81">
        <f t="shared" si="26"/>
        <v>1.1400000000000006</v>
      </c>
      <c r="P225" s="81">
        <f>IF(G225="","",ABS(O225-Components!$C$2)/Components!$D$2)</f>
        <v>244.11357724734074</v>
      </c>
      <c r="Q225" s="81">
        <f>IF(G225="","",ABS(O225-Components!$C$3)/Components!$D$3)</f>
        <v>209.9075296755546</v>
      </c>
      <c r="R225" s="81">
        <f>IF(G225="","",ABS(O225-Components!$C$4)/Components!$D$4)</f>
        <v>10.492200651427025</v>
      </c>
      <c r="S225" s="81">
        <f>IF(G225="","",ABS(O225-Components!$C$5)/Components!$D$5)</f>
        <v>135.92899403329108</v>
      </c>
      <c r="T225" s="81">
        <f>IF(G225="","",ABS(O225-Components!$C$6)/Components!$D$6)</f>
        <v>0.56704756442501891</v>
      </c>
      <c r="U225" s="81">
        <f>IF(G225="","",ABS(O225-Components!$C$7)/Components!$D$7)</f>
        <v>9.319076441568944</v>
      </c>
      <c r="V225" s="81" t="str">
        <f>IF(G225="","",IF(M225="OK","NONE",INDEX({"S1","S2","W1","W2","N1","N2"},MATCH(MIN(P225:U225),P225:U225,0))))</f>
        <v>N1</v>
      </c>
      <c r="W225" s="117">
        <f t="shared" si="27"/>
        <v>1</v>
      </c>
      <c r="X225" s="107"/>
    </row>
    <row r="226" spans="1:24">
      <c r="A226" s="115">
        <v>224</v>
      </c>
      <c r="B226" s="116">
        <v>8</v>
      </c>
      <c r="C226" s="81" t="s">
        <v>130</v>
      </c>
      <c r="D226" s="111" t="s">
        <v>240</v>
      </c>
      <c r="E226" s="81" t="s">
        <v>108</v>
      </c>
      <c r="F226" s="61">
        <v>7.75</v>
      </c>
      <c r="G226" s="52">
        <f t="shared" si="21"/>
        <v>8.7200000000000006</v>
      </c>
      <c r="H226" s="110"/>
      <c r="I226" s="81">
        <v>9.91</v>
      </c>
      <c r="J226" s="81">
        <f>VLOOKUP(C226,Recipes!$A$2:$N$4,12,FALSE())</f>
        <v>5.0137397426368718E-2</v>
      </c>
      <c r="K226" s="81">
        <f t="shared" si="22"/>
        <v>9.6091756154417887</v>
      </c>
      <c r="L226" s="81">
        <f t="shared" si="23"/>
        <v>10.210824384558212</v>
      </c>
      <c r="M226" s="81" t="str">
        <f t="shared" si="25"/>
        <v>NG</v>
      </c>
      <c r="N226" s="117">
        <f t="shared" si="24"/>
        <v>1</v>
      </c>
      <c r="O226" s="81">
        <f t="shared" si="26"/>
        <v>1.1899999999999995</v>
      </c>
      <c r="P226" s="81">
        <f>IF(G226="","",ABS(O226-Components!$C$2)/Components!$D$2)</f>
        <v>236.54807382025388</v>
      </c>
      <c r="Q226" s="81">
        <f>IF(G226="","",ABS(O226-Components!$C$3)/Components!$D$3)</f>
        <v>206.28343558585243</v>
      </c>
      <c r="R226" s="81">
        <f>IF(G226="","",ABS(O226-Components!$C$4)/Components!$D$4)</f>
        <v>14.069087237140684</v>
      </c>
      <c r="S226" s="81">
        <f>IF(G226="","",ABS(O226-Components!$C$5)/Components!$D$5)</f>
        <v>133.94327635652897</v>
      </c>
      <c r="T226" s="81">
        <f>IF(G226="","",ABS(O226-Components!$C$6)/Components!$D$6)</f>
        <v>1.2426787050161785</v>
      </c>
      <c r="U226" s="81">
        <f>IF(G226="","",ABS(O226-Components!$C$7)/Components!$D$7)</f>
        <v>7.3306533032541008</v>
      </c>
      <c r="V226" s="81" t="str">
        <f>IF(G226="","",IF(M226="OK","NONE",INDEX({"S1","S2","W1","W2","N1","N2"},MATCH(MIN(P226:U226),P226:U226,0))))</f>
        <v>N1</v>
      </c>
      <c r="W226" s="117">
        <f t="shared" si="27"/>
        <v>1</v>
      </c>
      <c r="X226" s="107"/>
    </row>
    <row r="227" spans="1:24">
      <c r="A227" s="115">
        <v>225</v>
      </c>
      <c r="B227" s="116">
        <v>8</v>
      </c>
      <c r="C227" s="61" t="s">
        <v>130</v>
      </c>
      <c r="D227" s="61" t="s">
        <v>240</v>
      </c>
      <c r="E227" s="61" t="s">
        <v>108</v>
      </c>
      <c r="F227" s="61">
        <v>7.72</v>
      </c>
      <c r="G227" s="52">
        <f t="shared" si="21"/>
        <v>8.69</v>
      </c>
      <c r="H227" s="110"/>
      <c r="I227" s="81">
        <v>9.91</v>
      </c>
      <c r="J227" s="81">
        <f>VLOOKUP(C227,Recipes!$A$2:$N$4,12,FALSE())</f>
        <v>5.0137397426368718E-2</v>
      </c>
      <c r="K227" s="81">
        <f t="shared" si="22"/>
        <v>9.6091756154417887</v>
      </c>
      <c r="L227" s="81">
        <f t="shared" si="23"/>
        <v>10.210824384558212</v>
      </c>
      <c r="M227" s="81" t="str">
        <f t="shared" si="25"/>
        <v>NG</v>
      </c>
      <c r="N227" s="117">
        <f t="shared" si="24"/>
        <v>1</v>
      </c>
      <c r="O227" s="81">
        <f t="shared" si="26"/>
        <v>1.2200000000000006</v>
      </c>
      <c r="P227" s="81">
        <f>IF(G227="","",ABS(O227-Components!$C$2)/Components!$D$2)</f>
        <v>232.00877176400149</v>
      </c>
      <c r="Q227" s="81">
        <f>IF(G227="","",ABS(O227-Components!$C$3)/Components!$D$3)</f>
        <v>204.10897913203098</v>
      </c>
      <c r="R227" s="81">
        <f>IF(G227="","",ABS(O227-Components!$C$4)/Components!$D$4)</f>
        <v>16.215219188569005</v>
      </c>
      <c r="S227" s="81">
        <f>IF(G227="","",ABS(O227-Components!$C$5)/Components!$D$5)</f>
        <v>132.75184575047166</v>
      </c>
      <c r="T227" s="81">
        <f>IF(G227="","",ABS(O227-Components!$C$6)/Components!$D$6)</f>
        <v>2.3285144666809612</v>
      </c>
      <c r="U227" s="81">
        <f>IF(G227="","",ABS(O227-Components!$C$7)/Components!$D$7)</f>
        <v>6.1375994202651247</v>
      </c>
      <c r="V227" s="81" t="str">
        <f>IF(G227="","",IF(M227="OK","NONE",INDEX({"S1","S2","W1","W2","N1","N2"},MATCH(MIN(P227:U227),P227:U227,0))))</f>
        <v>N1</v>
      </c>
      <c r="W227" s="117">
        <f t="shared" si="27"/>
        <v>1</v>
      </c>
      <c r="X227" s="107"/>
    </row>
    <row r="228" spans="1:24">
      <c r="A228" s="115">
        <v>226</v>
      </c>
      <c r="B228" s="116">
        <v>8</v>
      </c>
      <c r="C228" s="81" t="s">
        <v>130</v>
      </c>
      <c r="D228" s="111" t="s">
        <v>240</v>
      </c>
      <c r="E228" s="81" t="s">
        <v>108</v>
      </c>
      <c r="F228" s="61">
        <v>7.78</v>
      </c>
      <c r="G228" s="52">
        <f t="shared" si="21"/>
        <v>8.75</v>
      </c>
      <c r="H228" s="110"/>
      <c r="I228" s="81">
        <v>9.91</v>
      </c>
      <c r="J228" s="81">
        <f>VLOOKUP(C228,Recipes!$A$2:$N$4,12,FALSE())</f>
        <v>5.0137397426368718E-2</v>
      </c>
      <c r="K228" s="81">
        <f t="shared" si="22"/>
        <v>9.6091756154417887</v>
      </c>
      <c r="L228" s="81">
        <f t="shared" si="23"/>
        <v>10.210824384558212</v>
      </c>
      <c r="M228" s="81" t="str">
        <f t="shared" si="25"/>
        <v>NG</v>
      </c>
      <c r="N228" s="117">
        <f t="shared" si="24"/>
        <v>1</v>
      </c>
      <c r="O228" s="81">
        <f t="shared" si="26"/>
        <v>1.1600000000000001</v>
      </c>
      <c r="P228" s="81">
        <f>IF(G228="","",ABS(O228-Components!$C$2)/Components!$D$2)</f>
        <v>241.087375876506</v>
      </c>
      <c r="Q228" s="81">
        <f>IF(G228="","",ABS(O228-Components!$C$3)/Components!$D$3)</f>
        <v>208.45789203967374</v>
      </c>
      <c r="R228" s="81">
        <f>IF(G228="","",ABS(O228-Components!$C$4)/Components!$D$4)</f>
        <v>11.922955285712488</v>
      </c>
      <c r="S228" s="81">
        <f>IF(G228="","",ABS(O228-Components!$C$5)/Components!$D$5)</f>
        <v>135.13470696258622</v>
      </c>
      <c r="T228" s="81">
        <f>IF(G228="","",ABS(O228-Components!$C$6)/Components!$D$6)</f>
        <v>0.15684294335146007</v>
      </c>
      <c r="U228" s="81">
        <f>IF(G228="","",ABS(O228-Components!$C$7)/Components!$D$7)</f>
        <v>8.5237071862430067</v>
      </c>
      <c r="V228" s="81" t="str">
        <f>IF(G228="","",IF(M228="OK","NONE",INDEX({"S1","S2","W1","W2","N1","N2"},MATCH(MIN(P228:U228),P228:U228,0))))</f>
        <v>N1</v>
      </c>
      <c r="W228" s="117">
        <f t="shared" si="27"/>
        <v>1</v>
      </c>
      <c r="X228" s="107"/>
    </row>
    <row r="229" spans="1:24">
      <c r="A229" s="115">
        <v>227</v>
      </c>
      <c r="B229" s="116">
        <v>8</v>
      </c>
      <c r="C229" s="81" t="s">
        <v>130</v>
      </c>
      <c r="D229" s="111" t="s">
        <v>240</v>
      </c>
      <c r="E229" s="81" t="s">
        <v>108</v>
      </c>
      <c r="F229" s="61">
        <v>7.75</v>
      </c>
      <c r="G229" s="52">
        <f t="shared" si="21"/>
        <v>8.7200000000000006</v>
      </c>
      <c r="H229" s="110"/>
      <c r="I229" s="81">
        <v>9.91</v>
      </c>
      <c r="J229" s="81">
        <f>VLOOKUP(C229,Recipes!$A$2:$N$4,12,FALSE())</f>
        <v>5.0137397426368718E-2</v>
      </c>
      <c r="K229" s="81">
        <f t="shared" si="22"/>
        <v>9.6091756154417887</v>
      </c>
      <c r="L229" s="81">
        <f t="shared" si="23"/>
        <v>10.210824384558212</v>
      </c>
      <c r="M229" s="81" t="str">
        <f t="shared" si="25"/>
        <v>NG</v>
      </c>
      <c r="N229" s="117">
        <f t="shared" si="24"/>
        <v>1</v>
      </c>
      <c r="O229" s="81">
        <f t="shared" si="26"/>
        <v>1.1899999999999995</v>
      </c>
      <c r="P229" s="81">
        <f>IF(G229="","",ABS(O229-Components!$C$2)/Components!$D$2)</f>
        <v>236.54807382025388</v>
      </c>
      <c r="Q229" s="81">
        <f>IF(G229="","",ABS(O229-Components!$C$3)/Components!$D$3)</f>
        <v>206.28343558585243</v>
      </c>
      <c r="R229" s="81">
        <f>IF(G229="","",ABS(O229-Components!$C$4)/Components!$D$4)</f>
        <v>14.069087237140684</v>
      </c>
      <c r="S229" s="81">
        <f>IF(G229="","",ABS(O229-Components!$C$5)/Components!$D$5)</f>
        <v>133.94327635652897</v>
      </c>
      <c r="T229" s="81">
        <f>IF(G229="","",ABS(O229-Components!$C$6)/Components!$D$6)</f>
        <v>1.2426787050161785</v>
      </c>
      <c r="U229" s="81">
        <f>IF(G229="","",ABS(O229-Components!$C$7)/Components!$D$7)</f>
        <v>7.3306533032541008</v>
      </c>
      <c r="V229" s="81" t="str">
        <f>IF(G229="","",IF(M229="OK","NONE",INDEX({"S1","S2","W1","W2","N1","N2"},MATCH(MIN(P229:U229),P229:U229,0))))</f>
        <v>N1</v>
      </c>
      <c r="W229" s="117">
        <f t="shared" si="27"/>
        <v>1</v>
      </c>
      <c r="X229" s="107"/>
    </row>
    <row r="230" spans="1:24">
      <c r="A230" s="115">
        <v>228</v>
      </c>
      <c r="B230" s="116">
        <v>8</v>
      </c>
      <c r="C230" s="81" t="s">
        <v>130</v>
      </c>
      <c r="D230" s="111" t="s">
        <v>240</v>
      </c>
      <c r="E230" s="81" t="s">
        <v>108</v>
      </c>
      <c r="F230" s="61">
        <v>7.77</v>
      </c>
      <c r="G230" s="52">
        <f t="shared" si="21"/>
        <v>8.74</v>
      </c>
      <c r="H230" s="110"/>
      <c r="I230" s="81">
        <v>9.91</v>
      </c>
      <c r="J230" s="81">
        <f>VLOOKUP(C230,Recipes!$A$2:$N$4,12,FALSE())</f>
        <v>5.0137397426368718E-2</v>
      </c>
      <c r="K230" s="81">
        <f t="shared" si="22"/>
        <v>9.6091756154417887</v>
      </c>
      <c r="L230" s="81">
        <f t="shared" si="23"/>
        <v>10.210824384558212</v>
      </c>
      <c r="M230" s="81" t="str">
        <f t="shared" si="25"/>
        <v>NG</v>
      </c>
      <c r="N230" s="117">
        <f t="shared" si="24"/>
        <v>1</v>
      </c>
      <c r="O230" s="81">
        <f t="shared" si="26"/>
        <v>1.17</v>
      </c>
      <c r="P230" s="81">
        <f>IF(G230="","",ABS(O230-Components!$C$2)/Components!$D$2)</f>
        <v>239.57427519108862</v>
      </c>
      <c r="Q230" s="81">
        <f>IF(G230="","",ABS(O230-Components!$C$3)/Components!$D$3)</f>
        <v>207.73307322173329</v>
      </c>
      <c r="R230" s="81">
        <f>IF(G230="","",ABS(O230-Components!$C$4)/Components!$D$4)</f>
        <v>12.63833260285522</v>
      </c>
      <c r="S230" s="81">
        <f>IF(G230="","",ABS(O230-Components!$C$5)/Components!$D$5)</f>
        <v>134.73756342723382</v>
      </c>
      <c r="T230" s="81">
        <f>IF(G230="","",ABS(O230-Components!$C$6)/Components!$D$6)</f>
        <v>0.5187881972396996</v>
      </c>
      <c r="U230" s="81">
        <f>IF(G230="","",ABS(O230-Components!$C$7)/Components!$D$7)</f>
        <v>8.1260225585800381</v>
      </c>
      <c r="V230" s="81" t="str">
        <f>IF(G230="","",IF(M230="OK","NONE",INDEX({"S1","S2","W1","W2","N1","N2"},MATCH(MIN(P230:U230),P230:U230,0))))</f>
        <v>N1</v>
      </c>
      <c r="W230" s="117">
        <f t="shared" si="27"/>
        <v>1</v>
      </c>
      <c r="X230" s="107"/>
    </row>
    <row r="231" spans="1:24">
      <c r="A231" s="115">
        <v>229</v>
      </c>
      <c r="B231" s="116">
        <v>8</v>
      </c>
      <c r="C231" s="81" t="s">
        <v>130</v>
      </c>
      <c r="D231" s="111" t="s">
        <v>240</v>
      </c>
      <c r="E231" s="81" t="s">
        <v>108</v>
      </c>
      <c r="F231" s="61">
        <v>7.69</v>
      </c>
      <c r="G231" s="52">
        <f t="shared" si="21"/>
        <v>8.66</v>
      </c>
      <c r="H231" s="110"/>
      <c r="I231" s="81">
        <v>9.91</v>
      </c>
      <c r="J231" s="81">
        <f>VLOOKUP(C231,Recipes!$A$2:$N$4,12,FALSE())</f>
        <v>5.0137397426368718E-2</v>
      </c>
      <c r="K231" s="81">
        <f t="shared" si="22"/>
        <v>9.6091756154417887</v>
      </c>
      <c r="L231" s="81">
        <f t="shared" si="23"/>
        <v>10.210824384558212</v>
      </c>
      <c r="M231" s="81" t="str">
        <f t="shared" si="25"/>
        <v>NG</v>
      </c>
      <c r="N231" s="117">
        <f t="shared" si="24"/>
        <v>1</v>
      </c>
      <c r="O231" s="81">
        <f t="shared" si="26"/>
        <v>1.25</v>
      </c>
      <c r="P231" s="81">
        <f>IF(G231="","",ABS(O231-Components!$C$2)/Components!$D$2)</f>
        <v>227.46946970774937</v>
      </c>
      <c r="Q231" s="81">
        <f>IF(G231="","",ABS(O231-Components!$C$3)/Components!$D$3)</f>
        <v>201.93452267820967</v>
      </c>
      <c r="R231" s="81">
        <f>IF(G231="","",ABS(O231-Components!$C$4)/Components!$D$4)</f>
        <v>18.3613511399972</v>
      </c>
      <c r="S231" s="81">
        <f>IF(G231="","",ABS(O231-Components!$C$5)/Components!$D$5)</f>
        <v>131.56041514441438</v>
      </c>
      <c r="T231" s="81">
        <f>IF(G231="","",ABS(O231-Components!$C$6)/Components!$D$6)</f>
        <v>3.4143502283456799</v>
      </c>
      <c r="U231" s="81">
        <f>IF(G231="","",ABS(O231-Components!$C$7)/Components!$D$7)</f>
        <v>4.9445455372762188</v>
      </c>
      <c r="V231" s="81" t="str">
        <f>IF(G231="","",IF(M231="OK","NONE",INDEX({"S1","S2","W1","W2","N1","N2"},MATCH(MIN(P231:U231),P231:U231,0))))</f>
        <v>N1</v>
      </c>
      <c r="W231" s="117">
        <f t="shared" si="27"/>
        <v>1</v>
      </c>
      <c r="X231" s="107"/>
    </row>
    <row r="232" spans="1:24">
      <c r="A232" s="115">
        <v>230</v>
      </c>
      <c r="B232" s="116">
        <v>8</v>
      </c>
      <c r="C232" s="61" t="s">
        <v>130</v>
      </c>
      <c r="D232" s="61" t="s">
        <v>240</v>
      </c>
      <c r="E232" s="61" t="s">
        <v>108</v>
      </c>
      <c r="F232" s="61">
        <v>7.77</v>
      </c>
      <c r="G232" s="52">
        <f t="shared" si="21"/>
        <v>8.74</v>
      </c>
      <c r="H232" s="110"/>
      <c r="I232" s="81">
        <v>9.91</v>
      </c>
      <c r="J232" s="81">
        <f>VLOOKUP(C232,Recipes!$A$2:$N$4,12,FALSE())</f>
        <v>5.0137397426368718E-2</v>
      </c>
      <c r="K232" s="81">
        <f t="shared" si="22"/>
        <v>9.6091756154417887</v>
      </c>
      <c r="L232" s="81">
        <f t="shared" si="23"/>
        <v>10.210824384558212</v>
      </c>
      <c r="M232" s="81" t="str">
        <f t="shared" si="25"/>
        <v>NG</v>
      </c>
      <c r="N232" s="117">
        <f t="shared" si="24"/>
        <v>1</v>
      </c>
      <c r="O232" s="81">
        <f t="shared" si="26"/>
        <v>1.17</v>
      </c>
      <c r="P232" s="81">
        <f>IF(G232="","",ABS(O232-Components!$C$2)/Components!$D$2)</f>
        <v>239.57427519108862</v>
      </c>
      <c r="Q232" s="81">
        <f>IF(G232="","",ABS(O232-Components!$C$3)/Components!$D$3)</f>
        <v>207.73307322173329</v>
      </c>
      <c r="R232" s="81">
        <f>IF(G232="","",ABS(O232-Components!$C$4)/Components!$D$4)</f>
        <v>12.63833260285522</v>
      </c>
      <c r="S232" s="81">
        <f>IF(G232="","",ABS(O232-Components!$C$5)/Components!$D$5)</f>
        <v>134.73756342723382</v>
      </c>
      <c r="T232" s="81">
        <f>IF(G232="","",ABS(O232-Components!$C$6)/Components!$D$6)</f>
        <v>0.5187881972396996</v>
      </c>
      <c r="U232" s="81">
        <f>IF(G232="","",ABS(O232-Components!$C$7)/Components!$D$7)</f>
        <v>8.1260225585800381</v>
      </c>
      <c r="V232" s="81" t="str">
        <f>IF(G232="","",IF(M232="OK","NONE",INDEX({"S1","S2","W1","W2","N1","N2"},MATCH(MIN(P232:U232),P232:U232,0))))</f>
        <v>N1</v>
      </c>
      <c r="W232" s="117">
        <f t="shared" si="27"/>
        <v>1</v>
      </c>
      <c r="X232" s="107"/>
    </row>
    <row r="233" spans="1:24">
      <c r="A233" s="115">
        <v>231</v>
      </c>
      <c r="B233" s="116">
        <v>8</v>
      </c>
      <c r="C233" s="81" t="s">
        <v>130</v>
      </c>
      <c r="D233" s="111" t="s">
        <v>240</v>
      </c>
      <c r="E233" s="81" t="s">
        <v>108</v>
      </c>
      <c r="F233" s="61">
        <v>7.77</v>
      </c>
      <c r="G233" s="52">
        <f t="shared" si="21"/>
        <v>8.74</v>
      </c>
      <c r="H233" s="110"/>
      <c r="I233" s="81">
        <v>9.91</v>
      </c>
      <c r="J233" s="81">
        <f>VLOOKUP(C233,Recipes!$A$2:$N$4,12,FALSE())</f>
        <v>5.0137397426368718E-2</v>
      </c>
      <c r="K233" s="81">
        <f t="shared" si="22"/>
        <v>9.6091756154417887</v>
      </c>
      <c r="L233" s="81">
        <f t="shared" si="23"/>
        <v>10.210824384558212</v>
      </c>
      <c r="M233" s="81" t="str">
        <f t="shared" si="25"/>
        <v>NG</v>
      </c>
      <c r="N233" s="117">
        <f t="shared" si="24"/>
        <v>1</v>
      </c>
      <c r="O233" s="81">
        <f t="shared" si="26"/>
        <v>1.17</v>
      </c>
      <c r="P233" s="81">
        <f>IF(G233="","",ABS(O233-Components!$C$2)/Components!$D$2)</f>
        <v>239.57427519108862</v>
      </c>
      <c r="Q233" s="81">
        <f>IF(G233="","",ABS(O233-Components!$C$3)/Components!$D$3)</f>
        <v>207.73307322173329</v>
      </c>
      <c r="R233" s="81">
        <f>IF(G233="","",ABS(O233-Components!$C$4)/Components!$D$4)</f>
        <v>12.63833260285522</v>
      </c>
      <c r="S233" s="81">
        <f>IF(G233="","",ABS(O233-Components!$C$5)/Components!$D$5)</f>
        <v>134.73756342723382</v>
      </c>
      <c r="T233" s="81">
        <f>IF(G233="","",ABS(O233-Components!$C$6)/Components!$D$6)</f>
        <v>0.5187881972396996</v>
      </c>
      <c r="U233" s="81">
        <f>IF(G233="","",ABS(O233-Components!$C$7)/Components!$D$7)</f>
        <v>8.1260225585800381</v>
      </c>
      <c r="V233" s="81" t="str">
        <f>IF(G233="","",IF(M233="OK","NONE",INDEX({"S1","S2","W1","W2","N1","N2"},MATCH(MIN(P233:U233),P233:U233,0))))</f>
        <v>N1</v>
      </c>
      <c r="W233" s="117">
        <f t="shared" si="27"/>
        <v>1</v>
      </c>
      <c r="X233" s="107"/>
    </row>
    <row r="234" spans="1:24">
      <c r="A234" s="115">
        <v>232</v>
      </c>
      <c r="B234" s="116">
        <v>8</v>
      </c>
      <c r="C234" s="81" t="s">
        <v>130</v>
      </c>
      <c r="D234" s="111" t="s">
        <v>240</v>
      </c>
      <c r="E234" s="81" t="s">
        <v>108</v>
      </c>
      <c r="F234" s="61">
        <v>7.78</v>
      </c>
      <c r="G234" s="52">
        <f t="shared" si="21"/>
        <v>8.75</v>
      </c>
      <c r="H234" s="110"/>
      <c r="I234" s="81">
        <v>9.91</v>
      </c>
      <c r="J234" s="81">
        <f>VLOOKUP(C234,Recipes!$A$2:$N$4,12,FALSE())</f>
        <v>5.0137397426368718E-2</v>
      </c>
      <c r="K234" s="81">
        <f t="shared" si="22"/>
        <v>9.6091756154417887</v>
      </c>
      <c r="L234" s="81">
        <f t="shared" si="23"/>
        <v>10.210824384558212</v>
      </c>
      <c r="M234" s="81" t="str">
        <f t="shared" si="25"/>
        <v>NG</v>
      </c>
      <c r="N234" s="117">
        <f t="shared" si="24"/>
        <v>1</v>
      </c>
      <c r="O234" s="81">
        <f t="shared" si="26"/>
        <v>1.1600000000000001</v>
      </c>
      <c r="P234" s="81">
        <f>IF(G234="","",ABS(O234-Components!$C$2)/Components!$D$2)</f>
        <v>241.087375876506</v>
      </c>
      <c r="Q234" s="81">
        <f>IF(G234="","",ABS(O234-Components!$C$3)/Components!$D$3)</f>
        <v>208.45789203967374</v>
      </c>
      <c r="R234" s="81">
        <f>IF(G234="","",ABS(O234-Components!$C$4)/Components!$D$4)</f>
        <v>11.922955285712488</v>
      </c>
      <c r="S234" s="81">
        <f>IF(G234="","",ABS(O234-Components!$C$5)/Components!$D$5)</f>
        <v>135.13470696258622</v>
      </c>
      <c r="T234" s="81">
        <f>IF(G234="","",ABS(O234-Components!$C$6)/Components!$D$6)</f>
        <v>0.15684294335146007</v>
      </c>
      <c r="U234" s="81">
        <f>IF(G234="","",ABS(O234-Components!$C$7)/Components!$D$7)</f>
        <v>8.5237071862430067</v>
      </c>
      <c r="V234" s="81" t="str">
        <f>IF(G234="","",IF(M234="OK","NONE",INDEX({"S1","S2","W1","W2","N1","N2"},MATCH(MIN(P234:U234),P234:U234,0))))</f>
        <v>N1</v>
      </c>
      <c r="W234" s="117">
        <f t="shared" si="27"/>
        <v>1</v>
      </c>
      <c r="X234" s="107"/>
    </row>
    <row r="235" spans="1:24">
      <c r="A235" s="115">
        <v>233</v>
      </c>
      <c r="B235" s="116">
        <v>8</v>
      </c>
      <c r="C235" s="81" t="s">
        <v>130</v>
      </c>
      <c r="D235" s="111" t="s">
        <v>240</v>
      </c>
      <c r="E235" s="81" t="s">
        <v>108</v>
      </c>
      <c r="F235" s="61">
        <v>7.76</v>
      </c>
      <c r="G235" s="52">
        <f t="shared" si="21"/>
        <v>8.73</v>
      </c>
      <c r="H235" s="110"/>
      <c r="I235" s="81">
        <v>9.91</v>
      </c>
      <c r="J235" s="81">
        <f>VLOOKUP(C235,Recipes!$A$2:$N$4,12,FALSE())</f>
        <v>5.0137397426368718E-2</v>
      </c>
      <c r="K235" s="81">
        <f t="shared" si="22"/>
        <v>9.6091756154417887</v>
      </c>
      <c r="L235" s="81">
        <f t="shared" si="23"/>
        <v>10.210824384558212</v>
      </c>
      <c r="M235" s="81" t="str">
        <f t="shared" si="25"/>
        <v>NG</v>
      </c>
      <c r="N235" s="117">
        <f t="shared" si="24"/>
        <v>1</v>
      </c>
      <c r="O235" s="81">
        <f t="shared" si="26"/>
        <v>1.1799999999999997</v>
      </c>
      <c r="P235" s="81">
        <f>IF(G235="","",ABS(O235-Components!$C$2)/Components!$D$2)</f>
        <v>238.06117450567126</v>
      </c>
      <c r="Q235" s="81">
        <f>IF(G235="","",ABS(O235-Components!$C$3)/Components!$D$3)</f>
        <v>207.00825440379285</v>
      </c>
      <c r="R235" s="81">
        <f>IF(G235="","",ABS(O235-Components!$C$4)/Components!$D$4)</f>
        <v>13.353709919997952</v>
      </c>
      <c r="S235" s="81">
        <f>IF(G235="","",ABS(O235-Components!$C$5)/Components!$D$5)</f>
        <v>134.3404198918814</v>
      </c>
      <c r="T235" s="81">
        <f>IF(G235="","",ABS(O235-Components!$C$6)/Components!$D$6)</f>
        <v>0.8807334511279391</v>
      </c>
      <c r="U235" s="81">
        <f>IF(G235="","",ABS(O235-Components!$C$7)/Components!$D$7)</f>
        <v>7.7283379309170694</v>
      </c>
      <c r="V235" s="81" t="str">
        <f>IF(G235="","",IF(M235="OK","NONE",INDEX({"S1","S2","W1","W2","N1","N2"},MATCH(MIN(P235:U235),P235:U235,0))))</f>
        <v>N1</v>
      </c>
      <c r="W235" s="117">
        <f t="shared" si="27"/>
        <v>1</v>
      </c>
      <c r="X235" s="107"/>
    </row>
    <row r="236" spans="1:24">
      <c r="A236" s="115">
        <v>234</v>
      </c>
      <c r="B236" s="116">
        <v>8</v>
      </c>
      <c r="C236" s="81" t="s">
        <v>130</v>
      </c>
      <c r="D236" s="111" t="s">
        <v>240</v>
      </c>
      <c r="E236" s="81" t="s">
        <v>108</v>
      </c>
      <c r="F236" s="61">
        <v>7.77</v>
      </c>
      <c r="G236" s="52">
        <f t="shared" si="21"/>
        <v>8.74</v>
      </c>
      <c r="H236" s="110"/>
      <c r="I236" s="81">
        <v>9.91</v>
      </c>
      <c r="J236" s="81">
        <f>VLOOKUP(C236,Recipes!$A$2:$N$4,12,FALSE())</f>
        <v>5.0137397426368718E-2</v>
      </c>
      <c r="K236" s="81">
        <f t="shared" si="22"/>
        <v>9.6091756154417887</v>
      </c>
      <c r="L236" s="81">
        <f t="shared" si="23"/>
        <v>10.210824384558212</v>
      </c>
      <c r="M236" s="81" t="str">
        <f t="shared" si="25"/>
        <v>NG</v>
      </c>
      <c r="N236" s="117">
        <f t="shared" si="24"/>
        <v>1</v>
      </c>
      <c r="O236" s="81">
        <f t="shared" si="26"/>
        <v>1.17</v>
      </c>
      <c r="P236" s="81">
        <f>IF(G236="","",ABS(O236-Components!$C$2)/Components!$D$2)</f>
        <v>239.57427519108862</v>
      </c>
      <c r="Q236" s="81">
        <f>IF(G236="","",ABS(O236-Components!$C$3)/Components!$D$3)</f>
        <v>207.73307322173329</v>
      </c>
      <c r="R236" s="81">
        <f>IF(G236="","",ABS(O236-Components!$C$4)/Components!$D$4)</f>
        <v>12.63833260285522</v>
      </c>
      <c r="S236" s="81">
        <f>IF(G236="","",ABS(O236-Components!$C$5)/Components!$D$5)</f>
        <v>134.73756342723382</v>
      </c>
      <c r="T236" s="81">
        <f>IF(G236="","",ABS(O236-Components!$C$6)/Components!$D$6)</f>
        <v>0.5187881972396996</v>
      </c>
      <c r="U236" s="81">
        <f>IF(G236="","",ABS(O236-Components!$C$7)/Components!$D$7)</f>
        <v>8.1260225585800381</v>
      </c>
      <c r="V236" s="81" t="str">
        <f>IF(G236="","",IF(M236="OK","NONE",INDEX({"S1","S2","W1","W2","N1","N2"},MATCH(MIN(P236:U236),P236:U236,0))))</f>
        <v>N1</v>
      </c>
      <c r="W236" s="117">
        <f t="shared" si="27"/>
        <v>1</v>
      </c>
      <c r="X236" s="107"/>
    </row>
    <row r="237" spans="1:24">
      <c r="A237" s="115">
        <v>235</v>
      </c>
      <c r="B237" s="116">
        <v>8</v>
      </c>
      <c r="C237" s="61" t="s">
        <v>130</v>
      </c>
      <c r="D237" s="61" t="s">
        <v>240</v>
      </c>
      <c r="E237" s="61" t="s">
        <v>108</v>
      </c>
      <c r="F237" s="61">
        <v>7.71</v>
      </c>
      <c r="G237" s="52">
        <f t="shared" si="21"/>
        <v>8.68</v>
      </c>
      <c r="H237" s="110"/>
      <c r="I237" s="81">
        <v>9.91</v>
      </c>
      <c r="J237" s="81">
        <f>VLOOKUP(C237,Recipes!$A$2:$N$4,12,FALSE())</f>
        <v>5.0137397426368718E-2</v>
      </c>
      <c r="K237" s="81">
        <f t="shared" si="22"/>
        <v>9.6091756154417887</v>
      </c>
      <c r="L237" s="81">
        <f t="shared" si="23"/>
        <v>10.210824384558212</v>
      </c>
      <c r="M237" s="81" t="str">
        <f t="shared" si="25"/>
        <v>NG</v>
      </c>
      <c r="N237" s="117">
        <f t="shared" si="24"/>
        <v>1</v>
      </c>
      <c r="O237" s="81">
        <f t="shared" si="26"/>
        <v>1.2300000000000004</v>
      </c>
      <c r="P237" s="81">
        <f>IF(G237="","",ABS(O237-Components!$C$2)/Components!$D$2)</f>
        <v>230.49567107858411</v>
      </c>
      <c r="Q237" s="81">
        <f>IF(G237="","",ABS(O237-Components!$C$3)/Components!$D$3)</f>
        <v>203.38416031409054</v>
      </c>
      <c r="R237" s="81">
        <f>IF(G237="","",ABS(O237-Components!$C$4)/Components!$D$4)</f>
        <v>16.930596505711737</v>
      </c>
      <c r="S237" s="81">
        <f>IF(G237="","",ABS(O237-Components!$C$5)/Components!$D$5)</f>
        <v>132.35470221511923</v>
      </c>
      <c r="T237" s="81">
        <f>IF(G237="","",ABS(O237-Components!$C$6)/Components!$D$6)</f>
        <v>2.6904597205692009</v>
      </c>
      <c r="U237" s="81">
        <f>IF(G237="","",ABS(O237-Components!$C$7)/Components!$D$7)</f>
        <v>5.7399147926021561</v>
      </c>
      <c r="V237" s="81" t="str">
        <f>IF(G237="","",IF(M237="OK","NONE",INDEX({"S1","S2","W1","W2","N1","N2"},MATCH(MIN(P237:U237),P237:U237,0))))</f>
        <v>N1</v>
      </c>
      <c r="W237" s="117">
        <f t="shared" si="27"/>
        <v>1</v>
      </c>
      <c r="X237" s="107"/>
    </row>
    <row r="238" spans="1:24">
      <c r="A238" s="115">
        <v>236</v>
      </c>
      <c r="B238" s="116">
        <v>8</v>
      </c>
      <c r="C238" s="81" t="s">
        <v>130</v>
      </c>
      <c r="D238" s="111" t="s">
        <v>240</v>
      </c>
      <c r="E238" s="81" t="s">
        <v>108</v>
      </c>
      <c r="F238" s="52">
        <v>7.78</v>
      </c>
      <c r="G238" s="52">
        <f t="shared" si="21"/>
        <v>8.75</v>
      </c>
      <c r="H238" s="110"/>
      <c r="I238" s="81">
        <v>9.91</v>
      </c>
      <c r="J238" s="81">
        <f>VLOOKUP(C238,Recipes!$A$2:$N$4,12,FALSE())</f>
        <v>5.0137397426368718E-2</v>
      </c>
      <c r="K238" s="81">
        <f t="shared" si="22"/>
        <v>9.6091756154417887</v>
      </c>
      <c r="L238" s="81">
        <f t="shared" si="23"/>
        <v>10.210824384558212</v>
      </c>
      <c r="M238" s="81" t="str">
        <f t="shared" si="25"/>
        <v>NG</v>
      </c>
      <c r="N238" s="117">
        <f t="shared" si="24"/>
        <v>1</v>
      </c>
      <c r="O238" s="81">
        <f t="shared" si="26"/>
        <v>1.1600000000000001</v>
      </c>
      <c r="P238" s="81">
        <f>IF(G238="","",ABS(O238-Components!$C$2)/Components!$D$2)</f>
        <v>241.087375876506</v>
      </c>
      <c r="Q238" s="81">
        <f>IF(G238="","",ABS(O238-Components!$C$3)/Components!$D$3)</f>
        <v>208.45789203967374</v>
      </c>
      <c r="R238" s="81">
        <f>IF(G238="","",ABS(O238-Components!$C$4)/Components!$D$4)</f>
        <v>11.922955285712488</v>
      </c>
      <c r="S238" s="81">
        <f>IF(G238="","",ABS(O238-Components!$C$5)/Components!$D$5)</f>
        <v>135.13470696258622</v>
      </c>
      <c r="T238" s="81">
        <f>IF(G238="","",ABS(O238-Components!$C$6)/Components!$D$6)</f>
        <v>0.15684294335146007</v>
      </c>
      <c r="U238" s="81">
        <f>IF(G238="","",ABS(O238-Components!$C$7)/Components!$D$7)</f>
        <v>8.5237071862430067</v>
      </c>
      <c r="V238" s="81" t="str">
        <f>IF(G238="","",IF(M238="OK","NONE",INDEX({"S1","S2","W1","W2","N1","N2"},MATCH(MIN(P238:U238),P238:U238,0))))</f>
        <v>N1</v>
      </c>
      <c r="W238" s="117">
        <f t="shared" si="27"/>
        <v>1</v>
      </c>
      <c r="X238" s="107"/>
    </row>
    <row r="239" spans="1:24">
      <c r="A239" s="115">
        <v>237</v>
      </c>
      <c r="B239" s="116">
        <v>8</v>
      </c>
      <c r="C239" s="81" t="s">
        <v>130</v>
      </c>
      <c r="D239" s="111" t="s">
        <v>240</v>
      </c>
      <c r="E239" s="81" t="s">
        <v>108</v>
      </c>
      <c r="F239" s="52">
        <v>7.79</v>
      </c>
      <c r="G239" s="52">
        <f t="shared" si="21"/>
        <v>8.76</v>
      </c>
      <c r="H239" s="110"/>
      <c r="I239" s="81">
        <v>9.91</v>
      </c>
      <c r="J239" s="81">
        <f>VLOOKUP(C239,Recipes!$A$2:$N$4,12,FALSE())</f>
        <v>5.0137397426368718E-2</v>
      </c>
      <c r="K239" s="81">
        <f t="shared" si="22"/>
        <v>9.6091756154417887</v>
      </c>
      <c r="L239" s="81">
        <f t="shared" si="23"/>
        <v>10.210824384558212</v>
      </c>
      <c r="M239" s="81" t="str">
        <f t="shared" si="25"/>
        <v>NG</v>
      </c>
      <c r="N239" s="117">
        <f t="shared" si="24"/>
        <v>1</v>
      </c>
      <c r="O239" s="81">
        <f t="shared" si="26"/>
        <v>1.1500000000000004</v>
      </c>
      <c r="P239" s="81">
        <f>IF(G239="","",ABS(O239-Components!$C$2)/Components!$D$2)</f>
        <v>242.60047656192336</v>
      </c>
      <c r="Q239" s="81">
        <f>IF(G239="","",ABS(O239-Components!$C$3)/Components!$D$3)</f>
        <v>209.18271085761415</v>
      </c>
      <c r="R239" s="81">
        <f>IF(G239="","",ABS(O239-Components!$C$4)/Components!$D$4)</f>
        <v>11.207577968569757</v>
      </c>
      <c r="S239" s="81">
        <f>IF(G239="","",ABS(O239-Components!$C$5)/Components!$D$5)</f>
        <v>135.53185049793865</v>
      </c>
      <c r="T239" s="81">
        <f>IF(G239="","",ABS(O239-Components!$C$6)/Components!$D$6)</f>
        <v>0.20510231053677941</v>
      </c>
      <c r="U239" s="81">
        <f>IF(G239="","",ABS(O239-Components!$C$7)/Components!$D$7)</f>
        <v>8.9213918139059754</v>
      </c>
      <c r="V239" s="81" t="str">
        <f>IF(G239="","",IF(M239="OK","NONE",INDEX({"S1","S2","W1","W2","N1","N2"},MATCH(MIN(P239:U239),P239:U239,0))))</f>
        <v>N1</v>
      </c>
      <c r="W239" s="117">
        <f t="shared" si="27"/>
        <v>1</v>
      </c>
      <c r="X239" s="107"/>
    </row>
    <row r="240" spans="1:24">
      <c r="A240" s="115">
        <v>238</v>
      </c>
      <c r="B240" s="116">
        <v>8</v>
      </c>
      <c r="C240" s="81" t="s">
        <v>130</v>
      </c>
      <c r="D240" s="111" t="s">
        <v>240</v>
      </c>
      <c r="E240" s="81" t="s">
        <v>108</v>
      </c>
      <c r="F240" s="52">
        <v>7.78</v>
      </c>
      <c r="G240" s="52">
        <f t="shared" si="21"/>
        <v>8.75</v>
      </c>
      <c r="H240" s="110"/>
      <c r="I240" s="81">
        <v>9.91</v>
      </c>
      <c r="J240" s="81">
        <f>VLOOKUP(C240,Recipes!$A$2:$N$4,12,FALSE())</f>
        <v>5.0137397426368718E-2</v>
      </c>
      <c r="K240" s="81">
        <f t="shared" si="22"/>
        <v>9.6091756154417887</v>
      </c>
      <c r="L240" s="81">
        <f t="shared" si="23"/>
        <v>10.210824384558212</v>
      </c>
      <c r="M240" s="81" t="str">
        <f t="shared" si="25"/>
        <v>NG</v>
      </c>
      <c r="N240" s="117">
        <f t="shared" si="24"/>
        <v>1</v>
      </c>
      <c r="O240" s="81">
        <f t="shared" si="26"/>
        <v>1.1600000000000001</v>
      </c>
      <c r="P240" s="81">
        <f>IF(G240="","",ABS(O240-Components!$C$2)/Components!$D$2)</f>
        <v>241.087375876506</v>
      </c>
      <c r="Q240" s="81">
        <f>IF(G240="","",ABS(O240-Components!$C$3)/Components!$D$3)</f>
        <v>208.45789203967374</v>
      </c>
      <c r="R240" s="81">
        <f>IF(G240="","",ABS(O240-Components!$C$4)/Components!$D$4)</f>
        <v>11.922955285712488</v>
      </c>
      <c r="S240" s="81">
        <f>IF(G240="","",ABS(O240-Components!$C$5)/Components!$D$5)</f>
        <v>135.13470696258622</v>
      </c>
      <c r="T240" s="81">
        <f>IF(G240="","",ABS(O240-Components!$C$6)/Components!$D$6)</f>
        <v>0.15684294335146007</v>
      </c>
      <c r="U240" s="81">
        <f>IF(G240="","",ABS(O240-Components!$C$7)/Components!$D$7)</f>
        <v>8.5237071862430067</v>
      </c>
      <c r="V240" s="81" t="str">
        <f>IF(G240="","",IF(M240="OK","NONE",INDEX({"S1","S2","W1","W2","N1","N2"},MATCH(MIN(P240:U240),P240:U240,0))))</f>
        <v>N1</v>
      </c>
      <c r="W240" s="117">
        <f t="shared" si="27"/>
        <v>1</v>
      </c>
      <c r="X240" s="107"/>
    </row>
    <row r="241" spans="1:24">
      <c r="A241" s="115">
        <v>239</v>
      </c>
      <c r="B241" s="116">
        <v>8</v>
      </c>
      <c r="C241" s="81" t="s">
        <v>130</v>
      </c>
      <c r="D241" s="111" t="s">
        <v>240</v>
      </c>
      <c r="E241" s="81" t="s">
        <v>108</v>
      </c>
      <c r="F241" s="52">
        <v>7.78</v>
      </c>
      <c r="G241" s="52">
        <f t="shared" si="21"/>
        <v>8.75</v>
      </c>
      <c r="H241" s="110"/>
      <c r="I241" s="81">
        <v>9.91</v>
      </c>
      <c r="J241" s="81">
        <f>VLOOKUP(C241,Recipes!$A$2:$N$4,12,FALSE())</f>
        <v>5.0137397426368718E-2</v>
      </c>
      <c r="K241" s="81">
        <f t="shared" si="22"/>
        <v>9.6091756154417887</v>
      </c>
      <c r="L241" s="81">
        <f t="shared" si="23"/>
        <v>10.210824384558212</v>
      </c>
      <c r="M241" s="81" t="str">
        <f t="shared" si="25"/>
        <v>NG</v>
      </c>
      <c r="N241" s="117">
        <f t="shared" si="24"/>
        <v>1</v>
      </c>
      <c r="O241" s="81">
        <f t="shared" si="26"/>
        <v>1.1600000000000001</v>
      </c>
      <c r="P241" s="81">
        <f>IF(G241="","",ABS(O241-Components!$C$2)/Components!$D$2)</f>
        <v>241.087375876506</v>
      </c>
      <c r="Q241" s="81">
        <f>IF(G241="","",ABS(O241-Components!$C$3)/Components!$D$3)</f>
        <v>208.45789203967374</v>
      </c>
      <c r="R241" s="81">
        <f>IF(G241="","",ABS(O241-Components!$C$4)/Components!$D$4)</f>
        <v>11.922955285712488</v>
      </c>
      <c r="S241" s="81">
        <f>IF(G241="","",ABS(O241-Components!$C$5)/Components!$D$5)</f>
        <v>135.13470696258622</v>
      </c>
      <c r="T241" s="81">
        <f>IF(G241="","",ABS(O241-Components!$C$6)/Components!$D$6)</f>
        <v>0.15684294335146007</v>
      </c>
      <c r="U241" s="81">
        <f>IF(G241="","",ABS(O241-Components!$C$7)/Components!$D$7)</f>
        <v>8.5237071862430067</v>
      </c>
      <c r="V241" s="81" t="str">
        <f>IF(G241="","",IF(M241="OK","NONE",INDEX({"S1","S2","W1","W2","N1","N2"},MATCH(MIN(P241:U241),P241:U241,0))))</f>
        <v>N1</v>
      </c>
      <c r="W241" s="117">
        <f t="shared" si="27"/>
        <v>1</v>
      </c>
      <c r="X241" s="107"/>
    </row>
    <row r="242" spans="1:24">
      <c r="A242" s="115">
        <v>240</v>
      </c>
      <c r="B242" s="116">
        <v>8</v>
      </c>
      <c r="C242" s="61" t="s">
        <v>130</v>
      </c>
      <c r="D242" s="61" t="s">
        <v>240</v>
      </c>
      <c r="E242" s="61" t="s">
        <v>108</v>
      </c>
      <c r="F242" s="52">
        <v>7.79</v>
      </c>
      <c r="G242" s="52">
        <f t="shared" si="21"/>
        <v>8.76</v>
      </c>
      <c r="H242" s="110"/>
      <c r="I242" s="81">
        <v>9.91</v>
      </c>
      <c r="J242" s="81">
        <f>VLOOKUP(C242,Recipes!$A$2:$N$4,12,FALSE())</f>
        <v>5.0137397426368718E-2</v>
      </c>
      <c r="K242" s="81">
        <f t="shared" si="22"/>
        <v>9.6091756154417887</v>
      </c>
      <c r="L242" s="81">
        <f t="shared" si="23"/>
        <v>10.210824384558212</v>
      </c>
      <c r="M242" s="81" t="str">
        <f t="shared" si="25"/>
        <v>NG</v>
      </c>
      <c r="N242" s="117">
        <f t="shared" si="24"/>
        <v>1</v>
      </c>
      <c r="O242" s="81">
        <f t="shared" si="26"/>
        <v>1.1500000000000004</v>
      </c>
      <c r="P242" s="81">
        <f>IF(G242="","",ABS(O242-Components!$C$2)/Components!$D$2)</f>
        <v>242.60047656192336</v>
      </c>
      <c r="Q242" s="81">
        <f>IF(G242="","",ABS(O242-Components!$C$3)/Components!$D$3)</f>
        <v>209.18271085761415</v>
      </c>
      <c r="R242" s="81">
        <f>IF(G242="","",ABS(O242-Components!$C$4)/Components!$D$4)</f>
        <v>11.207577968569757</v>
      </c>
      <c r="S242" s="81">
        <f>IF(G242="","",ABS(O242-Components!$C$5)/Components!$D$5)</f>
        <v>135.53185049793865</v>
      </c>
      <c r="T242" s="81">
        <f>IF(G242="","",ABS(O242-Components!$C$6)/Components!$D$6)</f>
        <v>0.20510231053677941</v>
      </c>
      <c r="U242" s="81">
        <f>IF(G242="","",ABS(O242-Components!$C$7)/Components!$D$7)</f>
        <v>8.9213918139059754</v>
      </c>
      <c r="V242" s="81" t="str">
        <f>IF(G242="","",IF(M242="OK","NONE",INDEX({"S1","S2","W1","W2","N1","N2"},MATCH(MIN(P242:U242),P242:U242,0))))</f>
        <v>N1</v>
      </c>
      <c r="W242" s="117">
        <f t="shared" si="27"/>
        <v>1</v>
      </c>
      <c r="X242" s="107"/>
    </row>
    <row r="243" spans="1:24">
      <c r="A243" s="115">
        <v>241</v>
      </c>
      <c r="B243" s="116">
        <v>9</v>
      </c>
      <c r="C243" s="81" t="s">
        <v>130</v>
      </c>
      <c r="D243" s="111" t="s">
        <v>240</v>
      </c>
      <c r="E243" s="81" t="s">
        <v>102</v>
      </c>
      <c r="F243" s="61">
        <v>4.9400000000000004</v>
      </c>
      <c r="G243" s="52">
        <f t="shared" si="21"/>
        <v>5.91</v>
      </c>
      <c r="H243" s="110"/>
      <c r="I243" s="81">
        <v>9.91</v>
      </c>
      <c r="J243" s="81">
        <f>VLOOKUP(C243,Recipes!$A$2:$N$4,12,FALSE())</f>
        <v>5.0137397426368718E-2</v>
      </c>
      <c r="K243" s="81">
        <f t="shared" si="22"/>
        <v>9.6091756154417887</v>
      </c>
      <c r="L243" s="81">
        <f t="shared" si="23"/>
        <v>10.210824384558212</v>
      </c>
      <c r="M243" s="81" t="str">
        <f t="shared" si="25"/>
        <v>NG</v>
      </c>
      <c r="N243" s="117">
        <f t="shared" si="24"/>
        <v>1</v>
      </c>
      <c r="O243" s="81">
        <f t="shared" si="26"/>
        <v>4</v>
      </c>
      <c r="P243" s="81">
        <f>IF(G243="","",ABS(O243-Components!$C$2)/Components!$D$2)</f>
        <v>188.63321878203703</v>
      </c>
      <c r="Q243" s="81">
        <f>IF(G243="","",ABS(O243-Components!$C$3)/Components!$D$3)</f>
        <v>2.6093477445855946</v>
      </c>
      <c r="R243" s="81">
        <f>IF(G243="","",ABS(O243-Components!$C$4)/Components!$D$4)</f>
        <v>215.09011335425262</v>
      </c>
      <c r="S243" s="81">
        <f>IF(G243="","",ABS(O243-Components!$C$5)/Components!$D$5)</f>
        <v>22.345942922496754</v>
      </c>
      <c r="T243" s="81">
        <f>IF(G243="","",ABS(O243-Components!$C$6)/Components!$D$6)</f>
        <v>102.94929504761366</v>
      </c>
      <c r="U243" s="81">
        <f>IF(G243="","",ABS(O243-Components!$C$7)/Components!$D$7)</f>
        <v>104.41872707004249</v>
      </c>
      <c r="V243" s="81" t="str">
        <f>IF(G243="","",IF(M243="OK","NONE",INDEX({"S1","S2","W1","W2","N1","N2"},MATCH(MIN(P243:U243),P243:U243,0))))</f>
        <v>S2</v>
      </c>
      <c r="W243" s="117">
        <f t="shared" si="27"/>
        <v>1</v>
      </c>
      <c r="X243" s="107"/>
    </row>
    <row r="244" spans="1:24">
      <c r="A244" s="115">
        <v>242</v>
      </c>
      <c r="B244" s="116">
        <v>9</v>
      </c>
      <c r="C244" s="81" t="s">
        <v>130</v>
      </c>
      <c r="D244" s="111" t="s">
        <v>240</v>
      </c>
      <c r="E244" s="81" t="s">
        <v>102</v>
      </c>
      <c r="F244" s="61">
        <v>4.91</v>
      </c>
      <c r="G244" s="52">
        <f t="shared" si="21"/>
        <v>5.88</v>
      </c>
      <c r="H244" s="110"/>
      <c r="I244" s="81">
        <v>9.91</v>
      </c>
      <c r="J244" s="81">
        <f>VLOOKUP(C244,Recipes!$A$2:$N$4,12,FALSE())</f>
        <v>5.0137397426368718E-2</v>
      </c>
      <c r="K244" s="81">
        <f t="shared" si="22"/>
        <v>9.6091756154417887</v>
      </c>
      <c r="L244" s="81">
        <f t="shared" si="23"/>
        <v>10.210824384558212</v>
      </c>
      <c r="M244" s="81" t="str">
        <f t="shared" si="25"/>
        <v>NG</v>
      </c>
      <c r="N244" s="117">
        <f t="shared" si="24"/>
        <v>1</v>
      </c>
      <c r="O244" s="81">
        <f t="shared" si="26"/>
        <v>4.03</v>
      </c>
      <c r="P244" s="81">
        <f>IF(G244="","",ABS(O244-Components!$C$2)/Components!$D$2)</f>
        <v>193.17252083828927</v>
      </c>
      <c r="Q244" s="81">
        <f>IF(G244="","",ABS(O244-Components!$C$3)/Components!$D$3)</f>
        <v>0.43489129076422284</v>
      </c>
      <c r="R244" s="81">
        <f>IF(G244="","",ABS(O244-Components!$C$4)/Components!$D$4)</f>
        <v>217.23624530568088</v>
      </c>
      <c r="S244" s="81">
        <f>IF(G244="","",ABS(O244-Components!$C$5)/Components!$D$5)</f>
        <v>21.154512316439458</v>
      </c>
      <c r="T244" s="81">
        <f>IF(G244="","",ABS(O244-Components!$C$6)/Components!$D$6)</f>
        <v>104.03513080927841</v>
      </c>
      <c r="U244" s="81">
        <f>IF(G244="","",ABS(O244-Components!$C$7)/Components!$D$7)</f>
        <v>105.61178095303143</v>
      </c>
      <c r="V244" s="81" t="str">
        <f>IF(G244="","",IF(M244="OK","NONE",INDEX({"S1","S2","W1","W2","N1","N2"},MATCH(MIN(P244:U244),P244:U244,0))))</f>
        <v>S2</v>
      </c>
      <c r="W244" s="117">
        <f t="shared" si="27"/>
        <v>1</v>
      </c>
      <c r="X244" s="107"/>
    </row>
    <row r="245" spans="1:24">
      <c r="A245" s="115">
        <v>243</v>
      </c>
      <c r="B245" s="116">
        <v>9</v>
      </c>
      <c r="C245" s="81" t="s">
        <v>130</v>
      </c>
      <c r="D245" s="111" t="s">
        <v>240</v>
      </c>
      <c r="E245" s="81" t="s">
        <v>102</v>
      </c>
      <c r="F245" s="61">
        <v>4.8099999999999996</v>
      </c>
      <c r="G245" s="52">
        <f t="shared" si="21"/>
        <v>5.7799999999999994</v>
      </c>
      <c r="H245" s="110"/>
      <c r="I245" s="81">
        <v>9.91</v>
      </c>
      <c r="J245" s="81">
        <f>VLOOKUP(C245,Recipes!$A$2:$N$4,12,FALSE())</f>
        <v>5.0137397426368718E-2</v>
      </c>
      <c r="K245" s="81">
        <f t="shared" si="22"/>
        <v>9.6091756154417887</v>
      </c>
      <c r="L245" s="81">
        <f t="shared" si="23"/>
        <v>10.210824384558212</v>
      </c>
      <c r="M245" s="81" t="str">
        <f t="shared" si="25"/>
        <v>NG</v>
      </c>
      <c r="N245" s="117">
        <f t="shared" si="24"/>
        <v>1</v>
      </c>
      <c r="O245" s="81">
        <f t="shared" si="26"/>
        <v>4.1300000000000008</v>
      </c>
      <c r="P245" s="81">
        <f>IF(G245="","",ABS(O245-Components!$C$2)/Components!$D$2)</f>
        <v>208.3035276924634</v>
      </c>
      <c r="Q245" s="81">
        <f>IF(G245="","",ABS(O245-Components!$C$3)/Components!$D$3)</f>
        <v>6.8132968886403278</v>
      </c>
      <c r="R245" s="81">
        <f>IF(G245="","",ABS(O245-Components!$C$4)/Components!$D$4)</f>
        <v>224.39001847710838</v>
      </c>
      <c r="S245" s="81">
        <f>IF(G245="","",ABS(O245-Components!$C$5)/Components!$D$5)</f>
        <v>17.183076962915159</v>
      </c>
      <c r="T245" s="81">
        <f>IF(G245="","",ABS(O245-Components!$C$6)/Components!$D$6)</f>
        <v>107.6545833481609</v>
      </c>
      <c r="U245" s="81">
        <f>IF(G245="","",ABS(O245-Components!$C$7)/Components!$D$7)</f>
        <v>109.58862722966123</v>
      </c>
      <c r="V245" s="81" t="str">
        <f>IF(G245="","",IF(M245="OK","NONE",INDEX({"S1","S2","W1","W2","N1","N2"},MATCH(MIN(P245:U245),P245:U245,0))))</f>
        <v>S2</v>
      </c>
      <c r="W245" s="117">
        <f t="shared" si="27"/>
        <v>1</v>
      </c>
      <c r="X245" s="107"/>
    </row>
    <row r="246" spans="1:24">
      <c r="A246" s="115">
        <v>244</v>
      </c>
      <c r="B246" s="116">
        <v>9</v>
      </c>
      <c r="C246" s="61" t="s">
        <v>130</v>
      </c>
      <c r="D246" s="61" t="s">
        <v>240</v>
      </c>
      <c r="E246" s="61" t="s">
        <v>102</v>
      </c>
      <c r="F246" s="61">
        <v>4.92</v>
      </c>
      <c r="G246" s="52">
        <f t="shared" si="21"/>
        <v>5.89</v>
      </c>
      <c r="H246" s="110"/>
      <c r="I246" s="81">
        <v>9.91</v>
      </c>
      <c r="J246" s="81">
        <f>VLOOKUP(C246,Recipes!$A$2:$N$4,12,FALSE())</f>
        <v>5.0137397426368718E-2</v>
      </c>
      <c r="K246" s="81">
        <f t="shared" si="22"/>
        <v>9.6091756154417887</v>
      </c>
      <c r="L246" s="81">
        <f t="shared" si="23"/>
        <v>10.210824384558212</v>
      </c>
      <c r="M246" s="81" t="str">
        <f t="shared" si="25"/>
        <v>NG</v>
      </c>
      <c r="N246" s="117">
        <f t="shared" si="24"/>
        <v>1</v>
      </c>
      <c r="O246" s="81">
        <f t="shared" si="26"/>
        <v>4.0200000000000005</v>
      </c>
      <c r="P246" s="81">
        <f>IF(G246="","",ABS(O246-Components!$C$2)/Components!$D$2)</f>
        <v>191.65942015287192</v>
      </c>
      <c r="Q246" s="81">
        <f>IF(G246="","",ABS(O246-Components!$C$3)/Components!$D$3)</f>
        <v>1.1597101087046586</v>
      </c>
      <c r="R246" s="81">
        <f>IF(G246="","",ABS(O246-Components!$C$4)/Components!$D$4)</f>
        <v>216.52086798853816</v>
      </c>
      <c r="S246" s="81">
        <f>IF(G246="","",ABS(O246-Components!$C$5)/Components!$D$5)</f>
        <v>21.551655851791878</v>
      </c>
      <c r="T246" s="81">
        <f>IF(G246="","",ABS(O246-Components!$C$6)/Components!$D$6)</f>
        <v>103.67318555539018</v>
      </c>
      <c r="U246" s="81">
        <f>IF(G246="","",ABS(O246-Components!$C$7)/Components!$D$7)</f>
        <v>105.21409632536846</v>
      </c>
      <c r="V246" s="81" t="str">
        <f>IF(G246="","",IF(M246="OK","NONE",INDEX({"S1","S2","W1","W2","N1","N2"},MATCH(MIN(P246:U246),P246:U246,0))))</f>
        <v>S2</v>
      </c>
      <c r="W246" s="117">
        <f t="shared" si="27"/>
        <v>1</v>
      </c>
      <c r="X246" s="107"/>
    </row>
    <row r="247" spans="1:24">
      <c r="A247" s="115">
        <v>245</v>
      </c>
      <c r="B247" s="116">
        <v>9</v>
      </c>
      <c r="C247" s="61" t="s">
        <v>130</v>
      </c>
      <c r="D247" s="61" t="s">
        <v>240</v>
      </c>
      <c r="E247" s="61" t="s">
        <v>102</v>
      </c>
      <c r="F247" s="61">
        <v>4.87</v>
      </c>
      <c r="G247" s="52">
        <f t="shared" si="21"/>
        <v>5.84</v>
      </c>
      <c r="H247" s="110"/>
      <c r="I247" s="81">
        <v>9.91</v>
      </c>
      <c r="J247" s="81">
        <f>VLOOKUP(C247,Recipes!$A$2:$N$4,12,FALSE())</f>
        <v>5.0137397426368718E-2</v>
      </c>
      <c r="K247" s="81">
        <f t="shared" si="22"/>
        <v>9.6091756154417887</v>
      </c>
      <c r="L247" s="81">
        <f t="shared" si="23"/>
        <v>10.210824384558212</v>
      </c>
      <c r="M247" s="81" t="str">
        <f t="shared" si="25"/>
        <v>NG</v>
      </c>
      <c r="N247" s="117">
        <f t="shared" si="24"/>
        <v>1</v>
      </c>
      <c r="O247" s="81">
        <f t="shared" si="26"/>
        <v>4.07</v>
      </c>
      <c r="P247" s="81">
        <f>IF(G247="","",ABS(O247-Components!$C$2)/Components!$D$2)</f>
        <v>199.2249235799589</v>
      </c>
      <c r="Q247" s="81">
        <f>IF(G247="","",ABS(O247-Components!$C$3)/Components!$D$3)</f>
        <v>2.4643839809975847</v>
      </c>
      <c r="R247" s="81">
        <f>IF(G247="","",ABS(O247-Components!$C$4)/Components!$D$4)</f>
        <v>220.09775457425187</v>
      </c>
      <c r="S247" s="81">
        <f>IF(G247="","",ABS(O247-Components!$C$5)/Components!$D$5)</f>
        <v>19.565938175029746</v>
      </c>
      <c r="T247" s="81">
        <f>IF(G247="","",ABS(O247-Components!$C$6)/Components!$D$6)</f>
        <v>105.4829118248314</v>
      </c>
      <c r="U247" s="81">
        <f>IF(G247="","",ABS(O247-Components!$C$7)/Components!$D$7)</f>
        <v>107.20251946368334</v>
      </c>
      <c r="V247" s="81" t="str">
        <f>IF(G247="","",IF(M247="OK","NONE",INDEX({"S1","S2","W1","W2","N1","N2"},MATCH(MIN(P247:U247),P247:U247,0))))</f>
        <v>S2</v>
      </c>
      <c r="W247" s="117">
        <f t="shared" si="27"/>
        <v>1</v>
      </c>
      <c r="X247" s="107"/>
    </row>
    <row r="248" spans="1:24">
      <c r="A248" s="115">
        <v>246</v>
      </c>
      <c r="B248" s="116">
        <v>9</v>
      </c>
      <c r="C248" s="81" t="s">
        <v>130</v>
      </c>
      <c r="D248" s="111" t="s">
        <v>240</v>
      </c>
      <c r="E248" s="81" t="s">
        <v>102</v>
      </c>
      <c r="F248" s="61">
        <v>4.9400000000000004</v>
      </c>
      <c r="G248" s="52">
        <f t="shared" si="21"/>
        <v>5.91</v>
      </c>
      <c r="H248" s="110"/>
      <c r="I248" s="81">
        <v>9.91</v>
      </c>
      <c r="J248" s="81">
        <f>VLOOKUP(C248,Recipes!$A$2:$N$4,12,FALSE())</f>
        <v>5.0137397426368718E-2</v>
      </c>
      <c r="K248" s="81">
        <f t="shared" si="22"/>
        <v>9.6091756154417887</v>
      </c>
      <c r="L248" s="81">
        <f t="shared" si="23"/>
        <v>10.210824384558212</v>
      </c>
      <c r="M248" s="81" t="str">
        <f t="shared" si="25"/>
        <v>NG</v>
      </c>
      <c r="N248" s="117">
        <f t="shared" si="24"/>
        <v>1</v>
      </c>
      <c r="O248" s="81">
        <f t="shared" si="26"/>
        <v>4</v>
      </c>
      <c r="P248" s="81">
        <f>IF(G248="","",ABS(O248-Components!$C$2)/Components!$D$2)</f>
        <v>188.63321878203703</v>
      </c>
      <c r="Q248" s="81">
        <f>IF(G248="","",ABS(O248-Components!$C$3)/Components!$D$3)</f>
        <v>2.6093477445855946</v>
      </c>
      <c r="R248" s="81">
        <f>IF(G248="","",ABS(O248-Components!$C$4)/Components!$D$4)</f>
        <v>215.09011335425262</v>
      </c>
      <c r="S248" s="81">
        <f>IF(G248="","",ABS(O248-Components!$C$5)/Components!$D$5)</f>
        <v>22.345942922496754</v>
      </c>
      <c r="T248" s="81">
        <f>IF(G248="","",ABS(O248-Components!$C$6)/Components!$D$6)</f>
        <v>102.94929504761366</v>
      </c>
      <c r="U248" s="81">
        <f>IF(G248="","",ABS(O248-Components!$C$7)/Components!$D$7)</f>
        <v>104.41872707004249</v>
      </c>
      <c r="V248" s="81" t="str">
        <f>IF(G248="","",IF(M248="OK","NONE",INDEX({"S1","S2","W1","W2","N1","N2"},MATCH(MIN(P248:U248),P248:U248,0))))</f>
        <v>S2</v>
      </c>
      <c r="W248" s="117">
        <f t="shared" si="27"/>
        <v>1</v>
      </c>
      <c r="X248" s="107"/>
    </row>
    <row r="249" spans="1:24">
      <c r="A249" s="115">
        <v>247</v>
      </c>
      <c r="B249" s="116">
        <v>9</v>
      </c>
      <c r="C249" s="81" t="s">
        <v>130</v>
      </c>
      <c r="D249" s="111" t="s">
        <v>240</v>
      </c>
      <c r="E249" s="81" t="s">
        <v>102</v>
      </c>
      <c r="F249" s="61">
        <v>4.8899999999999997</v>
      </c>
      <c r="G249" s="52">
        <f t="shared" si="21"/>
        <v>5.8599999999999994</v>
      </c>
      <c r="H249" s="110"/>
      <c r="I249" s="81">
        <v>9.91</v>
      </c>
      <c r="J249" s="81">
        <f>VLOOKUP(C249,Recipes!$A$2:$N$4,12,FALSE())</f>
        <v>5.0137397426368718E-2</v>
      </c>
      <c r="K249" s="81">
        <f t="shared" si="22"/>
        <v>9.6091756154417887</v>
      </c>
      <c r="L249" s="81">
        <f t="shared" si="23"/>
        <v>10.210824384558212</v>
      </c>
      <c r="M249" s="81" t="str">
        <f t="shared" si="25"/>
        <v>NG</v>
      </c>
      <c r="N249" s="117">
        <f t="shared" si="24"/>
        <v>1</v>
      </c>
      <c r="O249" s="81">
        <f t="shared" si="26"/>
        <v>4.0500000000000007</v>
      </c>
      <c r="P249" s="81">
        <f>IF(G249="","",ABS(O249-Components!$C$2)/Components!$D$2)</f>
        <v>196.19872220912416</v>
      </c>
      <c r="Q249" s="81">
        <f>IF(G249="","",ABS(O249-Components!$C$3)/Components!$D$3)</f>
        <v>1.0147463451167131</v>
      </c>
      <c r="R249" s="81">
        <f>IF(G249="","",ABS(O249-Components!$C$4)/Components!$D$4)</f>
        <v>218.66699993996642</v>
      </c>
      <c r="S249" s="81">
        <f>IF(G249="","",ABS(O249-Components!$C$5)/Components!$D$5)</f>
        <v>20.360225245734586</v>
      </c>
      <c r="T249" s="81">
        <f>IF(G249="","",ABS(O249-Components!$C$6)/Components!$D$6)</f>
        <v>104.75902131705493</v>
      </c>
      <c r="U249" s="81">
        <f>IF(G249="","",ABS(O249-Components!$C$7)/Components!$D$7)</f>
        <v>106.40715020835741</v>
      </c>
      <c r="V249" s="81" t="str">
        <f>IF(G249="","",IF(M249="OK","NONE",INDEX({"S1","S2","W1","W2","N1","N2"},MATCH(MIN(P249:U249),P249:U249,0))))</f>
        <v>S2</v>
      </c>
      <c r="W249" s="117">
        <f t="shared" si="27"/>
        <v>1</v>
      </c>
      <c r="X249" s="107"/>
    </row>
    <row r="250" spans="1:24">
      <c r="A250" s="115">
        <v>248</v>
      </c>
      <c r="B250" s="116">
        <v>9</v>
      </c>
      <c r="C250" s="81" t="s">
        <v>130</v>
      </c>
      <c r="D250" s="111" t="s">
        <v>240</v>
      </c>
      <c r="E250" s="81" t="s">
        <v>102</v>
      </c>
      <c r="F250" s="61">
        <v>4.8600000000000003</v>
      </c>
      <c r="G250" s="52">
        <f t="shared" si="21"/>
        <v>5.83</v>
      </c>
      <c r="H250" s="110"/>
      <c r="I250" s="81">
        <v>9.91</v>
      </c>
      <c r="J250" s="81">
        <f>VLOOKUP(C250,Recipes!$A$2:$N$4,12,FALSE())</f>
        <v>5.0137397426368718E-2</v>
      </c>
      <c r="K250" s="81">
        <f t="shared" si="22"/>
        <v>9.6091756154417887</v>
      </c>
      <c r="L250" s="81">
        <f t="shared" si="23"/>
        <v>10.210824384558212</v>
      </c>
      <c r="M250" s="81" t="str">
        <f t="shared" si="25"/>
        <v>NG</v>
      </c>
      <c r="N250" s="117">
        <f t="shared" si="24"/>
        <v>1</v>
      </c>
      <c r="O250" s="81">
        <f t="shared" si="26"/>
        <v>4.08</v>
      </c>
      <c r="P250" s="81">
        <f>IF(G250="","",ABS(O250-Components!$C$2)/Components!$D$2)</f>
        <v>200.73802426537628</v>
      </c>
      <c r="Q250" s="81">
        <f>IF(G250="","",ABS(O250-Components!$C$3)/Components!$D$3)</f>
        <v>3.1892027989380205</v>
      </c>
      <c r="R250" s="81">
        <f>IF(G250="","",ABS(O250-Components!$C$4)/Components!$D$4)</f>
        <v>220.81313189139459</v>
      </c>
      <c r="S250" s="81">
        <f>IF(G250="","",ABS(O250-Components!$C$5)/Components!$D$5)</f>
        <v>19.168794639677326</v>
      </c>
      <c r="T250" s="81">
        <f>IF(G250="","",ABS(O250-Components!$C$6)/Components!$D$6)</f>
        <v>105.84485707871964</v>
      </c>
      <c r="U250" s="81">
        <f>IF(G250="","",ABS(O250-Components!$C$7)/Components!$D$7)</f>
        <v>107.60020409134631</v>
      </c>
      <c r="V250" s="81" t="str">
        <f>IF(G250="","",IF(M250="OK","NONE",INDEX({"S1","S2","W1","W2","N1","N2"},MATCH(MIN(P250:U250),P250:U250,0))))</f>
        <v>S2</v>
      </c>
      <c r="W250" s="117">
        <f t="shared" si="27"/>
        <v>1</v>
      </c>
      <c r="X250" s="107"/>
    </row>
    <row r="251" spans="1:24">
      <c r="A251" s="115">
        <v>249</v>
      </c>
      <c r="B251" s="116">
        <v>9</v>
      </c>
      <c r="C251" s="61" t="s">
        <v>130</v>
      </c>
      <c r="D251" s="61" t="s">
        <v>240</v>
      </c>
      <c r="E251" s="61" t="s">
        <v>102</v>
      </c>
      <c r="F251" s="61">
        <v>4.97</v>
      </c>
      <c r="G251" s="52">
        <f t="shared" si="21"/>
        <v>5.9399999999999995</v>
      </c>
      <c r="H251" s="110"/>
      <c r="I251" s="81">
        <v>9.91</v>
      </c>
      <c r="J251" s="81">
        <f>VLOOKUP(C251,Recipes!$A$2:$N$4,12,FALSE())</f>
        <v>5.0137397426368718E-2</v>
      </c>
      <c r="K251" s="81">
        <f t="shared" si="22"/>
        <v>9.6091756154417887</v>
      </c>
      <c r="L251" s="81">
        <f t="shared" si="23"/>
        <v>10.210824384558212</v>
      </c>
      <c r="M251" s="81" t="str">
        <f t="shared" si="25"/>
        <v>NG</v>
      </c>
      <c r="N251" s="117">
        <f t="shared" si="24"/>
        <v>1</v>
      </c>
      <c r="O251" s="81">
        <f t="shared" si="26"/>
        <v>3.9700000000000006</v>
      </c>
      <c r="P251" s="81">
        <f>IF(G251="","",ABS(O251-Components!$C$2)/Components!$D$2)</f>
        <v>184.09391672578491</v>
      </c>
      <c r="Q251" s="81">
        <f>IF(G251="","",ABS(O251-Components!$C$3)/Components!$D$3)</f>
        <v>4.7838041984069015</v>
      </c>
      <c r="R251" s="81">
        <f>IF(G251="","",ABS(O251-Components!$C$4)/Components!$D$4)</f>
        <v>212.94398140282442</v>
      </c>
      <c r="S251" s="81">
        <f>IF(G251="","",ABS(O251-Components!$C$5)/Components!$D$5)</f>
        <v>23.53737352855401</v>
      </c>
      <c r="T251" s="81">
        <f>IF(G251="","",ABS(O251-Components!$C$6)/Components!$D$6)</f>
        <v>101.86345928594895</v>
      </c>
      <c r="U251" s="81">
        <f>IF(G251="","",ABS(O251-Components!$C$7)/Components!$D$7)</f>
        <v>103.22567318705359</v>
      </c>
      <c r="V251" s="81" t="str">
        <f>IF(G251="","",IF(M251="OK","NONE",INDEX({"S1","S2","W1","W2","N1","N2"},MATCH(MIN(P251:U251),P251:U251,0))))</f>
        <v>S2</v>
      </c>
      <c r="W251" s="117">
        <f t="shared" si="27"/>
        <v>1</v>
      </c>
      <c r="X251" s="107"/>
    </row>
    <row r="252" spans="1:24">
      <c r="A252" s="115">
        <v>250</v>
      </c>
      <c r="B252" s="116">
        <v>9</v>
      </c>
      <c r="C252" s="61" t="s">
        <v>130</v>
      </c>
      <c r="D252" s="61" t="s">
        <v>240</v>
      </c>
      <c r="E252" s="61" t="s">
        <v>102</v>
      </c>
      <c r="F252" s="61">
        <v>4.88</v>
      </c>
      <c r="G252" s="52">
        <f t="shared" si="21"/>
        <v>5.85</v>
      </c>
      <c r="H252" s="110"/>
      <c r="I252" s="81">
        <v>9.91</v>
      </c>
      <c r="J252" s="81">
        <f>VLOOKUP(C252,Recipes!$A$2:$N$4,12,FALSE())</f>
        <v>5.0137397426368718E-2</v>
      </c>
      <c r="K252" s="81">
        <f t="shared" si="22"/>
        <v>9.6091756154417887</v>
      </c>
      <c r="L252" s="81">
        <f t="shared" si="23"/>
        <v>10.210824384558212</v>
      </c>
      <c r="M252" s="81" t="str">
        <f t="shared" si="25"/>
        <v>NG</v>
      </c>
      <c r="N252" s="117">
        <f t="shared" si="24"/>
        <v>1</v>
      </c>
      <c r="O252" s="81">
        <f t="shared" si="26"/>
        <v>4.0600000000000005</v>
      </c>
      <c r="P252" s="81">
        <f>IF(G252="","",ABS(O252-Components!$C$2)/Components!$D$2)</f>
        <v>197.71182289454154</v>
      </c>
      <c r="Q252" s="81">
        <f>IF(G252="","",ABS(O252-Components!$C$3)/Components!$D$3)</f>
        <v>1.7395651630571487</v>
      </c>
      <c r="R252" s="81">
        <f>IF(G252="","",ABS(O252-Components!$C$4)/Components!$D$4)</f>
        <v>219.38237725710914</v>
      </c>
      <c r="S252" s="81">
        <f>IF(G252="","",ABS(O252-Components!$C$5)/Components!$D$5)</f>
        <v>19.963081710382166</v>
      </c>
      <c r="T252" s="81">
        <f>IF(G252="","",ABS(O252-Components!$C$6)/Components!$D$6)</f>
        <v>105.12096657094317</v>
      </c>
      <c r="U252" s="81">
        <f>IF(G252="","",ABS(O252-Components!$C$7)/Components!$D$7)</f>
        <v>106.80483483602038</v>
      </c>
      <c r="V252" s="81" t="str">
        <f>IF(G252="","",IF(M252="OK","NONE",INDEX({"S1","S2","W1","W2","N1","N2"},MATCH(MIN(P252:U252),P252:U252,0))))</f>
        <v>S2</v>
      </c>
      <c r="W252" s="117">
        <f t="shared" si="27"/>
        <v>1</v>
      </c>
      <c r="X252" s="107"/>
    </row>
    <row r="253" spans="1:24">
      <c r="A253" s="115">
        <v>251</v>
      </c>
      <c r="B253" s="116">
        <v>9</v>
      </c>
      <c r="C253" s="81" t="s">
        <v>130</v>
      </c>
      <c r="D253" s="111" t="s">
        <v>240</v>
      </c>
      <c r="E253" s="81" t="s">
        <v>102</v>
      </c>
      <c r="F253" s="61">
        <v>4.83</v>
      </c>
      <c r="G253" s="52">
        <f t="shared" si="21"/>
        <v>5.8</v>
      </c>
      <c r="H253" s="110"/>
      <c r="I253" s="81">
        <v>9.91</v>
      </c>
      <c r="J253" s="81">
        <f>VLOOKUP(C253,Recipes!$A$2:$N$4,12,FALSE())</f>
        <v>5.0137397426368718E-2</v>
      </c>
      <c r="K253" s="81">
        <f t="shared" si="22"/>
        <v>9.6091756154417887</v>
      </c>
      <c r="L253" s="81">
        <f t="shared" si="23"/>
        <v>10.210824384558212</v>
      </c>
      <c r="M253" s="81" t="str">
        <f t="shared" si="25"/>
        <v>NG</v>
      </c>
      <c r="N253" s="117">
        <f t="shared" si="24"/>
        <v>1</v>
      </c>
      <c r="O253" s="81">
        <f t="shared" si="26"/>
        <v>4.1100000000000003</v>
      </c>
      <c r="P253" s="81">
        <f>IF(G253="","",ABS(O253-Components!$C$2)/Components!$D$2)</f>
        <v>205.27732632162852</v>
      </c>
      <c r="Q253" s="81">
        <f>IF(G253="","",ABS(O253-Components!$C$3)/Components!$D$3)</f>
        <v>5.3636592527593923</v>
      </c>
      <c r="R253" s="81">
        <f>IF(G253="","",ABS(O253-Components!$C$4)/Components!$D$4)</f>
        <v>222.95926384282285</v>
      </c>
      <c r="S253" s="81">
        <f>IF(G253="","",ABS(O253-Components!$C$5)/Components!$D$5)</f>
        <v>17.977364033620034</v>
      </c>
      <c r="T253" s="81">
        <f>IF(G253="","",ABS(O253-Components!$C$6)/Components!$D$6)</f>
        <v>106.9306928403844</v>
      </c>
      <c r="U253" s="81">
        <f>IF(G253="","",ABS(O253-Components!$C$7)/Components!$D$7)</f>
        <v>108.79325797433525</v>
      </c>
      <c r="V253" s="81" t="str">
        <f>IF(G253="","",IF(M253="OK","NONE",INDEX({"S1","S2","W1","W2","N1","N2"},MATCH(MIN(P253:U253),P253:U253,0))))</f>
        <v>S2</v>
      </c>
      <c r="W253" s="117">
        <f t="shared" si="27"/>
        <v>1</v>
      </c>
      <c r="X253" s="107"/>
    </row>
    <row r="254" spans="1:24">
      <c r="A254" s="115">
        <v>252</v>
      </c>
      <c r="B254" s="116">
        <v>9</v>
      </c>
      <c r="C254" s="81" t="s">
        <v>130</v>
      </c>
      <c r="D254" s="111" t="s">
        <v>240</v>
      </c>
      <c r="E254" s="81" t="s">
        <v>102</v>
      </c>
      <c r="F254" s="61">
        <v>4.87</v>
      </c>
      <c r="G254" s="52">
        <f t="shared" si="21"/>
        <v>5.84</v>
      </c>
      <c r="H254" s="110"/>
      <c r="I254" s="81">
        <v>9.91</v>
      </c>
      <c r="J254" s="81">
        <f>VLOOKUP(C254,Recipes!$A$2:$N$4,12,FALSE())</f>
        <v>5.0137397426368718E-2</v>
      </c>
      <c r="K254" s="81">
        <f t="shared" si="22"/>
        <v>9.6091756154417887</v>
      </c>
      <c r="L254" s="81">
        <f t="shared" si="23"/>
        <v>10.210824384558212</v>
      </c>
      <c r="M254" s="81" t="str">
        <f t="shared" si="25"/>
        <v>NG</v>
      </c>
      <c r="N254" s="117">
        <f t="shared" si="24"/>
        <v>1</v>
      </c>
      <c r="O254" s="81">
        <f t="shared" si="26"/>
        <v>4.07</v>
      </c>
      <c r="P254" s="81">
        <f>IF(G254="","",ABS(O254-Components!$C$2)/Components!$D$2)</f>
        <v>199.2249235799589</v>
      </c>
      <c r="Q254" s="81">
        <f>IF(G254="","",ABS(O254-Components!$C$3)/Components!$D$3)</f>
        <v>2.4643839809975847</v>
      </c>
      <c r="R254" s="81">
        <f>IF(G254="","",ABS(O254-Components!$C$4)/Components!$D$4)</f>
        <v>220.09775457425187</v>
      </c>
      <c r="S254" s="81">
        <f>IF(G254="","",ABS(O254-Components!$C$5)/Components!$D$5)</f>
        <v>19.565938175029746</v>
      </c>
      <c r="T254" s="81">
        <f>IF(G254="","",ABS(O254-Components!$C$6)/Components!$D$6)</f>
        <v>105.4829118248314</v>
      </c>
      <c r="U254" s="81">
        <f>IF(G254="","",ABS(O254-Components!$C$7)/Components!$D$7)</f>
        <v>107.20251946368334</v>
      </c>
      <c r="V254" s="81" t="str">
        <f>IF(G254="","",IF(M254="OK","NONE",INDEX({"S1","S2","W1","W2","N1","N2"},MATCH(MIN(P254:U254),P254:U254,0))))</f>
        <v>S2</v>
      </c>
      <c r="W254" s="117">
        <f t="shared" si="27"/>
        <v>1</v>
      </c>
      <c r="X254" s="107"/>
    </row>
    <row r="255" spans="1:24">
      <c r="A255" s="115">
        <v>253</v>
      </c>
      <c r="B255" s="116">
        <v>9</v>
      </c>
      <c r="C255" s="81" t="s">
        <v>130</v>
      </c>
      <c r="D255" s="111" t="s">
        <v>240</v>
      </c>
      <c r="E255" s="81" t="s">
        <v>102</v>
      </c>
      <c r="F255" s="61">
        <v>4.93</v>
      </c>
      <c r="G255" s="52">
        <f t="shared" si="21"/>
        <v>5.8999999999999995</v>
      </c>
      <c r="H255" s="110"/>
      <c r="I255" s="81">
        <v>9.91</v>
      </c>
      <c r="J255" s="81">
        <f>VLOOKUP(C255,Recipes!$A$2:$N$4,12,FALSE())</f>
        <v>5.0137397426368718E-2</v>
      </c>
      <c r="K255" s="81">
        <f t="shared" si="22"/>
        <v>9.6091756154417887</v>
      </c>
      <c r="L255" s="81">
        <f t="shared" si="23"/>
        <v>10.210824384558212</v>
      </c>
      <c r="M255" s="81" t="str">
        <f t="shared" si="25"/>
        <v>NG</v>
      </c>
      <c r="N255" s="117">
        <f t="shared" si="24"/>
        <v>1</v>
      </c>
      <c r="O255" s="81">
        <f t="shared" si="26"/>
        <v>4.0100000000000007</v>
      </c>
      <c r="P255" s="81">
        <f>IF(G255="","",ABS(O255-Components!$C$2)/Components!$D$2)</f>
        <v>190.14631946745453</v>
      </c>
      <c r="Q255" s="81">
        <f>IF(G255="","",ABS(O255-Components!$C$3)/Components!$D$3)</f>
        <v>1.8845289266450944</v>
      </c>
      <c r="R255" s="81">
        <f>IF(G255="","",ABS(O255-Components!$C$4)/Components!$D$4)</f>
        <v>215.8054906713954</v>
      </c>
      <c r="S255" s="81">
        <f>IF(G255="","",ABS(O255-Components!$C$5)/Components!$D$5)</f>
        <v>21.948799387144298</v>
      </c>
      <c r="T255" s="81">
        <f>IF(G255="","",ABS(O255-Components!$C$6)/Components!$D$6)</f>
        <v>103.31124030150194</v>
      </c>
      <c r="U255" s="81">
        <f>IF(G255="","",ABS(O255-Components!$C$7)/Components!$D$7)</f>
        <v>104.81641169770549</v>
      </c>
      <c r="V255" s="81" t="str">
        <f>IF(G255="","",IF(M255="OK","NONE",INDEX({"S1","S2","W1","W2","N1","N2"},MATCH(MIN(P255:U255),P255:U255,0))))</f>
        <v>S2</v>
      </c>
      <c r="W255" s="117">
        <f t="shared" si="27"/>
        <v>1</v>
      </c>
      <c r="X255" s="107"/>
    </row>
    <row r="256" spans="1:24">
      <c r="A256" s="115">
        <v>254</v>
      </c>
      <c r="B256" s="116">
        <v>9</v>
      </c>
      <c r="C256" s="61" t="s">
        <v>130</v>
      </c>
      <c r="D256" s="61" t="s">
        <v>240</v>
      </c>
      <c r="E256" s="61" t="s">
        <v>102</v>
      </c>
      <c r="F256" s="61">
        <v>4.91</v>
      </c>
      <c r="G256" s="52">
        <f t="shared" si="21"/>
        <v>5.88</v>
      </c>
      <c r="H256" s="110"/>
      <c r="I256" s="81">
        <v>9.91</v>
      </c>
      <c r="J256" s="81">
        <f>VLOOKUP(C256,Recipes!$A$2:$N$4,12,FALSE())</f>
        <v>5.0137397426368718E-2</v>
      </c>
      <c r="K256" s="81">
        <f t="shared" si="22"/>
        <v>9.6091756154417887</v>
      </c>
      <c r="L256" s="81">
        <f t="shared" si="23"/>
        <v>10.210824384558212</v>
      </c>
      <c r="M256" s="81" t="str">
        <f t="shared" si="25"/>
        <v>NG</v>
      </c>
      <c r="N256" s="117">
        <f t="shared" si="24"/>
        <v>1</v>
      </c>
      <c r="O256" s="81">
        <f t="shared" si="26"/>
        <v>4.03</v>
      </c>
      <c r="P256" s="81">
        <f>IF(G256="","",ABS(O256-Components!$C$2)/Components!$D$2)</f>
        <v>193.17252083828927</v>
      </c>
      <c r="Q256" s="81">
        <f>IF(G256="","",ABS(O256-Components!$C$3)/Components!$D$3)</f>
        <v>0.43489129076422284</v>
      </c>
      <c r="R256" s="81">
        <f>IF(G256="","",ABS(O256-Components!$C$4)/Components!$D$4)</f>
        <v>217.23624530568088</v>
      </c>
      <c r="S256" s="81">
        <f>IF(G256="","",ABS(O256-Components!$C$5)/Components!$D$5)</f>
        <v>21.154512316439458</v>
      </c>
      <c r="T256" s="81">
        <f>IF(G256="","",ABS(O256-Components!$C$6)/Components!$D$6)</f>
        <v>104.03513080927841</v>
      </c>
      <c r="U256" s="81">
        <f>IF(G256="","",ABS(O256-Components!$C$7)/Components!$D$7)</f>
        <v>105.61178095303143</v>
      </c>
      <c r="V256" s="81" t="str">
        <f>IF(G256="","",IF(M256="OK","NONE",INDEX({"S1","S2","W1","W2","N1","N2"},MATCH(MIN(P256:U256),P256:U256,0))))</f>
        <v>S2</v>
      </c>
      <c r="W256" s="117">
        <f t="shared" si="27"/>
        <v>1</v>
      </c>
      <c r="X256" s="107"/>
    </row>
    <row r="257" spans="1:24">
      <c r="A257" s="115">
        <v>255</v>
      </c>
      <c r="B257" s="116">
        <v>9</v>
      </c>
      <c r="C257" s="61" t="s">
        <v>130</v>
      </c>
      <c r="D257" s="61" t="s">
        <v>240</v>
      </c>
      <c r="E257" s="61" t="s">
        <v>102</v>
      </c>
      <c r="F257" s="61">
        <v>4.88</v>
      </c>
      <c r="G257" s="52">
        <f t="shared" si="21"/>
        <v>5.85</v>
      </c>
      <c r="H257" s="110"/>
      <c r="I257" s="81">
        <v>9.91</v>
      </c>
      <c r="J257" s="81">
        <f>VLOOKUP(C257,Recipes!$A$2:$N$4,12,FALSE())</f>
        <v>5.0137397426368718E-2</v>
      </c>
      <c r="K257" s="81">
        <f t="shared" si="22"/>
        <v>9.6091756154417887</v>
      </c>
      <c r="L257" s="81">
        <f t="shared" si="23"/>
        <v>10.210824384558212</v>
      </c>
      <c r="M257" s="81" t="str">
        <f t="shared" si="25"/>
        <v>NG</v>
      </c>
      <c r="N257" s="117">
        <f t="shared" si="24"/>
        <v>1</v>
      </c>
      <c r="O257" s="81">
        <f t="shared" si="26"/>
        <v>4.0600000000000005</v>
      </c>
      <c r="P257" s="81">
        <f>IF(G257="","",ABS(O257-Components!$C$2)/Components!$D$2)</f>
        <v>197.71182289454154</v>
      </c>
      <c r="Q257" s="81">
        <f>IF(G257="","",ABS(O257-Components!$C$3)/Components!$D$3)</f>
        <v>1.7395651630571487</v>
      </c>
      <c r="R257" s="81">
        <f>IF(G257="","",ABS(O257-Components!$C$4)/Components!$D$4)</f>
        <v>219.38237725710914</v>
      </c>
      <c r="S257" s="81">
        <f>IF(G257="","",ABS(O257-Components!$C$5)/Components!$D$5)</f>
        <v>19.963081710382166</v>
      </c>
      <c r="T257" s="81">
        <f>IF(G257="","",ABS(O257-Components!$C$6)/Components!$D$6)</f>
        <v>105.12096657094317</v>
      </c>
      <c r="U257" s="81">
        <f>IF(G257="","",ABS(O257-Components!$C$7)/Components!$D$7)</f>
        <v>106.80483483602038</v>
      </c>
      <c r="V257" s="81" t="str">
        <f>IF(G257="","",IF(M257="OK","NONE",INDEX({"S1","S2","W1","W2","N1","N2"},MATCH(MIN(P257:U257),P257:U257,0))))</f>
        <v>S2</v>
      </c>
      <c r="W257" s="117">
        <f t="shared" si="27"/>
        <v>1</v>
      </c>
      <c r="X257" s="107"/>
    </row>
    <row r="258" spans="1:24">
      <c r="A258" s="115">
        <v>256</v>
      </c>
      <c r="B258" s="116">
        <v>9</v>
      </c>
      <c r="C258" s="81" t="s">
        <v>130</v>
      </c>
      <c r="D258" s="111" t="s">
        <v>240</v>
      </c>
      <c r="E258" s="81" t="s">
        <v>102</v>
      </c>
      <c r="F258" s="61">
        <v>4.87</v>
      </c>
      <c r="G258" s="52">
        <f t="shared" si="21"/>
        <v>5.84</v>
      </c>
      <c r="H258" s="110"/>
      <c r="I258" s="81">
        <v>9.91</v>
      </c>
      <c r="J258" s="81">
        <f>VLOOKUP(C258,Recipes!$A$2:$N$4,12,FALSE())</f>
        <v>5.0137397426368718E-2</v>
      </c>
      <c r="K258" s="81">
        <f t="shared" si="22"/>
        <v>9.6091756154417887</v>
      </c>
      <c r="L258" s="81">
        <f t="shared" si="23"/>
        <v>10.210824384558212</v>
      </c>
      <c r="M258" s="81" t="str">
        <f t="shared" si="25"/>
        <v>NG</v>
      </c>
      <c r="N258" s="117">
        <f t="shared" si="24"/>
        <v>1</v>
      </c>
      <c r="O258" s="81">
        <f t="shared" si="26"/>
        <v>4.07</v>
      </c>
      <c r="P258" s="81">
        <f>IF(G258="","",ABS(O258-Components!$C$2)/Components!$D$2)</f>
        <v>199.2249235799589</v>
      </c>
      <c r="Q258" s="81">
        <f>IF(G258="","",ABS(O258-Components!$C$3)/Components!$D$3)</f>
        <v>2.4643839809975847</v>
      </c>
      <c r="R258" s="81">
        <f>IF(G258="","",ABS(O258-Components!$C$4)/Components!$D$4)</f>
        <v>220.09775457425187</v>
      </c>
      <c r="S258" s="81">
        <f>IF(G258="","",ABS(O258-Components!$C$5)/Components!$D$5)</f>
        <v>19.565938175029746</v>
      </c>
      <c r="T258" s="81">
        <f>IF(G258="","",ABS(O258-Components!$C$6)/Components!$D$6)</f>
        <v>105.4829118248314</v>
      </c>
      <c r="U258" s="81">
        <f>IF(G258="","",ABS(O258-Components!$C$7)/Components!$D$7)</f>
        <v>107.20251946368334</v>
      </c>
      <c r="V258" s="81" t="str">
        <f>IF(G258="","",IF(M258="OK","NONE",INDEX({"S1","S2","W1","W2","N1","N2"},MATCH(MIN(P258:U258),P258:U258,0))))</f>
        <v>S2</v>
      </c>
      <c r="W258" s="117">
        <f t="shared" si="27"/>
        <v>1</v>
      </c>
      <c r="X258" s="107"/>
    </row>
    <row r="259" spans="1:24">
      <c r="A259" s="115">
        <v>257</v>
      </c>
      <c r="B259" s="116">
        <v>9</v>
      </c>
      <c r="C259" s="81" t="s">
        <v>130</v>
      </c>
      <c r="D259" s="111" t="s">
        <v>240</v>
      </c>
      <c r="E259" s="81" t="s">
        <v>102</v>
      </c>
      <c r="F259" s="61">
        <v>4.91</v>
      </c>
      <c r="G259" s="52">
        <f t="shared" ref="G259:G322" si="28">0.97+F259</f>
        <v>5.88</v>
      </c>
      <c r="H259" s="110"/>
      <c r="I259" s="81">
        <v>9.91</v>
      </c>
      <c r="J259" s="81">
        <f>VLOOKUP(C259,Recipes!$A$2:$N$4,12,FALSE())</f>
        <v>5.0137397426368718E-2</v>
      </c>
      <c r="K259" s="81">
        <f t="shared" ref="K259:K322" si="29">I259-6*J259</f>
        <v>9.6091756154417887</v>
      </c>
      <c r="L259" s="81">
        <f t="shared" ref="L259:L322" si="30">I259+6*J259</f>
        <v>10.210824384558212</v>
      </c>
      <c r="M259" s="81" t="str">
        <f t="shared" si="25"/>
        <v>NG</v>
      </c>
      <c r="N259" s="117">
        <f t="shared" ref="N259:N322" si="31">IF(M259="","",IF(M259=D259,1,0))</f>
        <v>1</v>
      </c>
      <c r="O259" s="81">
        <f t="shared" si="26"/>
        <v>4.03</v>
      </c>
      <c r="P259" s="81">
        <f>IF(G259="","",ABS(O259-Components!$C$2)/Components!$D$2)</f>
        <v>193.17252083828927</v>
      </c>
      <c r="Q259" s="81">
        <f>IF(G259="","",ABS(O259-Components!$C$3)/Components!$D$3)</f>
        <v>0.43489129076422284</v>
      </c>
      <c r="R259" s="81">
        <f>IF(G259="","",ABS(O259-Components!$C$4)/Components!$D$4)</f>
        <v>217.23624530568088</v>
      </c>
      <c r="S259" s="81">
        <f>IF(G259="","",ABS(O259-Components!$C$5)/Components!$D$5)</f>
        <v>21.154512316439458</v>
      </c>
      <c r="T259" s="81">
        <f>IF(G259="","",ABS(O259-Components!$C$6)/Components!$D$6)</f>
        <v>104.03513080927841</v>
      </c>
      <c r="U259" s="81">
        <f>IF(G259="","",ABS(O259-Components!$C$7)/Components!$D$7)</f>
        <v>105.61178095303143</v>
      </c>
      <c r="V259" s="81" t="str">
        <f>IF(G259="","",IF(M259="OK","NONE",INDEX({"S1","S2","W1","W2","N1","N2"},MATCH(MIN(P259:U259),P259:U259,0))))</f>
        <v>S2</v>
      </c>
      <c r="W259" s="117">
        <f t="shared" si="27"/>
        <v>1</v>
      </c>
      <c r="X259" s="107"/>
    </row>
    <row r="260" spans="1:24">
      <c r="A260" s="115">
        <v>258</v>
      </c>
      <c r="B260" s="116">
        <v>9</v>
      </c>
      <c r="C260" s="81" t="s">
        <v>130</v>
      </c>
      <c r="D260" s="111" t="s">
        <v>240</v>
      </c>
      <c r="E260" s="81" t="s">
        <v>102</v>
      </c>
      <c r="F260" s="61">
        <v>4.67</v>
      </c>
      <c r="G260" s="52">
        <f t="shared" si="28"/>
        <v>5.64</v>
      </c>
      <c r="H260" s="110"/>
      <c r="I260" s="81">
        <v>9.91</v>
      </c>
      <c r="J260" s="81">
        <f>VLOOKUP(C260,Recipes!$A$2:$N$4,12,FALSE())</f>
        <v>5.0137397426368718E-2</v>
      </c>
      <c r="K260" s="81">
        <f t="shared" si="29"/>
        <v>9.6091756154417887</v>
      </c>
      <c r="L260" s="81">
        <f t="shared" si="30"/>
        <v>10.210824384558212</v>
      </c>
      <c r="M260" s="81" t="str">
        <f t="shared" ref="M260:M323" si="32">IF(G260="","",IF(AND(G260&gt;=K260,G260&lt;=L260),"OK","NG"))</f>
        <v>NG</v>
      </c>
      <c r="N260" s="117">
        <f t="shared" si="31"/>
        <v>1</v>
      </c>
      <c r="O260" s="81">
        <f t="shared" ref="O260:O323" si="33">IF(G260="","",I260-G260)</f>
        <v>4.2700000000000005</v>
      </c>
      <c r="P260" s="81">
        <f>IF(G260="","",ABS(O260-Components!$C$2)/Components!$D$2)</f>
        <v>229.48693728830702</v>
      </c>
      <c r="Q260" s="81">
        <f>IF(G260="","",ABS(O260-Components!$C$3)/Components!$D$3)</f>
        <v>16.960760339806622</v>
      </c>
      <c r="R260" s="81">
        <f>IF(G260="","",ABS(O260-Components!$C$4)/Components!$D$4)</f>
        <v>234.40530091710681</v>
      </c>
      <c r="S260" s="81">
        <f>IF(G260="","",ABS(O260-Components!$C$5)/Components!$D$5)</f>
        <v>11.623067467981183</v>
      </c>
      <c r="T260" s="81">
        <f>IF(G260="","",ABS(O260-Components!$C$6)/Components!$D$6)</f>
        <v>112.72181690259636</v>
      </c>
      <c r="U260" s="81">
        <f>IF(G260="","",ABS(O260-Components!$C$7)/Components!$D$7)</f>
        <v>115.15621201694289</v>
      </c>
      <c r="V260" s="81" t="str">
        <f>IF(G260="","",IF(M260="OK","NONE",INDEX({"S1","S2","W1","W2","N1","N2"},MATCH(MIN(P260:U260),P260:U260,0))))</f>
        <v>W2</v>
      </c>
      <c r="W260" s="122">
        <f t="shared" ref="W260:W323" si="34">IF(G260="","",IF(V260=E260,1,0))</f>
        <v>0</v>
      </c>
      <c r="X260" s="107"/>
    </row>
    <row r="261" spans="1:24">
      <c r="A261" s="115">
        <v>259</v>
      </c>
      <c r="B261" s="116">
        <v>9</v>
      </c>
      <c r="C261" s="61" t="s">
        <v>130</v>
      </c>
      <c r="D261" s="61" t="s">
        <v>240</v>
      </c>
      <c r="E261" s="61" t="s">
        <v>102</v>
      </c>
      <c r="F261" s="61">
        <v>4.8600000000000003</v>
      </c>
      <c r="G261" s="52">
        <f t="shared" si="28"/>
        <v>5.83</v>
      </c>
      <c r="H261" s="110"/>
      <c r="I261" s="81">
        <v>9.91</v>
      </c>
      <c r="J261" s="81">
        <f>VLOOKUP(C261,Recipes!$A$2:$N$4,12,FALSE())</f>
        <v>5.0137397426368718E-2</v>
      </c>
      <c r="K261" s="81">
        <f t="shared" si="29"/>
        <v>9.6091756154417887</v>
      </c>
      <c r="L261" s="81">
        <f t="shared" si="30"/>
        <v>10.210824384558212</v>
      </c>
      <c r="M261" s="81" t="str">
        <f t="shared" si="32"/>
        <v>NG</v>
      </c>
      <c r="N261" s="117">
        <f t="shared" si="31"/>
        <v>1</v>
      </c>
      <c r="O261" s="81">
        <f t="shared" si="33"/>
        <v>4.08</v>
      </c>
      <c r="P261" s="81">
        <f>IF(G261="","",ABS(O261-Components!$C$2)/Components!$D$2)</f>
        <v>200.73802426537628</v>
      </c>
      <c r="Q261" s="81">
        <f>IF(G261="","",ABS(O261-Components!$C$3)/Components!$D$3)</f>
        <v>3.1892027989380205</v>
      </c>
      <c r="R261" s="81">
        <f>IF(G261="","",ABS(O261-Components!$C$4)/Components!$D$4)</f>
        <v>220.81313189139459</v>
      </c>
      <c r="S261" s="81">
        <f>IF(G261="","",ABS(O261-Components!$C$5)/Components!$D$5)</f>
        <v>19.168794639677326</v>
      </c>
      <c r="T261" s="81">
        <f>IF(G261="","",ABS(O261-Components!$C$6)/Components!$D$6)</f>
        <v>105.84485707871964</v>
      </c>
      <c r="U261" s="81">
        <f>IF(G261="","",ABS(O261-Components!$C$7)/Components!$D$7)</f>
        <v>107.60020409134631</v>
      </c>
      <c r="V261" s="81" t="str">
        <f>IF(G261="","",IF(M261="OK","NONE",INDEX({"S1","S2","W1","W2","N1","N2"},MATCH(MIN(P261:U261),P261:U261,0))))</f>
        <v>S2</v>
      </c>
      <c r="W261" s="117">
        <f t="shared" si="34"/>
        <v>1</v>
      </c>
      <c r="X261" s="107"/>
    </row>
    <row r="262" spans="1:24">
      <c r="A262" s="115">
        <v>260</v>
      </c>
      <c r="B262" s="116">
        <v>9</v>
      </c>
      <c r="C262" s="61" t="s">
        <v>130</v>
      </c>
      <c r="D262" s="61" t="s">
        <v>240</v>
      </c>
      <c r="E262" s="61" t="s">
        <v>102</v>
      </c>
      <c r="F262" s="61">
        <v>4.75</v>
      </c>
      <c r="G262" s="52">
        <f t="shared" si="28"/>
        <v>5.72</v>
      </c>
      <c r="H262" s="110"/>
      <c r="I262" s="81">
        <v>9.91</v>
      </c>
      <c r="J262" s="81">
        <f>VLOOKUP(C262,Recipes!$A$2:$N$4,12,FALSE())</f>
        <v>5.0137397426368718E-2</v>
      </c>
      <c r="K262" s="81">
        <f t="shared" si="29"/>
        <v>9.6091756154417887</v>
      </c>
      <c r="L262" s="81">
        <f t="shared" si="30"/>
        <v>10.210824384558212</v>
      </c>
      <c r="M262" s="81" t="str">
        <f t="shared" si="32"/>
        <v>NG</v>
      </c>
      <c r="N262" s="117">
        <f t="shared" si="31"/>
        <v>1</v>
      </c>
      <c r="O262" s="81">
        <f t="shared" si="33"/>
        <v>4.1900000000000004</v>
      </c>
      <c r="P262" s="81">
        <f>IF(G262="","",ABS(O262-Components!$C$2)/Components!$D$2)</f>
        <v>217.38213180496777</v>
      </c>
      <c r="Q262" s="81">
        <f>IF(G262="","",ABS(O262-Components!$C$3)/Components!$D$3)</f>
        <v>11.162209796283006</v>
      </c>
      <c r="R262" s="81">
        <f>IF(G262="","",ABS(O262-Components!$C$4)/Components!$D$4)</f>
        <v>228.68228237996485</v>
      </c>
      <c r="S262" s="81">
        <f>IF(G262="","",ABS(O262-Components!$C$5)/Components!$D$5)</f>
        <v>14.800215750800609</v>
      </c>
      <c r="T262" s="81">
        <f>IF(G262="","",ABS(O262-Components!$C$6)/Components!$D$6)</f>
        <v>109.82625487149038</v>
      </c>
      <c r="U262" s="81">
        <f>IF(G262="","",ABS(O262-Components!$C$7)/Components!$D$7)</f>
        <v>111.97473499563907</v>
      </c>
      <c r="V262" s="81" t="str">
        <f>IF(G262="","",IF(M262="OK","NONE",INDEX({"S1","S2","W1","W2","N1","N2"},MATCH(MIN(P262:U262),P262:U262,0))))</f>
        <v>S2</v>
      </c>
      <c r="W262" s="117">
        <f t="shared" si="34"/>
        <v>1</v>
      </c>
      <c r="X262" s="107"/>
    </row>
    <row r="263" spans="1:24">
      <c r="A263" s="115">
        <v>261</v>
      </c>
      <c r="B263" s="116">
        <v>9</v>
      </c>
      <c r="C263" s="81" t="s">
        <v>130</v>
      </c>
      <c r="D263" s="111" t="s">
        <v>240</v>
      </c>
      <c r="E263" s="81" t="s">
        <v>102</v>
      </c>
      <c r="F263" s="61">
        <v>4.91</v>
      </c>
      <c r="G263" s="52">
        <f t="shared" si="28"/>
        <v>5.88</v>
      </c>
      <c r="H263" s="110"/>
      <c r="I263" s="81">
        <v>9.91</v>
      </c>
      <c r="J263" s="81">
        <f>VLOOKUP(C263,Recipes!$A$2:$N$4,12,FALSE())</f>
        <v>5.0137397426368718E-2</v>
      </c>
      <c r="K263" s="81">
        <f t="shared" si="29"/>
        <v>9.6091756154417887</v>
      </c>
      <c r="L263" s="81">
        <f t="shared" si="30"/>
        <v>10.210824384558212</v>
      </c>
      <c r="M263" s="81" t="str">
        <f t="shared" si="32"/>
        <v>NG</v>
      </c>
      <c r="N263" s="117">
        <f t="shared" si="31"/>
        <v>1</v>
      </c>
      <c r="O263" s="81">
        <f t="shared" si="33"/>
        <v>4.03</v>
      </c>
      <c r="P263" s="81">
        <f>IF(G263="","",ABS(O263-Components!$C$2)/Components!$D$2)</f>
        <v>193.17252083828927</v>
      </c>
      <c r="Q263" s="81">
        <f>IF(G263="","",ABS(O263-Components!$C$3)/Components!$D$3)</f>
        <v>0.43489129076422284</v>
      </c>
      <c r="R263" s="81">
        <f>IF(G263="","",ABS(O263-Components!$C$4)/Components!$D$4)</f>
        <v>217.23624530568088</v>
      </c>
      <c r="S263" s="81">
        <f>IF(G263="","",ABS(O263-Components!$C$5)/Components!$D$5)</f>
        <v>21.154512316439458</v>
      </c>
      <c r="T263" s="81">
        <f>IF(G263="","",ABS(O263-Components!$C$6)/Components!$D$6)</f>
        <v>104.03513080927841</v>
      </c>
      <c r="U263" s="81">
        <f>IF(G263="","",ABS(O263-Components!$C$7)/Components!$D$7)</f>
        <v>105.61178095303143</v>
      </c>
      <c r="V263" s="81" t="str">
        <f>IF(G263="","",IF(M263="OK","NONE",INDEX({"S1","S2","W1","W2","N1","N2"},MATCH(MIN(P263:U263),P263:U263,0))))</f>
        <v>S2</v>
      </c>
      <c r="W263" s="117">
        <f t="shared" si="34"/>
        <v>1</v>
      </c>
      <c r="X263" s="107"/>
    </row>
    <row r="264" spans="1:24">
      <c r="A264" s="115">
        <v>262</v>
      </c>
      <c r="B264" s="116">
        <v>9</v>
      </c>
      <c r="C264" s="81" t="s">
        <v>130</v>
      </c>
      <c r="D264" s="111" t="s">
        <v>240</v>
      </c>
      <c r="E264" s="81" t="s">
        <v>102</v>
      </c>
      <c r="F264" s="61">
        <v>4.82</v>
      </c>
      <c r="G264" s="52">
        <f t="shared" si="28"/>
        <v>5.79</v>
      </c>
      <c r="H264" s="110"/>
      <c r="I264" s="81">
        <v>9.91</v>
      </c>
      <c r="J264" s="81">
        <f>VLOOKUP(C264,Recipes!$A$2:$N$4,12,FALSE())</f>
        <v>5.0137397426368718E-2</v>
      </c>
      <c r="K264" s="81">
        <f t="shared" si="29"/>
        <v>9.6091756154417887</v>
      </c>
      <c r="L264" s="81">
        <f t="shared" si="30"/>
        <v>10.210824384558212</v>
      </c>
      <c r="M264" s="81" t="str">
        <f t="shared" si="32"/>
        <v>NG</v>
      </c>
      <c r="N264" s="117">
        <f t="shared" si="31"/>
        <v>1</v>
      </c>
      <c r="O264" s="81">
        <f t="shared" si="33"/>
        <v>4.12</v>
      </c>
      <c r="P264" s="81">
        <f>IF(G264="","",ABS(O264-Components!$C$2)/Components!$D$2)</f>
        <v>206.79042700704591</v>
      </c>
      <c r="Q264" s="81">
        <f>IF(G264="","",ABS(O264-Components!$C$3)/Components!$D$3)</f>
        <v>6.0884780706998276</v>
      </c>
      <c r="R264" s="81">
        <f>IF(G264="","",ABS(O264-Components!$C$4)/Components!$D$4)</f>
        <v>223.6746411599656</v>
      </c>
      <c r="S264" s="81">
        <f>IF(G264="","",ABS(O264-Components!$C$5)/Components!$D$5)</f>
        <v>17.580220498267614</v>
      </c>
      <c r="T264" s="81">
        <f>IF(G264="","",ABS(O264-Components!$C$6)/Components!$D$6)</f>
        <v>107.29263809427263</v>
      </c>
      <c r="U264" s="81">
        <f>IF(G264="","",ABS(O264-Components!$C$7)/Components!$D$7)</f>
        <v>109.19094260199822</v>
      </c>
      <c r="V264" s="81" t="str">
        <f>IF(G264="","",IF(M264="OK","NONE",INDEX({"S1","S2","W1","W2","N1","N2"},MATCH(MIN(P264:U264),P264:U264,0))))</f>
        <v>S2</v>
      </c>
      <c r="W264" s="117">
        <f t="shared" si="34"/>
        <v>1</v>
      </c>
      <c r="X264" s="107"/>
    </row>
    <row r="265" spans="1:24">
      <c r="A265" s="115">
        <v>263</v>
      </c>
      <c r="B265" s="116">
        <v>9</v>
      </c>
      <c r="C265" s="81" t="s">
        <v>130</v>
      </c>
      <c r="D265" s="111" t="s">
        <v>240</v>
      </c>
      <c r="E265" s="81" t="s">
        <v>102</v>
      </c>
      <c r="F265" s="61">
        <v>4.83</v>
      </c>
      <c r="G265" s="52">
        <f t="shared" si="28"/>
        <v>5.8</v>
      </c>
      <c r="H265" s="110"/>
      <c r="I265" s="81">
        <v>9.91</v>
      </c>
      <c r="J265" s="81">
        <f>VLOOKUP(C265,Recipes!$A$2:$N$4,12,FALSE())</f>
        <v>5.0137397426368718E-2</v>
      </c>
      <c r="K265" s="81">
        <f t="shared" si="29"/>
        <v>9.6091756154417887</v>
      </c>
      <c r="L265" s="81">
        <f t="shared" si="30"/>
        <v>10.210824384558212</v>
      </c>
      <c r="M265" s="81" t="str">
        <f t="shared" si="32"/>
        <v>NG</v>
      </c>
      <c r="N265" s="117">
        <f t="shared" si="31"/>
        <v>1</v>
      </c>
      <c r="O265" s="81">
        <f t="shared" si="33"/>
        <v>4.1100000000000003</v>
      </c>
      <c r="P265" s="81">
        <f>IF(G265="","",ABS(O265-Components!$C$2)/Components!$D$2)</f>
        <v>205.27732632162852</v>
      </c>
      <c r="Q265" s="81">
        <f>IF(G265="","",ABS(O265-Components!$C$3)/Components!$D$3)</f>
        <v>5.3636592527593923</v>
      </c>
      <c r="R265" s="81">
        <f>IF(G265="","",ABS(O265-Components!$C$4)/Components!$D$4)</f>
        <v>222.95926384282285</v>
      </c>
      <c r="S265" s="81">
        <f>IF(G265="","",ABS(O265-Components!$C$5)/Components!$D$5)</f>
        <v>17.977364033620034</v>
      </c>
      <c r="T265" s="81">
        <f>IF(G265="","",ABS(O265-Components!$C$6)/Components!$D$6)</f>
        <v>106.9306928403844</v>
      </c>
      <c r="U265" s="81">
        <f>IF(G265="","",ABS(O265-Components!$C$7)/Components!$D$7)</f>
        <v>108.79325797433525</v>
      </c>
      <c r="V265" s="81" t="str">
        <f>IF(G265="","",IF(M265="OK","NONE",INDEX({"S1","S2","W1","W2","N1","N2"},MATCH(MIN(P265:U265),P265:U265,0))))</f>
        <v>S2</v>
      </c>
      <c r="W265" s="117">
        <f t="shared" si="34"/>
        <v>1</v>
      </c>
      <c r="X265" s="107"/>
    </row>
    <row r="266" spans="1:24">
      <c r="A266" s="115">
        <v>264</v>
      </c>
      <c r="B266" s="116">
        <v>9</v>
      </c>
      <c r="C266" s="61" t="s">
        <v>130</v>
      </c>
      <c r="D266" s="61" t="s">
        <v>240</v>
      </c>
      <c r="E266" s="61" t="s">
        <v>102</v>
      </c>
      <c r="F266" s="61">
        <v>4.78</v>
      </c>
      <c r="G266" s="52">
        <f t="shared" si="28"/>
        <v>5.75</v>
      </c>
      <c r="H266" s="110"/>
      <c r="I266" s="81">
        <v>9.91</v>
      </c>
      <c r="J266" s="81">
        <f>VLOOKUP(C266,Recipes!$A$2:$N$4,12,FALSE())</f>
        <v>5.0137397426368718E-2</v>
      </c>
      <c r="K266" s="81">
        <f t="shared" si="29"/>
        <v>9.6091756154417887</v>
      </c>
      <c r="L266" s="81">
        <f t="shared" si="30"/>
        <v>10.210824384558212</v>
      </c>
      <c r="M266" s="81" t="str">
        <f t="shared" si="32"/>
        <v>NG</v>
      </c>
      <c r="N266" s="117">
        <f t="shared" si="31"/>
        <v>1</v>
      </c>
      <c r="O266" s="81">
        <f t="shared" si="33"/>
        <v>4.16</v>
      </c>
      <c r="P266" s="81">
        <f>IF(G266="","",ABS(O266-Components!$C$2)/Components!$D$2)</f>
        <v>212.84282974871553</v>
      </c>
      <c r="Q266" s="81">
        <f>IF(G266="","",ABS(O266-Components!$C$3)/Components!$D$3)</f>
        <v>8.9877533424616356</v>
      </c>
      <c r="R266" s="81">
        <f>IF(G266="","",ABS(O266-Components!$C$4)/Components!$D$4)</f>
        <v>226.53615042853659</v>
      </c>
      <c r="S266" s="81">
        <f>IF(G266="","",ABS(O266-Components!$C$5)/Components!$D$5)</f>
        <v>15.991646356857903</v>
      </c>
      <c r="T266" s="81">
        <f>IF(G266="","",ABS(O266-Components!$C$6)/Components!$D$6)</f>
        <v>108.74041910982562</v>
      </c>
      <c r="U266" s="81">
        <f>IF(G266="","",ABS(O266-Components!$C$7)/Components!$D$7)</f>
        <v>110.78168111265013</v>
      </c>
      <c r="V266" s="81" t="str">
        <f>IF(G266="","",IF(M266="OK","NONE",INDEX({"S1","S2","W1","W2","N1","N2"},MATCH(MIN(P266:U266),P266:U266,0))))</f>
        <v>S2</v>
      </c>
      <c r="W266" s="117">
        <f t="shared" si="34"/>
        <v>1</v>
      </c>
      <c r="X266" s="107"/>
    </row>
    <row r="267" spans="1:24">
      <c r="A267" s="115">
        <v>265</v>
      </c>
      <c r="B267" s="116">
        <v>9</v>
      </c>
      <c r="C267" s="61" t="s">
        <v>130</v>
      </c>
      <c r="D267" s="61" t="s">
        <v>240</v>
      </c>
      <c r="E267" s="61" t="s">
        <v>102</v>
      </c>
      <c r="F267" s="61">
        <v>4.88</v>
      </c>
      <c r="G267" s="52">
        <f t="shared" si="28"/>
        <v>5.85</v>
      </c>
      <c r="H267" s="110"/>
      <c r="I267" s="81">
        <v>9.91</v>
      </c>
      <c r="J267" s="81">
        <f>VLOOKUP(C267,Recipes!$A$2:$N$4,12,FALSE())</f>
        <v>5.0137397426368718E-2</v>
      </c>
      <c r="K267" s="81">
        <f t="shared" si="29"/>
        <v>9.6091756154417887</v>
      </c>
      <c r="L267" s="81">
        <f t="shared" si="30"/>
        <v>10.210824384558212</v>
      </c>
      <c r="M267" s="81" t="str">
        <f t="shared" si="32"/>
        <v>NG</v>
      </c>
      <c r="N267" s="117">
        <f t="shared" si="31"/>
        <v>1</v>
      </c>
      <c r="O267" s="81">
        <f t="shared" si="33"/>
        <v>4.0600000000000005</v>
      </c>
      <c r="P267" s="81">
        <f>IF(G267="","",ABS(O267-Components!$C$2)/Components!$D$2)</f>
        <v>197.71182289454154</v>
      </c>
      <c r="Q267" s="81">
        <f>IF(G267="","",ABS(O267-Components!$C$3)/Components!$D$3)</f>
        <v>1.7395651630571487</v>
      </c>
      <c r="R267" s="81">
        <f>IF(G267="","",ABS(O267-Components!$C$4)/Components!$D$4)</f>
        <v>219.38237725710914</v>
      </c>
      <c r="S267" s="81">
        <f>IF(G267="","",ABS(O267-Components!$C$5)/Components!$D$5)</f>
        <v>19.963081710382166</v>
      </c>
      <c r="T267" s="81">
        <f>IF(G267="","",ABS(O267-Components!$C$6)/Components!$D$6)</f>
        <v>105.12096657094317</v>
      </c>
      <c r="U267" s="81">
        <f>IF(G267="","",ABS(O267-Components!$C$7)/Components!$D$7)</f>
        <v>106.80483483602038</v>
      </c>
      <c r="V267" s="81" t="str">
        <f>IF(G267="","",IF(M267="OK","NONE",INDEX({"S1","S2","W1","W2","N1","N2"},MATCH(MIN(P267:U267),P267:U267,0))))</f>
        <v>S2</v>
      </c>
      <c r="W267" s="117">
        <f t="shared" si="34"/>
        <v>1</v>
      </c>
      <c r="X267" s="107"/>
    </row>
    <row r="268" spans="1:24">
      <c r="A268" s="115">
        <v>266</v>
      </c>
      <c r="B268" s="116">
        <v>9</v>
      </c>
      <c r="C268" s="81" t="s">
        <v>130</v>
      </c>
      <c r="D268" s="111" t="s">
        <v>240</v>
      </c>
      <c r="E268" s="81" t="s">
        <v>102</v>
      </c>
      <c r="F268" s="52">
        <v>4.91</v>
      </c>
      <c r="G268" s="52">
        <f t="shared" si="28"/>
        <v>5.88</v>
      </c>
      <c r="H268" s="110"/>
      <c r="I268" s="81">
        <v>9.91</v>
      </c>
      <c r="J268" s="81">
        <f>VLOOKUP(C268,Recipes!$A$2:$N$4,12,FALSE())</f>
        <v>5.0137397426368718E-2</v>
      </c>
      <c r="K268" s="81">
        <f t="shared" si="29"/>
        <v>9.6091756154417887</v>
      </c>
      <c r="L268" s="81">
        <f t="shared" si="30"/>
        <v>10.210824384558212</v>
      </c>
      <c r="M268" s="81" t="str">
        <f t="shared" si="32"/>
        <v>NG</v>
      </c>
      <c r="N268" s="117">
        <f t="shared" si="31"/>
        <v>1</v>
      </c>
      <c r="O268" s="81">
        <f t="shared" si="33"/>
        <v>4.03</v>
      </c>
      <c r="P268" s="81">
        <f>IF(G268="","",ABS(O268-Components!$C$2)/Components!$D$2)</f>
        <v>193.17252083828927</v>
      </c>
      <c r="Q268" s="81">
        <f>IF(G268="","",ABS(O268-Components!$C$3)/Components!$D$3)</f>
        <v>0.43489129076422284</v>
      </c>
      <c r="R268" s="81">
        <f>IF(G268="","",ABS(O268-Components!$C$4)/Components!$D$4)</f>
        <v>217.23624530568088</v>
      </c>
      <c r="S268" s="81">
        <f>IF(G268="","",ABS(O268-Components!$C$5)/Components!$D$5)</f>
        <v>21.154512316439458</v>
      </c>
      <c r="T268" s="81">
        <f>IF(G268="","",ABS(O268-Components!$C$6)/Components!$D$6)</f>
        <v>104.03513080927841</v>
      </c>
      <c r="U268" s="81">
        <f>IF(G268="","",ABS(O268-Components!$C$7)/Components!$D$7)</f>
        <v>105.61178095303143</v>
      </c>
      <c r="V268" s="81" t="str">
        <f>IF(G268="","",IF(M268="OK","NONE",INDEX({"S1","S2","W1","W2","N1","N2"},MATCH(MIN(P268:U268),P268:U268,0))))</f>
        <v>S2</v>
      </c>
      <c r="W268" s="117">
        <f t="shared" si="34"/>
        <v>1</v>
      </c>
      <c r="X268" s="107"/>
    </row>
    <row r="269" spans="1:24">
      <c r="A269" s="115">
        <v>267</v>
      </c>
      <c r="B269" s="116">
        <v>9</v>
      </c>
      <c r="C269" s="81" t="s">
        <v>130</v>
      </c>
      <c r="D269" s="111" t="s">
        <v>240</v>
      </c>
      <c r="E269" s="81" t="s">
        <v>102</v>
      </c>
      <c r="F269" s="52">
        <v>4.8899999999999997</v>
      </c>
      <c r="G269" s="52">
        <f t="shared" si="28"/>
        <v>5.8599999999999994</v>
      </c>
      <c r="H269" s="110"/>
      <c r="I269" s="81">
        <v>9.91</v>
      </c>
      <c r="J269" s="81">
        <f>VLOOKUP(C269,Recipes!$A$2:$N$4,12,FALSE())</f>
        <v>5.0137397426368718E-2</v>
      </c>
      <c r="K269" s="81">
        <f t="shared" si="29"/>
        <v>9.6091756154417887</v>
      </c>
      <c r="L269" s="81">
        <f t="shared" si="30"/>
        <v>10.210824384558212</v>
      </c>
      <c r="M269" s="81" t="str">
        <f t="shared" si="32"/>
        <v>NG</v>
      </c>
      <c r="N269" s="117">
        <f t="shared" si="31"/>
        <v>1</v>
      </c>
      <c r="O269" s="81">
        <f t="shared" si="33"/>
        <v>4.0500000000000007</v>
      </c>
      <c r="P269" s="81">
        <f>IF(G269="","",ABS(O269-Components!$C$2)/Components!$D$2)</f>
        <v>196.19872220912416</v>
      </c>
      <c r="Q269" s="81">
        <f>IF(G269="","",ABS(O269-Components!$C$3)/Components!$D$3)</f>
        <v>1.0147463451167131</v>
      </c>
      <c r="R269" s="81">
        <f>IF(G269="","",ABS(O269-Components!$C$4)/Components!$D$4)</f>
        <v>218.66699993996642</v>
      </c>
      <c r="S269" s="81">
        <f>IF(G269="","",ABS(O269-Components!$C$5)/Components!$D$5)</f>
        <v>20.360225245734586</v>
      </c>
      <c r="T269" s="81">
        <f>IF(G269="","",ABS(O269-Components!$C$6)/Components!$D$6)</f>
        <v>104.75902131705493</v>
      </c>
      <c r="U269" s="81">
        <f>IF(G269="","",ABS(O269-Components!$C$7)/Components!$D$7)</f>
        <v>106.40715020835741</v>
      </c>
      <c r="V269" s="81" t="str">
        <f>IF(G269="","",IF(M269="OK","NONE",INDEX({"S1","S2","W1","W2","N1","N2"},MATCH(MIN(P269:U269),P269:U269,0))))</f>
        <v>S2</v>
      </c>
      <c r="W269" s="117">
        <f t="shared" si="34"/>
        <v>1</v>
      </c>
      <c r="X269" s="107"/>
    </row>
    <row r="270" spans="1:24">
      <c r="A270" s="115">
        <v>268</v>
      </c>
      <c r="B270" s="116">
        <v>9</v>
      </c>
      <c r="C270" s="81" t="s">
        <v>130</v>
      </c>
      <c r="D270" s="111" t="s">
        <v>240</v>
      </c>
      <c r="E270" s="81" t="s">
        <v>102</v>
      </c>
      <c r="F270" s="52">
        <v>4.8899999999999997</v>
      </c>
      <c r="G270" s="52">
        <f t="shared" si="28"/>
        <v>5.8599999999999994</v>
      </c>
      <c r="H270" s="110"/>
      <c r="I270" s="81">
        <v>9.91</v>
      </c>
      <c r="J270" s="81">
        <f>VLOOKUP(C270,Recipes!$A$2:$N$4,12,FALSE())</f>
        <v>5.0137397426368718E-2</v>
      </c>
      <c r="K270" s="81">
        <f t="shared" si="29"/>
        <v>9.6091756154417887</v>
      </c>
      <c r="L270" s="81">
        <f t="shared" si="30"/>
        <v>10.210824384558212</v>
      </c>
      <c r="M270" s="81" t="str">
        <f t="shared" si="32"/>
        <v>NG</v>
      </c>
      <c r="N270" s="117">
        <f t="shared" si="31"/>
        <v>1</v>
      </c>
      <c r="O270" s="81">
        <f t="shared" si="33"/>
        <v>4.0500000000000007</v>
      </c>
      <c r="P270" s="81">
        <f>IF(G270="","",ABS(O270-Components!$C$2)/Components!$D$2)</f>
        <v>196.19872220912416</v>
      </c>
      <c r="Q270" s="81">
        <f>IF(G270="","",ABS(O270-Components!$C$3)/Components!$D$3)</f>
        <v>1.0147463451167131</v>
      </c>
      <c r="R270" s="81">
        <f>IF(G270="","",ABS(O270-Components!$C$4)/Components!$D$4)</f>
        <v>218.66699993996642</v>
      </c>
      <c r="S270" s="81">
        <f>IF(G270="","",ABS(O270-Components!$C$5)/Components!$D$5)</f>
        <v>20.360225245734586</v>
      </c>
      <c r="T270" s="81">
        <f>IF(G270="","",ABS(O270-Components!$C$6)/Components!$D$6)</f>
        <v>104.75902131705493</v>
      </c>
      <c r="U270" s="81">
        <f>IF(G270="","",ABS(O270-Components!$C$7)/Components!$D$7)</f>
        <v>106.40715020835741</v>
      </c>
      <c r="V270" s="81" t="str">
        <f>IF(G270="","",IF(M270="OK","NONE",INDEX({"S1","S2","W1","W2","N1","N2"},MATCH(MIN(P270:U270),P270:U270,0))))</f>
        <v>S2</v>
      </c>
      <c r="W270" s="117">
        <f t="shared" si="34"/>
        <v>1</v>
      </c>
      <c r="X270" s="107"/>
    </row>
    <row r="271" spans="1:24">
      <c r="A271" s="115">
        <v>269</v>
      </c>
      <c r="B271" s="116">
        <v>9</v>
      </c>
      <c r="C271" s="61" t="s">
        <v>130</v>
      </c>
      <c r="D271" s="61" t="s">
        <v>240</v>
      </c>
      <c r="E271" s="61" t="s">
        <v>102</v>
      </c>
      <c r="F271" s="61">
        <v>4.9000000000000004</v>
      </c>
      <c r="G271" s="52">
        <f t="shared" si="28"/>
        <v>5.87</v>
      </c>
      <c r="H271" s="110"/>
      <c r="I271" s="81">
        <v>9.91</v>
      </c>
      <c r="J271" s="81">
        <f>VLOOKUP(C271,Recipes!$A$2:$N$4,12,FALSE())</f>
        <v>5.0137397426368718E-2</v>
      </c>
      <c r="K271" s="81">
        <f t="shared" si="29"/>
        <v>9.6091756154417887</v>
      </c>
      <c r="L271" s="81">
        <f t="shared" si="30"/>
        <v>10.210824384558212</v>
      </c>
      <c r="M271" s="81" t="str">
        <f t="shared" si="32"/>
        <v>NG</v>
      </c>
      <c r="N271" s="117">
        <f t="shared" si="31"/>
        <v>1</v>
      </c>
      <c r="O271" s="81">
        <f t="shared" si="33"/>
        <v>4.04</v>
      </c>
      <c r="P271" s="81">
        <f>IF(G271="","",ABS(O271-Components!$C$2)/Components!$D$2)</f>
        <v>194.68562152370666</v>
      </c>
      <c r="Q271" s="81">
        <f>IF(G271="","",ABS(O271-Components!$C$3)/Components!$D$3)</f>
        <v>0.28992752717621295</v>
      </c>
      <c r="R271" s="81">
        <f>IF(G271="","",ABS(O271-Components!$C$4)/Components!$D$4)</f>
        <v>217.95162262282361</v>
      </c>
      <c r="S271" s="81">
        <f>IF(G271="","",ABS(O271-Components!$C$5)/Components!$D$5)</f>
        <v>20.757368781087038</v>
      </c>
      <c r="T271" s="81">
        <f>IF(G271="","",ABS(O271-Components!$C$6)/Components!$D$6)</f>
        <v>104.39707606316665</v>
      </c>
      <c r="U271" s="81">
        <f>IF(G271="","",ABS(O271-Components!$C$7)/Components!$D$7)</f>
        <v>106.0094655806944</v>
      </c>
      <c r="V271" s="81" t="str">
        <f>IF(G271="","",IF(M271="OK","NONE",INDEX({"S1","S2","W1","W2","N1","N2"},MATCH(MIN(P271:U271),P271:U271,0))))</f>
        <v>S2</v>
      </c>
      <c r="W271" s="117">
        <f t="shared" si="34"/>
        <v>1</v>
      </c>
      <c r="X271" s="107"/>
    </row>
    <row r="272" spans="1:24">
      <c r="A272" s="115">
        <v>270</v>
      </c>
      <c r="B272" s="116">
        <v>9</v>
      </c>
      <c r="C272" s="61" t="s">
        <v>130</v>
      </c>
      <c r="D272" s="61" t="s">
        <v>240</v>
      </c>
      <c r="E272" s="61" t="s">
        <v>102</v>
      </c>
      <c r="F272" s="61">
        <v>4.91</v>
      </c>
      <c r="G272" s="52">
        <f t="shared" si="28"/>
        <v>5.88</v>
      </c>
      <c r="H272" s="110"/>
      <c r="I272" s="81">
        <v>9.91</v>
      </c>
      <c r="J272" s="81">
        <f>VLOOKUP(C272,Recipes!$A$2:$N$4,12,FALSE())</f>
        <v>5.0137397426368718E-2</v>
      </c>
      <c r="K272" s="81">
        <f t="shared" si="29"/>
        <v>9.6091756154417887</v>
      </c>
      <c r="L272" s="81">
        <f t="shared" si="30"/>
        <v>10.210824384558212</v>
      </c>
      <c r="M272" s="81" t="str">
        <f t="shared" si="32"/>
        <v>NG</v>
      </c>
      <c r="N272" s="117">
        <f t="shared" si="31"/>
        <v>1</v>
      </c>
      <c r="O272" s="81">
        <f t="shared" si="33"/>
        <v>4.03</v>
      </c>
      <c r="P272" s="81">
        <f>IF(G272="","",ABS(O272-Components!$C$2)/Components!$D$2)</f>
        <v>193.17252083828927</v>
      </c>
      <c r="Q272" s="81">
        <f>IF(G272="","",ABS(O272-Components!$C$3)/Components!$D$3)</f>
        <v>0.43489129076422284</v>
      </c>
      <c r="R272" s="81">
        <f>IF(G272="","",ABS(O272-Components!$C$4)/Components!$D$4)</f>
        <v>217.23624530568088</v>
      </c>
      <c r="S272" s="81">
        <f>IF(G272="","",ABS(O272-Components!$C$5)/Components!$D$5)</f>
        <v>21.154512316439458</v>
      </c>
      <c r="T272" s="81">
        <f>IF(G272="","",ABS(O272-Components!$C$6)/Components!$D$6)</f>
        <v>104.03513080927841</v>
      </c>
      <c r="U272" s="81">
        <f>IF(G272="","",ABS(O272-Components!$C$7)/Components!$D$7)</f>
        <v>105.61178095303143</v>
      </c>
      <c r="V272" s="81" t="str">
        <f>IF(G272="","",IF(M272="OK","NONE",INDEX({"S1","S2","W1","W2","N1","N2"},MATCH(MIN(P272:U272),P272:U272,0))))</f>
        <v>S2</v>
      </c>
      <c r="W272" s="117">
        <f t="shared" si="34"/>
        <v>1</v>
      </c>
      <c r="X272" s="107"/>
    </row>
    <row r="273" spans="1:24">
      <c r="A273" s="115">
        <v>271</v>
      </c>
      <c r="B273" s="116">
        <v>10</v>
      </c>
      <c r="C273" s="81" t="s">
        <v>132</v>
      </c>
      <c r="D273" s="109" t="s">
        <v>238</v>
      </c>
      <c r="E273" s="81" t="s">
        <v>239</v>
      </c>
      <c r="F273" s="52">
        <v>8.65</v>
      </c>
      <c r="G273" s="52">
        <f t="shared" si="28"/>
        <v>9.620000000000001</v>
      </c>
      <c r="H273" s="110"/>
      <c r="I273" s="81">
        <v>9.61</v>
      </c>
      <c r="J273" s="81">
        <f>VLOOKUP(C273,Recipes!$A$2:$N$4,12,FALSE())</f>
        <v>6.1509461004819709E-2</v>
      </c>
      <c r="K273" s="81">
        <f t="shared" si="29"/>
        <v>9.2409432339710804</v>
      </c>
      <c r="L273" s="81">
        <f t="shared" si="30"/>
        <v>9.9790567660289184</v>
      </c>
      <c r="M273" s="81" t="str">
        <f t="shared" si="32"/>
        <v>OK</v>
      </c>
      <c r="N273" s="117">
        <f t="shared" si="31"/>
        <v>1</v>
      </c>
      <c r="O273" s="81">
        <f t="shared" si="33"/>
        <v>-1.0000000000001563E-2</v>
      </c>
      <c r="P273" s="81">
        <f>IF(G273="","",ABS(O273-Components!$C$2)/Components!$D$2)</f>
        <v>418.12015607034266</v>
      </c>
      <c r="Q273" s="81">
        <f>IF(G273="","",ABS(O273-Components!$C$3)/Components!$D$3)</f>
        <v>293.26169373870664</v>
      </c>
      <c r="R273" s="81">
        <f>IF(G273="","",ABS(O273-Components!$C$4)/Components!$D$4)</f>
        <v>71.77619081998904</v>
      </c>
      <c r="S273" s="81">
        <f>IF(G273="","",ABS(O273-Components!$C$5)/Components!$D$5)</f>
        <v>181.60050059882036</v>
      </c>
      <c r="T273" s="81">
        <f>IF(G273="","",ABS(O273-Components!$C$6)/Components!$D$6)</f>
        <v>42.190751761573523</v>
      </c>
      <c r="U273" s="81">
        <f>IF(G273="","",ABS(O273-Components!$C$7)/Components!$D$7)</f>
        <v>55.052808622811391</v>
      </c>
      <c r="V273" s="81" t="str">
        <f>IF(G273="","",IF(M273="OK","NONE",INDEX({"S1","S2","W1","W2","N1","N2"},MATCH(MIN(P273:U273),P273:U273,0))))</f>
        <v>NONE</v>
      </c>
      <c r="W273" s="117">
        <f t="shared" si="34"/>
        <v>1</v>
      </c>
      <c r="X273" s="107"/>
    </row>
    <row r="274" spans="1:24">
      <c r="A274" s="115">
        <v>272</v>
      </c>
      <c r="B274" s="116">
        <v>10</v>
      </c>
      <c r="C274" s="81" t="s">
        <v>132</v>
      </c>
      <c r="D274" s="109" t="s">
        <v>238</v>
      </c>
      <c r="E274" s="81" t="s">
        <v>239</v>
      </c>
      <c r="F274" s="52">
        <v>8.5299999999999994</v>
      </c>
      <c r="G274" s="52">
        <f t="shared" si="28"/>
        <v>9.5</v>
      </c>
      <c r="H274" s="110"/>
      <c r="I274" s="81">
        <v>9.61</v>
      </c>
      <c r="J274" s="81">
        <f>VLOOKUP(C274,Recipes!$A$2:$N$4,12,FALSE())</f>
        <v>6.1509461004819709E-2</v>
      </c>
      <c r="K274" s="81">
        <f t="shared" si="29"/>
        <v>9.2409432339710804</v>
      </c>
      <c r="L274" s="81">
        <f t="shared" si="30"/>
        <v>9.9790567660289184</v>
      </c>
      <c r="M274" s="81" t="str">
        <f t="shared" si="32"/>
        <v>OK</v>
      </c>
      <c r="N274" s="117">
        <f t="shared" si="31"/>
        <v>1</v>
      </c>
      <c r="O274" s="81">
        <f t="shared" si="33"/>
        <v>0.10999999999999943</v>
      </c>
      <c r="P274" s="81">
        <f>IF(G274="","",ABS(O274-Components!$C$2)/Components!$D$2)</f>
        <v>399.96294784533364</v>
      </c>
      <c r="Q274" s="81">
        <f>IF(G274="","",ABS(O274-Components!$C$3)/Components!$D$3)</f>
        <v>284.56386792342113</v>
      </c>
      <c r="R274" s="81">
        <f>IF(G274="","",ABS(O274-Components!$C$4)/Components!$D$4)</f>
        <v>63.191663014276003</v>
      </c>
      <c r="S274" s="81">
        <f>IF(G274="","",ABS(O274-Components!$C$5)/Components!$D$5)</f>
        <v>176.83477817459118</v>
      </c>
      <c r="T274" s="81">
        <f>IF(G274="","",ABS(O274-Components!$C$6)/Components!$D$6)</f>
        <v>37.847408714914522</v>
      </c>
      <c r="U274" s="81">
        <f>IF(G274="","",ABS(O274-Components!$C$7)/Components!$D$7)</f>
        <v>50.280593090855632</v>
      </c>
      <c r="V274" s="81" t="str">
        <f>IF(G274="","",IF(M274="OK","NONE",INDEX({"S1","S2","W1","W2","N1","N2"},MATCH(MIN(P274:U274),P274:U274,0))))</f>
        <v>NONE</v>
      </c>
      <c r="W274" s="117">
        <f t="shared" si="34"/>
        <v>1</v>
      </c>
      <c r="X274" s="107"/>
    </row>
    <row r="275" spans="1:24">
      <c r="A275" s="115">
        <v>273</v>
      </c>
      <c r="B275" s="116">
        <v>10</v>
      </c>
      <c r="C275" s="81" t="s">
        <v>132</v>
      </c>
      <c r="D275" s="109" t="s">
        <v>238</v>
      </c>
      <c r="E275" s="81" t="s">
        <v>239</v>
      </c>
      <c r="F275" s="61">
        <v>8.58</v>
      </c>
      <c r="G275" s="52">
        <f t="shared" si="28"/>
        <v>9.5500000000000007</v>
      </c>
      <c r="H275" s="110"/>
      <c r="I275" s="81">
        <v>9.61</v>
      </c>
      <c r="J275" s="81">
        <f>VLOOKUP(C275,Recipes!$A$2:$N$4,12,FALSE())</f>
        <v>6.1509461004819709E-2</v>
      </c>
      <c r="K275" s="81">
        <f t="shared" si="29"/>
        <v>9.2409432339710804</v>
      </c>
      <c r="L275" s="81">
        <f t="shared" si="30"/>
        <v>9.9790567660289184</v>
      </c>
      <c r="M275" s="81" t="str">
        <f t="shared" si="32"/>
        <v>OK</v>
      </c>
      <c r="N275" s="117">
        <f t="shared" si="31"/>
        <v>1</v>
      </c>
      <c r="O275" s="81">
        <f t="shared" si="33"/>
        <v>5.9999999999998721E-2</v>
      </c>
      <c r="P275" s="81">
        <f>IF(G275="","",ABS(O275-Components!$C$2)/Components!$D$2)</f>
        <v>407.52845127242074</v>
      </c>
      <c r="Q275" s="81">
        <f>IF(G275="","",ABS(O275-Components!$C$3)/Components!$D$3)</f>
        <v>288.18796201312347</v>
      </c>
      <c r="R275" s="81">
        <f>IF(G275="","",ABS(O275-Components!$C$4)/Components!$D$4)</f>
        <v>66.768549599989782</v>
      </c>
      <c r="S275" s="81">
        <f>IF(G275="","",ABS(O275-Components!$C$5)/Components!$D$5)</f>
        <v>178.82049585135334</v>
      </c>
      <c r="T275" s="81">
        <f>IF(G275="","",ABS(O275-Components!$C$6)/Components!$D$6)</f>
        <v>39.657134984355785</v>
      </c>
      <c r="U275" s="81">
        <f>IF(G275="","",ABS(O275-Components!$C$7)/Components!$D$7)</f>
        <v>52.269016229170546</v>
      </c>
      <c r="V275" s="81" t="str">
        <f>IF(G275="","",IF(M275="OK","NONE",INDEX({"S1","S2","W1","W2","N1","N2"},MATCH(MIN(P275:U275),P275:U275,0))))</f>
        <v>NONE</v>
      </c>
      <c r="W275" s="117">
        <f t="shared" si="34"/>
        <v>1</v>
      </c>
      <c r="X275" s="107"/>
    </row>
    <row r="276" spans="1:24">
      <c r="A276" s="115">
        <v>274</v>
      </c>
      <c r="B276" s="116">
        <v>10</v>
      </c>
      <c r="C276" s="81" t="s">
        <v>132</v>
      </c>
      <c r="D276" s="109" t="s">
        <v>238</v>
      </c>
      <c r="E276" s="81" t="s">
        <v>239</v>
      </c>
      <c r="F276" s="61">
        <v>8.66</v>
      </c>
      <c r="G276" s="52">
        <f t="shared" si="28"/>
        <v>9.6300000000000008</v>
      </c>
      <c r="H276" s="110"/>
      <c r="I276" s="81">
        <v>9.61</v>
      </c>
      <c r="J276" s="81">
        <f>VLOOKUP(C276,Recipes!$A$2:$N$4,12,FALSE())</f>
        <v>6.1509461004819709E-2</v>
      </c>
      <c r="K276" s="81">
        <f t="shared" si="29"/>
        <v>9.2409432339710804</v>
      </c>
      <c r="L276" s="81">
        <f t="shared" si="30"/>
        <v>9.9790567660289184</v>
      </c>
      <c r="M276" s="81" t="str">
        <f t="shared" si="32"/>
        <v>OK</v>
      </c>
      <c r="N276" s="117">
        <f t="shared" si="31"/>
        <v>1</v>
      </c>
      <c r="O276" s="81">
        <f t="shared" si="33"/>
        <v>-2.000000000000135E-2</v>
      </c>
      <c r="P276" s="81">
        <f>IF(G276="","",ABS(O276-Components!$C$2)/Components!$D$2)</f>
        <v>419.63325675576004</v>
      </c>
      <c r="Q276" s="81">
        <f>IF(G276="","",ABS(O276-Components!$C$3)/Components!$D$3)</f>
        <v>293.98651255664709</v>
      </c>
      <c r="R276" s="81">
        <f>IF(G276="","",ABS(O276-Components!$C$4)/Components!$D$4)</f>
        <v>72.491568137131765</v>
      </c>
      <c r="S276" s="81">
        <f>IF(G276="","",ABS(O276-Components!$C$5)/Components!$D$5)</f>
        <v>181.99764413417276</v>
      </c>
      <c r="T276" s="81">
        <f>IF(G276="","",ABS(O276-Components!$C$6)/Components!$D$6)</f>
        <v>42.552697015461767</v>
      </c>
      <c r="U276" s="81">
        <f>IF(G276="","",ABS(O276-Components!$C$7)/Components!$D$7)</f>
        <v>55.450493250474359</v>
      </c>
      <c r="V276" s="81" t="str">
        <f>IF(G276="","",IF(M276="OK","NONE",INDEX({"S1","S2","W1","W2","N1","N2"},MATCH(MIN(P276:U276),P276:U276,0))))</f>
        <v>NONE</v>
      </c>
      <c r="W276" s="117">
        <f t="shared" si="34"/>
        <v>1</v>
      </c>
      <c r="X276" s="107"/>
    </row>
    <row r="277" spans="1:24">
      <c r="A277" s="115">
        <v>275</v>
      </c>
      <c r="B277" s="116">
        <v>10</v>
      </c>
      <c r="C277" s="81" t="s">
        <v>132</v>
      </c>
      <c r="D277" s="109" t="s">
        <v>238</v>
      </c>
      <c r="E277" s="81" t="s">
        <v>239</v>
      </c>
      <c r="F277" s="61">
        <v>8.57</v>
      </c>
      <c r="G277" s="52">
        <f t="shared" si="28"/>
        <v>9.5400000000000009</v>
      </c>
      <c r="H277" s="110"/>
      <c r="I277" s="81">
        <v>9.61</v>
      </c>
      <c r="J277" s="81">
        <f>VLOOKUP(C277,Recipes!$A$2:$N$4,12,FALSE())</f>
        <v>6.1509461004819709E-2</v>
      </c>
      <c r="K277" s="81">
        <f t="shared" si="29"/>
        <v>9.2409432339710804</v>
      </c>
      <c r="L277" s="81">
        <f t="shared" si="30"/>
        <v>9.9790567660289184</v>
      </c>
      <c r="M277" s="81" t="str">
        <f t="shared" si="32"/>
        <v>OK</v>
      </c>
      <c r="N277" s="117">
        <f t="shared" si="31"/>
        <v>1</v>
      </c>
      <c r="O277" s="81">
        <f t="shared" si="33"/>
        <v>6.9999999999998508E-2</v>
      </c>
      <c r="P277" s="81">
        <f>IF(G277="","",ABS(O277-Components!$C$2)/Components!$D$2)</f>
        <v>406.01535058700341</v>
      </c>
      <c r="Q277" s="81">
        <f>IF(G277="","",ABS(O277-Components!$C$3)/Components!$D$3)</f>
        <v>287.46314319518302</v>
      </c>
      <c r="R277" s="81">
        <f>IF(G277="","",ABS(O277-Components!$C$4)/Components!$D$4)</f>
        <v>66.053172282847058</v>
      </c>
      <c r="S277" s="81">
        <f>IF(G277="","",ABS(O277-Components!$C$5)/Components!$D$5)</f>
        <v>178.42335231600092</v>
      </c>
      <c r="T277" s="81">
        <f>IF(G277="","",ABS(O277-Components!$C$6)/Components!$D$6)</f>
        <v>39.295189730467548</v>
      </c>
      <c r="U277" s="81">
        <f>IF(G277="","",ABS(O277-Components!$C$7)/Components!$D$7)</f>
        <v>51.871331601507578</v>
      </c>
      <c r="V277" s="81" t="str">
        <f>IF(G277="","",IF(M277="OK","NONE",INDEX({"S1","S2","W1","W2","N1","N2"},MATCH(MIN(P277:U277),P277:U277,0))))</f>
        <v>NONE</v>
      </c>
      <c r="W277" s="117">
        <f t="shared" si="34"/>
        <v>1</v>
      </c>
      <c r="X277" s="107"/>
    </row>
    <row r="278" spans="1:24">
      <c r="A278" s="115">
        <v>276</v>
      </c>
      <c r="B278" s="116">
        <v>10</v>
      </c>
      <c r="C278" s="81" t="s">
        <v>132</v>
      </c>
      <c r="D278" s="109" t="s">
        <v>238</v>
      </c>
      <c r="E278" s="81" t="s">
        <v>239</v>
      </c>
      <c r="F278" s="61">
        <v>8.6</v>
      </c>
      <c r="G278" s="52">
        <f t="shared" si="28"/>
        <v>9.57</v>
      </c>
      <c r="H278" s="110"/>
      <c r="I278" s="81">
        <v>9.61</v>
      </c>
      <c r="J278" s="81">
        <f>VLOOKUP(C278,Recipes!$A$2:$N$4,12,FALSE())</f>
        <v>6.1509461004819709E-2</v>
      </c>
      <c r="K278" s="81">
        <f t="shared" si="29"/>
        <v>9.2409432339710804</v>
      </c>
      <c r="L278" s="81">
        <f t="shared" si="30"/>
        <v>9.9790567660289184</v>
      </c>
      <c r="M278" s="81" t="str">
        <f t="shared" si="32"/>
        <v>OK</v>
      </c>
      <c r="N278" s="117">
        <f t="shared" si="31"/>
        <v>1</v>
      </c>
      <c r="O278" s="81">
        <f t="shared" si="33"/>
        <v>3.9999999999999147E-2</v>
      </c>
      <c r="P278" s="81">
        <f>IF(G278="","",ABS(O278-Components!$C$2)/Components!$D$2)</f>
        <v>410.55465264325551</v>
      </c>
      <c r="Q278" s="81">
        <f>IF(G278="","",ABS(O278-Components!$C$3)/Components!$D$3)</f>
        <v>289.63759964900436</v>
      </c>
      <c r="R278" s="81">
        <f>IF(G278="","",ABS(O278-Components!$C$4)/Components!$D$4)</f>
        <v>68.199304234275246</v>
      </c>
      <c r="S278" s="81">
        <f>IF(G278="","",ABS(O278-Components!$C$5)/Components!$D$5)</f>
        <v>179.6147829220582</v>
      </c>
      <c r="T278" s="81">
        <f>IF(G278="","",ABS(O278-Components!$C$6)/Components!$D$6)</f>
        <v>40.381025492132267</v>
      </c>
      <c r="U278" s="81">
        <f>IF(G278="","",ABS(O278-Components!$C$7)/Components!$D$7)</f>
        <v>53.064385484496484</v>
      </c>
      <c r="V278" s="81" t="str">
        <f>IF(G278="","",IF(M278="OK","NONE",INDEX({"S1","S2","W1","W2","N1","N2"},MATCH(MIN(P278:U278),P278:U278,0))))</f>
        <v>NONE</v>
      </c>
      <c r="W278" s="117">
        <f t="shared" si="34"/>
        <v>1</v>
      </c>
      <c r="X278" s="107"/>
    </row>
    <row r="279" spans="1:24">
      <c r="A279" s="115">
        <v>277</v>
      </c>
      <c r="B279" s="116">
        <v>10</v>
      </c>
      <c r="C279" s="81" t="s">
        <v>132</v>
      </c>
      <c r="D279" s="109" t="s">
        <v>238</v>
      </c>
      <c r="E279" s="81" t="s">
        <v>239</v>
      </c>
      <c r="F279" s="61">
        <v>8.65</v>
      </c>
      <c r="G279" s="52">
        <f t="shared" si="28"/>
        <v>9.620000000000001</v>
      </c>
      <c r="H279" s="110"/>
      <c r="I279" s="81">
        <v>9.61</v>
      </c>
      <c r="J279" s="81">
        <f>VLOOKUP(C279,Recipes!$A$2:$N$4,12,FALSE())</f>
        <v>6.1509461004819709E-2</v>
      </c>
      <c r="K279" s="81">
        <f t="shared" si="29"/>
        <v>9.2409432339710804</v>
      </c>
      <c r="L279" s="81">
        <f t="shared" si="30"/>
        <v>9.9790567660289184</v>
      </c>
      <c r="M279" s="81" t="str">
        <f t="shared" si="32"/>
        <v>OK</v>
      </c>
      <c r="N279" s="117">
        <f t="shared" si="31"/>
        <v>1</v>
      </c>
      <c r="O279" s="81">
        <f t="shared" si="33"/>
        <v>-1.0000000000001563E-2</v>
      </c>
      <c r="P279" s="81">
        <f>IF(G279="","",ABS(O279-Components!$C$2)/Components!$D$2)</f>
        <v>418.12015607034266</v>
      </c>
      <c r="Q279" s="81">
        <f>IF(G279="","",ABS(O279-Components!$C$3)/Components!$D$3)</f>
        <v>293.26169373870664</v>
      </c>
      <c r="R279" s="81">
        <f>IF(G279="","",ABS(O279-Components!$C$4)/Components!$D$4)</f>
        <v>71.77619081998904</v>
      </c>
      <c r="S279" s="81">
        <f>IF(G279="","",ABS(O279-Components!$C$5)/Components!$D$5)</f>
        <v>181.60050059882036</v>
      </c>
      <c r="T279" s="81">
        <f>IF(G279="","",ABS(O279-Components!$C$6)/Components!$D$6)</f>
        <v>42.190751761573523</v>
      </c>
      <c r="U279" s="81">
        <f>IF(G279="","",ABS(O279-Components!$C$7)/Components!$D$7)</f>
        <v>55.052808622811391</v>
      </c>
      <c r="V279" s="81" t="str">
        <f>IF(G279="","",IF(M279="OK","NONE",INDEX({"S1","S2","W1","W2","N1","N2"},MATCH(MIN(P279:U279),P279:U279,0))))</f>
        <v>NONE</v>
      </c>
      <c r="W279" s="117">
        <f t="shared" si="34"/>
        <v>1</v>
      </c>
      <c r="X279" s="107"/>
    </row>
    <row r="280" spans="1:24">
      <c r="A280" s="115">
        <v>278</v>
      </c>
      <c r="B280" s="116">
        <v>10</v>
      </c>
      <c r="C280" s="81" t="s">
        <v>132</v>
      </c>
      <c r="D280" s="109" t="s">
        <v>238</v>
      </c>
      <c r="E280" s="81" t="s">
        <v>239</v>
      </c>
      <c r="F280" s="61">
        <v>8.58</v>
      </c>
      <c r="G280" s="52">
        <f t="shared" si="28"/>
        <v>9.5500000000000007</v>
      </c>
      <c r="H280" s="110"/>
      <c r="I280" s="81">
        <v>9.61</v>
      </c>
      <c r="J280" s="81">
        <f>VLOOKUP(C280,Recipes!$A$2:$N$4,12,FALSE())</f>
        <v>6.1509461004819709E-2</v>
      </c>
      <c r="K280" s="81">
        <f t="shared" si="29"/>
        <v>9.2409432339710804</v>
      </c>
      <c r="L280" s="81">
        <f t="shared" si="30"/>
        <v>9.9790567660289184</v>
      </c>
      <c r="M280" s="81" t="str">
        <f t="shared" si="32"/>
        <v>OK</v>
      </c>
      <c r="N280" s="117">
        <f t="shared" si="31"/>
        <v>1</v>
      </c>
      <c r="O280" s="81">
        <f t="shared" si="33"/>
        <v>5.9999999999998721E-2</v>
      </c>
      <c r="P280" s="81">
        <f>IF(G280="","",ABS(O280-Components!$C$2)/Components!$D$2)</f>
        <v>407.52845127242074</v>
      </c>
      <c r="Q280" s="81">
        <f>IF(G280="","",ABS(O280-Components!$C$3)/Components!$D$3)</f>
        <v>288.18796201312347</v>
      </c>
      <c r="R280" s="81">
        <f>IF(G280="","",ABS(O280-Components!$C$4)/Components!$D$4)</f>
        <v>66.768549599989782</v>
      </c>
      <c r="S280" s="81">
        <f>IF(G280="","",ABS(O280-Components!$C$5)/Components!$D$5)</f>
        <v>178.82049585135334</v>
      </c>
      <c r="T280" s="81">
        <f>IF(G280="","",ABS(O280-Components!$C$6)/Components!$D$6)</f>
        <v>39.657134984355785</v>
      </c>
      <c r="U280" s="81">
        <f>IF(G280="","",ABS(O280-Components!$C$7)/Components!$D$7)</f>
        <v>52.269016229170546</v>
      </c>
      <c r="V280" s="81" t="str">
        <f>IF(G280="","",IF(M280="OK","NONE",INDEX({"S1","S2","W1","W2","N1","N2"},MATCH(MIN(P280:U280),P280:U280,0))))</f>
        <v>NONE</v>
      </c>
      <c r="W280" s="117">
        <f t="shared" si="34"/>
        <v>1</v>
      </c>
      <c r="X280" s="107"/>
    </row>
    <row r="281" spans="1:24">
      <c r="A281" s="115">
        <v>279</v>
      </c>
      <c r="B281" s="116">
        <v>10</v>
      </c>
      <c r="C281" s="81" t="s">
        <v>132</v>
      </c>
      <c r="D281" s="109" t="s">
        <v>238</v>
      </c>
      <c r="E281" s="81" t="s">
        <v>239</v>
      </c>
      <c r="F281" s="61">
        <v>8.58</v>
      </c>
      <c r="G281" s="52">
        <f t="shared" si="28"/>
        <v>9.5500000000000007</v>
      </c>
      <c r="H281" s="110"/>
      <c r="I281" s="81">
        <v>9.61</v>
      </c>
      <c r="J281" s="81">
        <f>VLOOKUP(C281,Recipes!$A$2:$N$4,12,FALSE())</f>
        <v>6.1509461004819709E-2</v>
      </c>
      <c r="K281" s="81">
        <f t="shared" si="29"/>
        <v>9.2409432339710804</v>
      </c>
      <c r="L281" s="81">
        <f t="shared" si="30"/>
        <v>9.9790567660289184</v>
      </c>
      <c r="M281" s="81" t="str">
        <f t="shared" si="32"/>
        <v>OK</v>
      </c>
      <c r="N281" s="117">
        <f t="shared" si="31"/>
        <v>1</v>
      </c>
      <c r="O281" s="81">
        <f t="shared" si="33"/>
        <v>5.9999999999998721E-2</v>
      </c>
      <c r="P281" s="81">
        <f>IF(G281="","",ABS(O281-Components!$C$2)/Components!$D$2)</f>
        <v>407.52845127242074</v>
      </c>
      <c r="Q281" s="81">
        <f>IF(G281="","",ABS(O281-Components!$C$3)/Components!$D$3)</f>
        <v>288.18796201312347</v>
      </c>
      <c r="R281" s="81">
        <f>IF(G281="","",ABS(O281-Components!$C$4)/Components!$D$4)</f>
        <v>66.768549599989782</v>
      </c>
      <c r="S281" s="81">
        <f>IF(G281="","",ABS(O281-Components!$C$5)/Components!$D$5)</f>
        <v>178.82049585135334</v>
      </c>
      <c r="T281" s="81">
        <f>IF(G281="","",ABS(O281-Components!$C$6)/Components!$D$6)</f>
        <v>39.657134984355785</v>
      </c>
      <c r="U281" s="81">
        <f>IF(G281="","",ABS(O281-Components!$C$7)/Components!$D$7)</f>
        <v>52.269016229170546</v>
      </c>
      <c r="V281" s="81" t="str">
        <f>IF(G281="","",IF(M281="OK","NONE",INDEX({"S1","S2","W1","W2","N1","N2"},MATCH(MIN(P281:U281),P281:U281,0))))</f>
        <v>NONE</v>
      </c>
      <c r="W281" s="117">
        <f t="shared" si="34"/>
        <v>1</v>
      </c>
      <c r="X281" s="107"/>
    </row>
    <row r="282" spans="1:24">
      <c r="A282" s="115">
        <v>280</v>
      </c>
      <c r="B282" s="116">
        <v>10</v>
      </c>
      <c r="C282" s="81" t="s">
        <v>132</v>
      </c>
      <c r="D282" s="109" t="s">
        <v>238</v>
      </c>
      <c r="E282" s="81" t="s">
        <v>239</v>
      </c>
      <c r="F282" s="61">
        <v>8.57</v>
      </c>
      <c r="G282" s="52">
        <f t="shared" si="28"/>
        <v>9.5400000000000009</v>
      </c>
      <c r="H282" s="110"/>
      <c r="I282" s="81">
        <v>9.61</v>
      </c>
      <c r="J282" s="81">
        <f>VLOOKUP(C282,Recipes!$A$2:$N$4,12,FALSE())</f>
        <v>6.1509461004819709E-2</v>
      </c>
      <c r="K282" s="81">
        <f t="shared" si="29"/>
        <v>9.2409432339710804</v>
      </c>
      <c r="L282" s="81">
        <f t="shared" si="30"/>
        <v>9.9790567660289184</v>
      </c>
      <c r="M282" s="81" t="str">
        <f t="shared" si="32"/>
        <v>OK</v>
      </c>
      <c r="N282" s="117">
        <f t="shared" si="31"/>
        <v>1</v>
      </c>
      <c r="O282" s="81">
        <f t="shared" si="33"/>
        <v>6.9999999999998508E-2</v>
      </c>
      <c r="P282" s="81">
        <f>IF(G282="","",ABS(O282-Components!$C$2)/Components!$D$2)</f>
        <v>406.01535058700341</v>
      </c>
      <c r="Q282" s="81">
        <f>IF(G282="","",ABS(O282-Components!$C$3)/Components!$D$3)</f>
        <v>287.46314319518302</v>
      </c>
      <c r="R282" s="81">
        <f>IF(G282="","",ABS(O282-Components!$C$4)/Components!$D$4)</f>
        <v>66.053172282847058</v>
      </c>
      <c r="S282" s="81">
        <f>IF(G282="","",ABS(O282-Components!$C$5)/Components!$D$5)</f>
        <v>178.42335231600092</v>
      </c>
      <c r="T282" s="81">
        <f>IF(G282="","",ABS(O282-Components!$C$6)/Components!$D$6)</f>
        <v>39.295189730467548</v>
      </c>
      <c r="U282" s="81">
        <f>IF(G282="","",ABS(O282-Components!$C$7)/Components!$D$7)</f>
        <v>51.871331601507578</v>
      </c>
      <c r="V282" s="81" t="str">
        <f>IF(G282="","",IF(M282="OK","NONE",INDEX({"S1","S2","W1","W2","N1","N2"},MATCH(MIN(P282:U282),P282:U282,0))))</f>
        <v>NONE</v>
      </c>
      <c r="W282" s="117">
        <f t="shared" si="34"/>
        <v>1</v>
      </c>
      <c r="X282" s="107"/>
    </row>
    <row r="283" spans="1:24">
      <c r="A283" s="115">
        <v>281</v>
      </c>
      <c r="B283" s="116">
        <v>10</v>
      </c>
      <c r="C283" s="81" t="s">
        <v>132</v>
      </c>
      <c r="D283" s="109" t="s">
        <v>238</v>
      </c>
      <c r="E283" s="81" t="s">
        <v>239</v>
      </c>
      <c r="F283" s="61">
        <v>8.5299999999999994</v>
      </c>
      <c r="G283" s="52">
        <f t="shared" si="28"/>
        <v>9.5</v>
      </c>
      <c r="H283" s="110"/>
      <c r="I283" s="81">
        <v>9.61</v>
      </c>
      <c r="J283" s="81">
        <f>VLOOKUP(C283,Recipes!$A$2:$N$4,12,FALSE())</f>
        <v>6.1509461004819709E-2</v>
      </c>
      <c r="K283" s="81">
        <f t="shared" si="29"/>
        <v>9.2409432339710804</v>
      </c>
      <c r="L283" s="81">
        <f t="shared" si="30"/>
        <v>9.9790567660289184</v>
      </c>
      <c r="M283" s="81" t="str">
        <f t="shared" si="32"/>
        <v>OK</v>
      </c>
      <c r="N283" s="117">
        <f t="shared" si="31"/>
        <v>1</v>
      </c>
      <c r="O283" s="81">
        <f t="shared" si="33"/>
        <v>0.10999999999999943</v>
      </c>
      <c r="P283" s="81">
        <f>IF(G283="","",ABS(O283-Components!$C$2)/Components!$D$2)</f>
        <v>399.96294784533364</v>
      </c>
      <c r="Q283" s="81">
        <f>IF(G283="","",ABS(O283-Components!$C$3)/Components!$D$3)</f>
        <v>284.56386792342113</v>
      </c>
      <c r="R283" s="81">
        <f>IF(G283="","",ABS(O283-Components!$C$4)/Components!$D$4)</f>
        <v>63.191663014276003</v>
      </c>
      <c r="S283" s="81">
        <f>IF(G283="","",ABS(O283-Components!$C$5)/Components!$D$5)</f>
        <v>176.83477817459118</v>
      </c>
      <c r="T283" s="81">
        <f>IF(G283="","",ABS(O283-Components!$C$6)/Components!$D$6)</f>
        <v>37.847408714914522</v>
      </c>
      <c r="U283" s="81">
        <f>IF(G283="","",ABS(O283-Components!$C$7)/Components!$D$7)</f>
        <v>50.280593090855632</v>
      </c>
      <c r="V283" s="81" t="str">
        <f>IF(G283="","",IF(M283="OK","NONE",INDEX({"S1","S2","W1","W2","N1","N2"},MATCH(MIN(P283:U283),P283:U283,0))))</f>
        <v>NONE</v>
      </c>
      <c r="W283" s="117">
        <f t="shared" si="34"/>
        <v>1</v>
      </c>
      <c r="X283" s="107"/>
    </row>
    <row r="284" spans="1:24">
      <c r="A284" s="115">
        <v>282</v>
      </c>
      <c r="B284" s="116">
        <v>10</v>
      </c>
      <c r="C284" s="81" t="s">
        <v>132</v>
      </c>
      <c r="D284" s="109" t="s">
        <v>238</v>
      </c>
      <c r="E284" s="81" t="s">
        <v>239</v>
      </c>
      <c r="F284" s="61">
        <v>8.64</v>
      </c>
      <c r="G284" s="52">
        <f t="shared" si="28"/>
        <v>9.6100000000000012</v>
      </c>
      <c r="H284" s="110"/>
      <c r="I284" s="81">
        <v>9.61</v>
      </c>
      <c r="J284" s="81">
        <f>VLOOKUP(C284,Recipes!$A$2:$N$4,12,FALSE())</f>
        <v>6.1509461004819709E-2</v>
      </c>
      <c r="K284" s="81">
        <f t="shared" si="29"/>
        <v>9.2409432339710804</v>
      </c>
      <c r="L284" s="81">
        <f t="shared" si="30"/>
        <v>9.9790567660289184</v>
      </c>
      <c r="M284" s="81" t="str">
        <f t="shared" si="32"/>
        <v>OK</v>
      </c>
      <c r="N284" s="117">
        <f t="shared" si="31"/>
        <v>1</v>
      </c>
      <c r="O284" s="81">
        <f t="shared" si="33"/>
        <v>-1.7763568394002505E-15</v>
      </c>
      <c r="P284" s="81">
        <f>IF(G284="","",ABS(O284-Components!$C$2)/Components!$D$2)</f>
        <v>416.60705538492527</v>
      </c>
      <c r="Q284" s="81">
        <f>IF(G284="","",ABS(O284-Components!$C$3)/Components!$D$3)</f>
        <v>292.53687492076619</v>
      </c>
      <c r="R284" s="81">
        <f>IF(G284="","",ABS(O284-Components!$C$4)/Components!$D$4)</f>
        <v>71.060813502846301</v>
      </c>
      <c r="S284" s="81">
        <f>IF(G284="","",ABS(O284-Components!$C$5)/Components!$D$5)</f>
        <v>181.20335706346793</v>
      </c>
      <c r="T284" s="81">
        <f>IF(G284="","",ABS(O284-Components!$C$6)/Components!$D$6)</f>
        <v>41.828806507685286</v>
      </c>
      <c r="U284" s="81">
        <f>IF(G284="","",ABS(O284-Components!$C$7)/Components!$D$7)</f>
        <v>54.655123995148422</v>
      </c>
      <c r="V284" s="81" t="str">
        <f>IF(G284="","",IF(M284="OK","NONE",INDEX({"S1","S2","W1","W2","N1","N2"},MATCH(MIN(P284:U284),P284:U284,0))))</f>
        <v>NONE</v>
      </c>
      <c r="W284" s="117">
        <f t="shared" si="34"/>
        <v>1</v>
      </c>
      <c r="X284" s="107"/>
    </row>
    <row r="285" spans="1:24">
      <c r="A285" s="115">
        <v>283</v>
      </c>
      <c r="B285" s="116">
        <v>10</v>
      </c>
      <c r="C285" s="81" t="s">
        <v>132</v>
      </c>
      <c r="D285" s="109" t="s">
        <v>238</v>
      </c>
      <c r="E285" s="81" t="s">
        <v>239</v>
      </c>
      <c r="F285" s="61">
        <v>8.57</v>
      </c>
      <c r="G285" s="52">
        <f t="shared" si="28"/>
        <v>9.5400000000000009</v>
      </c>
      <c r="H285" s="110"/>
      <c r="I285" s="81">
        <v>9.61</v>
      </c>
      <c r="J285" s="81">
        <f>VLOOKUP(C285,Recipes!$A$2:$N$4,12,FALSE())</f>
        <v>6.1509461004819709E-2</v>
      </c>
      <c r="K285" s="81">
        <f t="shared" si="29"/>
        <v>9.2409432339710804</v>
      </c>
      <c r="L285" s="81">
        <f t="shared" si="30"/>
        <v>9.9790567660289184</v>
      </c>
      <c r="M285" s="81" t="str">
        <f t="shared" si="32"/>
        <v>OK</v>
      </c>
      <c r="N285" s="117">
        <f t="shared" si="31"/>
        <v>1</v>
      </c>
      <c r="O285" s="81">
        <f t="shared" si="33"/>
        <v>6.9999999999998508E-2</v>
      </c>
      <c r="P285" s="81">
        <f>IF(G285="","",ABS(O285-Components!$C$2)/Components!$D$2)</f>
        <v>406.01535058700341</v>
      </c>
      <c r="Q285" s="81">
        <f>IF(G285="","",ABS(O285-Components!$C$3)/Components!$D$3)</f>
        <v>287.46314319518302</v>
      </c>
      <c r="R285" s="81">
        <f>IF(G285="","",ABS(O285-Components!$C$4)/Components!$D$4)</f>
        <v>66.053172282847058</v>
      </c>
      <c r="S285" s="81">
        <f>IF(G285="","",ABS(O285-Components!$C$5)/Components!$D$5)</f>
        <v>178.42335231600092</v>
      </c>
      <c r="T285" s="81">
        <f>IF(G285="","",ABS(O285-Components!$C$6)/Components!$D$6)</f>
        <v>39.295189730467548</v>
      </c>
      <c r="U285" s="81">
        <f>IF(G285="","",ABS(O285-Components!$C$7)/Components!$D$7)</f>
        <v>51.871331601507578</v>
      </c>
      <c r="V285" s="81" t="str">
        <f>IF(G285="","",IF(M285="OK","NONE",INDEX({"S1","S2","W1","W2","N1","N2"},MATCH(MIN(P285:U285),P285:U285,0))))</f>
        <v>NONE</v>
      </c>
      <c r="W285" s="117">
        <f t="shared" si="34"/>
        <v>1</v>
      </c>
      <c r="X285" s="107"/>
    </row>
    <row r="286" spans="1:24">
      <c r="A286" s="115">
        <v>284</v>
      </c>
      <c r="B286" s="116">
        <v>10</v>
      </c>
      <c r="C286" s="81" t="s">
        <v>132</v>
      </c>
      <c r="D286" s="109" t="s">
        <v>238</v>
      </c>
      <c r="E286" s="81" t="s">
        <v>239</v>
      </c>
      <c r="F286" s="61">
        <v>8.58</v>
      </c>
      <c r="G286" s="52">
        <f t="shared" si="28"/>
        <v>9.5500000000000007</v>
      </c>
      <c r="H286" s="110"/>
      <c r="I286" s="81">
        <v>9.61</v>
      </c>
      <c r="J286" s="81">
        <f>VLOOKUP(C286,Recipes!$A$2:$N$4,12,FALSE())</f>
        <v>6.1509461004819709E-2</v>
      </c>
      <c r="K286" s="81">
        <f t="shared" si="29"/>
        <v>9.2409432339710804</v>
      </c>
      <c r="L286" s="81">
        <f t="shared" si="30"/>
        <v>9.9790567660289184</v>
      </c>
      <c r="M286" s="81" t="str">
        <f t="shared" si="32"/>
        <v>OK</v>
      </c>
      <c r="N286" s="117">
        <f t="shared" si="31"/>
        <v>1</v>
      </c>
      <c r="O286" s="81">
        <f t="shared" si="33"/>
        <v>5.9999999999998721E-2</v>
      </c>
      <c r="P286" s="81">
        <f>IF(G286="","",ABS(O286-Components!$C$2)/Components!$D$2)</f>
        <v>407.52845127242074</v>
      </c>
      <c r="Q286" s="81">
        <f>IF(G286="","",ABS(O286-Components!$C$3)/Components!$D$3)</f>
        <v>288.18796201312347</v>
      </c>
      <c r="R286" s="81">
        <f>IF(G286="","",ABS(O286-Components!$C$4)/Components!$D$4)</f>
        <v>66.768549599989782</v>
      </c>
      <c r="S286" s="81">
        <f>IF(G286="","",ABS(O286-Components!$C$5)/Components!$D$5)</f>
        <v>178.82049585135334</v>
      </c>
      <c r="T286" s="81">
        <f>IF(G286="","",ABS(O286-Components!$C$6)/Components!$D$6)</f>
        <v>39.657134984355785</v>
      </c>
      <c r="U286" s="81">
        <f>IF(G286="","",ABS(O286-Components!$C$7)/Components!$D$7)</f>
        <v>52.269016229170546</v>
      </c>
      <c r="V286" s="81" t="str">
        <f>IF(G286="","",IF(M286="OK","NONE",INDEX({"S1","S2","W1","W2","N1","N2"},MATCH(MIN(P286:U286),P286:U286,0))))</f>
        <v>NONE</v>
      </c>
      <c r="W286" s="117">
        <f t="shared" si="34"/>
        <v>1</v>
      </c>
      <c r="X286" s="107"/>
    </row>
    <row r="287" spans="1:24">
      <c r="A287" s="115">
        <v>285</v>
      </c>
      <c r="B287" s="116">
        <v>10</v>
      </c>
      <c r="C287" s="81" t="s">
        <v>132</v>
      </c>
      <c r="D287" s="109" t="s">
        <v>238</v>
      </c>
      <c r="E287" s="81" t="s">
        <v>239</v>
      </c>
      <c r="F287" s="61">
        <v>8.6300000000000008</v>
      </c>
      <c r="G287" s="52">
        <f t="shared" si="28"/>
        <v>9.6000000000000014</v>
      </c>
      <c r="H287" s="110"/>
      <c r="I287" s="81">
        <v>9.61</v>
      </c>
      <c r="J287" s="81">
        <f>VLOOKUP(C287,Recipes!$A$2:$N$4,12,FALSE())</f>
        <v>6.1509461004819709E-2</v>
      </c>
      <c r="K287" s="81">
        <f t="shared" si="29"/>
        <v>9.2409432339710804</v>
      </c>
      <c r="L287" s="81">
        <f t="shared" si="30"/>
        <v>9.9790567660289184</v>
      </c>
      <c r="M287" s="81" t="str">
        <f t="shared" si="32"/>
        <v>OK</v>
      </c>
      <c r="N287" s="117">
        <f t="shared" si="31"/>
        <v>1</v>
      </c>
      <c r="O287" s="81">
        <f t="shared" si="33"/>
        <v>9.9999999999980105E-3</v>
      </c>
      <c r="P287" s="81">
        <f>IF(G287="","",ABS(O287-Components!$C$2)/Components!$D$2)</f>
        <v>415.09395469950789</v>
      </c>
      <c r="Q287" s="81">
        <f>IF(G287="","",ABS(O287-Components!$C$3)/Components!$D$3)</f>
        <v>291.81205610282575</v>
      </c>
      <c r="R287" s="81">
        <f>IF(G287="","",ABS(O287-Components!$C$4)/Components!$D$4)</f>
        <v>70.345436185703576</v>
      </c>
      <c r="S287" s="81">
        <f>IF(G287="","",ABS(O287-Components!$C$5)/Components!$D$5)</f>
        <v>180.80621352811551</v>
      </c>
      <c r="T287" s="81">
        <f>IF(G287="","",ABS(O287-Components!$C$6)/Components!$D$6)</f>
        <v>41.466861253797049</v>
      </c>
      <c r="U287" s="81">
        <f>IF(G287="","",ABS(O287-Components!$C$7)/Components!$D$7)</f>
        <v>54.257439367485453</v>
      </c>
      <c r="V287" s="81" t="str">
        <f>IF(G287="","",IF(M287="OK","NONE",INDEX({"S1","S2","W1","W2","N1","N2"},MATCH(MIN(P287:U287),P287:U287,0))))</f>
        <v>NONE</v>
      </c>
      <c r="W287" s="117">
        <f t="shared" si="34"/>
        <v>1</v>
      </c>
      <c r="X287" s="107"/>
    </row>
    <row r="288" spans="1:24">
      <c r="A288" s="115">
        <v>286</v>
      </c>
      <c r="B288" s="116">
        <v>10</v>
      </c>
      <c r="C288" s="81" t="s">
        <v>132</v>
      </c>
      <c r="D288" s="109" t="s">
        <v>238</v>
      </c>
      <c r="E288" s="81" t="s">
        <v>239</v>
      </c>
      <c r="F288" s="61">
        <v>8.6</v>
      </c>
      <c r="G288" s="52">
        <f t="shared" si="28"/>
        <v>9.57</v>
      </c>
      <c r="H288" s="110"/>
      <c r="I288" s="81">
        <v>9.61</v>
      </c>
      <c r="J288" s="81">
        <f>VLOOKUP(C288,Recipes!$A$2:$N$4,12,FALSE())</f>
        <v>6.1509461004819709E-2</v>
      </c>
      <c r="K288" s="81">
        <f t="shared" si="29"/>
        <v>9.2409432339710804</v>
      </c>
      <c r="L288" s="81">
        <f t="shared" si="30"/>
        <v>9.9790567660289184</v>
      </c>
      <c r="M288" s="81" t="str">
        <f t="shared" si="32"/>
        <v>OK</v>
      </c>
      <c r="N288" s="117">
        <f t="shared" si="31"/>
        <v>1</v>
      </c>
      <c r="O288" s="81">
        <f t="shared" si="33"/>
        <v>3.9999999999999147E-2</v>
      </c>
      <c r="P288" s="81">
        <f>IF(G288="","",ABS(O288-Components!$C$2)/Components!$D$2)</f>
        <v>410.55465264325551</v>
      </c>
      <c r="Q288" s="81">
        <f>IF(G288="","",ABS(O288-Components!$C$3)/Components!$D$3)</f>
        <v>289.63759964900436</v>
      </c>
      <c r="R288" s="81">
        <f>IF(G288="","",ABS(O288-Components!$C$4)/Components!$D$4)</f>
        <v>68.199304234275246</v>
      </c>
      <c r="S288" s="81">
        <f>IF(G288="","",ABS(O288-Components!$C$5)/Components!$D$5)</f>
        <v>179.6147829220582</v>
      </c>
      <c r="T288" s="81">
        <f>IF(G288="","",ABS(O288-Components!$C$6)/Components!$D$6)</f>
        <v>40.381025492132267</v>
      </c>
      <c r="U288" s="81">
        <f>IF(G288="","",ABS(O288-Components!$C$7)/Components!$D$7)</f>
        <v>53.064385484496484</v>
      </c>
      <c r="V288" s="81" t="str">
        <f>IF(G288="","",IF(M288="OK","NONE",INDEX({"S1","S2","W1","W2","N1","N2"},MATCH(MIN(P288:U288),P288:U288,0))))</f>
        <v>NONE</v>
      </c>
      <c r="W288" s="117">
        <f t="shared" si="34"/>
        <v>1</v>
      </c>
      <c r="X288" s="107"/>
    </row>
    <row r="289" spans="1:24">
      <c r="A289" s="115">
        <v>287</v>
      </c>
      <c r="B289" s="116">
        <v>10</v>
      </c>
      <c r="C289" s="81" t="s">
        <v>132</v>
      </c>
      <c r="D289" s="109" t="s">
        <v>238</v>
      </c>
      <c r="E289" s="81" t="s">
        <v>239</v>
      </c>
      <c r="F289" s="61">
        <v>8.6199999999999992</v>
      </c>
      <c r="G289" s="52">
        <f t="shared" si="28"/>
        <v>9.59</v>
      </c>
      <c r="H289" s="110"/>
      <c r="I289" s="81">
        <v>9.61</v>
      </c>
      <c r="J289" s="81">
        <f>VLOOKUP(C289,Recipes!$A$2:$N$4,12,FALSE())</f>
        <v>6.1509461004819709E-2</v>
      </c>
      <c r="K289" s="81">
        <f t="shared" si="29"/>
        <v>9.2409432339710804</v>
      </c>
      <c r="L289" s="81">
        <f t="shared" si="30"/>
        <v>9.9790567660289184</v>
      </c>
      <c r="M289" s="81" t="str">
        <f t="shared" si="32"/>
        <v>OK</v>
      </c>
      <c r="N289" s="117">
        <f t="shared" si="31"/>
        <v>1</v>
      </c>
      <c r="O289" s="81">
        <f t="shared" si="33"/>
        <v>1.9999999999999574E-2</v>
      </c>
      <c r="P289" s="81">
        <f>IF(G289="","",ABS(O289-Components!$C$2)/Components!$D$2)</f>
        <v>413.58085401409028</v>
      </c>
      <c r="Q289" s="81">
        <f>IF(G289="","",ABS(O289-Components!$C$3)/Components!$D$3)</f>
        <v>291.08723728488519</v>
      </c>
      <c r="R289" s="81">
        <f>IF(G289="","",ABS(O289-Components!$C$4)/Components!$D$4)</f>
        <v>69.63005886856071</v>
      </c>
      <c r="S289" s="81">
        <f>IF(G289="","",ABS(O289-Components!$C$5)/Components!$D$5)</f>
        <v>180.40906999276302</v>
      </c>
      <c r="T289" s="81">
        <f>IF(G289="","",ABS(O289-Components!$C$6)/Components!$D$6)</f>
        <v>41.104915999908741</v>
      </c>
      <c r="U289" s="81">
        <f>IF(G289="","",ABS(O289-Components!$C$7)/Components!$D$7)</f>
        <v>53.859754739822421</v>
      </c>
      <c r="V289" s="81" t="str">
        <f>IF(G289="","",IF(M289="OK","NONE",INDEX({"S1","S2","W1","W2","N1","N2"},MATCH(MIN(P289:U289),P289:U289,0))))</f>
        <v>NONE</v>
      </c>
      <c r="W289" s="117">
        <f t="shared" si="34"/>
        <v>1</v>
      </c>
      <c r="X289" s="107"/>
    </row>
    <row r="290" spans="1:24">
      <c r="A290" s="115">
        <v>288</v>
      </c>
      <c r="B290" s="116">
        <v>10</v>
      </c>
      <c r="C290" s="81" t="s">
        <v>132</v>
      </c>
      <c r="D290" s="109" t="s">
        <v>238</v>
      </c>
      <c r="E290" s="81" t="s">
        <v>239</v>
      </c>
      <c r="F290" s="61">
        <v>8.41</v>
      </c>
      <c r="G290" s="52">
        <f t="shared" si="28"/>
        <v>9.3800000000000008</v>
      </c>
      <c r="H290" s="110"/>
      <c r="I290" s="81">
        <v>9.61</v>
      </c>
      <c r="J290" s="81">
        <f>VLOOKUP(C290,Recipes!$A$2:$N$4,12,FALSE())</f>
        <v>6.1509461004819709E-2</v>
      </c>
      <c r="K290" s="81">
        <f t="shared" si="29"/>
        <v>9.2409432339710804</v>
      </c>
      <c r="L290" s="81">
        <f t="shared" si="30"/>
        <v>9.9790567660289184</v>
      </c>
      <c r="M290" s="81" t="str">
        <f t="shared" si="32"/>
        <v>OK</v>
      </c>
      <c r="N290" s="122">
        <f t="shared" si="31"/>
        <v>1</v>
      </c>
      <c r="O290" s="81">
        <f t="shared" si="33"/>
        <v>0.22999999999999865</v>
      </c>
      <c r="P290" s="81">
        <f>IF(G290="","",ABS(O290-Components!$C$2)/Components!$D$2)</f>
        <v>381.80573962032491</v>
      </c>
      <c r="Q290" s="81">
        <f>IF(G290="","",ABS(O290-Components!$C$3)/Components!$D$3)</f>
        <v>275.86604210813579</v>
      </c>
      <c r="R290" s="81">
        <f>IF(G290="","",ABS(O290-Components!$C$4)/Components!$D$4)</f>
        <v>54.607135208563093</v>
      </c>
      <c r="S290" s="81">
        <f>IF(G290="","",ABS(O290-Components!$C$5)/Components!$D$5)</f>
        <v>172.06905575036208</v>
      </c>
      <c r="T290" s="81">
        <f>IF(G290="","",ABS(O290-Components!$C$6)/Components!$D$6)</f>
        <v>33.504065668255585</v>
      </c>
      <c r="U290" s="81">
        <f>IF(G290="","",ABS(O290-Components!$C$7)/Components!$D$7)</f>
        <v>45.508377558899937</v>
      </c>
      <c r="V290" s="81" t="str">
        <f>IF(G290="","",IF(M290="OK","NONE",INDEX({"S1","S2","W1","W2","N1","N2"},MATCH(MIN(P290:U290),P290:U290,0))))</f>
        <v>NONE</v>
      </c>
      <c r="W290" s="117">
        <f t="shared" si="34"/>
        <v>1</v>
      </c>
      <c r="X290" s="107"/>
    </row>
    <row r="291" spans="1:24">
      <c r="A291" s="115">
        <v>289</v>
      </c>
      <c r="B291" s="116">
        <v>10</v>
      </c>
      <c r="C291" s="81" t="s">
        <v>132</v>
      </c>
      <c r="D291" s="109" t="s">
        <v>238</v>
      </c>
      <c r="E291" s="81" t="s">
        <v>239</v>
      </c>
      <c r="F291" s="61">
        <v>8.61</v>
      </c>
      <c r="G291" s="52">
        <f t="shared" si="28"/>
        <v>9.58</v>
      </c>
      <c r="H291" s="110"/>
      <c r="I291" s="81">
        <v>9.61</v>
      </c>
      <c r="J291" s="81">
        <f>VLOOKUP(C291,Recipes!$A$2:$N$4,12,FALSE())</f>
        <v>6.1509461004819709E-2</v>
      </c>
      <c r="K291" s="81">
        <f t="shared" si="29"/>
        <v>9.2409432339710804</v>
      </c>
      <c r="L291" s="81">
        <f t="shared" si="30"/>
        <v>9.9790567660289184</v>
      </c>
      <c r="M291" s="81" t="str">
        <f t="shared" si="32"/>
        <v>OK</v>
      </c>
      <c r="N291" s="117">
        <f t="shared" si="31"/>
        <v>1</v>
      </c>
      <c r="O291" s="81">
        <f t="shared" si="33"/>
        <v>2.9999999999999361E-2</v>
      </c>
      <c r="P291" s="81">
        <f>IF(G291="","",ABS(O291-Components!$C$2)/Components!$D$2)</f>
        <v>412.06775332867289</v>
      </c>
      <c r="Q291" s="81">
        <f>IF(G291="","",ABS(O291-Components!$C$3)/Components!$D$3)</f>
        <v>290.36241846694475</v>
      </c>
      <c r="R291" s="81">
        <f>IF(G291="","",ABS(O291-Components!$C$4)/Components!$D$4)</f>
        <v>68.914681551417985</v>
      </c>
      <c r="S291" s="81">
        <f>IF(G291="","",ABS(O291-Components!$C$5)/Components!$D$5)</f>
        <v>180.0119264574106</v>
      </c>
      <c r="T291" s="81">
        <f>IF(G291="","",ABS(O291-Components!$C$6)/Components!$D$6)</f>
        <v>40.742970746020504</v>
      </c>
      <c r="U291" s="81">
        <f>IF(G291="","",ABS(O291-Components!$C$7)/Components!$D$7)</f>
        <v>53.462070112159452</v>
      </c>
      <c r="V291" s="81" t="str">
        <f>IF(G291="","",IF(M291="OK","NONE",INDEX({"S1","S2","W1","W2","N1","N2"},MATCH(MIN(P291:U291),P291:U291,0))))</f>
        <v>NONE</v>
      </c>
      <c r="W291" s="117">
        <f t="shared" si="34"/>
        <v>1</v>
      </c>
      <c r="X291" s="107"/>
    </row>
    <row r="292" spans="1:24">
      <c r="A292" s="115">
        <v>290</v>
      </c>
      <c r="B292" s="116">
        <v>10</v>
      </c>
      <c r="C292" s="81" t="s">
        <v>132</v>
      </c>
      <c r="D292" s="109" t="s">
        <v>238</v>
      </c>
      <c r="E292" s="81" t="s">
        <v>239</v>
      </c>
      <c r="F292" s="61">
        <v>8.61</v>
      </c>
      <c r="G292" s="52">
        <f t="shared" si="28"/>
        <v>9.58</v>
      </c>
      <c r="H292" s="110"/>
      <c r="I292" s="81">
        <v>9.61</v>
      </c>
      <c r="J292" s="81">
        <f>VLOOKUP(C292,Recipes!$A$2:$N$4,12,FALSE())</f>
        <v>6.1509461004819709E-2</v>
      </c>
      <c r="K292" s="81">
        <f t="shared" si="29"/>
        <v>9.2409432339710804</v>
      </c>
      <c r="L292" s="81">
        <f t="shared" si="30"/>
        <v>9.9790567660289184</v>
      </c>
      <c r="M292" s="81" t="str">
        <f t="shared" si="32"/>
        <v>OK</v>
      </c>
      <c r="N292" s="117">
        <f t="shared" si="31"/>
        <v>1</v>
      </c>
      <c r="O292" s="81">
        <f t="shared" si="33"/>
        <v>2.9999999999999361E-2</v>
      </c>
      <c r="P292" s="81">
        <f>IF(G292="","",ABS(O292-Components!$C$2)/Components!$D$2)</f>
        <v>412.06775332867289</v>
      </c>
      <c r="Q292" s="81">
        <f>IF(G292="","",ABS(O292-Components!$C$3)/Components!$D$3)</f>
        <v>290.36241846694475</v>
      </c>
      <c r="R292" s="81">
        <f>IF(G292="","",ABS(O292-Components!$C$4)/Components!$D$4)</f>
        <v>68.914681551417985</v>
      </c>
      <c r="S292" s="81">
        <f>IF(G292="","",ABS(O292-Components!$C$5)/Components!$D$5)</f>
        <v>180.0119264574106</v>
      </c>
      <c r="T292" s="81">
        <f>IF(G292="","",ABS(O292-Components!$C$6)/Components!$D$6)</f>
        <v>40.742970746020504</v>
      </c>
      <c r="U292" s="81">
        <f>IF(G292="","",ABS(O292-Components!$C$7)/Components!$D$7)</f>
        <v>53.462070112159452</v>
      </c>
      <c r="V292" s="81" t="str">
        <f>IF(G292="","",IF(M292="OK","NONE",INDEX({"S1","S2","W1","W2","N1","N2"},MATCH(MIN(P292:U292),P292:U292,0))))</f>
        <v>NONE</v>
      </c>
      <c r="W292" s="117">
        <f t="shared" si="34"/>
        <v>1</v>
      </c>
      <c r="X292" s="107"/>
    </row>
    <row r="293" spans="1:24">
      <c r="A293" s="115">
        <v>291</v>
      </c>
      <c r="B293" s="116">
        <v>10</v>
      </c>
      <c r="C293" s="81" t="s">
        <v>132</v>
      </c>
      <c r="D293" s="109" t="s">
        <v>238</v>
      </c>
      <c r="E293" s="81" t="s">
        <v>239</v>
      </c>
      <c r="F293" s="61">
        <v>8.5399999999999991</v>
      </c>
      <c r="G293" s="52">
        <f t="shared" si="28"/>
        <v>9.51</v>
      </c>
      <c r="H293" s="110"/>
      <c r="I293" s="81">
        <v>9.61</v>
      </c>
      <c r="J293" s="81">
        <f>VLOOKUP(C293,Recipes!$A$2:$N$4,12,FALSE())</f>
        <v>6.1509461004819709E-2</v>
      </c>
      <c r="K293" s="81">
        <f t="shared" si="29"/>
        <v>9.2409432339710804</v>
      </c>
      <c r="L293" s="81">
        <f t="shared" si="30"/>
        <v>9.9790567660289184</v>
      </c>
      <c r="M293" s="81" t="str">
        <f t="shared" si="32"/>
        <v>OK</v>
      </c>
      <c r="N293" s="117">
        <f t="shared" si="31"/>
        <v>1</v>
      </c>
      <c r="O293" s="81">
        <f t="shared" si="33"/>
        <v>9.9999999999999645E-2</v>
      </c>
      <c r="P293" s="81">
        <f>IF(G293="","",ABS(O293-Components!$C$2)/Components!$D$2)</f>
        <v>401.47604853075103</v>
      </c>
      <c r="Q293" s="81">
        <f>IF(G293="","",ABS(O293-Components!$C$3)/Components!$D$3)</f>
        <v>285.28868674136157</v>
      </c>
      <c r="R293" s="81">
        <f>IF(G293="","",ABS(O293-Components!$C$4)/Components!$D$4)</f>
        <v>63.907040331418735</v>
      </c>
      <c r="S293" s="81">
        <f>IF(G293="","",ABS(O293-Components!$C$5)/Components!$D$5)</f>
        <v>177.23192170994361</v>
      </c>
      <c r="T293" s="81">
        <f>IF(G293="","",ABS(O293-Components!$C$6)/Components!$D$6)</f>
        <v>38.209353968802759</v>
      </c>
      <c r="U293" s="81">
        <f>IF(G293="","",ABS(O293-Components!$C$7)/Components!$D$7)</f>
        <v>50.678277718518601</v>
      </c>
      <c r="V293" s="81" t="str">
        <f>IF(G293="","",IF(M293="OK","NONE",INDEX({"S1","S2","W1","W2","N1","N2"},MATCH(MIN(P293:U293),P293:U293,0))))</f>
        <v>NONE</v>
      </c>
      <c r="W293" s="117">
        <f t="shared" si="34"/>
        <v>1</v>
      </c>
      <c r="X293" s="107"/>
    </row>
    <row r="294" spans="1:24">
      <c r="A294" s="115">
        <v>292</v>
      </c>
      <c r="B294" s="116">
        <v>10</v>
      </c>
      <c r="C294" s="81" t="s">
        <v>132</v>
      </c>
      <c r="D294" s="109" t="s">
        <v>238</v>
      </c>
      <c r="E294" s="81" t="s">
        <v>239</v>
      </c>
      <c r="F294" s="61">
        <v>8.59</v>
      </c>
      <c r="G294" s="52">
        <f t="shared" si="28"/>
        <v>9.56</v>
      </c>
      <c r="H294" s="110"/>
      <c r="I294" s="81">
        <v>9.61</v>
      </c>
      <c r="J294" s="81">
        <f>VLOOKUP(C294,Recipes!$A$2:$N$4,12,FALSE())</f>
        <v>6.1509461004819709E-2</v>
      </c>
      <c r="K294" s="81">
        <f t="shared" si="29"/>
        <v>9.2409432339710804</v>
      </c>
      <c r="L294" s="81">
        <f t="shared" si="30"/>
        <v>9.9790567660289184</v>
      </c>
      <c r="M294" s="81" t="str">
        <f t="shared" si="32"/>
        <v>OK</v>
      </c>
      <c r="N294" s="117">
        <f t="shared" si="31"/>
        <v>1</v>
      </c>
      <c r="O294" s="81">
        <f t="shared" si="33"/>
        <v>4.9999999999998934E-2</v>
      </c>
      <c r="P294" s="81">
        <f>IF(G294="","",ABS(O294-Components!$C$2)/Components!$D$2)</f>
        <v>409.04155195783812</v>
      </c>
      <c r="Q294" s="81">
        <f>IF(G294="","",ABS(O294-Components!$C$3)/Components!$D$3)</f>
        <v>288.91278083106391</v>
      </c>
      <c r="R294" s="81">
        <f>IF(G294="","",ABS(O294-Components!$C$4)/Components!$D$4)</f>
        <v>67.483926917132521</v>
      </c>
      <c r="S294" s="81">
        <f>IF(G294="","",ABS(O294-Components!$C$5)/Components!$D$5)</f>
        <v>179.21763938670577</v>
      </c>
      <c r="T294" s="81">
        <f>IF(G294="","",ABS(O294-Components!$C$6)/Components!$D$6)</f>
        <v>40.019080238244022</v>
      </c>
      <c r="U294" s="81">
        <f>IF(G294="","",ABS(O294-Components!$C$7)/Components!$D$7)</f>
        <v>52.666700856833515</v>
      </c>
      <c r="V294" s="81" t="str">
        <f>IF(G294="","",IF(M294="OK","NONE",INDEX({"S1","S2","W1","W2","N1","N2"},MATCH(MIN(P294:U294),P294:U294,0))))</f>
        <v>NONE</v>
      </c>
      <c r="W294" s="117">
        <f t="shared" si="34"/>
        <v>1</v>
      </c>
      <c r="X294" s="107"/>
    </row>
    <row r="295" spans="1:24">
      <c r="A295" s="115">
        <v>293</v>
      </c>
      <c r="B295" s="116">
        <v>10</v>
      </c>
      <c r="C295" s="81" t="s">
        <v>132</v>
      </c>
      <c r="D295" s="109" t="s">
        <v>238</v>
      </c>
      <c r="E295" s="81" t="s">
        <v>239</v>
      </c>
      <c r="F295" s="61">
        <v>8.64</v>
      </c>
      <c r="G295" s="52">
        <f t="shared" si="28"/>
        <v>9.6100000000000012</v>
      </c>
      <c r="H295" s="110"/>
      <c r="I295" s="81">
        <v>9.61</v>
      </c>
      <c r="J295" s="81">
        <f>VLOOKUP(C295,Recipes!$A$2:$N$4,12,FALSE())</f>
        <v>6.1509461004819709E-2</v>
      </c>
      <c r="K295" s="81">
        <f t="shared" si="29"/>
        <v>9.2409432339710804</v>
      </c>
      <c r="L295" s="81">
        <f t="shared" si="30"/>
        <v>9.9790567660289184</v>
      </c>
      <c r="M295" s="81" t="str">
        <f t="shared" si="32"/>
        <v>OK</v>
      </c>
      <c r="N295" s="117">
        <f t="shared" si="31"/>
        <v>1</v>
      </c>
      <c r="O295" s="81">
        <f t="shared" si="33"/>
        <v>-1.7763568394002505E-15</v>
      </c>
      <c r="P295" s="81">
        <f>IF(G295="","",ABS(O295-Components!$C$2)/Components!$D$2)</f>
        <v>416.60705538492527</v>
      </c>
      <c r="Q295" s="81">
        <f>IF(G295="","",ABS(O295-Components!$C$3)/Components!$D$3)</f>
        <v>292.53687492076619</v>
      </c>
      <c r="R295" s="81">
        <f>IF(G295="","",ABS(O295-Components!$C$4)/Components!$D$4)</f>
        <v>71.060813502846301</v>
      </c>
      <c r="S295" s="81">
        <f>IF(G295="","",ABS(O295-Components!$C$5)/Components!$D$5)</f>
        <v>181.20335706346793</v>
      </c>
      <c r="T295" s="81">
        <f>IF(G295="","",ABS(O295-Components!$C$6)/Components!$D$6)</f>
        <v>41.828806507685286</v>
      </c>
      <c r="U295" s="81">
        <f>IF(G295="","",ABS(O295-Components!$C$7)/Components!$D$7)</f>
        <v>54.655123995148422</v>
      </c>
      <c r="V295" s="81" t="str">
        <f>IF(G295="","",IF(M295="OK","NONE",INDEX({"S1","S2","W1","W2","N1","N2"},MATCH(MIN(P295:U295),P295:U295,0))))</f>
        <v>NONE</v>
      </c>
      <c r="W295" s="117">
        <f t="shared" si="34"/>
        <v>1</v>
      </c>
      <c r="X295" s="107"/>
    </row>
    <row r="296" spans="1:24">
      <c r="A296" s="115">
        <v>294</v>
      </c>
      <c r="B296" s="116">
        <v>10</v>
      </c>
      <c r="C296" s="81" t="s">
        <v>132</v>
      </c>
      <c r="D296" s="109" t="s">
        <v>238</v>
      </c>
      <c r="E296" s="81" t="s">
        <v>239</v>
      </c>
      <c r="F296" s="61">
        <v>8.64</v>
      </c>
      <c r="G296" s="52">
        <f t="shared" si="28"/>
        <v>9.6100000000000012</v>
      </c>
      <c r="H296" s="110"/>
      <c r="I296" s="81">
        <v>9.61</v>
      </c>
      <c r="J296" s="81">
        <f>VLOOKUP(C296,Recipes!$A$2:$N$4,12,FALSE())</f>
        <v>6.1509461004819709E-2</v>
      </c>
      <c r="K296" s="81">
        <f t="shared" si="29"/>
        <v>9.2409432339710804</v>
      </c>
      <c r="L296" s="81">
        <f t="shared" si="30"/>
        <v>9.9790567660289184</v>
      </c>
      <c r="M296" s="81" t="str">
        <f t="shared" si="32"/>
        <v>OK</v>
      </c>
      <c r="N296" s="117">
        <f t="shared" si="31"/>
        <v>1</v>
      </c>
      <c r="O296" s="81">
        <f t="shared" si="33"/>
        <v>-1.7763568394002505E-15</v>
      </c>
      <c r="P296" s="81">
        <f>IF(G296="","",ABS(O296-Components!$C$2)/Components!$D$2)</f>
        <v>416.60705538492527</v>
      </c>
      <c r="Q296" s="81">
        <f>IF(G296="","",ABS(O296-Components!$C$3)/Components!$D$3)</f>
        <v>292.53687492076619</v>
      </c>
      <c r="R296" s="81">
        <f>IF(G296="","",ABS(O296-Components!$C$4)/Components!$D$4)</f>
        <v>71.060813502846301</v>
      </c>
      <c r="S296" s="81">
        <f>IF(G296="","",ABS(O296-Components!$C$5)/Components!$D$5)</f>
        <v>181.20335706346793</v>
      </c>
      <c r="T296" s="81">
        <f>IF(G296="","",ABS(O296-Components!$C$6)/Components!$D$6)</f>
        <v>41.828806507685286</v>
      </c>
      <c r="U296" s="81">
        <f>IF(G296="","",ABS(O296-Components!$C$7)/Components!$D$7)</f>
        <v>54.655123995148422</v>
      </c>
      <c r="V296" s="81" t="str">
        <f>IF(G296="","",IF(M296="OK","NONE",INDEX({"S1","S2","W1","W2","N1","N2"},MATCH(MIN(P296:U296),P296:U296,0))))</f>
        <v>NONE</v>
      </c>
      <c r="W296" s="117">
        <f t="shared" si="34"/>
        <v>1</v>
      </c>
      <c r="X296" s="107"/>
    </row>
    <row r="297" spans="1:24">
      <c r="A297" s="115">
        <v>295</v>
      </c>
      <c r="B297" s="116">
        <v>10</v>
      </c>
      <c r="C297" s="81" t="s">
        <v>132</v>
      </c>
      <c r="D297" s="109" t="s">
        <v>238</v>
      </c>
      <c r="E297" s="81" t="s">
        <v>239</v>
      </c>
      <c r="F297" s="61">
        <v>8.68</v>
      </c>
      <c r="G297" s="52">
        <f t="shared" si="28"/>
        <v>9.65</v>
      </c>
      <c r="H297" s="110"/>
      <c r="I297" s="81">
        <v>9.61</v>
      </c>
      <c r="J297" s="81">
        <f>VLOOKUP(C297,Recipes!$A$2:$N$4,12,FALSE())</f>
        <v>6.1509461004819709E-2</v>
      </c>
      <c r="K297" s="81">
        <f t="shared" si="29"/>
        <v>9.2409432339710804</v>
      </c>
      <c r="L297" s="81">
        <f t="shared" si="30"/>
        <v>9.9790567660289184</v>
      </c>
      <c r="M297" s="81" t="str">
        <f t="shared" si="32"/>
        <v>OK</v>
      </c>
      <c r="N297" s="117">
        <f t="shared" si="31"/>
        <v>1</v>
      </c>
      <c r="O297" s="81">
        <f t="shared" si="33"/>
        <v>-4.0000000000000924E-2</v>
      </c>
      <c r="P297" s="81">
        <f>IF(G297="","",ABS(O297-Components!$C$2)/Components!$D$2)</f>
        <v>422.65945812659476</v>
      </c>
      <c r="Q297" s="81">
        <f>IF(G297="","",ABS(O297-Components!$C$3)/Components!$D$3)</f>
        <v>295.43615019252792</v>
      </c>
      <c r="R297" s="81">
        <f>IF(G297="","",ABS(O297-Components!$C$4)/Components!$D$4)</f>
        <v>73.922322771417228</v>
      </c>
      <c r="S297" s="81">
        <f>IF(G297="","",ABS(O297-Components!$C$5)/Components!$D$5)</f>
        <v>182.79193120487761</v>
      </c>
      <c r="T297" s="81">
        <f>IF(G297="","",ABS(O297-Components!$C$6)/Components!$D$6)</f>
        <v>43.276587523238241</v>
      </c>
      <c r="U297" s="81">
        <f>IF(G297="","",ABS(O297-Components!$C$7)/Components!$D$7)</f>
        <v>56.245862505800297</v>
      </c>
      <c r="V297" s="81" t="str">
        <f>IF(G297="","",IF(M297="OK","NONE",INDEX({"S1","S2","W1","W2","N1","N2"},MATCH(MIN(P297:U297),P297:U297,0))))</f>
        <v>NONE</v>
      </c>
      <c r="W297" s="117">
        <f t="shared" si="34"/>
        <v>1</v>
      </c>
      <c r="X297" s="107"/>
    </row>
    <row r="298" spans="1:24">
      <c r="A298" s="115">
        <v>296</v>
      </c>
      <c r="B298" s="116">
        <v>10</v>
      </c>
      <c r="C298" s="81" t="s">
        <v>132</v>
      </c>
      <c r="D298" s="109" t="s">
        <v>238</v>
      </c>
      <c r="E298" s="81" t="s">
        <v>239</v>
      </c>
      <c r="F298" s="61">
        <v>8.66</v>
      </c>
      <c r="G298" s="52">
        <f t="shared" si="28"/>
        <v>9.6300000000000008</v>
      </c>
      <c r="H298" s="110"/>
      <c r="I298" s="81">
        <v>9.61</v>
      </c>
      <c r="J298" s="81">
        <f>VLOOKUP(C298,Recipes!$A$2:$N$4,12,FALSE())</f>
        <v>6.1509461004819709E-2</v>
      </c>
      <c r="K298" s="81">
        <f t="shared" si="29"/>
        <v>9.2409432339710804</v>
      </c>
      <c r="L298" s="81">
        <f t="shared" si="30"/>
        <v>9.9790567660289184</v>
      </c>
      <c r="M298" s="81" t="str">
        <f t="shared" si="32"/>
        <v>OK</v>
      </c>
      <c r="N298" s="117">
        <f t="shared" si="31"/>
        <v>1</v>
      </c>
      <c r="O298" s="81">
        <f t="shared" si="33"/>
        <v>-2.000000000000135E-2</v>
      </c>
      <c r="P298" s="81">
        <f>IF(G298="","",ABS(O298-Components!$C$2)/Components!$D$2)</f>
        <v>419.63325675576004</v>
      </c>
      <c r="Q298" s="81">
        <f>IF(G298="","",ABS(O298-Components!$C$3)/Components!$D$3)</f>
        <v>293.98651255664709</v>
      </c>
      <c r="R298" s="81">
        <f>IF(G298="","",ABS(O298-Components!$C$4)/Components!$D$4)</f>
        <v>72.491568137131765</v>
      </c>
      <c r="S298" s="81">
        <f>IF(G298="","",ABS(O298-Components!$C$5)/Components!$D$5)</f>
        <v>181.99764413417276</v>
      </c>
      <c r="T298" s="81">
        <f>IF(G298="","",ABS(O298-Components!$C$6)/Components!$D$6)</f>
        <v>42.552697015461767</v>
      </c>
      <c r="U298" s="81">
        <f>IF(G298="","",ABS(O298-Components!$C$7)/Components!$D$7)</f>
        <v>55.450493250474359</v>
      </c>
      <c r="V298" s="81" t="str">
        <f>IF(G298="","",IF(M298="OK","NONE",INDEX({"S1","S2","W1","W2","N1","N2"},MATCH(MIN(P298:U298),P298:U298,0))))</f>
        <v>NONE</v>
      </c>
      <c r="W298" s="117">
        <f t="shared" si="34"/>
        <v>1</v>
      </c>
      <c r="X298" s="107"/>
    </row>
    <row r="299" spans="1:24">
      <c r="A299" s="115">
        <v>297</v>
      </c>
      <c r="B299" s="116">
        <v>10</v>
      </c>
      <c r="C299" s="81" t="s">
        <v>132</v>
      </c>
      <c r="D299" s="109" t="s">
        <v>238</v>
      </c>
      <c r="E299" s="81" t="s">
        <v>239</v>
      </c>
      <c r="F299" s="61">
        <v>8.58</v>
      </c>
      <c r="G299" s="52">
        <f t="shared" si="28"/>
        <v>9.5500000000000007</v>
      </c>
      <c r="H299" s="110"/>
      <c r="I299" s="81">
        <v>9.61</v>
      </c>
      <c r="J299" s="81">
        <f>VLOOKUP(C299,Recipes!$A$2:$N$4,12,FALSE())</f>
        <v>6.1509461004819709E-2</v>
      </c>
      <c r="K299" s="81">
        <f t="shared" si="29"/>
        <v>9.2409432339710804</v>
      </c>
      <c r="L299" s="81">
        <f t="shared" si="30"/>
        <v>9.9790567660289184</v>
      </c>
      <c r="M299" s="81" t="str">
        <f t="shared" si="32"/>
        <v>OK</v>
      </c>
      <c r="N299" s="117">
        <f t="shared" si="31"/>
        <v>1</v>
      </c>
      <c r="O299" s="81">
        <f t="shared" si="33"/>
        <v>5.9999999999998721E-2</v>
      </c>
      <c r="P299" s="81">
        <f>IF(G299="","",ABS(O299-Components!$C$2)/Components!$D$2)</f>
        <v>407.52845127242074</v>
      </c>
      <c r="Q299" s="81">
        <f>IF(G299="","",ABS(O299-Components!$C$3)/Components!$D$3)</f>
        <v>288.18796201312347</v>
      </c>
      <c r="R299" s="81">
        <f>IF(G299="","",ABS(O299-Components!$C$4)/Components!$D$4)</f>
        <v>66.768549599989782</v>
      </c>
      <c r="S299" s="81">
        <f>IF(G299="","",ABS(O299-Components!$C$5)/Components!$D$5)</f>
        <v>178.82049585135334</v>
      </c>
      <c r="T299" s="81">
        <f>IF(G299="","",ABS(O299-Components!$C$6)/Components!$D$6)</f>
        <v>39.657134984355785</v>
      </c>
      <c r="U299" s="81">
        <f>IF(G299="","",ABS(O299-Components!$C$7)/Components!$D$7)</f>
        <v>52.269016229170546</v>
      </c>
      <c r="V299" s="81" t="str">
        <f>IF(G299="","",IF(M299="OK","NONE",INDEX({"S1","S2","W1","W2","N1","N2"},MATCH(MIN(P299:U299),P299:U299,0))))</f>
        <v>NONE</v>
      </c>
      <c r="W299" s="117">
        <f t="shared" si="34"/>
        <v>1</v>
      </c>
      <c r="X299" s="107"/>
    </row>
    <row r="300" spans="1:24">
      <c r="A300" s="115">
        <v>298</v>
      </c>
      <c r="B300" s="116">
        <v>10</v>
      </c>
      <c r="C300" s="81" t="s">
        <v>132</v>
      </c>
      <c r="D300" s="109" t="s">
        <v>238</v>
      </c>
      <c r="E300" s="81" t="s">
        <v>239</v>
      </c>
      <c r="F300" s="52">
        <v>8.6300000000000008</v>
      </c>
      <c r="G300" s="52">
        <f t="shared" si="28"/>
        <v>9.6000000000000014</v>
      </c>
      <c r="H300" s="110"/>
      <c r="I300" s="81">
        <v>9.61</v>
      </c>
      <c r="J300" s="81">
        <f>VLOOKUP(C300,Recipes!$A$2:$N$4,12,FALSE())</f>
        <v>6.1509461004819709E-2</v>
      </c>
      <c r="K300" s="81">
        <f t="shared" si="29"/>
        <v>9.2409432339710804</v>
      </c>
      <c r="L300" s="81">
        <f t="shared" si="30"/>
        <v>9.9790567660289184</v>
      </c>
      <c r="M300" s="81" t="str">
        <f t="shared" si="32"/>
        <v>OK</v>
      </c>
      <c r="N300" s="117">
        <f t="shared" si="31"/>
        <v>1</v>
      </c>
      <c r="O300" s="81">
        <f t="shared" si="33"/>
        <v>9.9999999999980105E-3</v>
      </c>
      <c r="P300" s="81">
        <f>IF(G300="","",ABS(O300-Components!$C$2)/Components!$D$2)</f>
        <v>415.09395469950789</v>
      </c>
      <c r="Q300" s="81">
        <f>IF(G300="","",ABS(O300-Components!$C$3)/Components!$D$3)</f>
        <v>291.81205610282575</v>
      </c>
      <c r="R300" s="81">
        <f>IF(G300="","",ABS(O300-Components!$C$4)/Components!$D$4)</f>
        <v>70.345436185703576</v>
      </c>
      <c r="S300" s="81">
        <f>IF(G300="","",ABS(O300-Components!$C$5)/Components!$D$5)</f>
        <v>180.80621352811551</v>
      </c>
      <c r="T300" s="81">
        <f>IF(G300="","",ABS(O300-Components!$C$6)/Components!$D$6)</f>
        <v>41.466861253797049</v>
      </c>
      <c r="U300" s="81">
        <f>IF(G300="","",ABS(O300-Components!$C$7)/Components!$D$7)</f>
        <v>54.257439367485453</v>
      </c>
      <c r="V300" s="81" t="str">
        <f>IF(G300="","",IF(M300="OK","NONE",INDEX({"S1","S2","W1","W2","N1","N2"},MATCH(MIN(P300:U300),P300:U300,0))))</f>
        <v>NONE</v>
      </c>
      <c r="W300" s="117">
        <f t="shared" si="34"/>
        <v>1</v>
      </c>
      <c r="X300" s="107"/>
    </row>
    <row r="301" spans="1:24">
      <c r="A301" s="115">
        <v>299</v>
      </c>
      <c r="B301" s="116">
        <v>10</v>
      </c>
      <c r="C301" s="61" t="s">
        <v>132</v>
      </c>
      <c r="D301" s="61" t="s">
        <v>238</v>
      </c>
      <c r="E301" s="61" t="s">
        <v>239</v>
      </c>
      <c r="F301" s="61">
        <v>8.6199999999999992</v>
      </c>
      <c r="G301" s="52">
        <f t="shared" si="28"/>
        <v>9.59</v>
      </c>
      <c r="H301" s="110"/>
      <c r="I301" s="81">
        <v>9.61</v>
      </c>
      <c r="J301" s="81">
        <f>VLOOKUP(C301,Recipes!$A$2:$N$4,12,FALSE())</f>
        <v>6.1509461004819709E-2</v>
      </c>
      <c r="K301" s="81">
        <f t="shared" si="29"/>
        <v>9.2409432339710804</v>
      </c>
      <c r="L301" s="81">
        <f t="shared" si="30"/>
        <v>9.9790567660289184</v>
      </c>
      <c r="M301" s="81" t="str">
        <f t="shared" si="32"/>
        <v>OK</v>
      </c>
      <c r="N301" s="117">
        <f t="shared" si="31"/>
        <v>1</v>
      </c>
      <c r="O301" s="81">
        <f t="shared" si="33"/>
        <v>1.9999999999999574E-2</v>
      </c>
      <c r="P301" s="81">
        <f>IF(G301="","",ABS(O301-Components!$C$2)/Components!$D$2)</f>
        <v>413.58085401409028</v>
      </c>
      <c r="Q301" s="81">
        <f>IF(G301="","",ABS(O301-Components!$C$3)/Components!$D$3)</f>
        <v>291.08723728488519</v>
      </c>
      <c r="R301" s="81">
        <f>IF(G301="","",ABS(O301-Components!$C$4)/Components!$D$4)</f>
        <v>69.63005886856071</v>
      </c>
      <c r="S301" s="81">
        <f>IF(G301="","",ABS(O301-Components!$C$5)/Components!$D$5)</f>
        <v>180.40906999276302</v>
      </c>
      <c r="T301" s="81">
        <f>IF(G301="","",ABS(O301-Components!$C$6)/Components!$D$6)</f>
        <v>41.104915999908741</v>
      </c>
      <c r="U301" s="81">
        <f>IF(G301="","",ABS(O301-Components!$C$7)/Components!$D$7)</f>
        <v>53.859754739822421</v>
      </c>
      <c r="V301" s="81" t="str">
        <f>IF(G301="","",IF(M301="OK","NONE",INDEX({"S1","S2","W1","W2","N1","N2"},MATCH(MIN(P301:U301),P301:U301,0))))</f>
        <v>NONE</v>
      </c>
      <c r="W301" s="117">
        <f t="shared" si="34"/>
        <v>1</v>
      </c>
      <c r="X301" s="107"/>
    </row>
    <row r="302" spans="1:24">
      <c r="A302" s="115">
        <v>300</v>
      </c>
      <c r="B302" s="116">
        <v>10</v>
      </c>
      <c r="C302" s="61" t="s">
        <v>132</v>
      </c>
      <c r="D302" s="61" t="s">
        <v>238</v>
      </c>
      <c r="E302" s="61" t="s">
        <v>239</v>
      </c>
      <c r="F302" s="61">
        <v>8.58</v>
      </c>
      <c r="G302" s="52">
        <f t="shared" si="28"/>
        <v>9.5500000000000007</v>
      </c>
      <c r="H302" s="110"/>
      <c r="I302" s="81">
        <v>9.61</v>
      </c>
      <c r="J302" s="81">
        <f>VLOOKUP(C302,Recipes!$A$2:$N$4,12,FALSE())</f>
        <v>6.1509461004819709E-2</v>
      </c>
      <c r="K302" s="81">
        <f t="shared" si="29"/>
        <v>9.2409432339710804</v>
      </c>
      <c r="L302" s="81">
        <f t="shared" si="30"/>
        <v>9.9790567660289184</v>
      </c>
      <c r="M302" s="81" t="str">
        <f t="shared" si="32"/>
        <v>OK</v>
      </c>
      <c r="N302" s="117">
        <f t="shared" si="31"/>
        <v>1</v>
      </c>
      <c r="O302" s="81">
        <f t="shared" si="33"/>
        <v>5.9999999999998721E-2</v>
      </c>
      <c r="P302" s="81">
        <f>IF(G302="","",ABS(O302-Components!$C$2)/Components!$D$2)</f>
        <v>407.52845127242074</v>
      </c>
      <c r="Q302" s="81">
        <f>IF(G302="","",ABS(O302-Components!$C$3)/Components!$D$3)</f>
        <v>288.18796201312347</v>
      </c>
      <c r="R302" s="81">
        <f>IF(G302="","",ABS(O302-Components!$C$4)/Components!$D$4)</f>
        <v>66.768549599989782</v>
      </c>
      <c r="S302" s="81">
        <f>IF(G302="","",ABS(O302-Components!$C$5)/Components!$D$5)</f>
        <v>178.82049585135334</v>
      </c>
      <c r="T302" s="81">
        <f>IF(G302="","",ABS(O302-Components!$C$6)/Components!$D$6)</f>
        <v>39.657134984355785</v>
      </c>
      <c r="U302" s="81">
        <f>IF(G302="","",ABS(O302-Components!$C$7)/Components!$D$7)</f>
        <v>52.269016229170546</v>
      </c>
      <c r="V302" s="81" t="str">
        <f>IF(G302="","",IF(M302="OK","NONE",INDEX({"S1","S2","W1","W2","N1","N2"},MATCH(MIN(P302:U302),P302:U302,0))))</f>
        <v>NONE</v>
      </c>
      <c r="W302" s="117">
        <f t="shared" si="34"/>
        <v>1</v>
      </c>
      <c r="X302" s="107"/>
    </row>
    <row r="303" spans="1:24">
      <c r="A303" s="115">
        <v>301</v>
      </c>
      <c r="B303" s="116">
        <v>11</v>
      </c>
      <c r="C303" s="81" t="s">
        <v>132</v>
      </c>
      <c r="D303" s="111" t="s">
        <v>240</v>
      </c>
      <c r="E303" s="81" t="s">
        <v>99</v>
      </c>
      <c r="F303" s="52">
        <v>5.89</v>
      </c>
      <c r="G303" s="52">
        <f t="shared" si="28"/>
        <v>6.8599999999999994</v>
      </c>
      <c r="H303" s="110"/>
      <c r="I303" s="81">
        <v>9.61</v>
      </c>
      <c r="J303" s="81">
        <f>VLOOKUP(C303,Recipes!$A$2:$N$4,12,FALSE())</f>
        <v>6.1509461004819709E-2</v>
      </c>
      <c r="K303" s="81">
        <f t="shared" si="29"/>
        <v>9.2409432339710804</v>
      </c>
      <c r="L303" s="81">
        <f t="shared" si="30"/>
        <v>9.9790567660289184</v>
      </c>
      <c r="M303" s="81" t="str">
        <f t="shared" si="32"/>
        <v>NG</v>
      </c>
      <c r="N303" s="117">
        <f t="shared" si="31"/>
        <v>1</v>
      </c>
      <c r="O303" s="81">
        <f t="shared" si="33"/>
        <v>2.75</v>
      </c>
      <c r="P303" s="81">
        <f>IF(G303="","",ABS(O303-Components!$C$2)/Components!$D$2)</f>
        <v>0.50436689513860911</v>
      </c>
      <c r="Q303" s="81">
        <f>IF(G303="","",ABS(O303-Components!$C$3)/Components!$D$3)</f>
        <v>93.211699987141998</v>
      </c>
      <c r="R303" s="81">
        <f>IF(G303="","",ABS(O303-Components!$C$4)/Components!$D$4)</f>
        <v>125.66794871140925</v>
      </c>
      <c r="S303" s="81">
        <f>IF(G303="","",ABS(O303-Components!$C$5)/Components!$D$5)</f>
        <v>71.988884841550231</v>
      </c>
      <c r="T303" s="81">
        <f>IF(G303="","",ABS(O303-Components!$C$6)/Components!$D$6)</f>
        <v>57.706138311582762</v>
      </c>
      <c r="U303" s="81">
        <f>IF(G303="","",ABS(O303-Components!$C$7)/Components!$D$7)</f>
        <v>54.708148612170341</v>
      </c>
      <c r="V303" s="81" t="str">
        <f>IF(G303="","",IF(M303="OK","NONE",INDEX({"S1","S2","W1","W2","N1","N2"},MATCH(MIN(P303:U303),P303:U303,0))))</f>
        <v>S1</v>
      </c>
      <c r="W303" s="117">
        <f t="shared" si="34"/>
        <v>1</v>
      </c>
      <c r="X303" s="107"/>
    </row>
    <row r="304" spans="1:24">
      <c r="A304" s="115">
        <v>302</v>
      </c>
      <c r="B304" s="116">
        <v>11</v>
      </c>
      <c r="C304" s="81" t="s">
        <v>132</v>
      </c>
      <c r="D304" s="111" t="s">
        <v>240</v>
      </c>
      <c r="E304" s="81" t="s">
        <v>99</v>
      </c>
      <c r="F304" s="52">
        <v>5.89</v>
      </c>
      <c r="G304" s="52">
        <f t="shared" si="28"/>
        <v>6.8599999999999994</v>
      </c>
      <c r="H304" s="110"/>
      <c r="I304" s="81">
        <v>9.61</v>
      </c>
      <c r="J304" s="81">
        <f>VLOOKUP(C304,Recipes!$A$2:$N$4,12,FALSE())</f>
        <v>6.1509461004819709E-2</v>
      </c>
      <c r="K304" s="81">
        <f t="shared" si="29"/>
        <v>9.2409432339710804</v>
      </c>
      <c r="L304" s="81">
        <f t="shared" si="30"/>
        <v>9.9790567660289184</v>
      </c>
      <c r="M304" s="81" t="str">
        <f t="shared" si="32"/>
        <v>NG</v>
      </c>
      <c r="N304" s="117">
        <f t="shared" si="31"/>
        <v>1</v>
      </c>
      <c r="O304" s="81">
        <f t="shared" si="33"/>
        <v>2.75</v>
      </c>
      <c r="P304" s="81">
        <f>IF(G304="","",ABS(O304-Components!$C$2)/Components!$D$2)</f>
        <v>0.50436689513860911</v>
      </c>
      <c r="Q304" s="81">
        <f>IF(G304="","",ABS(O304-Components!$C$3)/Components!$D$3)</f>
        <v>93.211699987141998</v>
      </c>
      <c r="R304" s="81">
        <f>IF(G304="","",ABS(O304-Components!$C$4)/Components!$D$4)</f>
        <v>125.66794871140925</v>
      </c>
      <c r="S304" s="81">
        <f>IF(G304="","",ABS(O304-Components!$C$5)/Components!$D$5)</f>
        <v>71.988884841550231</v>
      </c>
      <c r="T304" s="81">
        <f>IF(G304="","",ABS(O304-Components!$C$6)/Components!$D$6)</f>
        <v>57.706138311582762</v>
      </c>
      <c r="U304" s="81">
        <f>IF(G304="","",ABS(O304-Components!$C$7)/Components!$D$7)</f>
        <v>54.708148612170341</v>
      </c>
      <c r="V304" s="81" t="str">
        <f>IF(G304="","",IF(M304="OK","NONE",INDEX({"S1","S2","W1","W2","N1","N2"},MATCH(MIN(P304:U304),P304:U304,0))))</f>
        <v>S1</v>
      </c>
      <c r="W304" s="117">
        <f t="shared" si="34"/>
        <v>1</v>
      </c>
      <c r="X304" s="107"/>
    </row>
    <row r="305" spans="1:24">
      <c r="A305" s="115">
        <v>303</v>
      </c>
      <c r="B305" s="116">
        <v>11</v>
      </c>
      <c r="C305" s="81" t="s">
        <v>132</v>
      </c>
      <c r="D305" s="111" t="s">
        <v>240</v>
      </c>
      <c r="E305" s="81" t="s">
        <v>99</v>
      </c>
      <c r="F305" s="61">
        <v>5.9</v>
      </c>
      <c r="G305" s="52">
        <f t="shared" si="28"/>
        <v>6.87</v>
      </c>
      <c r="H305" s="110"/>
      <c r="I305" s="81">
        <v>9.61</v>
      </c>
      <c r="J305" s="81">
        <f>VLOOKUP(C305,Recipes!$A$2:$N$4,12,FALSE())</f>
        <v>6.1509461004819709E-2</v>
      </c>
      <c r="K305" s="81">
        <f t="shared" si="29"/>
        <v>9.2409432339710804</v>
      </c>
      <c r="L305" s="81">
        <f t="shared" si="30"/>
        <v>9.9790567660289184</v>
      </c>
      <c r="M305" s="81" t="str">
        <f t="shared" si="32"/>
        <v>NG</v>
      </c>
      <c r="N305" s="117">
        <f t="shared" si="31"/>
        <v>1</v>
      </c>
      <c r="O305" s="81">
        <f t="shared" si="33"/>
        <v>2.7399999999999993</v>
      </c>
      <c r="P305" s="81">
        <f>IF(G305="","",ABS(O305-Components!$C$2)/Components!$D$2)</f>
        <v>2.0174675805561164</v>
      </c>
      <c r="Q305" s="81">
        <f>IF(G305="","",ABS(O305-Components!$C$3)/Components!$D$3)</f>
        <v>93.9365188050825</v>
      </c>
      <c r="R305" s="81">
        <f>IF(G305="","",ABS(O305-Components!$C$4)/Components!$D$4)</f>
        <v>124.95257139426646</v>
      </c>
      <c r="S305" s="81">
        <f>IF(G305="","",ABS(O305-Components!$C$5)/Components!$D$5)</f>
        <v>72.386028376902672</v>
      </c>
      <c r="T305" s="81">
        <f>IF(G305="","",ABS(O305-Components!$C$6)/Components!$D$6)</f>
        <v>57.34419305769449</v>
      </c>
      <c r="U305" s="81">
        <f>IF(G305="","",ABS(O305-Components!$C$7)/Components!$D$7)</f>
        <v>54.310463984507336</v>
      </c>
      <c r="V305" s="81" t="str">
        <f>IF(G305="","",IF(M305="OK","NONE",INDEX({"S1","S2","W1","W2","N1","N2"},MATCH(MIN(P305:U305),P305:U305,0))))</f>
        <v>S1</v>
      </c>
      <c r="W305" s="117">
        <f t="shared" si="34"/>
        <v>1</v>
      </c>
      <c r="X305" s="107"/>
    </row>
    <row r="306" spans="1:24">
      <c r="A306" s="115">
        <v>304</v>
      </c>
      <c r="B306" s="116">
        <v>11</v>
      </c>
      <c r="C306" s="81" t="s">
        <v>132</v>
      </c>
      <c r="D306" s="111" t="s">
        <v>240</v>
      </c>
      <c r="E306" s="81" t="s">
        <v>99</v>
      </c>
      <c r="F306" s="61">
        <v>5.88</v>
      </c>
      <c r="G306" s="52">
        <f t="shared" si="28"/>
        <v>6.85</v>
      </c>
      <c r="H306" s="110"/>
      <c r="I306" s="81">
        <v>9.61</v>
      </c>
      <c r="J306" s="81">
        <f>VLOOKUP(C306,Recipes!$A$2:$N$4,12,FALSE())</f>
        <v>6.1509461004819709E-2</v>
      </c>
      <c r="K306" s="81">
        <f t="shared" si="29"/>
        <v>9.2409432339710804</v>
      </c>
      <c r="L306" s="81">
        <f t="shared" si="30"/>
        <v>9.9790567660289184</v>
      </c>
      <c r="M306" s="81" t="str">
        <f t="shared" si="32"/>
        <v>NG</v>
      </c>
      <c r="N306" s="117">
        <f t="shared" si="31"/>
        <v>1</v>
      </c>
      <c r="O306" s="81">
        <f t="shared" si="33"/>
        <v>2.76</v>
      </c>
      <c r="P306" s="81">
        <f>IF(G306="","",ABS(O306-Components!$C$2)/Components!$D$2)</f>
        <v>1.0087337902787636</v>
      </c>
      <c r="Q306" s="81">
        <f>IF(G306="","",ABS(O306-Components!$C$3)/Components!$D$3)</f>
        <v>92.486881169201553</v>
      </c>
      <c r="R306" s="81">
        <f>IF(G306="","",ABS(O306-Components!$C$4)/Components!$D$4)</f>
        <v>126.38332602855199</v>
      </c>
      <c r="S306" s="81">
        <f>IF(G306="","",ABS(O306-Components!$C$5)/Components!$D$5)</f>
        <v>71.591741306197804</v>
      </c>
      <c r="T306" s="81">
        <f>IF(G306="","",ABS(O306-Components!$C$6)/Components!$D$6)</f>
        <v>58.068083565470999</v>
      </c>
      <c r="U306" s="81">
        <f>IF(G306="","",ABS(O306-Components!$C$7)/Components!$D$7)</f>
        <v>55.105833239833309</v>
      </c>
      <c r="V306" s="81" t="str">
        <f>IF(G306="","",IF(M306="OK","NONE",INDEX({"S1","S2","W1","W2","N1","N2"},MATCH(MIN(P306:U306),P306:U306,0))))</f>
        <v>S1</v>
      </c>
      <c r="W306" s="117">
        <f t="shared" si="34"/>
        <v>1</v>
      </c>
      <c r="X306" s="107"/>
    </row>
    <row r="307" spans="1:24">
      <c r="A307" s="115">
        <v>305</v>
      </c>
      <c r="B307" s="116">
        <v>11</v>
      </c>
      <c r="C307" s="81" t="s">
        <v>132</v>
      </c>
      <c r="D307" s="111" t="s">
        <v>240</v>
      </c>
      <c r="E307" s="81" t="s">
        <v>99</v>
      </c>
      <c r="F307" s="61">
        <v>5.91</v>
      </c>
      <c r="G307" s="52">
        <f t="shared" si="28"/>
        <v>6.88</v>
      </c>
      <c r="H307" s="110"/>
      <c r="I307" s="81">
        <v>9.61</v>
      </c>
      <c r="J307" s="81">
        <f>VLOOKUP(C307,Recipes!$A$2:$N$4,12,FALSE())</f>
        <v>6.1509461004819709E-2</v>
      </c>
      <c r="K307" s="81">
        <f t="shared" si="29"/>
        <v>9.2409432339710804</v>
      </c>
      <c r="L307" s="81">
        <f t="shared" si="30"/>
        <v>9.9790567660289184</v>
      </c>
      <c r="M307" s="81" t="str">
        <f t="shared" si="32"/>
        <v>NG</v>
      </c>
      <c r="N307" s="117">
        <f t="shared" si="31"/>
        <v>1</v>
      </c>
      <c r="O307" s="81">
        <f t="shared" si="33"/>
        <v>2.7299999999999995</v>
      </c>
      <c r="P307" s="81">
        <f>IF(G307="","",ABS(O307-Components!$C$2)/Components!$D$2)</f>
        <v>3.5305682659734892</v>
      </c>
      <c r="Q307" s="81">
        <f>IF(G307="","",ABS(O307-Components!$C$3)/Components!$D$3)</f>
        <v>94.661337623022931</v>
      </c>
      <c r="R307" s="81">
        <f>IF(G307="","",ABS(O307-Components!$C$4)/Components!$D$4)</f>
        <v>124.23719407712373</v>
      </c>
      <c r="S307" s="81">
        <f>IF(G307="","",ABS(O307-Components!$C$5)/Components!$D$5)</f>
        <v>72.783171912255099</v>
      </c>
      <c r="T307" s="81">
        <f>IF(G307="","",ABS(O307-Components!$C$6)/Components!$D$6)</f>
        <v>56.982247803806253</v>
      </c>
      <c r="U307" s="81">
        <f>IF(G307="","",ABS(O307-Components!$C$7)/Components!$D$7)</f>
        <v>53.912779356844368</v>
      </c>
      <c r="V307" s="81" t="str">
        <f>IF(G307="","",IF(M307="OK","NONE",INDEX({"S1","S2","W1","W2","N1","N2"},MATCH(MIN(P307:U307),P307:U307,0))))</f>
        <v>S1</v>
      </c>
      <c r="W307" s="117">
        <f t="shared" si="34"/>
        <v>1</v>
      </c>
      <c r="X307" s="107"/>
    </row>
    <row r="308" spans="1:24">
      <c r="A308" s="115">
        <v>306</v>
      </c>
      <c r="B308" s="116">
        <v>11</v>
      </c>
      <c r="C308" s="81" t="s">
        <v>132</v>
      </c>
      <c r="D308" s="111" t="s">
        <v>240</v>
      </c>
      <c r="E308" s="81" t="s">
        <v>99</v>
      </c>
      <c r="F308" s="61">
        <v>5.86</v>
      </c>
      <c r="G308" s="52">
        <f t="shared" si="28"/>
        <v>6.83</v>
      </c>
      <c r="H308" s="110"/>
      <c r="I308" s="81">
        <v>9.61</v>
      </c>
      <c r="J308" s="81">
        <f>VLOOKUP(C308,Recipes!$A$2:$N$4,12,FALSE())</f>
        <v>6.1509461004819709E-2</v>
      </c>
      <c r="K308" s="81">
        <f t="shared" si="29"/>
        <v>9.2409432339710804</v>
      </c>
      <c r="L308" s="81">
        <f t="shared" si="30"/>
        <v>9.9790567660289184</v>
      </c>
      <c r="M308" s="81" t="str">
        <f t="shared" si="32"/>
        <v>NG</v>
      </c>
      <c r="N308" s="117">
        <f t="shared" si="31"/>
        <v>1</v>
      </c>
      <c r="O308" s="81">
        <f t="shared" si="33"/>
        <v>2.7799999999999994</v>
      </c>
      <c r="P308" s="81">
        <f>IF(G308="","",ABS(O308-Components!$C$2)/Components!$D$2)</f>
        <v>4.0349351611135091</v>
      </c>
      <c r="Q308" s="81">
        <f>IF(G308="","",ABS(O308-Components!$C$3)/Components!$D$3)</f>
        <v>91.037243533320691</v>
      </c>
      <c r="R308" s="81">
        <f>IF(G308="","",ABS(O308-Components!$C$4)/Components!$D$4)</f>
        <v>127.81408066283745</v>
      </c>
      <c r="S308" s="81">
        <f>IF(G308="","",ABS(O308-Components!$C$5)/Components!$D$5)</f>
        <v>70.797454235492964</v>
      </c>
      <c r="T308" s="81">
        <f>IF(G308="","",ABS(O308-Components!$C$6)/Components!$D$6)</f>
        <v>58.791974073247481</v>
      </c>
      <c r="U308" s="81">
        <f>IF(G308="","",ABS(O308-Components!$C$7)/Components!$D$7)</f>
        <v>55.901202495159247</v>
      </c>
      <c r="V308" s="81" t="str">
        <f>IF(G308="","",IF(M308="OK","NONE",INDEX({"S1","S2","W1","W2","N1","N2"},MATCH(MIN(P308:U308),P308:U308,0))))</f>
        <v>S1</v>
      </c>
      <c r="W308" s="117">
        <f t="shared" si="34"/>
        <v>1</v>
      </c>
      <c r="X308" s="107"/>
    </row>
    <row r="309" spans="1:24">
      <c r="A309" s="115">
        <v>307</v>
      </c>
      <c r="B309" s="116">
        <v>11</v>
      </c>
      <c r="C309" s="81" t="s">
        <v>132</v>
      </c>
      <c r="D309" s="111" t="s">
        <v>240</v>
      </c>
      <c r="E309" s="81" t="s">
        <v>99</v>
      </c>
      <c r="F309" s="61">
        <v>5.9</v>
      </c>
      <c r="G309" s="52">
        <f t="shared" si="28"/>
        <v>6.87</v>
      </c>
      <c r="H309" s="110"/>
      <c r="I309" s="81">
        <v>9.61</v>
      </c>
      <c r="J309" s="81">
        <f>VLOOKUP(C309,Recipes!$A$2:$N$4,12,FALSE())</f>
        <v>6.1509461004819709E-2</v>
      </c>
      <c r="K309" s="81">
        <f t="shared" si="29"/>
        <v>9.2409432339710804</v>
      </c>
      <c r="L309" s="81">
        <f t="shared" si="30"/>
        <v>9.9790567660289184</v>
      </c>
      <c r="M309" s="81" t="str">
        <f t="shared" si="32"/>
        <v>NG</v>
      </c>
      <c r="N309" s="117">
        <f t="shared" si="31"/>
        <v>1</v>
      </c>
      <c r="O309" s="81">
        <f t="shared" si="33"/>
        <v>2.7399999999999993</v>
      </c>
      <c r="P309" s="81">
        <f>IF(G309="","",ABS(O309-Components!$C$2)/Components!$D$2)</f>
        <v>2.0174675805561164</v>
      </c>
      <c r="Q309" s="81">
        <f>IF(G309="","",ABS(O309-Components!$C$3)/Components!$D$3)</f>
        <v>93.9365188050825</v>
      </c>
      <c r="R309" s="81">
        <f>IF(G309="","",ABS(O309-Components!$C$4)/Components!$D$4)</f>
        <v>124.95257139426646</v>
      </c>
      <c r="S309" s="81">
        <f>IF(G309="","",ABS(O309-Components!$C$5)/Components!$D$5)</f>
        <v>72.386028376902672</v>
      </c>
      <c r="T309" s="81">
        <f>IF(G309="","",ABS(O309-Components!$C$6)/Components!$D$6)</f>
        <v>57.34419305769449</v>
      </c>
      <c r="U309" s="81">
        <f>IF(G309="","",ABS(O309-Components!$C$7)/Components!$D$7)</f>
        <v>54.310463984507336</v>
      </c>
      <c r="V309" s="81" t="str">
        <f>IF(G309="","",IF(M309="OK","NONE",INDEX({"S1","S2","W1","W2","N1","N2"},MATCH(MIN(P309:U309),P309:U309,0))))</f>
        <v>S1</v>
      </c>
      <c r="W309" s="117">
        <f t="shared" si="34"/>
        <v>1</v>
      </c>
      <c r="X309" s="107"/>
    </row>
    <row r="310" spans="1:24">
      <c r="A310" s="115">
        <v>308</v>
      </c>
      <c r="B310" s="116">
        <v>11</v>
      </c>
      <c r="C310" s="81" t="s">
        <v>132</v>
      </c>
      <c r="D310" s="111" t="s">
        <v>240</v>
      </c>
      <c r="E310" s="81" t="s">
        <v>99</v>
      </c>
      <c r="F310" s="61">
        <v>5.8</v>
      </c>
      <c r="G310" s="52">
        <f t="shared" si="28"/>
        <v>6.77</v>
      </c>
      <c r="H310" s="110"/>
      <c r="I310" s="81">
        <v>9.61</v>
      </c>
      <c r="J310" s="81">
        <f>VLOOKUP(C310,Recipes!$A$2:$N$4,12,FALSE())</f>
        <v>6.1509461004819709E-2</v>
      </c>
      <c r="K310" s="81">
        <f t="shared" si="29"/>
        <v>9.2409432339710804</v>
      </c>
      <c r="L310" s="81">
        <f t="shared" si="30"/>
        <v>9.9790567660289184</v>
      </c>
      <c r="M310" s="81" t="str">
        <f t="shared" si="32"/>
        <v>NG</v>
      </c>
      <c r="N310" s="117">
        <f t="shared" si="31"/>
        <v>1</v>
      </c>
      <c r="O310" s="81">
        <f t="shared" si="33"/>
        <v>2.84</v>
      </c>
      <c r="P310" s="81">
        <f>IF(G310="","",ABS(O310-Components!$C$2)/Components!$D$2)</f>
        <v>13.113539273618015</v>
      </c>
      <c r="Q310" s="81">
        <f>IF(G310="","",ABS(O310-Components!$C$3)/Components!$D$3)</f>
        <v>86.688330625677949</v>
      </c>
      <c r="R310" s="81">
        <f>IF(G310="","",ABS(O310-Components!$C$4)/Components!$D$4)</f>
        <v>132.10634456569397</v>
      </c>
      <c r="S310" s="81">
        <f>IF(G310="","",ABS(O310-Components!$C$5)/Components!$D$5)</f>
        <v>68.414593023378387</v>
      </c>
      <c r="T310" s="81">
        <f>IF(G310="","",ABS(O310-Components!$C$6)/Components!$D$6)</f>
        <v>60.963645596576981</v>
      </c>
      <c r="U310" s="81">
        <f>IF(G310="","",ABS(O310-Components!$C$7)/Components!$D$7)</f>
        <v>58.287310261137129</v>
      </c>
      <c r="V310" s="81" t="str">
        <f>IF(G310="","",IF(M310="OK","NONE",INDEX({"S1","S2","W1","W2","N1","N2"},MATCH(MIN(P310:U310),P310:U310,0))))</f>
        <v>S1</v>
      </c>
      <c r="W310" s="117">
        <f t="shared" si="34"/>
        <v>1</v>
      </c>
      <c r="X310" s="107"/>
    </row>
    <row r="311" spans="1:24">
      <c r="A311" s="115">
        <v>309</v>
      </c>
      <c r="B311" s="116">
        <v>11</v>
      </c>
      <c r="C311" s="81" t="s">
        <v>132</v>
      </c>
      <c r="D311" s="111" t="s">
        <v>240</v>
      </c>
      <c r="E311" s="81" t="s">
        <v>99</v>
      </c>
      <c r="F311" s="61">
        <v>5.94</v>
      </c>
      <c r="G311" s="52">
        <f t="shared" si="28"/>
        <v>6.91</v>
      </c>
      <c r="H311" s="110"/>
      <c r="I311" s="81">
        <v>9.61</v>
      </c>
      <c r="J311" s="81">
        <f>VLOOKUP(C311,Recipes!$A$2:$N$4,12,FALSE())</f>
        <v>6.1509461004819709E-2</v>
      </c>
      <c r="K311" s="81">
        <f t="shared" si="29"/>
        <v>9.2409432339710804</v>
      </c>
      <c r="L311" s="81">
        <f t="shared" si="30"/>
        <v>9.9790567660289184</v>
      </c>
      <c r="M311" s="81" t="str">
        <f t="shared" si="32"/>
        <v>NG</v>
      </c>
      <c r="N311" s="117">
        <f t="shared" si="31"/>
        <v>1</v>
      </c>
      <c r="O311" s="81">
        <f t="shared" si="33"/>
        <v>2.6999999999999993</v>
      </c>
      <c r="P311" s="81">
        <f>IF(G311="","",ABS(O311-Components!$C$2)/Components!$D$2)</f>
        <v>8.0698703222257411</v>
      </c>
      <c r="Q311" s="81">
        <f>IF(G311="","",ABS(O311-Components!$C$3)/Components!$D$3)</f>
        <v>96.835794076844309</v>
      </c>
      <c r="R311" s="81">
        <f>IF(G311="","",ABS(O311-Components!$C$4)/Components!$D$4)</f>
        <v>122.09106212569547</v>
      </c>
      <c r="S311" s="81">
        <f>IF(G311="","",ABS(O311-Components!$C$5)/Components!$D$5)</f>
        <v>73.974602518312395</v>
      </c>
      <c r="T311" s="81">
        <f>IF(G311="","",ABS(O311-Components!$C$6)/Components!$D$6)</f>
        <v>55.896412042141499</v>
      </c>
      <c r="U311" s="81">
        <f>IF(G311="","",ABS(O311-Components!$C$7)/Components!$D$7)</f>
        <v>52.719725473855434</v>
      </c>
      <c r="V311" s="81" t="str">
        <f>IF(G311="","",IF(M311="OK","NONE",INDEX({"S1","S2","W1","W2","N1","N2"},MATCH(MIN(P311:U311),P311:U311,0))))</f>
        <v>S1</v>
      </c>
      <c r="W311" s="117">
        <f t="shared" si="34"/>
        <v>1</v>
      </c>
      <c r="X311" s="107"/>
    </row>
    <row r="312" spans="1:24">
      <c r="A312" s="115">
        <v>310</v>
      </c>
      <c r="B312" s="116">
        <v>11</v>
      </c>
      <c r="C312" s="81" t="s">
        <v>132</v>
      </c>
      <c r="D312" s="111" t="s">
        <v>240</v>
      </c>
      <c r="E312" s="81" t="s">
        <v>99</v>
      </c>
      <c r="F312" s="61">
        <v>5.94</v>
      </c>
      <c r="G312" s="52">
        <f t="shared" si="28"/>
        <v>6.91</v>
      </c>
      <c r="H312" s="110"/>
      <c r="I312" s="81">
        <v>9.61</v>
      </c>
      <c r="J312" s="81">
        <f>VLOOKUP(C312,Recipes!$A$2:$N$4,12,FALSE())</f>
        <v>6.1509461004819709E-2</v>
      </c>
      <c r="K312" s="81">
        <f t="shared" si="29"/>
        <v>9.2409432339710804</v>
      </c>
      <c r="L312" s="81">
        <f t="shared" si="30"/>
        <v>9.9790567660289184</v>
      </c>
      <c r="M312" s="81" t="str">
        <f t="shared" si="32"/>
        <v>NG</v>
      </c>
      <c r="N312" s="117">
        <f t="shared" si="31"/>
        <v>1</v>
      </c>
      <c r="O312" s="81">
        <f t="shared" si="33"/>
        <v>2.6999999999999993</v>
      </c>
      <c r="P312" s="81">
        <f>IF(G312="","",ABS(O312-Components!$C$2)/Components!$D$2)</f>
        <v>8.0698703222257411</v>
      </c>
      <c r="Q312" s="81">
        <f>IF(G312="","",ABS(O312-Components!$C$3)/Components!$D$3)</f>
        <v>96.835794076844309</v>
      </c>
      <c r="R312" s="81">
        <f>IF(G312="","",ABS(O312-Components!$C$4)/Components!$D$4)</f>
        <v>122.09106212569547</v>
      </c>
      <c r="S312" s="81">
        <f>IF(G312="","",ABS(O312-Components!$C$5)/Components!$D$5)</f>
        <v>73.974602518312395</v>
      </c>
      <c r="T312" s="81">
        <f>IF(G312="","",ABS(O312-Components!$C$6)/Components!$D$6)</f>
        <v>55.896412042141499</v>
      </c>
      <c r="U312" s="81">
        <f>IF(G312="","",ABS(O312-Components!$C$7)/Components!$D$7)</f>
        <v>52.719725473855434</v>
      </c>
      <c r="V312" s="81" t="str">
        <f>IF(G312="","",IF(M312="OK","NONE",INDEX({"S1","S2","W1","W2","N1","N2"},MATCH(MIN(P312:U312),P312:U312,0))))</f>
        <v>S1</v>
      </c>
      <c r="W312" s="117">
        <f t="shared" si="34"/>
        <v>1</v>
      </c>
      <c r="X312" s="107"/>
    </row>
    <row r="313" spans="1:24">
      <c r="A313" s="115">
        <v>311</v>
      </c>
      <c r="B313" s="116">
        <v>11</v>
      </c>
      <c r="C313" s="81" t="s">
        <v>132</v>
      </c>
      <c r="D313" s="111" t="s">
        <v>240</v>
      </c>
      <c r="E313" s="81" t="s">
        <v>99</v>
      </c>
      <c r="F313" s="61">
        <v>5.87</v>
      </c>
      <c r="G313" s="52">
        <f t="shared" si="28"/>
        <v>6.84</v>
      </c>
      <c r="H313" s="110"/>
      <c r="I313" s="81">
        <v>9.61</v>
      </c>
      <c r="J313" s="81">
        <f>VLOOKUP(C313,Recipes!$A$2:$N$4,12,FALSE())</f>
        <v>6.1509461004819709E-2</v>
      </c>
      <c r="K313" s="81">
        <f t="shared" si="29"/>
        <v>9.2409432339710804</v>
      </c>
      <c r="L313" s="81">
        <f t="shared" si="30"/>
        <v>9.9790567660289184</v>
      </c>
      <c r="M313" s="81" t="str">
        <f t="shared" si="32"/>
        <v>NG</v>
      </c>
      <c r="N313" s="117">
        <f t="shared" si="31"/>
        <v>1</v>
      </c>
      <c r="O313" s="81">
        <f t="shared" si="33"/>
        <v>2.7699999999999996</v>
      </c>
      <c r="P313" s="81">
        <f>IF(G313="","",ABS(O313-Components!$C$2)/Components!$D$2)</f>
        <v>2.5218344756961364</v>
      </c>
      <c r="Q313" s="81">
        <f>IF(G313="","",ABS(O313-Components!$C$3)/Components!$D$3)</f>
        <v>91.762062351261122</v>
      </c>
      <c r="R313" s="81">
        <f>IF(G313="","",ABS(O313-Components!$C$4)/Components!$D$4)</f>
        <v>127.09870334569472</v>
      </c>
      <c r="S313" s="81">
        <f>IF(G313="","",ABS(O313-Components!$C$5)/Components!$D$5)</f>
        <v>71.194597770845391</v>
      </c>
      <c r="T313" s="81">
        <f>IF(G313="","",ABS(O313-Components!$C$6)/Components!$D$6)</f>
        <v>58.430028819359244</v>
      </c>
      <c r="U313" s="81">
        <f>IF(G313="","",ABS(O313-Components!$C$7)/Components!$D$7)</f>
        <v>55.503517867496278</v>
      </c>
      <c r="V313" s="81" t="str">
        <f>IF(G313="","",IF(M313="OK","NONE",INDEX({"S1","S2","W1","W2","N1","N2"},MATCH(MIN(P313:U313),P313:U313,0))))</f>
        <v>S1</v>
      </c>
      <c r="W313" s="117">
        <f t="shared" si="34"/>
        <v>1</v>
      </c>
      <c r="X313" s="107"/>
    </row>
    <row r="314" spans="1:24">
      <c r="A314" s="115">
        <v>312</v>
      </c>
      <c r="B314" s="116">
        <v>11</v>
      </c>
      <c r="C314" s="81" t="s">
        <v>132</v>
      </c>
      <c r="D314" s="111" t="s">
        <v>240</v>
      </c>
      <c r="E314" s="81" t="s">
        <v>99</v>
      </c>
      <c r="F314" s="61">
        <v>5.88</v>
      </c>
      <c r="G314" s="52">
        <f t="shared" si="28"/>
        <v>6.85</v>
      </c>
      <c r="H314" s="110"/>
      <c r="I314" s="81">
        <v>9.61</v>
      </c>
      <c r="J314" s="81">
        <f>VLOOKUP(C314,Recipes!$A$2:$N$4,12,FALSE())</f>
        <v>6.1509461004819709E-2</v>
      </c>
      <c r="K314" s="81">
        <f t="shared" si="29"/>
        <v>9.2409432339710804</v>
      </c>
      <c r="L314" s="81">
        <f t="shared" si="30"/>
        <v>9.9790567660289184</v>
      </c>
      <c r="M314" s="81" t="str">
        <f t="shared" si="32"/>
        <v>NG</v>
      </c>
      <c r="N314" s="117">
        <f t="shared" si="31"/>
        <v>1</v>
      </c>
      <c r="O314" s="81">
        <f t="shared" si="33"/>
        <v>2.76</v>
      </c>
      <c r="P314" s="81">
        <f>IF(G314="","",ABS(O314-Components!$C$2)/Components!$D$2)</f>
        <v>1.0087337902787636</v>
      </c>
      <c r="Q314" s="81">
        <f>IF(G314="","",ABS(O314-Components!$C$3)/Components!$D$3)</f>
        <v>92.486881169201553</v>
      </c>
      <c r="R314" s="81">
        <f>IF(G314="","",ABS(O314-Components!$C$4)/Components!$D$4)</f>
        <v>126.38332602855199</v>
      </c>
      <c r="S314" s="81">
        <f>IF(G314="","",ABS(O314-Components!$C$5)/Components!$D$5)</f>
        <v>71.591741306197804</v>
      </c>
      <c r="T314" s="81">
        <f>IF(G314="","",ABS(O314-Components!$C$6)/Components!$D$6)</f>
        <v>58.068083565470999</v>
      </c>
      <c r="U314" s="81">
        <f>IF(G314="","",ABS(O314-Components!$C$7)/Components!$D$7)</f>
        <v>55.105833239833309</v>
      </c>
      <c r="V314" s="81" t="str">
        <f>IF(G314="","",IF(M314="OK","NONE",INDEX({"S1","S2","W1","W2","N1","N2"},MATCH(MIN(P314:U314),P314:U314,0))))</f>
        <v>S1</v>
      </c>
      <c r="W314" s="117">
        <f t="shared" si="34"/>
        <v>1</v>
      </c>
      <c r="X314" s="107"/>
    </row>
    <row r="315" spans="1:24">
      <c r="A315" s="115">
        <v>313</v>
      </c>
      <c r="B315" s="116">
        <v>11</v>
      </c>
      <c r="C315" s="81" t="s">
        <v>132</v>
      </c>
      <c r="D315" s="111" t="s">
        <v>240</v>
      </c>
      <c r="E315" s="81" t="s">
        <v>99</v>
      </c>
      <c r="F315" s="61">
        <v>5.87</v>
      </c>
      <c r="G315" s="52">
        <f t="shared" si="28"/>
        <v>6.84</v>
      </c>
      <c r="H315" s="110"/>
      <c r="I315" s="81">
        <v>9.61</v>
      </c>
      <c r="J315" s="81">
        <f>VLOOKUP(C315,Recipes!$A$2:$N$4,12,FALSE())</f>
        <v>6.1509461004819709E-2</v>
      </c>
      <c r="K315" s="81">
        <f t="shared" si="29"/>
        <v>9.2409432339710804</v>
      </c>
      <c r="L315" s="81">
        <f t="shared" si="30"/>
        <v>9.9790567660289184</v>
      </c>
      <c r="M315" s="81" t="str">
        <f t="shared" si="32"/>
        <v>NG</v>
      </c>
      <c r="N315" s="117">
        <f t="shared" si="31"/>
        <v>1</v>
      </c>
      <c r="O315" s="81">
        <f t="shared" si="33"/>
        <v>2.7699999999999996</v>
      </c>
      <c r="P315" s="81">
        <f>IF(G315="","",ABS(O315-Components!$C$2)/Components!$D$2)</f>
        <v>2.5218344756961364</v>
      </c>
      <c r="Q315" s="81">
        <f>IF(G315="","",ABS(O315-Components!$C$3)/Components!$D$3)</f>
        <v>91.762062351261122</v>
      </c>
      <c r="R315" s="81">
        <f>IF(G315="","",ABS(O315-Components!$C$4)/Components!$D$4)</f>
        <v>127.09870334569472</v>
      </c>
      <c r="S315" s="81">
        <f>IF(G315="","",ABS(O315-Components!$C$5)/Components!$D$5)</f>
        <v>71.194597770845391</v>
      </c>
      <c r="T315" s="81">
        <f>IF(G315="","",ABS(O315-Components!$C$6)/Components!$D$6)</f>
        <v>58.430028819359244</v>
      </c>
      <c r="U315" s="81">
        <f>IF(G315="","",ABS(O315-Components!$C$7)/Components!$D$7)</f>
        <v>55.503517867496278</v>
      </c>
      <c r="V315" s="81" t="str">
        <f>IF(G315="","",IF(M315="OK","NONE",INDEX({"S1","S2","W1","W2","N1","N2"},MATCH(MIN(P315:U315),P315:U315,0))))</f>
        <v>S1</v>
      </c>
      <c r="W315" s="117">
        <f t="shared" si="34"/>
        <v>1</v>
      </c>
      <c r="X315" s="107"/>
    </row>
    <row r="316" spans="1:24">
      <c r="A316" s="115">
        <v>314</v>
      </c>
      <c r="B316" s="116">
        <v>11</v>
      </c>
      <c r="C316" s="81" t="s">
        <v>132</v>
      </c>
      <c r="D316" s="111" t="s">
        <v>240</v>
      </c>
      <c r="E316" s="81" t="s">
        <v>99</v>
      </c>
      <c r="F316" s="61">
        <v>5.87</v>
      </c>
      <c r="G316" s="52">
        <f t="shared" si="28"/>
        <v>6.84</v>
      </c>
      <c r="H316" s="110"/>
      <c r="I316" s="81">
        <v>9.61</v>
      </c>
      <c r="J316" s="81">
        <f>VLOOKUP(C316,Recipes!$A$2:$N$4,12,FALSE())</f>
        <v>6.1509461004819709E-2</v>
      </c>
      <c r="K316" s="81">
        <f t="shared" si="29"/>
        <v>9.2409432339710804</v>
      </c>
      <c r="L316" s="81">
        <f t="shared" si="30"/>
        <v>9.9790567660289184</v>
      </c>
      <c r="M316" s="81" t="str">
        <f t="shared" si="32"/>
        <v>NG</v>
      </c>
      <c r="N316" s="117">
        <f t="shared" si="31"/>
        <v>1</v>
      </c>
      <c r="O316" s="81">
        <f t="shared" si="33"/>
        <v>2.7699999999999996</v>
      </c>
      <c r="P316" s="81">
        <f>IF(G316="","",ABS(O316-Components!$C$2)/Components!$D$2)</f>
        <v>2.5218344756961364</v>
      </c>
      <c r="Q316" s="81">
        <f>IF(G316="","",ABS(O316-Components!$C$3)/Components!$D$3)</f>
        <v>91.762062351261122</v>
      </c>
      <c r="R316" s="81">
        <f>IF(G316="","",ABS(O316-Components!$C$4)/Components!$D$4)</f>
        <v>127.09870334569472</v>
      </c>
      <c r="S316" s="81">
        <f>IF(G316="","",ABS(O316-Components!$C$5)/Components!$D$5)</f>
        <v>71.194597770845391</v>
      </c>
      <c r="T316" s="81">
        <f>IF(G316="","",ABS(O316-Components!$C$6)/Components!$D$6)</f>
        <v>58.430028819359244</v>
      </c>
      <c r="U316" s="81">
        <f>IF(G316="","",ABS(O316-Components!$C$7)/Components!$D$7)</f>
        <v>55.503517867496278</v>
      </c>
      <c r="V316" s="81" t="str">
        <f>IF(G316="","",IF(M316="OK","NONE",INDEX({"S1","S2","W1","W2","N1","N2"},MATCH(MIN(P316:U316),P316:U316,0))))</f>
        <v>S1</v>
      </c>
      <c r="W316" s="117">
        <f t="shared" si="34"/>
        <v>1</v>
      </c>
      <c r="X316" s="107"/>
    </row>
    <row r="317" spans="1:24">
      <c r="A317" s="115">
        <v>315</v>
      </c>
      <c r="B317" s="116">
        <v>11</v>
      </c>
      <c r="C317" s="81" t="s">
        <v>132</v>
      </c>
      <c r="D317" s="111" t="s">
        <v>240</v>
      </c>
      <c r="E317" s="81" t="s">
        <v>99</v>
      </c>
      <c r="F317" s="61">
        <v>5.82</v>
      </c>
      <c r="G317" s="52">
        <f t="shared" si="28"/>
        <v>6.79</v>
      </c>
      <c r="H317" s="110"/>
      <c r="I317" s="81">
        <v>9.61</v>
      </c>
      <c r="J317" s="81">
        <f>VLOOKUP(C317,Recipes!$A$2:$N$4,12,FALSE())</f>
        <v>6.1509461004819709E-2</v>
      </c>
      <c r="K317" s="81">
        <f t="shared" si="29"/>
        <v>9.2409432339710804</v>
      </c>
      <c r="L317" s="81">
        <f t="shared" si="30"/>
        <v>9.9790567660289184</v>
      </c>
      <c r="M317" s="81" t="str">
        <f t="shared" si="32"/>
        <v>NG</v>
      </c>
      <c r="N317" s="117">
        <f t="shared" si="31"/>
        <v>1</v>
      </c>
      <c r="O317" s="81">
        <f t="shared" si="33"/>
        <v>2.8199999999999994</v>
      </c>
      <c r="P317" s="81">
        <f>IF(G317="","",ABS(O317-Components!$C$2)/Components!$D$2)</f>
        <v>10.087337902783135</v>
      </c>
      <c r="Q317" s="81">
        <f>IF(G317="","",ABS(O317-Components!$C$3)/Components!$D$3)</f>
        <v>88.137968261558882</v>
      </c>
      <c r="R317" s="81">
        <f>IF(G317="","",ABS(O317-Components!$C$4)/Components!$D$4)</f>
        <v>130.67558993140844</v>
      </c>
      <c r="S317" s="81">
        <f>IF(G317="","",ABS(O317-Components!$C$5)/Components!$D$5)</f>
        <v>69.208880094083256</v>
      </c>
      <c r="T317" s="81">
        <f>IF(G317="","",ABS(O317-Components!$C$6)/Components!$D$6)</f>
        <v>60.239755088800472</v>
      </c>
      <c r="U317" s="81">
        <f>IF(G317="","",ABS(O317-Components!$C$7)/Components!$D$7)</f>
        <v>57.491941005811157</v>
      </c>
      <c r="V317" s="81" t="str">
        <f>IF(G317="","",IF(M317="OK","NONE",INDEX({"S1","S2","W1","W2","N1","N2"},MATCH(MIN(P317:U317),P317:U317,0))))</f>
        <v>S1</v>
      </c>
      <c r="W317" s="117">
        <f t="shared" si="34"/>
        <v>1</v>
      </c>
      <c r="X317" s="107"/>
    </row>
    <row r="318" spans="1:24">
      <c r="A318" s="115">
        <v>316</v>
      </c>
      <c r="B318" s="116">
        <v>11</v>
      </c>
      <c r="C318" s="81" t="s">
        <v>132</v>
      </c>
      <c r="D318" s="111" t="s">
        <v>240</v>
      </c>
      <c r="E318" s="81" t="s">
        <v>99</v>
      </c>
      <c r="F318" s="61">
        <v>5.92</v>
      </c>
      <c r="G318" s="52">
        <f t="shared" si="28"/>
        <v>6.89</v>
      </c>
      <c r="H318" s="110"/>
      <c r="I318" s="81">
        <v>9.61</v>
      </c>
      <c r="J318" s="81">
        <f>VLOOKUP(C318,Recipes!$A$2:$N$4,12,FALSE())</f>
        <v>6.1509461004819709E-2</v>
      </c>
      <c r="K318" s="81">
        <f t="shared" si="29"/>
        <v>9.2409432339710804</v>
      </c>
      <c r="L318" s="81">
        <f t="shared" si="30"/>
        <v>9.9790567660289184</v>
      </c>
      <c r="M318" s="81" t="str">
        <f t="shared" si="32"/>
        <v>NG</v>
      </c>
      <c r="N318" s="117">
        <f t="shared" si="31"/>
        <v>1</v>
      </c>
      <c r="O318" s="81">
        <f t="shared" si="33"/>
        <v>2.7199999999999998</v>
      </c>
      <c r="P318" s="81">
        <f>IF(G318="","",ABS(O318-Components!$C$2)/Components!$D$2)</f>
        <v>5.0436689513908624</v>
      </c>
      <c r="Q318" s="81">
        <f>IF(G318="","",ABS(O318-Components!$C$3)/Components!$D$3)</f>
        <v>95.386156440963362</v>
      </c>
      <c r="R318" s="81">
        <f>IF(G318="","",ABS(O318-Components!$C$4)/Components!$D$4)</f>
        <v>123.52181675998099</v>
      </c>
      <c r="S318" s="81">
        <f>IF(G318="","",ABS(O318-Components!$C$5)/Components!$D$5)</f>
        <v>73.180315447607512</v>
      </c>
      <c r="T318" s="81">
        <f>IF(G318="","",ABS(O318-Components!$C$6)/Components!$D$6)</f>
        <v>56.620302549918009</v>
      </c>
      <c r="U318" s="81">
        <f>IF(G318="","",ABS(O318-Components!$C$7)/Components!$D$7)</f>
        <v>53.515094729181399</v>
      </c>
      <c r="V318" s="81" t="str">
        <f>IF(G318="","",IF(M318="OK","NONE",INDEX({"S1","S2","W1","W2","N1","N2"},MATCH(MIN(P318:U318),P318:U318,0))))</f>
        <v>S1</v>
      </c>
      <c r="W318" s="117">
        <f t="shared" si="34"/>
        <v>1</v>
      </c>
      <c r="X318" s="107"/>
    </row>
    <row r="319" spans="1:24">
      <c r="A319" s="115">
        <v>317</v>
      </c>
      <c r="B319" s="116">
        <v>11</v>
      </c>
      <c r="C319" s="81" t="s">
        <v>132</v>
      </c>
      <c r="D319" s="111" t="s">
        <v>240</v>
      </c>
      <c r="E319" s="81" t="s">
        <v>99</v>
      </c>
      <c r="F319" s="61">
        <v>5.84</v>
      </c>
      <c r="G319" s="52">
        <f t="shared" si="28"/>
        <v>6.81</v>
      </c>
      <c r="H319" s="110"/>
      <c r="I319" s="81">
        <v>9.61</v>
      </c>
      <c r="J319" s="81">
        <f>VLOOKUP(C319,Recipes!$A$2:$N$4,12,FALSE())</f>
        <v>6.1509461004819709E-2</v>
      </c>
      <c r="K319" s="81">
        <f t="shared" si="29"/>
        <v>9.2409432339710804</v>
      </c>
      <c r="L319" s="81">
        <f t="shared" si="30"/>
        <v>9.9790567660289184</v>
      </c>
      <c r="M319" s="81" t="str">
        <f t="shared" si="32"/>
        <v>NG</v>
      </c>
      <c r="N319" s="117">
        <f t="shared" si="31"/>
        <v>1</v>
      </c>
      <c r="O319" s="81">
        <f t="shared" si="33"/>
        <v>2.8</v>
      </c>
      <c r="P319" s="81">
        <f>IF(G319="","",ABS(O319-Components!$C$2)/Components!$D$2)</f>
        <v>7.0611365319483896</v>
      </c>
      <c r="Q319" s="81">
        <f>IF(G319="","",ABS(O319-Components!$C$3)/Components!$D$3)</f>
        <v>89.587605897439758</v>
      </c>
      <c r="R319" s="81">
        <f>IF(G319="","",ABS(O319-Components!$C$4)/Components!$D$4)</f>
        <v>129.24483529712299</v>
      </c>
      <c r="S319" s="81">
        <f>IF(G319="","",ABS(O319-Components!$C$5)/Components!$D$5)</f>
        <v>70.003167164788096</v>
      </c>
      <c r="T319" s="81">
        <f>IF(G319="","",ABS(O319-Components!$C$6)/Components!$D$6)</f>
        <v>59.51586458102399</v>
      </c>
      <c r="U319" s="81">
        <f>IF(G319="","",ABS(O319-Components!$C$7)/Components!$D$7)</f>
        <v>56.696571750485219</v>
      </c>
      <c r="V319" s="81" t="str">
        <f>IF(G319="","",IF(M319="OK","NONE",INDEX({"S1","S2","W1","W2","N1","N2"},MATCH(MIN(P319:U319),P319:U319,0))))</f>
        <v>S1</v>
      </c>
      <c r="W319" s="117">
        <f t="shared" si="34"/>
        <v>1</v>
      </c>
      <c r="X319" s="107"/>
    </row>
    <row r="320" spans="1:24">
      <c r="A320" s="115">
        <v>318</v>
      </c>
      <c r="B320" s="116">
        <v>11</v>
      </c>
      <c r="C320" s="81" t="s">
        <v>132</v>
      </c>
      <c r="D320" s="111" t="s">
        <v>240</v>
      </c>
      <c r="E320" s="81" t="s">
        <v>99</v>
      </c>
      <c r="F320" s="61">
        <v>5.92</v>
      </c>
      <c r="G320" s="52">
        <f t="shared" si="28"/>
        <v>6.89</v>
      </c>
      <c r="H320" s="110"/>
      <c r="I320" s="81">
        <v>9.61</v>
      </c>
      <c r="J320" s="81">
        <f>VLOOKUP(C320,Recipes!$A$2:$N$4,12,FALSE())</f>
        <v>6.1509461004819709E-2</v>
      </c>
      <c r="K320" s="81">
        <f t="shared" si="29"/>
        <v>9.2409432339710804</v>
      </c>
      <c r="L320" s="81">
        <f t="shared" si="30"/>
        <v>9.9790567660289184</v>
      </c>
      <c r="M320" s="81" t="str">
        <f t="shared" si="32"/>
        <v>NG</v>
      </c>
      <c r="N320" s="117">
        <f t="shared" si="31"/>
        <v>1</v>
      </c>
      <c r="O320" s="81">
        <f t="shared" si="33"/>
        <v>2.7199999999999998</v>
      </c>
      <c r="P320" s="81">
        <f>IF(G320="","",ABS(O320-Components!$C$2)/Components!$D$2)</f>
        <v>5.0436689513908624</v>
      </c>
      <c r="Q320" s="81">
        <f>IF(G320="","",ABS(O320-Components!$C$3)/Components!$D$3)</f>
        <v>95.386156440963362</v>
      </c>
      <c r="R320" s="81">
        <f>IF(G320="","",ABS(O320-Components!$C$4)/Components!$D$4)</f>
        <v>123.52181675998099</v>
      </c>
      <c r="S320" s="81">
        <f>IF(G320="","",ABS(O320-Components!$C$5)/Components!$D$5)</f>
        <v>73.180315447607512</v>
      </c>
      <c r="T320" s="81">
        <f>IF(G320="","",ABS(O320-Components!$C$6)/Components!$D$6)</f>
        <v>56.620302549918009</v>
      </c>
      <c r="U320" s="81">
        <f>IF(G320="","",ABS(O320-Components!$C$7)/Components!$D$7)</f>
        <v>53.515094729181399</v>
      </c>
      <c r="V320" s="81" t="str">
        <f>IF(G320="","",IF(M320="OK","NONE",INDEX({"S1","S2","W1","W2","N1","N2"},MATCH(MIN(P320:U320),P320:U320,0))))</f>
        <v>S1</v>
      </c>
      <c r="W320" s="117">
        <f t="shared" si="34"/>
        <v>1</v>
      </c>
      <c r="X320" s="107"/>
    </row>
    <row r="321" spans="1:24">
      <c r="A321" s="115">
        <v>319</v>
      </c>
      <c r="B321" s="116">
        <v>11</v>
      </c>
      <c r="C321" s="81" t="s">
        <v>132</v>
      </c>
      <c r="D321" s="111" t="s">
        <v>240</v>
      </c>
      <c r="E321" s="81" t="s">
        <v>99</v>
      </c>
      <c r="F321" s="61">
        <v>5.87</v>
      </c>
      <c r="G321" s="52">
        <f t="shared" si="28"/>
        <v>6.84</v>
      </c>
      <c r="H321" s="110"/>
      <c r="I321" s="81">
        <v>9.61</v>
      </c>
      <c r="J321" s="81">
        <f>VLOOKUP(C321,Recipes!$A$2:$N$4,12,FALSE())</f>
        <v>6.1509461004819709E-2</v>
      </c>
      <c r="K321" s="81">
        <f t="shared" si="29"/>
        <v>9.2409432339710804</v>
      </c>
      <c r="L321" s="81">
        <f t="shared" si="30"/>
        <v>9.9790567660289184</v>
      </c>
      <c r="M321" s="81" t="str">
        <f t="shared" si="32"/>
        <v>NG</v>
      </c>
      <c r="N321" s="117">
        <f t="shared" si="31"/>
        <v>1</v>
      </c>
      <c r="O321" s="81">
        <f t="shared" si="33"/>
        <v>2.7699999999999996</v>
      </c>
      <c r="P321" s="81">
        <f>IF(G321="","",ABS(O321-Components!$C$2)/Components!$D$2)</f>
        <v>2.5218344756961364</v>
      </c>
      <c r="Q321" s="81">
        <f>IF(G321="","",ABS(O321-Components!$C$3)/Components!$D$3)</f>
        <v>91.762062351261122</v>
      </c>
      <c r="R321" s="81">
        <f>IF(G321="","",ABS(O321-Components!$C$4)/Components!$D$4)</f>
        <v>127.09870334569472</v>
      </c>
      <c r="S321" s="81">
        <f>IF(G321="","",ABS(O321-Components!$C$5)/Components!$D$5)</f>
        <v>71.194597770845391</v>
      </c>
      <c r="T321" s="81">
        <f>IF(G321="","",ABS(O321-Components!$C$6)/Components!$D$6)</f>
        <v>58.430028819359244</v>
      </c>
      <c r="U321" s="81">
        <f>IF(G321="","",ABS(O321-Components!$C$7)/Components!$D$7)</f>
        <v>55.503517867496278</v>
      </c>
      <c r="V321" s="81" t="str">
        <f>IF(G321="","",IF(M321="OK","NONE",INDEX({"S1","S2","W1","W2","N1","N2"},MATCH(MIN(P321:U321),P321:U321,0))))</f>
        <v>S1</v>
      </c>
      <c r="W321" s="117">
        <f t="shared" si="34"/>
        <v>1</v>
      </c>
      <c r="X321" s="107"/>
    </row>
    <row r="322" spans="1:24">
      <c r="A322" s="115">
        <v>320</v>
      </c>
      <c r="B322" s="116">
        <v>11</v>
      </c>
      <c r="C322" s="81" t="s">
        <v>132</v>
      </c>
      <c r="D322" s="111" t="s">
        <v>240</v>
      </c>
      <c r="E322" s="81" t="s">
        <v>99</v>
      </c>
      <c r="F322" s="61">
        <v>5.82</v>
      </c>
      <c r="G322" s="52">
        <f t="shared" si="28"/>
        <v>6.79</v>
      </c>
      <c r="H322" s="110"/>
      <c r="I322" s="81">
        <v>9.61</v>
      </c>
      <c r="J322" s="81">
        <f>VLOOKUP(C322,Recipes!$A$2:$N$4,12,FALSE())</f>
        <v>6.1509461004819709E-2</v>
      </c>
      <c r="K322" s="81">
        <f t="shared" si="29"/>
        <v>9.2409432339710804</v>
      </c>
      <c r="L322" s="81">
        <f t="shared" si="30"/>
        <v>9.9790567660289184</v>
      </c>
      <c r="M322" s="81" t="str">
        <f t="shared" si="32"/>
        <v>NG</v>
      </c>
      <c r="N322" s="117">
        <f t="shared" si="31"/>
        <v>1</v>
      </c>
      <c r="O322" s="81">
        <f t="shared" si="33"/>
        <v>2.8199999999999994</v>
      </c>
      <c r="P322" s="81">
        <f>IF(G322="","",ABS(O322-Components!$C$2)/Components!$D$2)</f>
        <v>10.087337902783135</v>
      </c>
      <c r="Q322" s="81">
        <f>IF(G322="","",ABS(O322-Components!$C$3)/Components!$D$3)</f>
        <v>88.137968261558882</v>
      </c>
      <c r="R322" s="81">
        <f>IF(G322="","",ABS(O322-Components!$C$4)/Components!$D$4)</f>
        <v>130.67558993140844</v>
      </c>
      <c r="S322" s="81">
        <f>IF(G322="","",ABS(O322-Components!$C$5)/Components!$D$5)</f>
        <v>69.208880094083256</v>
      </c>
      <c r="T322" s="81">
        <f>IF(G322="","",ABS(O322-Components!$C$6)/Components!$D$6)</f>
        <v>60.239755088800472</v>
      </c>
      <c r="U322" s="81">
        <f>IF(G322="","",ABS(O322-Components!$C$7)/Components!$D$7)</f>
        <v>57.491941005811157</v>
      </c>
      <c r="V322" s="81" t="str">
        <f>IF(G322="","",IF(M322="OK","NONE",INDEX({"S1","S2","W1","W2","N1","N2"},MATCH(MIN(P322:U322),P322:U322,0))))</f>
        <v>S1</v>
      </c>
      <c r="W322" s="117">
        <f t="shared" si="34"/>
        <v>1</v>
      </c>
      <c r="X322" s="107"/>
    </row>
    <row r="323" spans="1:24">
      <c r="A323" s="115">
        <v>321</v>
      </c>
      <c r="B323" s="116">
        <v>11</v>
      </c>
      <c r="C323" s="81" t="s">
        <v>132</v>
      </c>
      <c r="D323" s="111" t="s">
        <v>240</v>
      </c>
      <c r="E323" s="81" t="s">
        <v>99</v>
      </c>
      <c r="F323" s="61">
        <v>5.77</v>
      </c>
      <c r="G323" s="52">
        <f t="shared" ref="G323:G386" si="35">0.97+F323</f>
        <v>6.7399999999999993</v>
      </c>
      <c r="H323" s="110"/>
      <c r="I323" s="81">
        <v>9.61</v>
      </c>
      <c r="J323" s="81">
        <f>VLOOKUP(C323,Recipes!$A$2:$N$4,12,FALSE())</f>
        <v>6.1509461004819709E-2</v>
      </c>
      <c r="K323" s="81">
        <f t="shared" ref="K323:K386" si="36">I323-6*J323</f>
        <v>9.2409432339710804</v>
      </c>
      <c r="L323" s="81">
        <f t="shared" ref="L323:L386" si="37">I323+6*J323</f>
        <v>9.9790567660289184</v>
      </c>
      <c r="M323" s="81" t="str">
        <f t="shared" si="32"/>
        <v>NG</v>
      </c>
      <c r="N323" s="117">
        <f t="shared" ref="N323:N386" si="38">IF(M323="","",IF(M323=D323,1,0))</f>
        <v>1</v>
      </c>
      <c r="O323" s="81">
        <f t="shared" si="33"/>
        <v>2.87</v>
      </c>
      <c r="P323" s="81">
        <f>IF(G323="","",ABS(O323-Components!$C$2)/Components!$D$2)</f>
        <v>17.652841329870267</v>
      </c>
      <c r="Q323" s="81">
        <f>IF(G323="","",ABS(O323-Components!$C$3)/Components!$D$3)</f>
        <v>84.513874171856571</v>
      </c>
      <c r="R323" s="81">
        <f>IF(G323="","",ABS(O323-Components!$C$4)/Components!$D$4)</f>
        <v>134.25247651712223</v>
      </c>
      <c r="S323" s="81">
        <f>IF(G323="","",ABS(O323-Components!$C$5)/Components!$D$5)</f>
        <v>67.223162417321092</v>
      </c>
      <c r="T323" s="81">
        <f>IF(G323="","",ABS(O323-Components!$C$6)/Components!$D$6)</f>
        <v>62.049481358241735</v>
      </c>
      <c r="U323" s="81">
        <f>IF(G323="","",ABS(O323-Components!$C$7)/Components!$D$7)</f>
        <v>59.480364144126071</v>
      </c>
      <c r="V323" s="81" t="str">
        <f>IF(G323="","",IF(M323="OK","NONE",INDEX({"S1","S2","W1","W2","N1","N2"},MATCH(MIN(P323:U323),P323:U323,0))))</f>
        <v>S1</v>
      </c>
      <c r="W323" s="117">
        <f t="shared" si="34"/>
        <v>1</v>
      </c>
      <c r="X323" s="107"/>
    </row>
    <row r="324" spans="1:24">
      <c r="A324" s="115">
        <v>322</v>
      </c>
      <c r="B324" s="116">
        <v>11</v>
      </c>
      <c r="C324" s="81" t="s">
        <v>132</v>
      </c>
      <c r="D324" s="111" t="s">
        <v>240</v>
      </c>
      <c r="E324" s="81" t="s">
        <v>99</v>
      </c>
      <c r="F324" s="61">
        <v>5.83</v>
      </c>
      <c r="G324" s="52">
        <f t="shared" si="35"/>
        <v>6.8</v>
      </c>
      <c r="H324" s="110"/>
      <c r="I324" s="81">
        <v>9.61</v>
      </c>
      <c r="J324" s="81">
        <f>VLOOKUP(C324,Recipes!$A$2:$N$4,12,FALSE())</f>
        <v>6.1509461004819709E-2</v>
      </c>
      <c r="K324" s="81">
        <f t="shared" si="36"/>
        <v>9.2409432339710804</v>
      </c>
      <c r="L324" s="81">
        <f t="shared" si="37"/>
        <v>9.9790567660289184</v>
      </c>
      <c r="M324" s="81" t="str">
        <f t="shared" ref="M324:M387" si="39">IF(G324="","",IF(AND(G324&gt;=K324,G324&lt;=L324),"OK","NG"))</f>
        <v>NG</v>
      </c>
      <c r="N324" s="117">
        <f t="shared" si="38"/>
        <v>1</v>
      </c>
      <c r="O324" s="81">
        <f t="shared" ref="O324:O387" si="40">IF(G324="","",I324-G324)</f>
        <v>2.8099999999999996</v>
      </c>
      <c r="P324" s="81">
        <f>IF(G324="","",ABS(O324-Components!$C$2)/Components!$D$2)</f>
        <v>8.5742372173657628</v>
      </c>
      <c r="Q324" s="81">
        <f>IF(G324="","",ABS(O324-Components!$C$3)/Components!$D$3)</f>
        <v>88.862787079499313</v>
      </c>
      <c r="R324" s="81">
        <f>IF(G324="","",ABS(O324-Components!$C$4)/Components!$D$4)</f>
        <v>129.96021261426571</v>
      </c>
      <c r="S324" s="81">
        <f>IF(G324="","",ABS(O324-Components!$C$5)/Components!$D$5)</f>
        <v>69.606023629435668</v>
      </c>
      <c r="T324" s="81">
        <f>IF(G324="","",ABS(O324-Components!$C$6)/Components!$D$6)</f>
        <v>59.877809834912227</v>
      </c>
      <c r="U324" s="81">
        <f>IF(G324="","",ABS(O324-Components!$C$7)/Components!$D$7)</f>
        <v>57.094256378148188</v>
      </c>
      <c r="V324" s="81" t="str">
        <f>IF(G324="","",IF(M324="OK","NONE",INDEX({"S1","S2","W1","W2","N1","N2"},MATCH(MIN(P324:U324),P324:U324,0))))</f>
        <v>S1</v>
      </c>
      <c r="W324" s="117">
        <f t="shared" ref="W324:W387" si="41">IF(G324="","",IF(V324=E324,1,0))</f>
        <v>1</v>
      </c>
      <c r="X324" s="107"/>
    </row>
    <row r="325" spans="1:24">
      <c r="A325" s="115">
        <v>323</v>
      </c>
      <c r="B325" s="116">
        <v>11</v>
      </c>
      <c r="C325" s="81" t="s">
        <v>132</v>
      </c>
      <c r="D325" s="111" t="s">
        <v>240</v>
      </c>
      <c r="E325" s="81" t="s">
        <v>99</v>
      </c>
      <c r="F325" s="61">
        <v>5.85</v>
      </c>
      <c r="G325" s="52">
        <f t="shared" si="35"/>
        <v>6.8199999999999994</v>
      </c>
      <c r="H325" s="110"/>
      <c r="I325" s="81">
        <v>9.61</v>
      </c>
      <c r="J325" s="81">
        <f>VLOOKUP(C325,Recipes!$A$2:$N$4,12,FALSE())</f>
        <v>6.1509461004819709E-2</v>
      </c>
      <c r="K325" s="81">
        <f t="shared" si="36"/>
        <v>9.2409432339710804</v>
      </c>
      <c r="L325" s="81">
        <f t="shared" si="37"/>
        <v>9.9790567660289184</v>
      </c>
      <c r="M325" s="81" t="str">
        <f t="shared" si="39"/>
        <v>NG</v>
      </c>
      <c r="N325" s="117">
        <f t="shared" si="38"/>
        <v>1</v>
      </c>
      <c r="O325" s="81">
        <f t="shared" si="40"/>
        <v>2.79</v>
      </c>
      <c r="P325" s="81">
        <f>IF(G325="","",ABS(O325-Components!$C$2)/Components!$D$2)</f>
        <v>5.5480358465310164</v>
      </c>
      <c r="Q325" s="81">
        <f>IF(G325="","",ABS(O325-Components!$C$3)/Components!$D$3)</f>
        <v>90.312424715380189</v>
      </c>
      <c r="R325" s="81">
        <f>IF(G325="","",ABS(O325-Components!$C$4)/Components!$D$4)</f>
        <v>128.52945797998024</v>
      </c>
      <c r="S325" s="81">
        <f>IF(G325="","",ABS(O325-Components!$C$5)/Components!$D$5)</f>
        <v>70.400310700140508</v>
      </c>
      <c r="T325" s="81">
        <f>IF(G325="","",ABS(O325-Components!$C$6)/Components!$D$6)</f>
        <v>59.153919327135753</v>
      </c>
      <c r="U325" s="81">
        <f>IF(G325="","",ABS(O325-Components!$C$7)/Components!$D$7)</f>
        <v>56.298887122822251</v>
      </c>
      <c r="V325" s="81" t="str">
        <f>IF(G325="","",IF(M325="OK","NONE",INDEX({"S1","S2","W1","W2","N1","N2"},MATCH(MIN(P325:U325),P325:U325,0))))</f>
        <v>S1</v>
      </c>
      <c r="W325" s="117">
        <f t="shared" si="41"/>
        <v>1</v>
      </c>
      <c r="X325" s="107"/>
    </row>
    <row r="326" spans="1:24">
      <c r="A326" s="115">
        <v>324</v>
      </c>
      <c r="B326" s="116">
        <v>11</v>
      </c>
      <c r="C326" s="81" t="s">
        <v>132</v>
      </c>
      <c r="D326" s="111" t="s">
        <v>240</v>
      </c>
      <c r="E326" s="81" t="s">
        <v>99</v>
      </c>
      <c r="F326" s="61">
        <v>5.86</v>
      </c>
      <c r="G326" s="52">
        <f t="shared" si="35"/>
        <v>6.83</v>
      </c>
      <c r="H326" s="110"/>
      <c r="I326" s="81">
        <v>9.61</v>
      </c>
      <c r="J326" s="81">
        <f>VLOOKUP(C326,Recipes!$A$2:$N$4,12,FALSE())</f>
        <v>6.1509461004819709E-2</v>
      </c>
      <c r="K326" s="81">
        <f t="shared" si="36"/>
        <v>9.2409432339710804</v>
      </c>
      <c r="L326" s="81">
        <f t="shared" si="37"/>
        <v>9.9790567660289184</v>
      </c>
      <c r="M326" s="81" t="str">
        <f t="shared" si="39"/>
        <v>NG</v>
      </c>
      <c r="N326" s="117">
        <f t="shared" si="38"/>
        <v>1</v>
      </c>
      <c r="O326" s="81">
        <f t="shared" si="40"/>
        <v>2.7799999999999994</v>
      </c>
      <c r="P326" s="81">
        <f>IF(G326="","",ABS(O326-Components!$C$2)/Components!$D$2)</f>
        <v>4.0349351611135091</v>
      </c>
      <c r="Q326" s="81">
        <f>IF(G326="","",ABS(O326-Components!$C$3)/Components!$D$3)</f>
        <v>91.037243533320691</v>
      </c>
      <c r="R326" s="81">
        <f>IF(G326="","",ABS(O326-Components!$C$4)/Components!$D$4)</f>
        <v>127.81408066283745</v>
      </c>
      <c r="S326" s="81">
        <f>IF(G326="","",ABS(O326-Components!$C$5)/Components!$D$5)</f>
        <v>70.797454235492964</v>
      </c>
      <c r="T326" s="81">
        <f>IF(G326="","",ABS(O326-Components!$C$6)/Components!$D$6)</f>
        <v>58.791974073247481</v>
      </c>
      <c r="U326" s="81">
        <f>IF(G326="","",ABS(O326-Components!$C$7)/Components!$D$7)</f>
        <v>55.901202495159247</v>
      </c>
      <c r="V326" s="81" t="str">
        <f>IF(G326="","",IF(M326="OK","NONE",INDEX({"S1","S2","W1","W2","N1","N2"},MATCH(MIN(P326:U326),P326:U326,0))))</f>
        <v>S1</v>
      </c>
      <c r="W326" s="117">
        <f t="shared" si="41"/>
        <v>1</v>
      </c>
      <c r="X326" s="107"/>
    </row>
    <row r="327" spans="1:24">
      <c r="A327" s="115">
        <v>325</v>
      </c>
      <c r="B327" s="116">
        <v>11</v>
      </c>
      <c r="C327" s="81" t="s">
        <v>132</v>
      </c>
      <c r="D327" s="111" t="s">
        <v>240</v>
      </c>
      <c r="E327" s="81" t="s">
        <v>99</v>
      </c>
      <c r="F327" s="61">
        <v>5.87</v>
      </c>
      <c r="G327" s="52">
        <f t="shared" si="35"/>
        <v>6.84</v>
      </c>
      <c r="H327" s="110"/>
      <c r="I327" s="81">
        <v>9.61</v>
      </c>
      <c r="J327" s="81">
        <f>VLOOKUP(C327,Recipes!$A$2:$N$4,12,FALSE())</f>
        <v>6.1509461004819709E-2</v>
      </c>
      <c r="K327" s="81">
        <f t="shared" si="36"/>
        <v>9.2409432339710804</v>
      </c>
      <c r="L327" s="81">
        <f t="shared" si="37"/>
        <v>9.9790567660289184</v>
      </c>
      <c r="M327" s="81" t="str">
        <f t="shared" si="39"/>
        <v>NG</v>
      </c>
      <c r="N327" s="117">
        <f t="shared" si="38"/>
        <v>1</v>
      </c>
      <c r="O327" s="81">
        <f t="shared" si="40"/>
        <v>2.7699999999999996</v>
      </c>
      <c r="P327" s="81">
        <f>IF(G327="","",ABS(O327-Components!$C$2)/Components!$D$2)</f>
        <v>2.5218344756961364</v>
      </c>
      <c r="Q327" s="81">
        <f>IF(G327="","",ABS(O327-Components!$C$3)/Components!$D$3)</f>
        <v>91.762062351261122</v>
      </c>
      <c r="R327" s="81">
        <f>IF(G327="","",ABS(O327-Components!$C$4)/Components!$D$4)</f>
        <v>127.09870334569472</v>
      </c>
      <c r="S327" s="81">
        <f>IF(G327="","",ABS(O327-Components!$C$5)/Components!$D$5)</f>
        <v>71.194597770845391</v>
      </c>
      <c r="T327" s="81">
        <f>IF(G327="","",ABS(O327-Components!$C$6)/Components!$D$6)</f>
        <v>58.430028819359244</v>
      </c>
      <c r="U327" s="81">
        <f>IF(G327="","",ABS(O327-Components!$C$7)/Components!$D$7)</f>
        <v>55.503517867496278</v>
      </c>
      <c r="V327" s="81" t="str">
        <f>IF(G327="","",IF(M327="OK","NONE",INDEX({"S1","S2","W1","W2","N1","N2"},MATCH(MIN(P327:U327),P327:U327,0))))</f>
        <v>S1</v>
      </c>
      <c r="W327" s="117">
        <f t="shared" si="41"/>
        <v>1</v>
      </c>
      <c r="X327" s="107"/>
    </row>
    <row r="328" spans="1:24">
      <c r="A328" s="115">
        <v>326</v>
      </c>
      <c r="B328" s="116">
        <v>11</v>
      </c>
      <c r="C328" s="81" t="s">
        <v>132</v>
      </c>
      <c r="D328" s="111" t="s">
        <v>240</v>
      </c>
      <c r="E328" s="81" t="s">
        <v>99</v>
      </c>
      <c r="F328" s="61">
        <v>5.81</v>
      </c>
      <c r="G328" s="52">
        <f t="shared" si="35"/>
        <v>6.7799999999999994</v>
      </c>
      <c r="H328" s="110"/>
      <c r="I328" s="81">
        <v>9.61</v>
      </c>
      <c r="J328" s="81">
        <f>VLOOKUP(C328,Recipes!$A$2:$N$4,12,FALSE())</f>
        <v>6.1509461004819709E-2</v>
      </c>
      <c r="K328" s="81">
        <f t="shared" si="36"/>
        <v>9.2409432339710804</v>
      </c>
      <c r="L328" s="81">
        <f t="shared" si="37"/>
        <v>9.9790567660289184</v>
      </c>
      <c r="M328" s="81" t="str">
        <f t="shared" si="39"/>
        <v>NG</v>
      </c>
      <c r="N328" s="117">
        <f t="shared" si="38"/>
        <v>1</v>
      </c>
      <c r="O328" s="81">
        <f t="shared" si="40"/>
        <v>2.83</v>
      </c>
      <c r="P328" s="81">
        <f>IF(G328="","",ABS(O328-Components!$C$2)/Components!$D$2)</f>
        <v>11.600438588200642</v>
      </c>
      <c r="Q328" s="81">
        <f>IF(G328="","",ABS(O328-Components!$C$3)/Components!$D$3)</f>
        <v>87.41314944361838</v>
      </c>
      <c r="R328" s="81">
        <f>IF(G328="","",ABS(O328-Components!$C$4)/Components!$D$4)</f>
        <v>131.39096724855125</v>
      </c>
      <c r="S328" s="81">
        <f>IF(G328="","",ABS(O328-Components!$C$5)/Components!$D$5)</f>
        <v>68.8117365587308</v>
      </c>
      <c r="T328" s="81">
        <f>IF(G328="","",ABS(O328-Components!$C$6)/Components!$D$6)</f>
        <v>60.601700342688744</v>
      </c>
      <c r="U328" s="81">
        <f>IF(G328="","",ABS(O328-Components!$C$7)/Components!$D$7)</f>
        <v>57.889625633474161</v>
      </c>
      <c r="V328" s="81" t="str">
        <f>IF(G328="","",IF(M328="OK","NONE",INDEX({"S1","S2","W1","W2","N1","N2"},MATCH(MIN(P328:U328),P328:U328,0))))</f>
        <v>S1</v>
      </c>
      <c r="W328" s="117">
        <f t="shared" si="41"/>
        <v>1</v>
      </c>
      <c r="X328" s="107"/>
    </row>
    <row r="329" spans="1:24">
      <c r="A329" s="115">
        <v>327</v>
      </c>
      <c r="B329" s="116">
        <v>11</v>
      </c>
      <c r="C329" s="81" t="s">
        <v>132</v>
      </c>
      <c r="D329" s="111" t="s">
        <v>240</v>
      </c>
      <c r="E329" s="81" t="s">
        <v>99</v>
      </c>
      <c r="F329" s="61">
        <v>5.83</v>
      </c>
      <c r="G329" s="52">
        <f t="shared" si="35"/>
        <v>6.8</v>
      </c>
      <c r="H329" s="110"/>
      <c r="I329" s="81">
        <v>9.61</v>
      </c>
      <c r="J329" s="81">
        <f>VLOOKUP(C329,Recipes!$A$2:$N$4,12,FALSE())</f>
        <v>6.1509461004819709E-2</v>
      </c>
      <c r="K329" s="81">
        <f t="shared" si="36"/>
        <v>9.2409432339710804</v>
      </c>
      <c r="L329" s="81">
        <f t="shared" si="37"/>
        <v>9.9790567660289184</v>
      </c>
      <c r="M329" s="81" t="str">
        <f t="shared" si="39"/>
        <v>NG</v>
      </c>
      <c r="N329" s="117">
        <f t="shared" si="38"/>
        <v>1</v>
      </c>
      <c r="O329" s="81">
        <f t="shared" si="40"/>
        <v>2.8099999999999996</v>
      </c>
      <c r="P329" s="81">
        <f>IF(G329="","",ABS(O329-Components!$C$2)/Components!$D$2)</f>
        <v>8.5742372173657628</v>
      </c>
      <c r="Q329" s="81">
        <f>IF(G329="","",ABS(O329-Components!$C$3)/Components!$D$3)</f>
        <v>88.862787079499313</v>
      </c>
      <c r="R329" s="81">
        <f>IF(G329="","",ABS(O329-Components!$C$4)/Components!$D$4)</f>
        <v>129.96021261426571</v>
      </c>
      <c r="S329" s="81">
        <f>IF(G329="","",ABS(O329-Components!$C$5)/Components!$D$5)</f>
        <v>69.606023629435668</v>
      </c>
      <c r="T329" s="81">
        <f>IF(G329="","",ABS(O329-Components!$C$6)/Components!$D$6)</f>
        <v>59.877809834912227</v>
      </c>
      <c r="U329" s="81">
        <f>IF(G329="","",ABS(O329-Components!$C$7)/Components!$D$7)</f>
        <v>57.094256378148188</v>
      </c>
      <c r="V329" s="81" t="str">
        <f>IF(G329="","",IF(M329="OK","NONE",INDEX({"S1","S2","W1","W2","N1","N2"},MATCH(MIN(P329:U329),P329:U329,0))))</f>
        <v>S1</v>
      </c>
      <c r="W329" s="117">
        <f t="shared" si="41"/>
        <v>1</v>
      </c>
      <c r="X329" s="107"/>
    </row>
    <row r="330" spans="1:24">
      <c r="A330" s="115">
        <v>328</v>
      </c>
      <c r="B330" s="116">
        <v>11</v>
      </c>
      <c r="C330" s="81" t="s">
        <v>132</v>
      </c>
      <c r="D330" s="111" t="s">
        <v>240</v>
      </c>
      <c r="E330" s="81" t="s">
        <v>99</v>
      </c>
      <c r="F330" s="61">
        <v>5.87</v>
      </c>
      <c r="G330" s="52">
        <f t="shared" si="35"/>
        <v>6.84</v>
      </c>
      <c r="H330" s="110"/>
      <c r="I330" s="81">
        <v>9.61</v>
      </c>
      <c r="J330" s="81">
        <f>VLOOKUP(C330,Recipes!$A$2:$N$4,12,FALSE())</f>
        <v>6.1509461004819709E-2</v>
      </c>
      <c r="K330" s="81">
        <f t="shared" si="36"/>
        <v>9.2409432339710804</v>
      </c>
      <c r="L330" s="81">
        <f t="shared" si="37"/>
        <v>9.9790567660289184</v>
      </c>
      <c r="M330" s="81" t="str">
        <f t="shared" si="39"/>
        <v>NG</v>
      </c>
      <c r="N330" s="117">
        <f t="shared" si="38"/>
        <v>1</v>
      </c>
      <c r="O330" s="81">
        <f t="shared" si="40"/>
        <v>2.7699999999999996</v>
      </c>
      <c r="P330" s="81">
        <f>IF(G330="","",ABS(O330-Components!$C$2)/Components!$D$2)</f>
        <v>2.5218344756961364</v>
      </c>
      <c r="Q330" s="81">
        <f>IF(G330="","",ABS(O330-Components!$C$3)/Components!$D$3)</f>
        <v>91.762062351261122</v>
      </c>
      <c r="R330" s="81">
        <f>IF(G330="","",ABS(O330-Components!$C$4)/Components!$D$4)</f>
        <v>127.09870334569472</v>
      </c>
      <c r="S330" s="81">
        <f>IF(G330="","",ABS(O330-Components!$C$5)/Components!$D$5)</f>
        <v>71.194597770845391</v>
      </c>
      <c r="T330" s="81">
        <f>IF(G330="","",ABS(O330-Components!$C$6)/Components!$D$6)</f>
        <v>58.430028819359244</v>
      </c>
      <c r="U330" s="81">
        <f>IF(G330="","",ABS(O330-Components!$C$7)/Components!$D$7)</f>
        <v>55.503517867496278</v>
      </c>
      <c r="V330" s="81" t="str">
        <f>IF(G330="","",IF(M330="OK","NONE",INDEX({"S1","S2","W1","W2","N1","N2"},MATCH(MIN(P330:U330),P330:U330,0))))</f>
        <v>S1</v>
      </c>
      <c r="W330" s="117">
        <f t="shared" si="41"/>
        <v>1</v>
      </c>
      <c r="X330" s="107"/>
    </row>
    <row r="331" spans="1:24">
      <c r="A331" s="115">
        <v>329</v>
      </c>
      <c r="B331" s="116">
        <v>11</v>
      </c>
      <c r="C331" s="81" t="s">
        <v>132</v>
      </c>
      <c r="D331" s="111" t="s">
        <v>240</v>
      </c>
      <c r="E331" s="81" t="s">
        <v>99</v>
      </c>
      <c r="F331" s="61">
        <v>5.8</v>
      </c>
      <c r="G331" s="52">
        <f t="shared" si="35"/>
        <v>6.77</v>
      </c>
      <c r="H331" s="110"/>
      <c r="I331" s="81">
        <v>9.61</v>
      </c>
      <c r="J331" s="81">
        <f>VLOOKUP(C331,Recipes!$A$2:$N$4,12,FALSE())</f>
        <v>6.1509461004819709E-2</v>
      </c>
      <c r="K331" s="81">
        <f t="shared" si="36"/>
        <v>9.2409432339710804</v>
      </c>
      <c r="L331" s="81">
        <f t="shared" si="37"/>
        <v>9.9790567660289184</v>
      </c>
      <c r="M331" s="81" t="str">
        <f t="shared" si="39"/>
        <v>NG</v>
      </c>
      <c r="N331" s="117">
        <f t="shared" si="38"/>
        <v>1</v>
      </c>
      <c r="O331" s="81">
        <f t="shared" si="40"/>
        <v>2.84</v>
      </c>
      <c r="P331" s="81">
        <f>IF(G331="","",ABS(O331-Components!$C$2)/Components!$D$2)</f>
        <v>13.113539273618015</v>
      </c>
      <c r="Q331" s="81">
        <f>IF(G331="","",ABS(O331-Components!$C$3)/Components!$D$3)</f>
        <v>86.688330625677949</v>
      </c>
      <c r="R331" s="81">
        <f>IF(G331="","",ABS(O331-Components!$C$4)/Components!$D$4)</f>
        <v>132.10634456569397</v>
      </c>
      <c r="S331" s="81">
        <f>IF(G331="","",ABS(O331-Components!$C$5)/Components!$D$5)</f>
        <v>68.414593023378387</v>
      </c>
      <c r="T331" s="81">
        <f>IF(G331="","",ABS(O331-Components!$C$6)/Components!$D$6)</f>
        <v>60.963645596576981</v>
      </c>
      <c r="U331" s="81">
        <f>IF(G331="","",ABS(O331-Components!$C$7)/Components!$D$7)</f>
        <v>58.287310261137129</v>
      </c>
      <c r="V331" s="81" t="str">
        <f>IF(G331="","",IF(M331="OK","NONE",INDEX({"S1","S2","W1","W2","N1","N2"},MATCH(MIN(P331:U331),P331:U331,0))))</f>
        <v>S1</v>
      </c>
      <c r="W331" s="117">
        <f t="shared" si="41"/>
        <v>1</v>
      </c>
      <c r="X331" s="107"/>
    </row>
    <row r="332" spans="1:24">
      <c r="A332" s="115">
        <v>330</v>
      </c>
      <c r="B332" s="116">
        <v>11</v>
      </c>
      <c r="C332" s="81" t="s">
        <v>132</v>
      </c>
      <c r="D332" s="111" t="s">
        <v>240</v>
      </c>
      <c r="E332" s="81" t="s">
        <v>99</v>
      </c>
      <c r="F332" s="61">
        <v>5.86</v>
      </c>
      <c r="G332" s="52">
        <f t="shared" si="35"/>
        <v>6.83</v>
      </c>
      <c r="H332" s="110"/>
      <c r="I332" s="81">
        <v>9.61</v>
      </c>
      <c r="J332" s="81">
        <f>VLOOKUP(C332,Recipes!$A$2:$N$4,12,FALSE())</f>
        <v>6.1509461004819709E-2</v>
      </c>
      <c r="K332" s="81">
        <f t="shared" si="36"/>
        <v>9.2409432339710804</v>
      </c>
      <c r="L332" s="81">
        <f t="shared" si="37"/>
        <v>9.9790567660289184</v>
      </c>
      <c r="M332" s="81" t="str">
        <f t="shared" si="39"/>
        <v>NG</v>
      </c>
      <c r="N332" s="117">
        <f t="shared" si="38"/>
        <v>1</v>
      </c>
      <c r="O332" s="81">
        <f t="shared" si="40"/>
        <v>2.7799999999999994</v>
      </c>
      <c r="P332" s="81">
        <f>IF(G332="","",ABS(O332-Components!$C$2)/Components!$D$2)</f>
        <v>4.0349351611135091</v>
      </c>
      <c r="Q332" s="81">
        <f>IF(G332="","",ABS(O332-Components!$C$3)/Components!$D$3)</f>
        <v>91.037243533320691</v>
      </c>
      <c r="R332" s="81">
        <f>IF(G332="","",ABS(O332-Components!$C$4)/Components!$D$4)</f>
        <v>127.81408066283745</v>
      </c>
      <c r="S332" s="81">
        <f>IF(G332="","",ABS(O332-Components!$C$5)/Components!$D$5)</f>
        <v>70.797454235492964</v>
      </c>
      <c r="T332" s="81">
        <f>IF(G332="","",ABS(O332-Components!$C$6)/Components!$D$6)</f>
        <v>58.791974073247481</v>
      </c>
      <c r="U332" s="81">
        <f>IF(G332="","",ABS(O332-Components!$C$7)/Components!$D$7)</f>
        <v>55.901202495159247</v>
      </c>
      <c r="V332" s="81" t="str">
        <f>IF(G332="","",IF(M332="OK","NONE",INDEX({"S1","S2","W1","W2","N1","N2"},MATCH(MIN(P332:U332),P332:U332,0))))</f>
        <v>S1</v>
      </c>
      <c r="W332" s="117">
        <f t="shared" si="41"/>
        <v>1</v>
      </c>
      <c r="X332" s="107"/>
    </row>
    <row r="333" spans="1:24">
      <c r="A333" s="115">
        <v>331</v>
      </c>
      <c r="B333" s="116">
        <v>12</v>
      </c>
      <c r="C333" s="81" t="s">
        <v>132</v>
      </c>
      <c r="D333" s="111" t="s">
        <v>240</v>
      </c>
      <c r="E333" s="81" t="s">
        <v>104</v>
      </c>
      <c r="F333" s="61">
        <v>7.6</v>
      </c>
      <c r="G333" s="52">
        <f t="shared" si="35"/>
        <v>8.57</v>
      </c>
      <c r="H333" s="110"/>
      <c r="I333" s="81">
        <v>9.61</v>
      </c>
      <c r="J333" s="81">
        <f>VLOOKUP(C333,Recipes!$A$2:$N$4,12,FALSE())</f>
        <v>6.1509461004819709E-2</v>
      </c>
      <c r="K333" s="81">
        <f t="shared" si="36"/>
        <v>9.2409432339710804</v>
      </c>
      <c r="L333" s="81">
        <f t="shared" si="37"/>
        <v>9.9790567660289184</v>
      </c>
      <c r="M333" s="81" t="str">
        <f t="shared" si="39"/>
        <v>NG</v>
      </c>
      <c r="N333" s="117">
        <f t="shared" si="38"/>
        <v>1</v>
      </c>
      <c r="O333" s="81">
        <f t="shared" si="40"/>
        <v>1.0399999999999991</v>
      </c>
      <c r="P333" s="81">
        <f>IF(G333="","",ABS(O333-Components!$C$2)/Components!$D$2)</f>
        <v>259.24458410151499</v>
      </c>
      <c r="Q333" s="81">
        <f>IF(G333="","",ABS(O333-Components!$C$3)/Components!$D$3)</f>
        <v>217.15571785495922</v>
      </c>
      <c r="R333" s="81">
        <f>IF(G333="","",ABS(O333-Components!$C$4)/Components!$D$4)</f>
        <v>3.338427479999452</v>
      </c>
      <c r="S333" s="81">
        <f>IF(G333="","",ABS(O333-Components!$C$5)/Components!$D$5)</f>
        <v>139.9004293868154</v>
      </c>
      <c r="T333" s="81">
        <f>IF(G333="","",ABS(O333-Components!$C$6)/Components!$D$6)</f>
        <v>4.1865001033075426</v>
      </c>
      <c r="U333" s="81">
        <f>IF(G333="","",ABS(O333-Components!$C$7)/Components!$D$7)</f>
        <v>13.295922718198771</v>
      </c>
      <c r="V333" s="81" t="str">
        <f>IF(G333="","",IF(M333="OK","NONE",INDEX({"S1","S2","W1","W2","N1","N2"},MATCH(MIN(P333:U333),P333:U333,0))))</f>
        <v>W1</v>
      </c>
      <c r="W333" s="117">
        <f t="shared" si="41"/>
        <v>1</v>
      </c>
      <c r="X333" s="107"/>
    </row>
    <row r="334" spans="1:24">
      <c r="A334" s="115">
        <v>332</v>
      </c>
      <c r="B334" s="116">
        <v>12</v>
      </c>
      <c r="C334" s="81" t="s">
        <v>132</v>
      </c>
      <c r="D334" s="111" t="s">
        <v>240</v>
      </c>
      <c r="E334" s="81" t="s">
        <v>104</v>
      </c>
      <c r="F334" s="61">
        <v>7.68</v>
      </c>
      <c r="G334" s="52">
        <f t="shared" si="35"/>
        <v>8.65</v>
      </c>
      <c r="H334" s="110"/>
      <c r="I334" s="81">
        <v>9.61</v>
      </c>
      <c r="J334" s="81">
        <f>VLOOKUP(C334,Recipes!$A$2:$N$4,12,FALSE())</f>
        <v>6.1509461004819709E-2</v>
      </c>
      <c r="K334" s="81">
        <f t="shared" si="36"/>
        <v>9.2409432339710804</v>
      </c>
      <c r="L334" s="81">
        <f t="shared" si="37"/>
        <v>9.9790567660289184</v>
      </c>
      <c r="M334" s="81" t="str">
        <f t="shared" si="39"/>
        <v>NG</v>
      </c>
      <c r="N334" s="117">
        <f t="shared" si="38"/>
        <v>1</v>
      </c>
      <c r="O334" s="81">
        <f t="shared" si="40"/>
        <v>0.95999999999999908</v>
      </c>
      <c r="P334" s="81">
        <f>IF(G334="","",ABS(O334-Components!$C$2)/Components!$D$2)</f>
        <v>271.34938958485424</v>
      </c>
      <c r="Q334" s="81">
        <f>IF(G334="","",ABS(O334-Components!$C$3)/Components!$D$3)</f>
        <v>222.95426839848284</v>
      </c>
      <c r="R334" s="81">
        <f>IF(G334="","",ABS(O334-Components!$C$4)/Components!$D$4)</f>
        <v>2.3845910571425293</v>
      </c>
      <c r="S334" s="81">
        <f>IF(G334="","",ABS(O334-Components!$C$5)/Components!$D$5)</f>
        <v>143.07757766963482</v>
      </c>
      <c r="T334" s="81">
        <f>IF(G334="","",ABS(O334-Components!$C$6)/Components!$D$6)</f>
        <v>7.0820621344135226</v>
      </c>
      <c r="U334" s="81">
        <f>IF(G334="","",ABS(O334-Components!$C$7)/Components!$D$7)</f>
        <v>16.477399739502591</v>
      </c>
      <c r="V334" s="81" t="str">
        <f>IF(G334="","",IF(M334="OK","NONE",INDEX({"S1","S2","W1","W2","N1","N2"},MATCH(MIN(P334:U334),P334:U334,0))))</f>
        <v>W1</v>
      </c>
      <c r="W334" s="117">
        <f t="shared" si="41"/>
        <v>1</v>
      </c>
      <c r="X334" s="107"/>
    </row>
    <row r="335" spans="1:24">
      <c r="A335" s="115">
        <v>333</v>
      </c>
      <c r="B335" s="116">
        <v>12</v>
      </c>
      <c r="C335" s="81" t="s">
        <v>132</v>
      </c>
      <c r="D335" s="111" t="s">
        <v>240</v>
      </c>
      <c r="E335" s="81" t="s">
        <v>104</v>
      </c>
      <c r="F335" s="61">
        <v>7.4</v>
      </c>
      <c r="G335" s="52">
        <f t="shared" si="35"/>
        <v>8.370000000000001</v>
      </c>
      <c r="H335" s="110"/>
      <c r="I335" s="81">
        <v>9.61</v>
      </c>
      <c r="J335" s="81">
        <f>VLOOKUP(C335,Recipes!$A$2:$N$4,12,FALSE())</f>
        <v>6.1509461004819709E-2</v>
      </c>
      <c r="K335" s="81">
        <f t="shared" si="36"/>
        <v>9.2409432339710804</v>
      </c>
      <c r="L335" s="81">
        <f t="shared" si="37"/>
        <v>9.9790567660289184</v>
      </c>
      <c r="M335" s="81" t="str">
        <f t="shared" si="39"/>
        <v>NG</v>
      </c>
      <c r="N335" s="117">
        <f t="shared" si="38"/>
        <v>1</v>
      </c>
      <c r="O335" s="81">
        <f t="shared" si="40"/>
        <v>1.2399999999999984</v>
      </c>
      <c r="P335" s="81">
        <f>IF(G335="","",ABS(O335-Components!$C$2)/Components!$D$2)</f>
        <v>228.98257039316701</v>
      </c>
      <c r="Q335" s="81">
        <f>IF(G335="","",ABS(O335-Components!$C$3)/Components!$D$3)</f>
        <v>202.65934149615023</v>
      </c>
      <c r="R335" s="81">
        <f>IF(G335="","",ABS(O335-Components!$C$4)/Components!$D$4)</f>
        <v>17.645973822854341</v>
      </c>
      <c r="S335" s="81">
        <f>IF(G335="","",ABS(O335-Components!$C$5)/Components!$D$5)</f>
        <v>131.95755867976689</v>
      </c>
      <c r="T335" s="81">
        <f>IF(G335="","",ABS(O335-Components!$C$6)/Components!$D$6)</f>
        <v>3.0524049744573762</v>
      </c>
      <c r="U335" s="81">
        <f>IF(G335="","",ABS(O335-Components!$C$7)/Components!$D$7)</f>
        <v>5.3422301649392585</v>
      </c>
      <c r="V335" s="81" t="str">
        <f>IF(G335="","",IF(M335="OK","NONE",INDEX({"S1","S2","W1","W2","N1","N2"},MATCH(MIN(P335:U335),P335:U335,0))))</f>
        <v>N1</v>
      </c>
      <c r="W335" s="122">
        <f t="shared" si="41"/>
        <v>0</v>
      </c>
      <c r="X335" s="107"/>
    </row>
    <row r="336" spans="1:24">
      <c r="A336" s="115">
        <v>334</v>
      </c>
      <c r="B336" s="116">
        <v>12</v>
      </c>
      <c r="C336" s="81" t="s">
        <v>132</v>
      </c>
      <c r="D336" s="111" t="s">
        <v>240</v>
      </c>
      <c r="E336" s="81" t="s">
        <v>104</v>
      </c>
      <c r="F336" s="61">
        <v>7.59</v>
      </c>
      <c r="G336" s="52">
        <f t="shared" si="35"/>
        <v>8.56</v>
      </c>
      <c r="H336" s="110"/>
      <c r="I336" s="81">
        <v>9.61</v>
      </c>
      <c r="J336" s="81">
        <f>VLOOKUP(C336,Recipes!$A$2:$N$4,12,FALSE())</f>
        <v>6.1509461004819709E-2</v>
      </c>
      <c r="K336" s="81">
        <f t="shared" si="36"/>
        <v>9.2409432339710804</v>
      </c>
      <c r="L336" s="81">
        <f t="shared" si="37"/>
        <v>9.9790567660289184</v>
      </c>
      <c r="M336" s="81" t="str">
        <f t="shared" si="39"/>
        <v>NG</v>
      </c>
      <c r="N336" s="117">
        <f t="shared" si="38"/>
        <v>1</v>
      </c>
      <c r="O336" s="81">
        <f t="shared" si="40"/>
        <v>1.0499999999999989</v>
      </c>
      <c r="P336" s="81">
        <f>IF(G336="","",ABS(O336-Components!$C$2)/Components!$D$2)</f>
        <v>257.7314834160976</v>
      </c>
      <c r="Q336" s="81">
        <f>IF(G336="","",ABS(O336-Components!$C$3)/Components!$D$3)</f>
        <v>216.43089903701878</v>
      </c>
      <c r="R336" s="81">
        <f>IF(G336="","",ABS(O336-Components!$C$4)/Components!$D$4)</f>
        <v>4.0538047971421838</v>
      </c>
      <c r="S336" s="81">
        <f>IF(G336="","",ABS(O336-Components!$C$5)/Components!$D$5)</f>
        <v>139.50328585146298</v>
      </c>
      <c r="T336" s="81">
        <f>IF(G336="","",ABS(O336-Components!$C$6)/Components!$D$6)</f>
        <v>3.8245548494193029</v>
      </c>
      <c r="U336" s="81">
        <f>IF(G336="","",ABS(O336-Components!$C$7)/Components!$D$7)</f>
        <v>12.898238090535804</v>
      </c>
      <c r="V336" s="81" t="str">
        <f>IF(G336="","",IF(M336="OK","NONE",INDEX({"S1","S2","W1","W2","N1","N2"},MATCH(MIN(P336:U336),P336:U336,0))))</f>
        <v>N1</v>
      </c>
      <c r="W336" s="122">
        <f t="shared" si="41"/>
        <v>0</v>
      </c>
      <c r="X336" s="107"/>
    </row>
    <row r="337" spans="1:24">
      <c r="A337" s="115">
        <v>335</v>
      </c>
      <c r="B337" s="116">
        <v>12</v>
      </c>
      <c r="C337" s="81" t="s">
        <v>132</v>
      </c>
      <c r="D337" s="111" t="s">
        <v>240</v>
      </c>
      <c r="E337" s="81" t="s">
        <v>104</v>
      </c>
      <c r="F337" s="61">
        <v>7.53</v>
      </c>
      <c r="G337" s="52">
        <f t="shared" si="35"/>
        <v>8.5</v>
      </c>
      <c r="H337" s="110"/>
      <c r="I337" s="81">
        <v>9.61</v>
      </c>
      <c r="J337" s="81">
        <f>VLOOKUP(C337,Recipes!$A$2:$N$4,12,FALSE())</f>
        <v>6.1509461004819709E-2</v>
      </c>
      <c r="K337" s="81">
        <f t="shared" si="36"/>
        <v>9.2409432339710804</v>
      </c>
      <c r="L337" s="81">
        <f t="shared" si="37"/>
        <v>9.9790567660289184</v>
      </c>
      <c r="M337" s="81" t="str">
        <f t="shared" si="39"/>
        <v>NG</v>
      </c>
      <c r="N337" s="117">
        <f t="shared" si="38"/>
        <v>1</v>
      </c>
      <c r="O337" s="81">
        <f t="shared" si="40"/>
        <v>1.1099999999999994</v>
      </c>
      <c r="P337" s="81">
        <f>IF(G337="","",ABS(O337-Components!$C$2)/Components!$D$2)</f>
        <v>248.65287930359312</v>
      </c>
      <c r="Q337" s="81">
        <f>IF(G337="","",ABS(O337-Components!$C$3)/Components!$D$3)</f>
        <v>212.08198612937602</v>
      </c>
      <c r="R337" s="81">
        <f>IF(G337="","",ABS(O337-Components!$C$4)/Components!$D$4)</f>
        <v>8.3460686999987015</v>
      </c>
      <c r="S337" s="81">
        <f>IF(G337="","",ABS(O337-Components!$C$5)/Components!$D$5)</f>
        <v>137.12042463934841</v>
      </c>
      <c r="T337" s="81">
        <f>IF(G337="","",ABS(O337-Components!$C$6)/Components!$D$6)</f>
        <v>1.6528833260898017</v>
      </c>
      <c r="U337" s="81">
        <f>IF(G337="","",ABS(O337-Components!$C$7)/Components!$D$7)</f>
        <v>10.512130324557921</v>
      </c>
      <c r="V337" s="81" t="str">
        <f>IF(G337="","",IF(M337="OK","NONE",INDEX({"S1","S2","W1","W2","N1","N2"},MATCH(MIN(P337:U337),P337:U337,0))))</f>
        <v>N1</v>
      </c>
      <c r="W337" s="122">
        <f t="shared" si="41"/>
        <v>0</v>
      </c>
      <c r="X337" s="107"/>
    </row>
    <row r="338" spans="1:24">
      <c r="A338" s="115">
        <v>336</v>
      </c>
      <c r="B338" s="116">
        <v>12</v>
      </c>
      <c r="C338" s="81" t="s">
        <v>132</v>
      </c>
      <c r="D338" s="111" t="s">
        <v>240</v>
      </c>
      <c r="E338" s="81" t="s">
        <v>104</v>
      </c>
      <c r="F338" s="61">
        <v>7.53</v>
      </c>
      <c r="G338" s="52">
        <f t="shared" si="35"/>
        <v>8.5</v>
      </c>
      <c r="H338" s="110"/>
      <c r="I338" s="81">
        <v>9.61</v>
      </c>
      <c r="J338" s="81">
        <f>VLOOKUP(C338,Recipes!$A$2:$N$4,12,FALSE())</f>
        <v>6.1509461004819709E-2</v>
      </c>
      <c r="K338" s="81">
        <f t="shared" si="36"/>
        <v>9.2409432339710804</v>
      </c>
      <c r="L338" s="81">
        <f t="shared" si="37"/>
        <v>9.9790567660289184</v>
      </c>
      <c r="M338" s="81" t="str">
        <f t="shared" si="39"/>
        <v>NG</v>
      </c>
      <c r="N338" s="117">
        <f t="shared" si="38"/>
        <v>1</v>
      </c>
      <c r="O338" s="81">
        <f t="shared" si="40"/>
        <v>1.1099999999999994</v>
      </c>
      <c r="P338" s="81">
        <f>IF(G338="","",ABS(O338-Components!$C$2)/Components!$D$2)</f>
        <v>248.65287930359312</v>
      </c>
      <c r="Q338" s="81">
        <f>IF(G338="","",ABS(O338-Components!$C$3)/Components!$D$3)</f>
        <v>212.08198612937602</v>
      </c>
      <c r="R338" s="81">
        <f>IF(G338="","",ABS(O338-Components!$C$4)/Components!$D$4)</f>
        <v>8.3460686999987015</v>
      </c>
      <c r="S338" s="81">
        <f>IF(G338="","",ABS(O338-Components!$C$5)/Components!$D$5)</f>
        <v>137.12042463934841</v>
      </c>
      <c r="T338" s="81">
        <f>IF(G338="","",ABS(O338-Components!$C$6)/Components!$D$6)</f>
        <v>1.6528833260898017</v>
      </c>
      <c r="U338" s="81">
        <f>IF(G338="","",ABS(O338-Components!$C$7)/Components!$D$7)</f>
        <v>10.512130324557921</v>
      </c>
      <c r="V338" s="81" t="str">
        <f>IF(G338="","",IF(M338="OK","NONE",INDEX({"S1","S2","W1","W2","N1","N2"},MATCH(MIN(P338:U338),P338:U338,0))))</f>
        <v>N1</v>
      </c>
      <c r="W338" s="122">
        <f t="shared" si="41"/>
        <v>0</v>
      </c>
      <c r="X338" s="107"/>
    </row>
    <row r="339" spans="1:24">
      <c r="A339" s="115">
        <v>337</v>
      </c>
      <c r="B339" s="116">
        <v>12</v>
      </c>
      <c r="C339" s="81" t="s">
        <v>132</v>
      </c>
      <c r="D339" s="111" t="s">
        <v>240</v>
      </c>
      <c r="E339" s="81" t="s">
        <v>104</v>
      </c>
      <c r="F339" s="61">
        <v>7.63</v>
      </c>
      <c r="G339" s="52">
        <f t="shared" si="35"/>
        <v>8.6</v>
      </c>
      <c r="H339" s="110"/>
      <c r="I339" s="81">
        <v>9.61</v>
      </c>
      <c r="J339" s="81">
        <f>VLOOKUP(C339,Recipes!$A$2:$N$4,12,FALSE())</f>
        <v>6.1509461004819709E-2</v>
      </c>
      <c r="K339" s="81">
        <f t="shared" si="36"/>
        <v>9.2409432339710804</v>
      </c>
      <c r="L339" s="81">
        <f t="shared" si="37"/>
        <v>9.9790567660289184</v>
      </c>
      <c r="M339" s="81" t="str">
        <f t="shared" si="39"/>
        <v>NG</v>
      </c>
      <c r="N339" s="117">
        <f t="shared" si="38"/>
        <v>1</v>
      </c>
      <c r="O339" s="81">
        <f t="shared" si="40"/>
        <v>1.0099999999999998</v>
      </c>
      <c r="P339" s="81">
        <f>IF(G339="","",ABS(O339-Components!$C$2)/Components!$D$2)</f>
        <v>263.78388615776714</v>
      </c>
      <c r="Q339" s="81">
        <f>IF(G339="","",ABS(O339-Components!$C$3)/Components!$D$3)</f>
        <v>219.33017430878053</v>
      </c>
      <c r="R339" s="81">
        <f>IF(G339="","",ABS(O339-Components!$C$4)/Components!$D$4)</f>
        <v>1.1922955285712566</v>
      </c>
      <c r="S339" s="81">
        <f>IF(G339="","",ABS(O339-Components!$C$5)/Components!$D$5)</f>
        <v>141.09185999287266</v>
      </c>
      <c r="T339" s="81">
        <f>IF(G339="","",ABS(O339-Components!$C$6)/Components!$D$6)</f>
        <v>5.2723358649722609</v>
      </c>
      <c r="U339" s="81">
        <f>IF(G339="","",ABS(O339-Components!$C$7)/Components!$D$7)</f>
        <v>14.488976601187677</v>
      </c>
      <c r="V339" s="81" t="str">
        <f>IF(G339="","",IF(M339="OK","NONE",INDEX({"S1","S2","W1","W2","N1","N2"},MATCH(MIN(P339:U339),P339:U339,0))))</f>
        <v>W1</v>
      </c>
      <c r="W339" s="117">
        <f t="shared" si="41"/>
        <v>1</v>
      </c>
      <c r="X339" s="107"/>
    </row>
    <row r="340" spans="1:24">
      <c r="A340" s="115">
        <v>338</v>
      </c>
      <c r="B340" s="116">
        <v>12</v>
      </c>
      <c r="C340" s="81" t="s">
        <v>132</v>
      </c>
      <c r="D340" s="111" t="s">
        <v>240</v>
      </c>
      <c r="E340" s="81" t="s">
        <v>104</v>
      </c>
      <c r="F340" s="61">
        <v>7.62</v>
      </c>
      <c r="G340" s="52">
        <f t="shared" si="35"/>
        <v>8.59</v>
      </c>
      <c r="H340" s="110"/>
      <c r="I340" s="81">
        <v>9.61</v>
      </c>
      <c r="J340" s="81">
        <f>VLOOKUP(C340,Recipes!$A$2:$N$4,12,FALSE())</f>
        <v>6.1509461004819709E-2</v>
      </c>
      <c r="K340" s="81">
        <f t="shared" si="36"/>
        <v>9.2409432339710804</v>
      </c>
      <c r="L340" s="81">
        <f t="shared" si="37"/>
        <v>9.9790567660289184</v>
      </c>
      <c r="M340" s="81" t="str">
        <f t="shared" si="39"/>
        <v>NG</v>
      </c>
      <c r="N340" s="117">
        <f t="shared" si="38"/>
        <v>1</v>
      </c>
      <c r="O340" s="81">
        <f t="shared" si="40"/>
        <v>1.0199999999999996</v>
      </c>
      <c r="P340" s="81">
        <f>IF(G340="","",ABS(O340-Components!$C$2)/Components!$D$2)</f>
        <v>262.27078547234976</v>
      </c>
      <c r="Q340" s="81">
        <f>IF(G340="","",ABS(O340-Components!$C$3)/Components!$D$3)</f>
        <v>218.60535549084008</v>
      </c>
      <c r="R340" s="81">
        <f>IF(G340="","",ABS(O340-Components!$C$4)/Components!$D$4)</f>
        <v>1.9076728457139884</v>
      </c>
      <c r="S340" s="81">
        <f>IF(G340="","",ABS(O340-Components!$C$5)/Components!$D$5)</f>
        <v>140.69471645752026</v>
      </c>
      <c r="T340" s="81">
        <f>IF(G340="","",ABS(O340-Components!$C$6)/Components!$D$6)</f>
        <v>4.9103906110840212</v>
      </c>
      <c r="U340" s="81">
        <f>IF(G340="","",ABS(O340-Components!$C$7)/Components!$D$7)</f>
        <v>14.091291973524708</v>
      </c>
      <c r="V340" s="81" t="str">
        <f>IF(G340="","",IF(M340="OK","NONE",INDEX({"S1","S2","W1","W2","N1","N2"},MATCH(MIN(P340:U340),P340:U340,0))))</f>
        <v>W1</v>
      </c>
      <c r="W340" s="117">
        <f t="shared" si="41"/>
        <v>1</v>
      </c>
      <c r="X340" s="107"/>
    </row>
    <row r="341" spans="1:24">
      <c r="A341" s="115">
        <v>339</v>
      </c>
      <c r="B341" s="116">
        <v>12</v>
      </c>
      <c r="C341" s="81" t="s">
        <v>132</v>
      </c>
      <c r="D341" s="111" t="s">
        <v>240</v>
      </c>
      <c r="E341" s="81" t="s">
        <v>104</v>
      </c>
      <c r="F341" s="61">
        <v>7.59</v>
      </c>
      <c r="G341" s="52">
        <f t="shared" si="35"/>
        <v>8.56</v>
      </c>
      <c r="H341" s="110"/>
      <c r="I341" s="81">
        <v>9.61</v>
      </c>
      <c r="J341" s="81">
        <f>VLOOKUP(C341,Recipes!$A$2:$N$4,12,FALSE())</f>
        <v>6.1509461004819709E-2</v>
      </c>
      <c r="K341" s="81">
        <f t="shared" si="36"/>
        <v>9.2409432339710804</v>
      </c>
      <c r="L341" s="81">
        <f t="shared" si="37"/>
        <v>9.9790567660289184</v>
      </c>
      <c r="M341" s="81" t="str">
        <f t="shared" si="39"/>
        <v>NG</v>
      </c>
      <c r="N341" s="117">
        <f t="shared" si="38"/>
        <v>1</v>
      </c>
      <c r="O341" s="81">
        <f t="shared" si="40"/>
        <v>1.0499999999999989</v>
      </c>
      <c r="P341" s="81">
        <f>IF(G341="","",ABS(O341-Components!$C$2)/Components!$D$2)</f>
        <v>257.7314834160976</v>
      </c>
      <c r="Q341" s="81">
        <f>IF(G341="","",ABS(O341-Components!$C$3)/Components!$D$3)</f>
        <v>216.43089903701878</v>
      </c>
      <c r="R341" s="81">
        <f>IF(G341="","",ABS(O341-Components!$C$4)/Components!$D$4)</f>
        <v>4.0538047971421838</v>
      </c>
      <c r="S341" s="81">
        <f>IF(G341="","",ABS(O341-Components!$C$5)/Components!$D$5)</f>
        <v>139.50328585146298</v>
      </c>
      <c r="T341" s="81">
        <f>IF(G341="","",ABS(O341-Components!$C$6)/Components!$D$6)</f>
        <v>3.8245548494193029</v>
      </c>
      <c r="U341" s="81">
        <f>IF(G341="","",ABS(O341-Components!$C$7)/Components!$D$7)</f>
        <v>12.898238090535804</v>
      </c>
      <c r="V341" s="81" t="str">
        <f>IF(G341="","",IF(M341="OK","NONE",INDEX({"S1","S2","W1","W2","N1","N2"},MATCH(MIN(P341:U341),P341:U341,0))))</f>
        <v>N1</v>
      </c>
      <c r="W341" s="122">
        <f t="shared" si="41"/>
        <v>0</v>
      </c>
      <c r="X341" s="107"/>
    </row>
    <row r="342" spans="1:24">
      <c r="A342" s="115">
        <v>340</v>
      </c>
      <c r="B342" s="116">
        <v>12</v>
      </c>
      <c r="C342" s="81" t="s">
        <v>132</v>
      </c>
      <c r="D342" s="111" t="s">
        <v>240</v>
      </c>
      <c r="E342" s="81" t="s">
        <v>104</v>
      </c>
      <c r="F342" s="61">
        <v>7.64</v>
      </c>
      <c r="G342" s="52">
        <f t="shared" si="35"/>
        <v>8.61</v>
      </c>
      <c r="H342" s="110"/>
      <c r="I342" s="81">
        <v>9.61</v>
      </c>
      <c r="J342" s="81">
        <f>VLOOKUP(C342,Recipes!$A$2:$N$4,12,FALSE())</f>
        <v>6.1509461004819709E-2</v>
      </c>
      <c r="K342" s="81">
        <f t="shared" si="36"/>
        <v>9.2409432339710804</v>
      </c>
      <c r="L342" s="81">
        <f t="shared" si="37"/>
        <v>9.9790567660289184</v>
      </c>
      <c r="M342" s="81" t="str">
        <f t="shared" si="39"/>
        <v>NG</v>
      </c>
      <c r="N342" s="117">
        <f t="shared" si="38"/>
        <v>1</v>
      </c>
      <c r="O342" s="81">
        <f t="shared" si="40"/>
        <v>1</v>
      </c>
      <c r="P342" s="81">
        <f>IF(G342="","",ABS(O342-Components!$C$2)/Components!$D$2)</f>
        <v>265.29698684318447</v>
      </c>
      <c r="Q342" s="81">
        <f>IF(G342="","",ABS(O342-Components!$C$3)/Components!$D$3)</f>
        <v>220.05499312672094</v>
      </c>
      <c r="R342" s="81">
        <f>IF(G342="","",ABS(O342-Components!$C$4)/Components!$D$4)</f>
        <v>0.47691821142852492</v>
      </c>
      <c r="S342" s="81">
        <f>IF(G342="","",ABS(O342-Components!$C$5)/Components!$D$5)</f>
        <v>141.48900352822508</v>
      </c>
      <c r="T342" s="81">
        <f>IF(G342="","",ABS(O342-Components!$C$6)/Components!$D$6)</f>
        <v>5.6342811188605006</v>
      </c>
      <c r="U342" s="81">
        <f>IF(G342="","",ABS(O342-Components!$C$7)/Components!$D$7)</f>
        <v>14.886661228850645</v>
      </c>
      <c r="V342" s="81" t="str">
        <f>IF(G342="","",IF(M342="OK","NONE",INDEX({"S1","S2","W1","W2","N1","N2"},MATCH(MIN(P342:U342),P342:U342,0))))</f>
        <v>W1</v>
      </c>
      <c r="W342" s="117">
        <f t="shared" si="41"/>
        <v>1</v>
      </c>
      <c r="X342" s="107"/>
    </row>
    <row r="343" spans="1:24">
      <c r="A343" s="115">
        <v>341</v>
      </c>
      <c r="B343" s="116">
        <v>12</v>
      </c>
      <c r="C343" s="81" t="s">
        <v>132</v>
      </c>
      <c r="D343" s="111" t="s">
        <v>240</v>
      </c>
      <c r="E343" s="81" t="s">
        <v>104</v>
      </c>
      <c r="F343" s="61">
        <v>7.65</v>
      </c>
      <c r="G343" s="52">
        <f t="shared" si="35"/>
        <v>8.620000000000001</v>
      </c>
      <c r="H343" s="110"/>
      <c r="I343" s="81">
        <v>9.61</v>
      </c>
      <c r="J343" s="81">
        <f>VLOOKUP(C343,Recipes!$A$2:$N$4,12,FALSE())</f>
        <v>6.1509461004819709E-2</v>
      </c>
      <c r="K343" s="81">
        <f t="shared" si="36"/>
        <v>9.2409432339710804</v>
      </c>
      <c r="L343" s="81">
        <f t="shared" si="37"/>
        <v>9.9790567660289184</v>
      </c>
      <c r="M343" s="81" t="str">
        <f t="shared" si="39"/>
        <v>NG</v>
      </c>
      <c r="N343" s="117">
        <f t="shared" si="38"/>
        <v>1</v>
      </c>
      <c r="O343" s="81">
        <f t="shared" si="40"/>
        <v>0.98999999999999844</v>
      </c>
      <c r="P343" s="81">
        <f>IF(G343="","",ABS(O343-Components!$C$2)/Components!$D$2)</f>
        <v>266.81008752860214</v>
      </c>
      <c r="Q343" s="81">
        <f>IF(G343="","",ABS(O343-Components!$C$3)/Components!$D$3)</f>
        <v>220.77981194466153</v>
      </c>
      <c r="R343" s="81">
        <f>IF(G343="","",ABS(O343-Components!$C$4)/Components!$D$4)</f>
        <v>0.23845910571433393</v>
      </c>
      <c r="S343" s="81">
        <f>IF(G343="","",ABS(O343-Components!$C$5)/Components!$D$5)</f>
        <v>141.88614706357757</v>
      </c>
      <c r="T343" s="81">
        <f>IF(G343="","",ABS(O343-Components!$C$6)/Components!$D$6)</f>
        <v>5.9962263727488043</v>
      </c>
      <c r="U343" s="81">
        <f>IF(G343="","",ABS(O343-Components!$C$7)/Components!$D$7)</f>
        <v>15.284345856513685</v>
      </c>
      <c r="V343" s="81" t="str">
        <f>IF(G343="","",IF(M343="OK","NONE",INDEX({"S1","S2","W1","W2","N1","N2"},MATCH(MIN(P343:U343),P343:U343,0))))</f>
        <v>W1</v>
      </c>
      <c r="W343" s="117">
        <f t="shared" si="41"/>
        <v>1</v>
      </c>
      <c r="X343" s="107"/>
    </row>
    <row r="344" spans="1:24">
      <c r="A344" s="115">
        <v>342</v>
      </c>
      <c r="B344" s="116">
        <v>12</v>
      </c>
      <c r="C344" s="81" t="s">
        <v>132</v>
      </c>
      <c r="D344" s="111" t="s">
        <v>240</v>
      </c>
      <c r="E344" s="81" t="s">
        <v>104</v>
      </c>
      <c r="F344" s="61">
        <v>7.6</v>
      </c>
      <c r="G344" s="52">
        <f t="shared" si="35"/>
        <v>8.57</v>
      </c>
      <c r="H344" s="110"/>
      <c r="I344" s="81">
        <v>9.61</v>
      </c>
      <c r="J344" s="81">
        <f>VLOOKUP(C344,Recipes!$A$2:$N$4,12,FALSE())</f>
        <v>6.1509461004819709E-2</v>
      </c>
      <c r="K344" s="81">
        <f t="shared" si="36"/>
        <v>9.2409432339710804</v>
      </c>
      <c r="L344" s="81">
        <f t="shared" si="37"/>
        <v>9.9790567660289184</v>
      </c>
      <c r="M344" s="81" t="str">
        <f t="shared" si="39"/>
        <v>NG</v>
      </c>
      <c r="N344" s="117">
        <f t="shared" si="38"/>
        <v>1</v>
      </c>
      <c r="O344" s="81">
        <f t="shared" si="40"/>
        <v>1.0399999999999991</v>
      </c>
      <c r="P344" s="81">
        <f>IF(G344="","",ABS(O344-Components!$C$2)/Components!$D$2)</f>
        <v>259.24458410151499</v>
      </c>
      <c r="Q344" s="81">
        <f>IF(G344="","",ABS(O344-Components!$C$3)/Components!$D$3)</f>
        <v>217.15571785495922</v>
      </c>
      <c r="R344" s="81">
        <f>IF(G344="","",ABS(O344-Components!$C$4)/Components!$D$4)</f>
        <v>3.338427479999452</v>
      </c>
      <c r="S344" s="81">
        <f>IF(G344="","",ABS(O344-Components!$C$5)/Components!$D$5)</f>
        <v>139.9004293868154</v>
      </c>
      <c r="T344" s="81">
        <f>IF(G344="","",ABS(O344-Components!$C$6)/Components!$D$6)</f>
        <v>4.1865001033075426</v>
      </c>
      <c r="U344" s="81">
        <f>IF(G344="","",ABS(O344-Components!$C$7)/Components!$D$7)</f>
        <v>13.295922718198771</v>
      </c>
      <c r="V344" s="81" t="str">
        <f>IF(G344="","",IF(M344="OK","NONE",INDEX({"S1","S2","W1","W2","N1","N2"},MATCH(MIN(P344:U344),P344:U344,0))))</f>
        <v>W1</v>
      </c>
      <c r="W344" s="117">
        <f t="shared" si="41"/>
        <v>1</v>
      </c>
      <c r="X344" s="107"/>
    </row>
    <row r="345" spans="1:24">
      <c r="A345" s="115">
        <v>343</v>
      </c>
      <c r="B345" s="116">
        <v>12</v>
      </c>
      <c r="C345" s="81" t="s">
        <v>132</v>
      </c>
      <c r="D345" s="111" t="s">
        <v>240</v>
      </c>
      <c r="E345" s="81" t="s">
        <v>104</v>
      </c>
      <c r="F345" s="61">
        <v>7.6</v>
      </c>
      <c r="G345" s="52">
        <f t="shared" si="35"/>
        <v>8.57</v>
      </c>
      <c r="H345" s="110"/>
      <c r="I345" s="81">
        <v>9.61</v>
      </c>
      <c r="J345" s="81">
        <f>VLOOKUP(C345,Recipes!$A$2:$N$4,12,FALSE())</f>
        <v>6.1509461004819709E-2</v>
      </c>
      <c r="K345" s="81">
        <f t="shared" si="36"/>
        <v>9.2409432339710804</v>
      </c>
      <c r="L345" s="81">
        <f t="shared" si="37"/>
        <v>9.9790567660289184</v>
      </c>
      <c r="M345" s="81" t="str">
        <f t="shared" si="39"/>
        <v>NG</v>
      </c>
      <c r="N345" s="117">
        <f t="shared" si="38"/>
        <v>1</v>
      </c>
      <c r="O345" s="81">
        <f t="shared" si="40"/>
        <v>1.0399999999999991</v>
      </c>
      <c r="P345" s="81">
        <f>IF(G345="","",ABS(O345-Components!$C$2)/Components!$D$2)</f>
        <v>259.24458410151499</v>
      </c>
      <c r="Q345" s="81">
        <f>IF(G345="","",ABS(O345-Components!$C$3)/Components!$D$3)</f>
        <v>217.15571785495922</v>
      </c>
      <c r="R345" s="81">
        <f>IF(G345="","",ABS(O345-Components!$C$4)/Components!$D$4)</f>
        <v>3.338427479999452</v>
      </c>
      <c r="S345" s="81">
        <f>IF(G345="","",ABS(O345-Components!$C$5)/Components!$D$5)</f>
        <v>139.9004293868154</v>
      </c>
      <c r="T345" s="81">
        <f>IF(G345="","",ABS(O345-Components!$C$6)/Components!$D$6)</f>
        <v>4.1865001033075426</v>
      </c>
      <c r="U345" s="81">
        <f>IF(G345="","",ABS(O345-Components!$C$7)/Components!$D$7)</f>
        <v>13.295922718198771</v>
      </c>
      <c r="V345" s="81" t="str">
        <f>IF(G345="","",IF(M345="OK","NONE",INDEX({"S1","S2","W1","W2","N1","N2"},MATCH(MIN(P345:U345),P345:U345,0))))</f>
        <v>W1</v>
      </c>
      <c r="W345" s="117">
        <f t="shared" si="41"/>
        <v>1</v>
      </c>
      <c r="X345" s="107"/>
    </row>
    <row r="346" spans="1:24">
      <c r="A346" s="115">
        <v>344</v>
      </c>
      <c r="B346" s="116">
        <v>12</v>
      </c>
      <c r="C346" s="81" t="s">
        <v>132</v>
      </c>
      <c r="D346" s="111" t="s">
        <v>240</v>
      </c>
      <c r="E346" s="81" t="s">
        <v>104</v>
      </c>
      <c r="F346" s="61">
        <v>7.59</v>
      </c>
      <c r="G346" s="52">
        <f t="shared" si="35"/>
        <v>8.56</v>
      </c>
      <c r="H346" s="110"/>
      <c r="I346" s="81">
        <v>9.61</v>
      </c>
      <c r="J346" s="81">
        <f>VLOOKUP(C346,Recipes!$A$2:$N$4,12,FALSE())</f>
        <v>6.1509461004819709E-2</v>
      </c>
      <c r="K346" s="81">
        <f t="shared" si="36"/>
        <v>9.2409432339710804</v>
      </c>
      <c r="L346" s="81">
        <f t="shared" si="37"/>
        <v>9.9790567660289184</v>
      </c>
      <c r="M346" s="81" t="str">
        <f t="shared" si="39"/>
        <v>NG</v>
      </c>
      <c r="N346" s="117">
        <f t="shared" si="38"/>
        <v>1</v>
      </c>
      <c r="O346" s="81">
        <f t="shared" si="40"/>
        <v>1.0499999999999989</v>
      </c>
      <c r="P346" s="81">
        <f>IF(G346="","",ABS(O346-Components!$C$2)/Components!$D$2)</f>
        <v>257.7314834160976</v>
      </c>
      <c r="Q346" s="81">
        <f>IF(G346="","",ABS(O346-Components!$C$3)/Components!$D$3)</f>
        <v>216.43089903701878</v>
      </c>
      <c r="R346" s="81">
        <f>IF(G346="","",ABS(O346-Components!$C$4)/Components!$D$4)</f>
        <v>4.0538047971421838</v>
      </c>
      <c r="S346" s="81">
        <f>IF(G346="","",ABS(O346-Components!$C$5)/Components!$D$5)</f>
        <v>139.50328585146298</v>
      </c>
      <c r="T346" s="81">
        <f>IF(G346="","",ABS(O346-Components!$C$6)/Components!$D$6)</f>
        <v>3.8245548494193029</v>
      </c>
      <c r="U346" s="81">
        <f>IF(G346="","",ABS(O346-Components!$C$7)/Components!$D$7)</f>
        <v>12.898238090535804</v>
      </c>
      <c r="V346" s="81" t="str">
        <f>IF(G346="","",IF(M346="OK","NONE",INDEX({"S1","S2","W1","W2","N1","N2"},MATCH(MIN(P346:U346),P346:U346,0))))</f>
        <v>N1</v>
      </c>
      <c r="W346" s="122">
        <f t="shared" si="41"/>
        <v>0</v>
      </c>
      <c r="X346" s="107"/>
    </row>
    <row r="347" spans="1:24">
      <c r="A347" s="115">
        <v>345</v>
      </c>
      <c r="B347" s="116">
        <v>12</v>
      </c>
      <c r="C347" s="81" t="s">
        <v>132</v>
      </c>
      <c r="D347" s="111" t="s">
        <v>240</v>
      </c>
      <c r="E347" s="81" t="s">
        <v>104</v>
      </c>
      <c r="F347" s="61">
        <v>7.63</v>
      </c>
      <c r="G347" s="52">
        <f t="shared" si="35"/>
        <v>8.6</v>
      </c>
      <c r="H347" s="110"/>
      <c r="I347" s="81">
        <v>9.61</v>
      </c>
      <c r="J347" s="81">
        <f>VLOOKUP(C347,Recipes!$A$2:$N$4,12,FALSE())</f>
        <v>6.1509461004819709E-2</v>
      </c>
      <c r="K347" s="81">
        <f t="shared" si="36"/>
        <v>9.2409432339710804</v>
      </c>
      <c r="L347" s="81">
        <f t="shared" si="37"/>
        <v>9.9790567660289184</v>
      </c>
      <c r="M347" s="81" t="str">
        <f t="shared" si="39"/>
        <v>NG</v>
      </c>
      <c r="N347" s="117">
        <f t="shared" si="38"/>
        <v>1</v>
      </c>
      <c r="O347" s="81">
        <f t="shared" si="40"/>
        <v>1.0099999999999998</v>
      </c>
      <c r="P347" s="81">
        <f>IF(G347="","",ABS(O347-Components!$C$2)/Components!$D$2)</f>
        <v>263.78388615776714</v>
      </c>
      <c r="Q347" s="81">
        <f>IF(G347="","",ABS(O347-Components!$C$3)/Components!$D$3)</f>
        <v>219.33017430878053</v>
      </c>
      <c r="R347" s="81">
        <f>IF(G347="","",ABS(O347-Components!$C$4)/Components!$D$4)</f>
        <v>1.1922955285712566</v>
      </c>
      <c r="S347" s="81">
        <f>IF(G347="","",ABS(O347-Components!$C$5)/Components!$D$5)</f>
        <v>141.09185999287266</v>
      </c>
      <c r="T347" s="81">
        <f>IF(G347="","",ABS(O347-Components!$C$6)/Components!$D$6)</f>
        <v>5.2723358649722609</v>
      </c>
      <c r="U347" s="81">
        <f>IF(G347="","",ABS(O347-Components!$C$7)/Components!$D$7)</f>
        <v>14.488976601187677</v>
      </c>
      <c r="V347" s="81" t="str">
        <f>IF(G347="","",IF(M347="OK","NONE",INDEX({"S1","S2","W1","W2","N1","N2"},MATCH(MIN(P347:U347),P347:U347,0))))</f>
        <v>W1</v>
      </c>
      <c r="W347" s="117">
        <f t="shared" si="41"/>
        <v>1</v>
      </c>
      <c r="X347" s="107"/>
    </row>
    <row r="348" spans="1:24">
      <c r="A348" s="115">
        <v>346</v>
      </c>
      <c r="B348" s="116">
        <v>12</v>
      </c>
      <c r="C348" s="81" t="s">
        <v>132</v>
      </c>
      <c r="D348" s="111" t="s">
        <v>240</v>
      </c>
      <c r="E348" s="81" t="s">
        <v>104</v>
      </c>
      <c r="F348" s="61">
        <v>7.6</v>
      </c>
      <c r="G348" s="52">
        <f t="shared" si="35"/>
        <v>8.57</v>
      </c>
      <c r="H348" s="110"/>
      <c r="I348" s="81">
        <v>9.61</v>
      </c>
      <c r="J348" s="81">
        <f>VLOOKUP(C348,Recipes!$A$2:$N$4,12,FALSE())</f>
        <v>6.1509461004819709E-2</v>
      </c>
      <c r="K348" s="81">
        <f t="shared" si="36"/>
        <v>9.2409432339710804</v>
      </c>
      <c r="L348" s="81">
        <f t="shared" si="37"/>
        <v>9.9790567660289184</v>
      </c>
      <c r="M348" s="81" t="str">
        <f t="shared" si="39"/>
        <v>NG</v>
      </c>
      <c r="N348" s="117">
        <f t="shared" si="38"/>
        <v>1</v>
      </c>
      <c r="O348" s="81">
        <f t="shared" si="40"/>
        <v>1.0399999999999991</v>
      </c>
      <c r="P348" s="81">
        <f>IF(G348="","",ABS(O348-Components!$C$2)/Components!$D$2)</f>
        <v>259.24458410151499</v>
      </c>
      <c r="Q348" s="81">
        <f>IF(G348="","",ABS(O348-Components!$C$3)/Components!$D$3)</f>
        <v>217.15571785495922</v>
      </c>
      <c r="R348" s="81">
        <f>IF(G348="","",ABS(O348-Components!$C$4)/Components!$D$4)</f>
        <v>3.338427479999452</v>
      </c>
      <c r="S348" s="81">
        <f>IF(G348="","",ABS(O348-Components!$C$5)/Components!$D$5)</f>
        <v>139.9004293868154</v>
      </c>
      <c r="T348" s="81">
        <f>IF(G348="","",ABS(O348-Components!$C$6)/Components!$D$6)</f>
        <v>4.1865001033075426</v>
      </c>
      <c r="U348" s="81">
        <f>IF(G348="","",ABS(O348-Components!$C$7)/Components!$D$7)</f>
        <v>13.295922718198771</v>
      </c>
      <c r="V348" s="81" t="str">
        <f>IF(G348="","",IF(M348="OK","NONE",INDEX({"S1","S2","W1","W2","N1","N2"},MATCH(MIN(P348:U348),P348:U348,0))))</f>
        <v>W1</v>
      </c>
      <c r="W348" s="117">
        <f t="shared" si="41"/>
        <v>1</v>
      </c>
      <c r="X348" s="107"/>
    </row>
    <row r="349" spans="1:24">
      <c r="A349" s="115">
        <v>347</v>
      </c>
      <c r="B349" s="116">
        <v>12</v>
      </c>
      <c r="C349" s="81" t="s">
        <v>132</v>
      </c>
      <c r="D349" s="111" t="s">
        <v>240</v>
      </c>
      <c r="E349" s="81" t="s">
        <v>104</v>
      </c>
      <c r="F349" s="61">
        <v>7.56</v>
      </c>
      <c r="G349" s="52">
        <f t="shared" si="35"/>
        <v>8.5299999999999994</v>
      </c>
      <c r="H349" s="110"/>
      <c r="I349" s="81">
        <v>9.61</v>
      </c>
      <c r="J349" s="81">
        <f>VLOOKUP(C349,Recipes!$A$2:$N$4,12,FALSE())</f>
        <v>6.1509461004819709E-2</v>
      </c>
      <c r="K349" s="81">
        <f t="shared" si="36"/>
        <v>9.2409432339710804</v>
      </c>
      <c r="L349" s="81">
        <f t="shared" si="37"/>
        <v>9.9790567660289184</v>
      </c>
      <c r="M349" s="81" t="str">
        <f t="shared" si="39"/>
        <v>NG</v>
      </c>
      <c r="N349" s="117">
        <f t="shared" si="38"/>
        <v>1</v>
      </c>
      <c r="O349" s="81">
        <f t="shared" si="40"/>
        <v>1.08</v>
      </c>
      <c r="P349" s="81">
        <f>IF(G349="","",ABS(O349-Components!$C$2)/Components!$D$2)</f>
        <v>253.19218135984525</v>
      </c>
      <c r="Q349" s="81">
        <f>IF(G349="","",ABS(O349-Components!$C$3)/Components!$D$3)</f>
        <v>214.25644258319733</v>
      </c>
      <c r="R349" s="81">
        <f>IF(G349="","",ABS(O349-Components!$C$4)/Components!$D$4)</f>
        <v>6.1999367485705061</v>
      </c>
      <c r="S349" s="81">
        <f>IF(G349="","",ABS(O349-Components!$C$5)/Components!$D$5)</f>
        <v>138.31185524540567</v>
      </c>
      <c r="T349" s="81">
        <f>IF(G349="","",ABS(O349-Components!$C$6)/Components!$D$6)</f>
        <v>2.7387190877545202</v>
      </c>
      <c r="U349" s="81">
        <f>IF(G349="","",ABS(O349-Components!$C$7)/Components!$D$7)</f>
        <v>11.705184207546827</v>
      </c>
      <c r="V349" s="81" t="str">
        <f>IF(G349="","",IF(M349="OK","NONE",INDEX({"S1","S2","W1","W2","N1","N2"},MATCH(MIN(P349:U349),P349:U349,0))))</f>
        <v>N1</v>
      </c>
      <c r="W349" s="122">
        <f t="shared" si="41"/>
        <v>0</v>
      </c>
      <c r="X349" s="107"/>
    </row>
    <row r="350" spans="1:24">
      <c r="A350" s="115">
        <v>348</v>
      </c>
      <c r="B350" s="116">
        <v>12</v>
      </c>
      <c r="C350" s="81" t="s">
        <v>132</v>
      </c>
      <c r="D350" s="111" t="s">
        <v>240</v>
      </c>
      <c r="E350" s="81" t="s">
        <v>104</v>
      </c>
      <c r="F350" s="61">
        <v>7.63</v>
      </c>
      <c r="G350" s="52">
        <f t="shared" si="35"/>
        <v>8.6</v>
      </c>
      <c r="H350" s="110"/>
      <c r="I350" s="81">
        <v>9.61</v>
      </c>
      <c r="J350" s="81">
        <f>VLOOKUP(C350,Recipes!$A$2:$N$4,12,FALSE())</f>
        <v>6.1509461004819709E-2</v>
      </c>
      <c r="K350" s="81">
        <f t="shared" si="36"/>
        <v>9.2409432339710804</v>
      </c>
      <c r="L350" s="81">
        <f t="shared" si="37"/>
        <v>9.9790567660289184</v>
      </c>
      <c r="M350" s="81" t="str">
        <f t="shared" si="39"/>
        <v>NG</v>
      </c>
      <c r="N350" s="117">
        <f t="shared" si="38"/>
        <v>1</v>
      </c>
      <c r="O350" s="81">
        <f t="shared" si="40"/>
        <v>1.0099999999999998</v>
      </c>
      <c r="P350" s="81">
        <f>IF(G350="","",ABS(O350-Components!$C$2)/Components!$D$2)</f>
        <v>263.78388615776714</v>
      </c>
      <c r="Q350" s="81">
        <f>IF(G350="","",ABS(O350-Components!$C$3)/Components!$D$3)</f>
        <v>219.33017430878053</v>
      </c>
      <c r="R350" s="81">
        <f>IF(G350="","",ABS(O350-Components!$C$4)/Components!$D$4)</f>
        <v>1.1922955285712566</v>
      </c>
      <c r="S350" s="81">
        <f>IF(G350="","",ABS(O350-Components!$C$5)/Components!$D$5)</f>
        <v>141.09185999287266</v>
      </c>
      <c r="T350" s="81">
        <f>IF(G350="","",ABS(O350-Components!$C$6)/Components!$D$6)</f>
        <v>5.2723358649722609</v>
      </c>
      <c r="U350" s="81">
        <f>IF(G350="","",ABS(O350-Components!$C$7)/Components!$D$7)</f>
        <v>14.488976601187677</v>
      </c>
      <c r="V350" s="81" t="str">
        <f>IF(G350="","",IF(M350="OK","NONE",INDEX({"S1","S2","W1","W2","N1","N2"},MATCH(MIN(P350:U350),P350:U350,0))))</f>
        <v>W1</v>
      </c>
      <c r="W350" s="117">
        <f t="shared" si="41"/>
        <v>1</v>
      </c>
      <c r="X350" s="107"/>
    </row>
    <row r="351" spans="1:24">
      <c r="A351" s="115">
        <v>349</v>
      </c>
      <c r="B351" s="116">
        <v>12</v>
      </c>
      <c r="C351" s="81" t="s">
        <v>132</v>
      </c>
      <c r="D351" s="111" t="s">
        <v>240</v>
      </c>
      <c r="E351" s="81" t="s">
        <v>104</v>
      </c>
      <c r="F351" s="61">
        <v>7.6</v>
      </c>
      <c r="G351" s="52">
        <f t="shared" si="35"/>
        <v>8.57</v>
      </c>
      <c r="H351" s="110"/>
      <c r="I351" s="81">
        <v>9.61</v>
      </c>
      <c r="J351" s="81">
        <f>VLOOKUP(C351,Recipes!$A$2:$N$4,12,FALSE())</f>
        <v>6.1509461004819709E-2</v>
      </c>
      <c r="K351" s="81">
        <f t="shared" si="36"/>
        <v>9.2409432339710804</v>
      </c>
      <c r="L351" s="81">
        <f t="shared" si="37"/>
        <v>9.9790567660289184</v>
      </c>
      <c r="M351" s="81" t="str">
        <f t="shared" si="39"/>
        <v>NG</v>
      </c>
      <c r="N351" s="117">
        <f t="shared" si="38"/>
        <v>1</v>
      </c>
      <c r="O351" s="81">
        <f t="shared" si="40"/>
        <v>1.0399999999999991</v>
      </c>
      <c r="P351" s="81">
        <f>IF(G351="","",ABS(O351-Components!$C$2)/Components!$D$2)</f>
        <v>259.24458410151499</v>
      </c>
      <c r="Q351" s="81">
        <f>IF(G351="","",ABS(O351-Components!$C$3)/Components!$D$3)</f>
        <v>217.15571785495922</v>
      </c>
      <c r="R351" s="81">
        <f>IF(G351="","",ABS(O351-Components!$C$4)/Components!$D$4)</f>
        <v>3.338427479999452</v>
      </c>
      <c r="S351" s="81">
        <f>IF(G351="","",ABS(O351-Components!$C$5)/Components!$D$5)</f>
        <v>139.9004293868154</v>
      </c>
      <c r="T351" s="81">
        <f>IF(G351="","",ABS(O351-Components!$C$6)/Components!$D$6)</f>
        <v>4.1865001033075426</v>
      </c>
      <c r="U351" s="81">
        <f>IF(G351="","",ABS(O351-Components!$C$7)/Components!$D$7)</f>
        <v>13.295922718198771</v>
      </c>
      <c r="V351" s="81" t="str">
        <f>IF(G351="","",IF(M351="OK","NONE",INDEX({"S1","S2","W1","W2","N1","N2"},MATCH(MIN(P351:U351),P351:U351,0))))</f>
        <v>W1</v>
      </c>
      <c r="W351" s="117">
        <f t="shared" si="41"/>
        <v>1</v>
      </c>
      <c r="X351" s="107"/>
    </row>
    <row r="352" spans="1:24">
      <c r="A352" s="115">
        <v>350</v>
      </c>
      <c r="B352" s="116">
        <v>12</v>
      </c>
      <c r="C352" s="81" t="s">
        <v>132</v>
      </c>
      <c r="D352" s="111" t="s">
        <v>240</v>
      </c>
      <c r="E352" s="81" t="s">
        <v>104</v>
      </c>
      <c r="F352" s="61">
        <v>7.58</v>
      </c>
      <c r="G352" s="52">
        <f t="shared" si="35"/>
        <v>8.5500000000000007</v>
      </c>
      <c r="H352" s="110"/>
      <c r="I352" s="81">
        <v>9.61</v>
      </c>
      <c r="J352" s="81">
        <f>VLOOKUP(C352,Recipes!$A$2:$N$4,12,FALSE())</f>
        <v>6.1509461004819709E-2</v>
      </c>
      <c r="K352" s="81">
        <f t="shared" si="36"/>
        <v>9.2409432339710804</v>
      </c>
      <c r="L352" s="81">
        <f t="shared" si="37"/>
        <v>9.9790567660289184</v>
      </c>
      <c r="M352" s="81" t="str">
        <f t="shared" si="39"/>
        <v>NG</v>
      </c>
      <c r="N352" s="117">
        <f t="shared" si="38"/>
        <v>1</v>
      </c>
      <c r="O352" s="81">
        <f t="shared" si="40"/>
        <v>1.0599999999999987</v>
      </c>
      <c r="P352" s="81">
        <f>IF(G352="","",ABS(O352-Components!$C$2)/Components!$D$2)</f>
        <v>256.21838273068028</v>
      </c>
      <c r="Q352" s="81">
        <f>IF(G352="","",ABS(O352-Components!$C$3)/Components!$D$3)</f>
        <v>215.70608021907833</v>
      </c>
      <c r="R352" s="81">
        <f>IF(G352="","",ABS(O352-Components!$C$4)/Components!$D$4)</f>
        <v>4.7691821142849156</v>
      </c>
      <c r="S352" s="81">
        <f>IF(G352="","",ABS(O352-Components!$C$5)/Components!$D$5)</f>
        <v>139.10614231611058</v>
      </c>
      <c r="T352" s="81">
        <f>IF(G352="","",ABS(O352-Components!$C$6)/Components!$D$6)</f>
        <v>3.4626095955310636</v>
      </c>
      <c r="U352" s="81">
        <f>IF(G352="","",ABS(O352-Components!$C$7)/Components!$D$7)</f>
        <v>12.500553462872835</v>
      </c>
      <c r="V352" s="81" t="str">
        <f>IF(G352="","",IF(M352="OK","NONE",INDEX({"S1","S2","W1","W2","N1","N2"},MATCH(MIN(P352:U352),P352:U352,0))))</f>
        <v>N1</v>
      </c>
      <c r="W352" s="122">
        <f t="shared" si="41"/>
        <v>0</v>
      </c>
      <c r="X352" s="107"/>
    </row>
    <row r="353" spans="1:24">
      <c r="A353" s="115">
        <v>351</v>
      </c>
      <c r="B353" s="116">
        <v>12</v>
      </c>
      <c r="C353" s="81" t="s">
        <v>132</v>
      </c>
      <c r="D353" s="111" t="s">
        <v>240</v>
      </c>
      <c r="E353" s="81" t="s">
        <v>104</v>
      </c>
      <c r="F353" s="61">
        <v>7.61</v>
      </c>
      <c r="G353" s="52">
        <f t="shared" si="35"/>
        <v>8.58</v>
      </c>
      <c r="H353" s="110"/>
      <c r="I353" s="81">
        <v>9.61</v>
      </c>
      <c r="J353" s="81">
        <f>VLOOKUP(C353,Recipes!$A$2:$N$4,12,FALSE())</f>
        <v>6.1509461004819709E-2</v>
      </c>
      <c r="K353" s="81">
        <f t="shared" si="36"/>
        <v>9.2409432339710804</v>
      </c>
      <c r="L353" s="81">
        <f t="shared" si="37"/>
        <v>9.9790567660289184</v>
      </c>
      <c r="M353" s="81" t="str">
        <f t="shared" si="39"/>
        <v>NG</v>
      </c>
      <c r="N353" s="117">
        <f t="shared" si="38"/>
        <v>1</v>
      </c>
      <c r="O353" s="81">
        <f t="shared" si="40"/>
        <v>1.0299999999999994</v>
      </c>
      <c r="P353" s="81">
        <f>IF(G353="","",ABS(O353-Components!$C$2)/Components!$D$2)</f>
        <v>260.75768478693237</v>
      </c>
      <c r="Q353" s="81">
        <f>IF(G353="","",ABS(O353-Components!$C$3)/Components!$D$3)</f>
        <v>217.88053667289964</v>
      </c>
      <c r="R353" s="81">
        <f>IF(G353="","",ABS(O353-Components!$C$4)/Components!$D$4)</f>
        <v>2.6230501628567202</v>
      </c>
      <c r="S353" s="81">
        <f>IF(G353="","",ABS(O353-Components!$C$5)/Components!$D$5)</f>
        <v>140.29757292216783</v>
      </c>
      <c r="T353" s="81">
        <f>IF(G353="","",ABS(O353-Components!$C$6)/Components!$D$6)</f>
        <v>4.5484453571957824</v>
      </c>
      <c r="U353" s="81">
        <f>IF(G353="","",ABS(O353-Components!$C$7)/Components!$D$7)</f>
        <v>13.693607345861739</v>
      </c>
      <c r="V353" s="81" t="str">
        <f>IF(G353="","",IF(M353="OK","NONE",INDEX({"S1","S2","W1","W2","N1","N2"},MATCH(MIN(P353:U353),P353:U353,0))))</f>
        <v>W1</v>
      </c>
      <c r="W353" s="117">
        <f t="shared" si="41"/>
        <v>1</v>
      </c>
      <c r="X353" s="107"/>
    </row>
    <row r="354" spans="1:24">
      <c r="A354" s="115">
        <v>352</v>
      </c>
      <c r="B354" s="116">
        <v>12</v>
      </c>
      <c r="C354" s="81" t="s">
        <v>132</v>
      </c>
      <c r="D354" s="111" t="s">
        <v>240</v>
      </c>
      <c r="E354" s="81" t="s">
        <v>104</v>
      </c>
      <c r="F354" s="61">
        <v>7.67</v>
      </c>
      <c r="G354" s="52">
        <f t="shared" si="35"/>
        <v>8.64</v>
      </c>
      <c r="H354" s="110"/>
      <c r="I354" s="81">
        <v>9.61</v>
      </c>
      <c r="J354" s="81">
        <f>VLOOKUP(C354,Recipes!$A$2:$N$4,12,FALSE())</f>
        <v>6.1509461004819709E-2</v>
      </c>
      <c r="K354" s="81">
        <f t="shared" si="36"/>
        <v>9.2409432339710804</v>
      </c>
      <c r="L354" s="81">
        <f t="shared" si="37"/>
        <v>9.9790567660289184</v>
      </c>
      <c r="M354" s="81" t="str">
        <f t="shared" si="39"/>
        <v>NG</v>
      </c>
      <c r="N354" s="117">
        <f t="shared" si="38"/>
        <v>1</v>
      </c>
      <c r="O354" s="81">
        <f t="shared" si="40"/>
        <v>0.96999999999999886</v>
      </c>
      <c r="P354" s="81">
        <f>IF(G354="","",ABS(O354-Components!$C$2)/Components!$D$2)</f>
        <v>269.83628889943691</v>
      </c>
      <c r="Q354" s="81">
        <f>IF(G354="","",ABS(O354-Components!$C$3)/Components!$D$3)</f>
        <v>222.22944958054239</v>
      </c>
      <c r="R354" s="81">
        <f>IF(G354="","",ABS(O354-Components!$C$4)/Components!$D$4)</f>
        <v>1.6692137399997975</v>
      </c>
      <c r="S354" s="81">
        <f>IF(G354="","",ABS(O354-Components!$C$5)/Components!$D$5)</f>
        <v>142.68043413428242</v>
      </c>
      <c r="T354" s="81">
        <f>IF(G354="","",ABS(O354-Components!$C$6)/Components!$D$6)</f>
        <v>6.7201168805252829</v>
      </c>
      <c r="U354" s="81">
        <f>IF(G354="","",ABS(O354-Components!$C$7)/Components!$D$7)</f>
        <v>16.079715111839622</v>
      </c>
      <c r="V354" s="81" t="str">
        <f>IF(G354="","",IF(M354="OK","NONE",INDEX({"S1","S2","W1","W2","N1","N2"},MATCH(MIN(P354:U354),P354:U354,0))))</f>
        <v>W1</v>
      </c>
      <c r="W354" s="117">
        <f t="shared" si="41"/>
        <v>1</v>
      </c>
      <c r="X354" s="107"/>
    </row>
    <row r="355" spans="1:24">
      <c r="A355" s="115">
        <v>353</v>
      </c>
      <c r="B355" s="116">
        <v>12</v>
      </c>
      <c r="C355" s="81" t="s">
        <v>132</v>
      </c>
      <c r="D355" s="111" t="s">
        <v>240</v>
      </c>
      <c r="E355" s="81" t="s">
        <v>104</v>
      </c>
      <c r="F355" s="61">
        <v>7.42</v>
      </c>
      <c r="G355" s="52">
        <f t="shared" si="35"/>
        <v>8.39</v>
      </c>
      <c r="H355" s="110"/>
      <c r="I355" s="81">
        <v>9.61</v>
      </c>
      <c r="J355" s="81">
        <f>VLOOKUP(C355,Recipes!$A$2:$N$4,12,FALSE())</f>
        <v>6.1509461004819709E-2</v>
      </c>
      <c r="K355" s="81">
        <f t="shared" si="36"/>
        <v>9.2409432339710804</v>
      </c>
      <c r="L355" s="81">
        <f t="shared" si="37"/>
        <v>9.9790567660289184</v>
      </c>
      <c r="M355" s="81" t="str">
        <f t="shared" si="39"/>
        <v>NG</v>
      </c>
      <c r="N355" s="117">
        <f t="shared" si="38"/>
        <v>1</v>
      </c>
      <c r="O355" s="81">
        <f t="shared" si="40"/>
        <v>1.2199999999999989</v>
      </c>
      <c r="P355" s="81">
        <f>IF(G355="","",ABS(O355-Components!$C$2)/Components!$D$2)</f>
        <v>232.00877176400175</v>
      </c>
      <c r="Q355" s="81">
        <f>IF(G355="","",ABS(O355-Components!$C$3)/Components!$D$3)</f>
        <v>204.10897913203112</v>
      </c>
      <c r="R355" s="81">
        <f>IF(G355="","",ABS(O355-Components!$C$4)/Components!$D$4)</f>
        <v>16.215219188568877</v>
      </c>
      <c r="S355" s="81">
        <f>IF(G355="","",ABS(O355-Components!$C$5)/Components!$D$5)</f>
        <v>132.75184575047172</v>
      </c>
      <c r="T355" s="81">
        <f>IF(G355="","",ABS(O355-Components!$C$6)/Components!$D$6)</f>
        <v>2.3285144666808972</v>
      </c>
      <c r="U355" s="81">
        <f>IF(G355="","",ABS(O355-Components!$C$7)/Components!$D$7)</f>
        <v>6.1375994202651958</v>
      </c>
      <c r="V355" s="81" t="str">
        <f>IF(G355="","",IF(M355="OK","NONE",INDEX({"S1","S2","W1","W2","N1","N2"},MATCH(MIN(P355:U355),P355:U355,0))))</f>
        <v>N1</v>
      </c>
      <c r="W355" s="122">
        <f t="shared" si="41"/>
        <v>0</v>
      </c>
      <c r="X355" s="107"/>
    </row>
    <row r="356" spans="1:24">
      <c r="A356" s="115">
        <v>354</v>
      </c>
      <c r="B356" s="116">
        <v>12</v>
      </c>
      <c r="C356" s="81" t="s">
        <v>132</v>
      </c>
      <c r="D356" s="111" t="s">
        <v>240</v>
      </c>
      <c r="E356" s="81" t="s">
        <v>104</v>
      </c>
      <c r="F356" s="61">
        <v>7.69</v>
      </c>
      <c r="G356" s="52">
        <f t="shared" si="35"/>
        <v>8.66</v>
      </c>
      <c r="H356" s="110"/>
      <c r="I356" s="81">
        <v>9.61</v>
      </c>
      <c r="J356" s="81">
        <f>VLOOKUP(C356,Recipes!$A$2:$N$4,12,FALSE())</f>
        <v>6.1509461004819709E-2</v>
      </c>
      <c r="K356" s="81">
        <f t="shared" si="36"/>
        <v>9.2409432339710804</v>
      </c>
      <c r="L356" s="81">
        <f t="shared" si="37"/>
        <v>9.9790567660289184</v>
      </c>
      <c r="M356" s="81" t="str">
        <f t="shared" si="39"/>
        <v>NG</v>
      </c>
      <c r="N356" s="117">
        <f t="shared" si="38"/>
        <v>1</v>
      </c>
      <c r="O356" s="81">
        <f t="shared" si="40"/>
        <v>0.94999999999999929</v>
      </c>
      <c r="P356" s="81">
        <f>IF(G356="","",ABS(O356-Components!$C$2)/Components!$D$2)</f>
        <v>272.86249027027162</v>
      </c>
      <c r="Q356" s="81">
        <f>IF(G356="","",ABS(O356-Components!$C$3)/Components!$D$3)</f>
        <v>223.67908721642326</v>
      </c>
      <c r="R356" s="81">
        <f>IF(G356="","",ABS(O356-Components!$C$4)/Components!$D$4)</f>
        <v>3.0999683742852611</v>
      </c>
      <c r="S356" s="81">
        <f>IF(G356="","",ABS(O356-Components!$C$5)/Components!$D$5)</f>
        <v>143.47472120498725</v>
      </c>
      <c r="T356" s="81">
        <f>IF(G356="","",ABS(O356-Components!$C$6)/Components!$D$6)</f>
        <v>7.4440073883017623</v>
      </c>
      <c r="U356" s="81">
        <f>IF(G356="","",ABS(O356-Components!$C$7)/Components!$D$7)</f>
        <v>16.875084367165559</v>
      </c>
      <c r="V356" s="81" t="str">
        <f>IF(G356="","",IF(M356="OK","NONE",INDEX({"S1","S2","W1","W2","N1","N2"},MATCH(MIN(P356:U356),P356:U356,0))))</f>
        <v>W1</v>
      </c>
      <c r="W356" s="117">
        <f t="shared" si="41"/>
        <v>1</v>
      </c>
      <c r="X356" s="107"/>
    </row>
    <row r="357" spans="1:24">
      <c r="A357" s="115">
        <v>355</v>
      </c>
      <c r="B357" s="116">
        <v>12</v>
      </c>
      <c r="C357" s="81" t="s">
        <v>132</v>
      </c>
      <c r="D357" s="111" t="s">
        <v>240</v>
      </c>
      <c r="E357" s="81" t="s">
        <v>104</v>
      </c>
      <c r="F357" s="61">
        <v>7.63</v>
      </c>
      <c r="G357" s="52">
        <f t="shared" si="35"/>
        <v>8.6</v>
      </c>
      <c r="H357" s="110"/>
      <c r="I357" s="81">
        <v>9.61</v>
      </c>
      <c r="J357" s="81">
        <f>VLOOKUP(C357,Recipes!$A$2:$N$4,12,FALSE())</f>
        <v>6.1509461004819709E-2</v>
      </c>
      <c r="K357" s="81">
        <f t="shared" si="36"/>
        <v>9.2409432339710804</v>
      </c>
      <c r="L357" s="81">
        <f t="shared" si="37"/>
        <v>9.9790567660289184</v>
      </c>
      <c r="M357" s="81" t="str">
        <f t="shared" si="39"/>
        <v>NG</v>
      </c>
      <c r="N357" s="117">
        <f t="shared" si="38"/>
        <v>1</v>
      </c>
      <c r="O357" s="81">
        <f t="shared" si="40"/>
        <v>1.0099999999999998</v>
      </c>
      <c r="P357" s="81">
        <f>IF(G357="","",ABS(O357-Components!$C$2)/Components!$D$2)</f>
        <v>263.78388615776714</v>
      </c>
      <c r="Q357" s="81">
        <f>IF(G357="","",ABS(O357-Components!$C$3)/Components!$D$3)</f>
        <v>219.33017430878053</v>
      </c>
      <c r="R357" s="81">
        <f>IF(G357="","",ABS(O357-Components!$C$4)/Components!$D$4)</f>
        <v>1.1922955285712566</v>
      </c>
      <c r="S357" s="81">
        <f>IF(G357="","",ABS(O357-Components!$C$5)/Components!$D$5)</f>
        <v>141.09185999287266</v>
      </c>
      <c r="T357" s="81">
        <f>IF(G357="","",ABS(O357-Components!$C$6)/Components!$D$6)</f>
        <v>5.2723358649722609</v>
      </c>
      <c r="U357" s="81">
        <f>IF(G357="","",ABS(O357-Components!$C$7)/Components!$D$7)</f>
        <v>14.488976601187677</v>
      </c>
      <c r="V357" s="81" t="str">
        <f>IF(G357="","",IF(M357="OK","NONE",INDEX({"S1","S2","W1","W2","N1","N2"},MATCH(MIN(P357:U357),P357:U357,0))))</f>
        <v>W1</v>
      </c>
      <c r="W357" s="117">
        <f t="shared" si="41"/>
        <v>1</v>
      </c>
      <c r="X357" s="107"/>
    </row>
    <row r="358" spans="1:24">
      <c r="A358" s="115">
        <v>356</v>
      </c>
      <c r="B358" s="116">
        <v>12</v>
      </c>
      <c r="C358" s="81" t="s">
        <v>132</v>
      </c>
      <c r="D358" s="111" t="s">
        <v>240</v>
      </c>
      <c r="E358" s="81" t="s">
        <v>104</v>
      </c>
      <c r="F358" s="52">
        <v>7.38</v>
      </c>
      <c r="G358" s="52">
        <f t="shared" si="35"/>
        <v>8.35</v>
      </c>
      <c r="H358" s="110"/>
      <c r="I358" s="81">
        <v>9.61</v>
      </c>
      <c r="J358" s="81">
        <f>VLOOKUP(C358,Recipes!$A$2:$N$4,12,FALSE())</f>
        <v>6.1509461004819709E-2</v>
      </c>
      <c r="K358" s="81">
        <f t="shared" si="36"/>
        <v>9.2409432339710804</v>
      </c>
      <c r="L358" s="81">
        <f t="shared" si="37"/>
        <v>9.9790567660289184</v>
      </c>
      <c r="M358" s="81" t="str">
        <f t="shared" si="39"/>
        <v>NG</v>
      </c>
      <c r="N358" s="117">
        <f t="shared" si="38"/>
        <v>1</v>
      </c>
      <c r="O358" s="81">
        <f t="shared" si="40"/>
        <v>1.2599999999999998</v>
      </c>
      <c r="P358" s="81">
        <f>IF(G358="","",ABS(O358-Components!$C$2)/Components!$D$2)</f>
        <v>225.95636902233198</v>
      </c>
      <c r="Q358" s="81">
        <f>IF(G358="","",ABS(O358-Components!$C$3)/Components!$D$3)</f>
        <v>201.20970386026923</v>
      </c>
      <c r="R358" s="81">
        <f>IF(G358="","",ABS(O358-Components!$C$4)/Components!$D$4)</f>
        <v>19.076728457139932</v>
      </c>
      <c r="S358" s="81">
        <f>IF(G358="","",ABS(O358-Components!$C$5)/Components!$D$5)</f>
        <v>131.16327160906198</v>
      </c>
      <c r="T358" s="81">
        <f>IF(G358="","",ABS(O358-Components!$C$6)/Components!$D$6)</f>
        <v>3.7762954822339192</v>
      </c>
      <c r="U358" s="81">
        <f>IF(G358="","",ABS(O358-Components!$C$7)/Components!$D$7)</f>
        <v>4.5468609096132502</v>
      </c>
      <c r="V358" s="81" t="str">
        <f>IF(G358="","",IF(M358="OK","NONE",INDEX({"S1","S2","W1","W2","N1","N2"},MATCH(MIN(P358:U358),P358:U358,0))))</f>
        <v>N1</v>
      </c>
      <c r="W358" s="122">
        <f t="shared" si="41"/>
        <v>0</v>
      </c>
      <c r="X358" s="107"/>
    </row>
    <row r="359" spans="1:24">
      <c r="A359" s="115">
        <v>357</v>
      </c>
      <c r="B359" s="116">
        <v>12</v>
      </c>
      <c r="C359" s="81" t="s">
        <v>132</v>
      </c>
      <c r="D359" s="111" t="s">
        <v>240</v>
      </c>
      <c r="E359" s="81" t="s">
        <v>104</v>
      </c>
      <c r="F359" s="52">
        <v>7.54</v>
      </c>
      <c r="G359" s="52">
        <f t="shared" si="35"/>
        <v>8.51</v>
      </c>
      <c r="H359" s="110"/>
      <c r="I359" s="81">
        <v>9.61</v>
      </c>
      <c r="J359" s="81">
        <f>VLOOKUP(C359,Recipes!$A$2:$N$4,12,FALSE())</f>
        <v>6.1509461004819709E-2</v>
      </c>
      <c r="K359" s="81">
        <f t="shared" si="36"/>
        <v>9.2409432339710804</v>
      </c>
      <c r="L359" s="81">
        <f t="shared" si="37"/>
        <v>9.9790567660289184</v>
      </c>
      <c r="M359" s="81" t="str">
        <f t="shared" si="39"/>
        <v>NG</v>
      </c>
      <c r="N359" s="117">
        <f t="shared" si="38"/>
        <v>1</v>
      </c>
      <c r="O359" s="81">
        <f t="shared" si="40"/>
        <v>1.0999999999999996</v>
      </c>
      <c r="P359" s="81">
        <f>IF(G359="","",ABS(O359-Components!$C$2)/Components!$D$2)</f>
        <v>250.16597998901051</v>
      </c>
      <c r="Q359" s="81">
        <f>IF(G359="","",ABS(O359-Components!$C$3)/Components!$D$3)</f>
        <v>212.80680494731646</v>
      </c>
      <c r="R359" s="81">
        <f>IF(G359="","",ABS(O359-Components!$C$4)/Components!$D$4)</f>
        <v>7.6306913828559697</v>
      </c>
      <c r="S359" s="81">
        <f>IF(G359="","",ABS(O359-Components!$C$5)/Components!$D$5)</f>
        <v>137.51756817470081</v>
      </c>
      <c r="T359" s="81">
        <f>IF(G359="","",ABS(O359-Components!$C$6)/Components!$D$6)</f>
        <v>2.0148285799780412</v>
      </c>
      <c r="U359" s="81">
        <f>IF(G359="","",ABS(O359-Components!$C$7)/Components!$D$7)</f>
        <v>10.90981495222089</v>
      </c>
      <c r="V359" s="81" t="str">
        <f>IF(G359="","",IF(M359="OK","NONE",INDEX({"S1","S2","W1","W2","N1","N2"},MATCH(MIN(P359:U359),P359:U359,0))))</f>
        <v>N1</v>
      </c>
      <c r="W359" s="122">
        <f t="shared" si="41"/>
        <v>0</v>
      </c>
      <c r="X359" s="107"/>
    </row>
    <row r="360" spans="1:24">
      <c r="A360" s="115">
        <v>358</v>
      </c>
      <c r="B360" s="116">
        <v>12</v>
      </c>
      <c r="C360" s="81" t="s">
        <v>132</v>
      </c>
      <c r="D360" s="111" t="s">
        <v>240</v>
      </c>
      <c r="E360" s="81" t="s">
        <v>104</v>
      </c>
      <c r="F360" s="52">
        <v>7.65</v>
      </c>
      <c r="G360" s="52">
        <f t="shared" si="35"/>
        <v>8.620000000000001</v>
      </c>
      <c r="H360" s="110"/>
      <c r="I360" s="81">
        <v>9.61</v>
      </c>
      <c r="J360" s="81">
        <f>VLOOKUP(C360,Recipes!$A$2:$N$4,12,FALSE())</f>
        <v>6.1509461004819709E-2</v>
      </c>
      <c r="K360" s="81">
        <f t="shared" si="36"/>
        <v>9.2409432339710804</v>
      </c>
      <c r="L360" s="81">
        <f t="shared" si="37"/>
        <v>9.9790567660289184</v>
      </c>
      <c r="M360" s="81" t="str">
        <f t="shared" si="39"/>
        <v>NG</v>
      </c>
      <c r="N360" s="117">
        <f t="shared" si="38"/>
        <v>1</v>
      </c>
      <c r="O360" s="81">
        <f t="shared" si="40"/>
        <v>0.98999999999999844</v>
      </c>
      <c r="P360" s="81">
        <f>IF(G360="","",ABS(O360-Components!$C$2)/Components!$D$2)</f>
        <v>266.81008752860214</v>
      </c>
      <c r="Q360" s="81">
        <f>IF(G360="","",ABS(O360-Components!$C$3)/Components!$D$3)</f>
        <v>220.77981194466153</v>
      </c>
      <c r="R360" s="81">
        <f>IF(G360="","",ABS(O360-Components!$C$4)/Components!$D$4)</f>
        <v>0.23845910571433393</v>
      </c>
      <c r="S360" s="81">
        <f>IF(G360="","",ABS(O360-Components!$C$5)/Components!$D$5)</f>
        <v>141.88614706357757</v>
      </c>
      <c r="T360" s="81">
        <f>IF(G360="","",ABS(O360-Components!$C$6)/Components!$D$6)</f>
        <v>5.9962263727488043</v>
      </c>
      <c r="U360" s="81">
        <f>IF(G360="","",ABS(O360-Components!$C$7)/Components!$D$7)</f>
        <v>15.284345856513685</v>
      </c>
      <c r="V360" s="81" t="str">
        <f>IF(G360="","",IF(M360="OK","NONE",INDEX({"S1","S2","W1","W2","N1","N2"},MATCH(MIN(P360:U360),P360:U360,0))))</f>
        <v>W1</v>
      </c>
      <c r="W360" s="117">
        <f t="shared" si="41"/>
        <v>1</v>
      </c>
      <c r="X360" s="107"/>
    </row>
    <row r="361" spans="1:24">
      <c r="A361" s="115">
        <v>359</v>
      </c>
      <c r="B361" s="116">
        <v>12</v>
      </c>
      <c r="C361" s="81" t="s">
        <v>132</v>
      </c>
      <c r="D361" s="111" t="s">
        <v>240</v>
      </c>
      <c r="E361" s="81" t="s">
        <v>104</v>
      </c>
      <c r="F361" s="52">
        <v>7.34</v>
      </c>
      <c r="G361" s="52">
        <f t="shared" si="35"/>
        <v>8.31</v>
      </c>
      <c r="H361" s="110"/>
      <c r="I361" s="81">
        <v>9.61</v>
      </c>
      <c r="J361" s="81">
        <f>VLOOKUP(C361,Recipes!$A$2:$N$4,12,FALSE())</f>
        <v>6.1509461004819709E-2</v>
      </c>
      <c r="K361" s="81">
        <f t="shared" si="36"/>
        <v>9.2409432339710804</v>
      </c>
      <c r="L361" s="81">
        <f t="shared" si="37"/>
        <v>9.9790567660289184</v>
      </c>
      <c r="M361" s="81" t="str">
        <f t="shared" si="39"/>
        <v>NG</v>
      </c>
      <c r="N361" s="117">
        <f t="shared" si="38"/>
        <v>1</v>
      </c>
      <c r="O361" s="81">
        <f t="shared" si="40"/>
        <v>1.2999999999999989</v>
      </c>
      <c r="P361" s="81">
        <f>IF(G361="","",ABS(O361-Components!$C$2)/Components!$D$2)</f>
        <v>219.9039662806625</v>
      </c>
      <c r="Q361" s="81">
        <f>IF(G361="","",ABS(O361-Components!$C$3)/Components!$D$3)</f>
        <v>198.31042858850751</v>
      </c>
      <c r="R361" s="81">
        <f>IF(G361="","",ABS(O361-Components!$C$4)/Components!$D$4)</f>
        <v>21.938237725710859</v>
      </c>
      <c r="S361" s="81">
        <f>IF(G361="","",ABS(O361-Components!$C$5)/Components!$D$5)</f>
        <v>129.5746974676523</v>
      </c>
      <c r="T361" s="81">
        <f>IF(G361="","",ABS(O361-Components!$C$6)/Components!$D$6)</f>
        <v>5.2240764977868777</v>
      </c>
      <c r="U361" s="81">
        <f>IF(G361="","",ABS(O361-Components!$C$7)/Components!$D$7)</f>
        <v>2.9561223989613756</v>
      </c>
      <c r="V361" s="81" t="str">
        <f>IF(G361="","",IF(M361="OK","NONE",INDEX({"S1","S2","W1","W2","N1","N2"},MATCH(MIN(P361:U361),P361:U361,0))))</f>
        <v>N2</v>
      </c>
      <c r="W361" s="122">
        <f t="shared" si="41"/>
        <v>0</v>
      </c>
      <c r="X361" s="107"/>
    </row>
    <row r="362" spans="1:24">
      <c r="A362" s="115">
        <v>360</v>
      </c>
      <c r="B362" s="116">
        <v>12</v>
      </c>
      <c r="C362" s="81" t="s">
        <v>132</v>
      </c>
      <c r="D362" s="111" t="s">
        <v>240</v>
      </c>
      <c r="E362" s="81" t="s">
        <v>104</v>
      </c>
      <c r="F362" s="52">
        <v>7.68</v>
      </c>
      <c r="G362" s="52">
        <f t="shared" si="35"/>
        <v>8.65</v>
      </c>
      <c r="H362" s="110"/>
      <c r="I362" s="81">
        <v>9.61</v>
      </c>
      <c r="J362" s="81">
        <f>VLOOKUP(C362,Recipes!$A$2:$N$4,12,FALSE())</f>
        <v>6.1509461004819709E-2</v>
      </c>
      <c r="K362" s="81">
        <f t="shared" si="36"/>
        <v>9.2409432339710804</v>
      </c>
      <c r="L362" s="81">
        <f t="shared" si="37"/>
        <v>9.9790567660289184</v>
      </c>
      <c r="M362" s="81" t="str">
        <f t="shared" si="39"/>
        <v>NG</v>
      </c>
      <c r="N362" s="117">
        <f t="shared" si="38"/>
        <v>1</v>
      </c>
      <c r="O362" s="81">
        <f t="shared" si="40"/>
        <v>0.95999999999999908</v>
      </c>
      <c r="P362" s="81">
        <f>IF(G362="","",ABS(O362-Components!$C$2)/Components!$D$2)</f>
        <v>271.34938958485424</v>
      </c>
      <c r="Q362" s="81">
        <f>IF(G362="","",ABS(O362-Components!$C$3)/Components!$D$3)</f>
        <v>222.95426839848284</v>
      </c>
      <c r="R362" s="81">
        <f>IF(G362="","",ABS(O362-Components!$C$4)/Components!$D$4)</f>
        <v>2.3845910571425293</v>
      </c>
      <c r="S362" s="81">
        <f>IF(G362="","",ABS(O362-Components!$C$5)/Components!$D$5)</f>
        <v>143.07757766963482</v>
      </c>
      <c r="T362" s="81">
        <f>IF(G362="","",ABS(O362-Components!$C$6)/Components!$D$6)</f>
        <v>7.0820621344135226</v>
      </c>
      <c r="U362" s="81">
        <f>IF(G362="","",ABS(O362-Components!$C$7)/Components!$D$7)</f>
        <v>16.477399739502591</v>
      </c>
      <c r="V362" s="81" t="str">
        <f>IF(G362="","",IF(M362="OK","NONE",INDEX({"S1","S2","W1","W2","N1","N2"},MATCH(MIN(P362:U362),P362:U362,0))))</f>
        <v>W1</v>
      </c>
      <c r="W362" s="117">
        <f t="shared" si="41"/>
        <v>1</v>
      </c>
      <c r="X362" s="107"/>
    </row>
    <row r="363" spans="1:24">
      <c r="A363" s="115">
        <v>361</v>
      </c>
      <c r="B363" s="116">
        <v>13</v>
      </c>
      <c r="C363" s="81" t="s">
        <v>132</v>
      </c>
      <c r="D363" s="111" t="s">
        <v>240</v>
      </c>
      <c r="E363" s="81" t="s">
        <v>110</v>
      </c>
      <c r="F363" s="61">
        <v>7.21</v>
      </c>
      <c r="G363" s="52">
        <f t="shared" si="35"/>
        <v>8.18</v>
      </c>
      <c r="H363" s="110"/>
      <c r="I363" s="81">
        <v>9.61</v>
      </c>
      <c r="J363" s="81">
        <f>VLOOKUP(C363,Recipes!$A$2:$N$4,12,FALSE())</f>
        <v>6.1509461004819709E-2</v>
      </c>
      <c r="K363" s="81">
        <f t="shared" si="36"/>
        <v>9.2409432339710804</v>
      </c>
      <c r="L363" s="81">
        <f t="shared" si="37"/>
        <v>9.9790567660289184</v>
      </c>
      <c r="M363" s="81" t="str">
        <f t="shared" si="39"/>
        <v>NG</v>
      </c>
      <c r="N363" s="117">
        <f t="shared" si="38"/>
        <v>1</v>
      </c>
      <c r="O363" s="81">
        <f t="shared" si="40"/>
        <v>1.4299999999999997</v>
      </c>
      <c r="P363" s="81">
        <f>IF(G363="","",ABS(O363-Components!$C$2)/Components!$D$2)</f>
        <v>200.23365737023613</v>
      </c>
      <c r="Q363" s="81">
        <f>IF(G363="","",ABS(O363-Components!$C$3)/Components!$D$3)</f>
        <v>188.88778395528158</v>
      </c>
      <c r="R363" s="81">
        <f>IF(G363="","",ABS(O363-Components!$C$4)/Components!$D$4)</f>
        <v>31.238142848566628</v>
      </c>
      <c r="S363" s="81">
        <f>IF(G363="","",ABS(O363-Components!$C$5)/Components!$D$5)</f>
        <v>124.4118315080707</v>
      </c>
      <c r="T363" s="81">
        <f>IF(G363="","",ABS(O363-Components!$C$6)/Components!$D$6)</f>
        <v>9.9293647983341184</v>
      </c>
      <c r="U363" s="81">
        <f>IF(G363="","",ABS(O363-Components!$C$7)/Components!$D$7)</f>
        <v>2.2137777606573574</v>
      </c>
      <c r="V363" s="81" t="str">
        <f>IF(G363="","",IF(M363="OK","NONE",INDEX({"S1","S2","W1","W2","N1","N2"},MATCH(MIN(P363:U363),P363:U363,0))))</f>
        <v>N2</v>
      </c>
      <c r="W363" s="117">
        <f t="shared" si="41"/>
        <v>1</v>
      </c>
      <c r="X363" s="107"/>
    </row>
    <row r="364" spans="1:24">
      <c r="A364" s="115">
        <v>362</v>
      </c>
      <c r="B364" s="116">
        <v>13</v>
      </c>
      <c r="C364" s="81" t="s">
        <v>132</v>
      </c>
      <c r="D364" s="111" t="s">
        <v>240</v>
      </c>
      <c r="E364" s="81" t="s">
        <v>110</v>
      </c>
      <c r="F364" s="61">
        <v>7.27</v>
      </c>
      <c r="G364" s="52">
        <f t="shared" si="35"/>
        <v>8.24</v>
      </c>
      <c r="H364" s="110"/>
      <c r="I364" s="81">
        <v>9.61</v>
      </c>
      <c r="J364" s="81">
        <f>VLOOKUP(C364,Recipes!$A$2:$N$4,12,FALSE())</f>
        <v>6.1509461004819709E-2</v>
      </c>
      <c r="K364" s="81">
        <f t="shared" si="36"/>
        <v>9.2409432339710804</v>
      </c>
      <c r="L364" s="81">
        <f t="shared" si="37"/>
        <v>9.9790567660289184</v>
      </c>
      <c r="M364" s="81" t="str">
        <f t="shared" si="39"/>
        <v>NG</v>
      </c>
      <c r="N364" s="117">
        <f t="shared" si="38"/>
        <v>1</v>
      </c>
      <c r="O364" s="81">
        <f t="shared" si="40"/>
        <v>1.3699999999999992</v>
      </c>
      <c r="P364" s="81">
        <f>IF(G364="","",ABS(O364-Components!$C$2)/Components!$D$2)</f>
        <v>209.31226148274064</v>
      </c>
      <c r="Q364" s="81">
        <f>IF(G364="","",ABS(O364-Components!$C$3)/Components!$D$3)</f>
        <v>193.2366968629243</v>
      </c>
      <c r="R364" s="81">
        <f>IF(G364="","",ABS(O364-Components!$C$4)/Components!$D$4)</f>
        <v>26.94587894571011</v>
      </c>
      <c r="S364" s="81">
        <f>IF(G364="","",ABS(O364-Components!$C$5)/Components!$D$5)</f>
        <v>126.7946927201853</v>
      </c>
      <c r="T364" s="81">
        <f>IF(G364="","",ABS(O364-Components!$C$6)/Components!$D$6)</f>
        <v>7.7576932750046179</v>
      </c>
      <c r="U364" s="81">
        <f>IF(G364="","",ABS(O364-Components!$C$7)/Components!$D$7)</f>
        <v>0.17233000532052495</v>
      </c>
      <c r="V364" s="81" t="str">
        <f>IF(G364="","",IF(M364="OK","NONE",INDEX({"S1","S2","W1","W2","N1","N2"},MATCH(MIN(P364:U364),P364:U364,0))))</f>
        <v>N2</v>
      </c>
      <c r="W364" s="117">
        <f t="shared" si="41"/>
        <v>1</v>
      </c>
      <c r="X364" s="107"/>
    </row>
    <row r="365" spans="1:24">
      <c r="A365" s="115">
        <v>363</v>
      </c>
      <c r="B365" s="116">
        <v>13</v>
      </c>
      <c r="C365" s="81" t="s">
        <v>132</v>
      </c>
      <c r="D365" s="111" t="s">
        <v>240</v>
      </c>
      <c r="E365" s="81" t="s">
        <v>110</v>
      </c>
      <c r="F365" s="61">
        <v>7.3</v>
      </c>
      <c r="G365" s="52">
        <f t="shared" si="35"/>
        <v>8.27</v>
      </c>
      <c r="H365" s="110"/>
      <c r="I365" s="81">
        <v>9.61</v>
      </c>
      <c r="J365" s="81">
        <f>VLOOKUP(C365,Recipes!$A$2:$N$4,12,FALSE())</f>
        <v>6.1509461004819709E-2</v>
      </c>
      <c r="K365" s="81">
        <f t="shared" si="36"/>
        <v>9.2409432339710804</v>
      </c>
      <c r="L365" s="81">
        <f t="shared" si="37"/>
        <v>9.9790567660289184</v>
      </c>
      <c r="M365" s="81" t="str">
        <f t="shared" si="39"/>
        <v>NG</v>
      </c>
      <c r="N365" s="117">
        <f t="shared" si="38"/>
        <v>1</v>
      </c>
      <c r="O365" s="81">
        <f t="shared" si="40"/>
        <v>1.3399999999999999</v>
      </c>
      <c r="P365" s="81">
        <f>IF(G365="","",ABS(O365-Components!$C$2)/Components!$D$2)</f>
        <v>213.85156353899274</v>
      </c>
      <c r="Q365" s="81">
        <f>IF(G365="","",ABS(O365-Components!$C$3)/Components!$D$3)</f>
        <v>195.41115331674561</v>
      </c>
      <c r="R365" s="81">
        <f>IF(G365="","",ABS(O365-Components!$C$4)/Components!$D$4)</f>
        <v>24.799746994281914</v>
      </c>
      <c r="S365" s="81">
        <f>IF(G365="","",ABS(O365-Components!$C$5)/Components!$D$5)</f>
        <v>127.98612332624255</v>
      </c>
      <c r="T365" s="81">
        <f>IF(G365="","",ABS(O365-Components!$C$6)/Components!$D$6)</f>
        <v>6.6718575133398996</v>
      </c>
      <c r="U365" s="81">
        <f>IF(G365="","",ABS(O365-Components!$C$7)/Components!$D$7)</f>
        <v>1.3653838883094307</v>
      </c>
      <c r="V365" s="81" t="str">
        <f>IF(G365="","",IF(M365="OK","NONE",INDEX({"S1","S2","W1","W2","N1","N2"},MATCH(MIN(P365:U365),P365:U365,0))))</f>
        <v>N2</v>
      </c>
      <c r="W365" s="117">
        <f t="shared" si="41"/>
        <v>1</v>
      </c>
      <c r="X365" s="107"/>
    </row>
    <row r="366" spans="1:24">
      <c r="A366" s="115">
        <v>364</v>
      </c>
      <c r="B366" s="116">
        <v>13</v>
      </c>
      <c r="C366" s="81" t="s">
        <v>132</v>
      </c>
      <c r="D366" s="111" t="s">
        <v>240</v>
      </c>
      <c r="E366" s="81" t="s">
        <v>110</v>
      </c>
      <c r="F366" s="61">
        <v>7.31</v>
      </c>
      <c r="G366" s="52">
        <f t="shared" si="35"/>
        <v>8.2799999999999994</v>
      </c>
      <c r="H366" s="110"/>
      <c r="I366" s="81">
        <v>9.61</v>
      </c>
      <c r="J366" s="81">
        <f>VLOOKUP(C366,Recipes!$A$2:$N$4,12,FALSE())</f>
        <v>6.1509461004819709E-2</v>
      </c>
      <c r="K366" s="81">
        <f t="shared" si="36"/>
        <v>9.2409432339710804</v>
      </c>
      <c r="L366" s="81">
        <f t="shared" si="37"/>
        <v>9.9790567660289184</v>
      </c>
      <c r="M366" s="81" t="str">
        <f t="shared" si="39"/>
        <v>NG</v>
      </c>
      <c r="N366" s="117">
        <f t="shared" si="38"/>
        <v>1</v>
      </c>
      <c r="O366" s="81">
        <f t="shared" si="40"/>
        <v>1.33</v>
      </c>
      <c r="P366" s="81">
        <f>IF(G366="","",ABS(O366-Components!$C$2)/Components!$D$2)</f>
        <v>215.36466422441012</v>
      </c>
      <c r="Q366" s="81">
        <f>IF(G366="","",ABS(O366-Components!$C$3)/Components!$D$3)</f>
        <v>196.13597213468606</v>
      </c>
      <c r="R366" s="81">
        <f>IF(G366="","",ABS(O366-Components!$C$4)/Components!$D$4)</f>
        <v>24.084369677139183</v>
      </c>
      <c r="S366" s="81">
        <f>IF(G366="","",ABS(O366-Components!$C$5)/Components!$D$5)</f>
        <v>128.38326686159496</v>
      </c>
      <c r="T366" s="81">
        <f>IF(G366="","",ABS(O366-Components!$C$6)/Components!$D$6)</f>
        <v>6.3099122594516599</v>
      </c>
      <c r="U366" s="81">
        <f>IF(G366="","",ABS(O366-Components!$C$7)/Components!$D$7)</f>
        <v>1.7630685159723993</v>
      </c>
      <c r="V366" s="81" t="str">
        <f>IF(G366="","",IF(M366="OK","NONE",INDEX({"S1","S2","W1","W2","N1","N2"},MATCH(MIN(P366:U366),P366:U366,0))))</f>
        <v>N2</v>
      </c>
      <c r="W366" s="117">
        <f t="shared" si="41"/>
        <v>1</v>
      </c>
      <c r="X366" s="107"/>
    </row>
    <row r="367" spans="1:24">
      <c r="A367" s="115">
        <v>365</v>
      </c>
      <c r="B367" s="116">
        <v>13</v>
      </c>
      <c r="C367" s="81" t="s">
        <v>132</v>
      </c>
      <c r="D367" s="111" t="s">
        <v>240</v>
      </c>
      <c r="E367" s="81" t="s">
        <v>110</v>
      </c>
      <c r="F367" s="61">
        <v>7.17</v>
      </c>
      <c r="G367" s="52">
        <f t="shared" si="35"/>
        <v>8.14</v>
      </c>
      <c r="H367" s="110"/>
      <c r="I367" s="81">
        <v>9.61</v>
      </c>
      <c r="J367" s="81">
        <f>VLOOKUP(C367,Recipes!$A$2:$N$4,12,FALSE())</f>
        <v>6.1509461004819709E-2</v>
      </c>
      <c r="K367" s="81">
        <f t="shared" si="36"/>
        <v>9.2409432339710804</v>
      </c>
      <c r="L367" s="81">
        <f t="shared" si="37"/>
        <v>9.9790567660289184</v>
      </c>
      <c r="M367" s="81" t="str">
        <f t="shared" si="39"/>
        <v>NG</v>
      </c>
      <c r="N367" s="117">
        <f t="shared" si="38"/>
        <v>1</v>
      </c>
      <c r="O367" s="81">
        <f t="shared" si="40"/>
        <v>1.4699999999999989</v>
      </c>
      <c r="P367" s="81">
        <f>IF(G367="","",ABS(O367-Components!$C$2)/Components!$D$2)</f>
        <v>194.18125462856662</v>
      </c>
      <c r="Q367" s="81">
        <f>IF(G367="","",ABS(O367-Components!$C$3)/Components!$D$3)</f>
        <v>185.98850868351983</v>
      </c>
      <c r="R367" s="81">
        <f>IF(G367="","",ABS(O367-Components!$C$4)/Components!$D$4)</f>
        <v>34.099652117137552</v>
      </c>
      <c r="S367" s="81">
        <f>IF(G367="","",ABS(O367-Components!$C$5)/Components!$D$5)</f>
        <v>122.82325736666103</v>
      </c>
      <c r="T367" s="81">
        <f>IF(G367="","",ABS(O367-Components!$C$6)/Components!$D$6)</f>
        <v>11.377145813887077</v>
      </c>
      <c r="U367" s="81">
        <f>IF(G367="","",ABS(O367-Components!$C$7)/Components!$D$7)</f>
        <v>3.804516271309232</v>
      </c>
      <c r="V367" s="81" t="str">
        <f>IF(G367="","",IF(M367="OK","NONE",INDEX({"S1","S2","W1","W2","N1","N2"},MATCH(MIN(P367:U367),P367:U367,0))))</f>
        <v>N2</v>
      </c>
      <c r="W367" s="117">
        <f t="shared" si="41"/>
        <v>1</v>
      </c>
      <c r="X367" s="107"/>
    </row>
    <row r="368" spans="1:24">
      <c r="A368" s="115">
        <v>366</v>
      </c>
      <c r="B368" s="116">
        <v>13</v>
      </c>
      <c r="C368" s="81" t="s">
        <v>132</v>
      </c>
      <c r="D368" s="111" t="s">
        <v>240</v>
      </c>
      <c r="E368" s="81" t="s">
        <v>110</v>
      </c>
      <c r="F368" s="61">
        <v>7.23</v>
      </c>
      <c r="G368" s="52">
        <f t="shared" si="35"/>
        <v>8.2000000000000011</v>
      </c>
      <c r="H368" s="110"/>
      <c r="I368" s="81">
        <v>9.61</v>
      </c>
      <c r="J368" s="81">
        <f>VLOOKUP(C368,Recipes!$A$2:$N$4,12,FALSE())</f>
        <v>6.1509461004819709E-2</v>
      </c>
      <c r="K368" s="81">
        <f t="shared" si="36"/>
        <v>9.2409432339710804</v>
      </c>
      <c r="L368" s="81">
        <f t="shared" si="37"/>
        <v>9.9790567660289184</v>
      </c>
      <c r="M368" s="81" t="str">
        <f t="shared" si="39"/>
        <v>NG</v>
      </c>
      <c r="N368" s="117">
        <f t="shared" si="38"/>
        <v>1</v>
      </c>
      <c r="O368" s="81">
        <f t="shared" si="40"/>
        <v>1.4099999999999984</v>
      </c>
      <c r="P368" s="81">
        <f>IF(G368="","",ABS(O368-Components!$C$2)/Components!$D$2)</f>
        <v>203.25985874107113</v>
      </c>
      <c r="Q368" s="81">
        <f>IF(G368="","",ABS(O368-Components!$C$3)/Components!$D$3)</f>
        <v>190.33742159116258</v>
      </c>
      <c r="R368" s="81">
        <f>IF(G368="","",ABS(O368-Components!$C$4)/Components!$D$4)</f>
        <v>29.807388214281037</v>
      </c>
      <c r="S368" s="81">
        <f>IF(G368="","",ABS(O368-Components!$C$5)/Components!$D$5)</f>
        <v>125.20611857877562</v>
      </c>
      <c r="T368" s="81">
        <f>IF(G368="","",ABS(O368-Components!$C$6)/Components!$D$6)</f>
        <v>9.2054742905575768</v>
      </c>
      <c r="U368" s="81">
        <f>IF(G368="","",ABS(O368-Components!$C$7)/Components!$D$7)</f>
        <v>1.4184085053313495</v>
      </c>
      <c r="V368" s="81" t="str">
        <f>IF(G368="","",IF(M368="OK","NONE",INDEX({"S1","S2","W1","W2","N1","N2"},MATCH(MIN(P368:U368),P368:U368,0))))</f>
        <v>N2</v>
      </c>
      <c r="W368" s="117">
        <f t="shared" si="41"/>
        <v>1</v>
      </c>
      <c r="X368" s="107"/>
    </row>
    <row r="369" spans="1:24">
      <c r="A369" s="115">
        <v>367</v>
      </c>
      <c r="B369" s="116">
        <v>13</v>
      </c>
      <c r="C369" s="81" t="s">
        <v>132</v>
      </c>
      <c r="D369" s="111" t="s">
        <v>240</v>
      </c>
      <c r="E369" s="81" t="s">
        <v>110</v>
      </c>
      <c r="F369" s="61">
        <v>7.23</v>
      </c>
      <c r="G369" s="52">
        <f t="shared" si="35"/>
        <v>8.2000000000000011</v>
      </c>
      <c r="H369" s="110"/>
      <c r="I369" s="81">
        <v>9.61</v>
      </c>
      <c r="J369" s="81">
        <f>VLOOKUP(C369,Recipes!$A$2:$N$4,12,FALSE())</f>
        <v>6.1509461004819709E-2</v>
      </c>
      <c r="K369" s="81">
        <f t="shared" si="36"/>
        <v>9.2409432339710804</v>
      </c>
      <c r="L369" s="81">
        <f t="shared" si="37"/>
        <v>9.9790567660289184</v>
      </c>
      <c r="M369" s="81" t="str">
        <f t="shared" si="39"/>
        <v>NG</v>
      </c>
      <c r="N369" s="117">
        <f t="shared" si="38"/>
        <v>1</v>
      </c>
      <c r="O369" s="81">
        <f t="shared" si="40"/>
        <v>1.4099999999999984</v>
      </c>
      <c r="P369" s="81">
        <f>IF(G369="","",ABS(O369-Components!$C$2)/Components!$D$2)</f>
        <v>203.25985874107113</v>
      </c>
      <c r="Q369" s="81">
        <f>IF(G369="","",ABS(O369-Components!$C$3)/Components!$D$3)</f>
        <v>190.33742159116258</v>
      </c>
      <c r="R369" s="81">
        <f>IF(G369="","",ABS(O369-Components!$C$4)/Components!$D$4)</f>
        <v>29.807388214281037</v>
      </c>
      <c r="S369" s="81">
        <f>IF(G369="","",ABS(O369-Components!$C$5)/Components!$D$5)</f>
        <v>125.20611857877562</v>
      </c>
      <c r="T369" s="81">
        <f>IF(G369="","",ABS(O369-Components!$C$6)/Components!$D$6)</f>
        <v>9.2054742905575768</v>
      </c>
      <c r="U369" s="81">
        <f>IF(G369="","",ABS(O369-Components!$C$7)/Components!$D$7)</f>
        <v>1.4184085053313495</v>
      </c>
      <c r="V369" s="81" t="str">
        <f>IF(G369="","",IF(M369="OK","NONE",INDEX({"S1","S2","W1","W2","N1","N2"},MATCH(MIN(P369:U369),P369:U369,0))))</f>
        <v>N2</v>
      </c>
      <c r="W369" s="117">
        <f t="shared" si="41"/>
        <v>1</v>
      </c>
      <c r="X369" s="107"/>
    </row>
    <row r="370" spans="1:24">
      <c r="A370" s="115">
        <v>368</v>
      </c>
      <c r="B370" s="116">
        <v>13</v>
      </c>
      <c r="C370" s="81" t="s">
        <v>132</v>
      </c>
      <c r="D370" s="111" t="s">
        <v>240</v>
      </c>
      <c r="E370" s="81" t="s">
        <v>110</v>
      </c>
      <c r="F370" s="61">
        <v>7.3</v>
      </c>
      <c r="G370" s="52">
        <f t="shared" si="35"/>
        <v>8.27</v>
      </c>
      <c r="H370" s="110"/>
      <c r="I370" s="81">
        <v>9.61</v>
      </c>
      <c r="J370" s="81">
        <f>VLOOKUP(C370,Recipes!$A$2:$N$4,12,FALSE())</f>
        <v>6.1509461004819709E-2</v>
      </c>
      <c r="K370" s="81">
        <f t="shared" si="36"/>
        <v>9.2409432339710804</v>
      </c>
      <c r="L370" s="81">
        <f t="shared" si="37"/>
        <v>9.9790567660289184</v>
      </c>
      <c r="M370" s="81" t="str">
        <f t="shared" si="39"/>
        <v>NG</v>
      </c>
      <c r="N370" s="117">
        <f t="shared" si="38"/>
        <v>1</v>
      </c>
      <c r="O370" s="81">
        <f t="shared" si="40"/>
        <v>1.3399999999999999</v>
      </c>
      <c r="P370" s="81">
        <f>IF(G370="","",ABS(O370-Components!$C$2)/Components!$D$2)</f>
        <v>213.85156353899274</v>
      </c>
      <c r="Q370" s="81">
        <f>IF(G370="","",ABS(O370-Components!$C$3)/Components!$D$3)</f>
        <v>195.41115331674561</v>
      </c>
      <c r="R370" s="81">
        <f>IF(G370="","",ABS(O370-Components!$C$4)/Components!$D$4)</f>
        <v>24.799746994281914</v>
      </c>
      <c r="S370" s="81">
        <f>IF(G370="","",ABS(O370-Components!$C$5)/Components!$D$5)</f>
        <v>127.98612332624255</v>
      </c>
      <c r="T370" s="81">
        <f>IF(G370="","",ABS(O370-Components!$C$6)/Components!$D$6)</f>
        <v>6.6718575133398996</v>
      </c>
      <c r="U370" s="81">
        <f>IF(G370="","",ABS(O370-Components!$C$7)/Components!$D$7)</f>
        <v>1.3653838883094307</v>
      </c>
      <c r="V370" s="81" t="str">
        <f>IF(G370="","",IF(M370="OK","NONE",INDEX({"S1","S2","W1","W2","N1","N2"},MATCH(MIN(P370:U370),P370:U370,0))))</f>
        <v>N2</v>
      </c>
      <c r="W370" s="117">
        <f t="shared" si="41"/>
        <v>1</v>
      </c>
      <c r="X370" s="107"/>
    </row>
    <row r="371" spans="1:24">
      <c r="A371" s="115">
        <v>369</v>
      </c>
      <c r="B371" s="116">
        <v>13</v>
      </c>
      <c r="C371" s="81" t="s">
        <v>132</v>
      </c>
      <c r="D371" s="111" t="s">
        <v>240</v>
      </c>
      <c r="E371" s="81" t="s">
        <v>110</v>
      </c>
      <c r="F371" s="61">
        <v>7.25</v>
      </c>
      <c r="G371" s="52">
        <f t="shared" si="35"/>
        <v>8.2200000000000006</v>
      </c>
      <c r="H371" s="110"/>
      <c r="I371" s="81">
        <v>9.61</v>
      </c>
      <c r="J371" s="81">
        <f>VLOOKUP(C371,Recipes!$A$2:$N$4,12,FALSE())</f>
        <v>6.1509461004819709E-2</v>
      </c>
      <c r="K371" s="81">
        <f t="shared" si="36"/>
        <v>9.2409432339710804</v>
      </c>
      <c r="L371" s="81">
        <f t="shared" si="37"/>
        <v>9.9790567660289184</v>
      </c>
      <c r="M371" s="81" t="str">
        <f t="shared" si="39"/>
        <v>NG</v>
      </c>
      <c r="N371" s="117">
        <f t="shared" si="38"/>
        <v>1</v>
      </c>
      <c r="O371" s="81">
        <f t="shared" si="40"/>
        <v>1.3899999999999988</v>
      </c>
      <c r="P371" s="81">
        <f>IF(G371="","",ABS(O371-Components!$C$2)/Components!$D$2)</f>
        <v>206.28606011190587</v>
      </c>
      <c r="Q371" s="81">
        <f>IF(G371="","",ABS(O371-Components!$C$3)/Components!$D$3)</f>
        <v>191.78705922704344</v>
      </c>
      <c r="R371" s="81">
        <f>IF(G371="","",ABS(O371-Components!$C$4)/Components!$D$4)</f>
        <v>28.376633579995573</v>
      </c>
      <c r="S371" s="81">
        <f>IF(G371="","",ABS(O371-Components!$C$5)/Components!$D$5)</f>
        <v>126.00040564948046</v>
      </c>
      <c r="T371" s="81">
        <f>IF(G371="","",ABS(O371-Components!$C$6)/Components!$D$6)</f>
        <v>8.4815837827810974</v>
      </c>
      <c r="U371" s="81">
        <f>IF(G371="","",ABS(O371-Components!$C$7)/Components!$D$7)</f>
        <v>0.62303925000541227</v>
      </c>
      <c r="V371" s="81" t="str">
        <f>IF(G371="","",IF(M371="OK","NONE",INDEX({"S1","S2","W1","W2","N1","N2"},MATCH(MIN(P371:U371),P371:U371,0))))</f>
        <v>N2</v>
      </c>
      <c r="W371" s="117">
        <f t="shared" si="41"/>
        <v>1</v>
      </c>
      <c r="X371" s="107"/>
    </row>
    <row r="372" spans="1:24">
      <c r="A372" s="115">
        <v>370</v>
      </c>
      <c r="B372" s="116">
        <v>13</v>
      </c>
      <c r="C372" s="81" t="s">
        <v>132</v>
      </c>
      <c r="D372" s="111" t="s">
        <v>240</v>
      </c>
      <c r="E372" s="81" t="s">
        <v>110</v>
      </c>
      <c r="F372" s="61">
        <v>7.25</v>
      </c>
      <c r="G372" s="52">
        <f t="shared" si="35"/>
        <v>8.2200000000000006</v>
      </c>
      <c r="H372" s="110"/>
      <c r="I372" s="81">
        <v>9.61</v>
      </c>
      <c r="J372" s="81">
        <f>VLOOKUP(C372,Recipes!$A$2:$N$4,12,FALSE())</f>
        <v>6.1509461004819709E-2</v>
      </c>
      <c r="K372" s="81">
        <f t="shared" si="36"/>
        <v>9.2409432339710804</v>
      </c>
      <c r="L372" s="81">
        <f t="shared" si="37"/>
        <v>9.9790567660289184</v>
      </c>
      <c r="M372" s="81" t="str">
        <f t="shared" si="39"/>
        <v>NG</v>
      </c>
      <c r="N372" s="117">
        <f t="shared" si="38"/>
        <v>1</v>
      </c>
      <c r="O372" s="81">
        <f t="shared" si="40"/>
        <v>1.3899999999999988</v>
      </c>
      <c r="P372" s="81">
        <f>IF(G372="","",ABS(O372-Components!$C$2)/Components!$D$2)</f>
        <v>206.28606011190587</v>
      </c>
      <c r="Q372" s="81">
        <f>IF(G372="","",ABS(O372-Components!$C$3)/Components!$D$3)</f>
        <v>191.78705922704344</v>
      </c>
      <c r="R372" s="81">
        <f>IF(G372="","",ABS(O372-Components!$C$4)/Components!$D$4)</f>
        <v>28.376633579995573</v>
      </c>
      <c r="S372" s="81">
        <f>IF(G372="","",ABS(O372-Components!$C$5)/Components!$D$5)</f>
        <v>126.00040564948046</v>
      </c>
      <c r="T372" s="81">
        <f>IF(G372="","",ABS(O372-Components!$C$6)/Components!$D$6)</f>
        <v>8.4815837827810974</v>
      </c>
      <c r="U372" s="81">
        <f>IF(G372="","",ABS(O372-Components!$C$7)/Components!$D$7)</f>
        <v>0.62303925000541227</v>
      </c>
      <c r="V372" s="81" t="str">
        <f>IF(G372="","",IF(M372="OK","NONE",INDEX({"S1","S2","W1","W2","N1","N2"},MATCH(MIN(P372:U372),P372:U372,0))))</f>
        <v>N2</v>
      </c>
      <c r="W372" s="117">
        <f t="shared" si="41"/>
        <v>1</v>
      </c>
      <c r="X372" s="107"/>
    </row>
    <row r="373" spans="1:24">
      <c r="A373" s="115">
        <v>371</v>
      </c>
      <c r="B373" s="116">
        <v>13</v>
      </c>
      <c r="C373" s="81" t="s">
        <v>132</v>
      </c>
      <c r="D373" s="111" t="s">
        <v>240</v>
      </c>
      <c r="E373" s="81" t="s">
        <v>110</v>
      </c>
      <c r="F373" s="61">
        <v>7.19</v>
      </c>
      <c r="G373" s="52">
        <f t="shared" si="35"/>
        <v>8.16</v>
      </c>
      <c r="H373" s="110"/>
      <c r="I373" s="81">
        <v>9.61</v>
      </c>
      <c r="J373" s="81">
        <f>VLOOKUP(C373,Recipes!$A$2:$N$4,12,FALSE())</f>
        <v>6.1509461004819709E-2</v>
      </c>
      <c r="K373" s="81">
        <f t="shared" si="36"/>
        <v>9.2409432339710804</v>
      </c>
      <c r="L373" s="81">
        <f t="shared" si="37"/>
        <v>9.9790567660289184</v>
      </c>
      <c r="M373" s="81" t="str">
        <f t="shared" si="39"/>
        <v>NG</v>
      </c>
      <c r="N373" s="117">
        <f t="shared" si="38"/>
        <v>1</v>
      </c>
      <c r="O373" s="81">
        <f t="shared" si="40"/>
        <v>1.4499999999999993</v>
      </c>
      <c r="P373" s="81">
        <f>IF(G373="","",ABS(O373-Components!$C$2)/Components!$D$2)</f>
        <v>197.20745599940136</v>
      </c>
      <c r="Q373" s="81">
        <f>IF(G373="","",ABS(O373-Components!$C$3)/Components!$D$3)</f>
        <v>187.43814631940072</v>
      </c>
      <c r="R373" s="81">
        <f>IF(G373="","",ABS(O373-Components!$C$4)/Components!$D$4)</f>
        <v>32.668897482852088</v>
      </c>
      <c r="S373" s="81">
        <f>IF(G373="","",ABS(O373-Components!$C$5)/Components!$D$5)</f>
        <v>123.61754443736586</v>
      </c>
      <c r="T373" s="81">
        <f>IF(G373="","",ABS(O373-Components!$C$6)/Components!$D$6)</f>
        <v>10.653255306110598</v>
      </c>
      <c r="U373" s="81">
        <f>IF(G373="","",ABS(O373-Components!$C$7)/Components!$D$7)</f>
        <v>3.0091470159832947</v>
      </c>
      <c r="V373" s="81" t="str">
        <f>IF(G373="","",IF(M373="OK","NONE",INDEX({"S1","S2","W1","W2","N1","N2"},MATCH(MIN(P373:U373),P373:U373,0))))</f>
        <v>N2</v>
      </c>
      <c r="W373" s="117">
        <f t="shared" si="41"/>
        <v>1</v>
      </c>
      <c r="X373" s="107"/>
    </row>
    <row r="374" spans="1:24">
      <c r="A374" s="115">
        <v>372</v>
      </c>
      <c r="B374" s="116">
        <v>13</v>
      </c>
      <c r="C374" s="81" t="s">
        <v>132</v>
      </c>
      <c r="D374" s="111" t="s">
        <v>240</v>
      </c>
      <c r="E374" s="81" t="s">
        <v>110</v>
      </c>
      <c r="F374" s="61">
        <v>7.26</v>
      </c>
      <c r="G374" s="52">
        <f t="shared" si="35"/>
        <v>8.23</v>
      </c>
      <c r="H374" s="110"/>
      <c r="I374" s="81">
        <v>9.61</v>
      </c>
      <c r="J374" s="81">
        <f>VLOOKUP(C374,Recipes!$A$2:$N$4,12,FALSE())</f>
        <v>6.1509461004819709E-2</v>
      </c>
      <c r="K374" s="81">
        <f t="shared" si="36"/>
        <v>9.2409432339710804</v>
      </c>
      <c r="L374" s="81">
        <f t="shared" si="37"/>
        <v>9.9790567660289184</v>
      </c>
      <c r="M374" s="81" t="str">
        <f t="shared" si="39"/>
        <v>NG</v>
      </c>
      <c r="N374" s="117">
        <f t="shared" si="38"/>
        <v>1</v>
      </c>
      <c r="O374" s="81">
        <f t="shared" si="40"/>
        <v>1.379999999999999</v>
      </c>
      <c r="P374" s="81">
        <f>IF(G374="","",ABS(O374-Components!$C$2)/Components!$D$2)</f>
        <v>207.79916079732325</v>
      </c>
      <c r="Q374" s="81">
        <f>IF(G374="","",ABS(O374-Components!$C$3)/Components!$D$3)</f>
        <v>192.51187804498389</v>
      </c>
      <c r="R374" s="81">
        <f>IF(G374="","",ABS(O374-Components!$C$4)/Components!$D$4)</f>
        <v>27.661256262852842</v>
      </c>
      <c r="S374" s="81">
        <f>IF(G374="","",ABS(O374-Components!$C$5)/Components!$D$5)</f>
        <v>126.39754918483287</v>
      </c>
      <c r="T374" s="81">
        <f>IF(G374="","",ABS(O374-Components!$C$6)/Components!$D$6)</f>
        <v>8.1196385288928568</v>
      </c>
      <c r="U374" s="81">
        <f>IF(G374="","",ABS(O374-Components!$C$7)/Components!$D$7)</f>
        <v>0.22535462234244366</v>
      </c>
      <c r="V374" s="81" t="str">
        <f>IF(G374="","",IF(M374="OK","NONE",INDEX({"S1","S2","W1","W2","N1","N2"},MATCH(MIN(P374:U374),P374:U374,0))))</f>
        <v>N2</v>
      </c>
      <c r="W374" s="117">
        <f t="shared" si="41"/>
        <v>1</v>
      </c>
      <c r="X374" s="107"/>
    </row>
    <row r="375" spans="1:24">
      <c r="A375" s="115">
        <v>373</v>
      </c>
      <c r="B375" s="116">
        <v>13</v>
      </c>
      <c r="C375" s="81" t="s">
        <v>132</v>
      </c>
      <c r="D375" s="111" t="s">
        <v>240</v>
      </c>
      <c r="E375" s="81" t="s">
        <v>110</v>
      </c>
      <c r="F375" s="61">
        <v>7.23</v>
      </c>
      <c r="G375" s="52">
        <f t="shared" si="35"/>
        <v>8.2000000000000011</v>
      </c>
      <c r="H375" s="110"/>
      <c r="I375" s="81">
        <v>9.61</v>
      </c>
      <c r="J375" s="81">
        <f>VLOOKUP(C375,Recipes!$A$2:$N$4,12,FALSE())</f>
        <v>6.1509461004819709E-2</v>
      </c>
      <c r="K375" s="81">
        <f t="shared" si="36"/>
        <v>9.2409432339710804</v>
      </c>
      <c r="L375" s="81">
        <f t="shared" si="37"/>
        <v>9.9790567660289184</v>
      </c>
      <c r="M375" s="81" t="str">
        <f t="shared" si="39"/>
        <v>NG</v>
      </c>
      <c r="N375" s="117">
        <f t="shared" si="38"/>
        <v>1</v>
      </c>
      <c r="O375" s="81">
        <f t="shared" si="40"/>
        <v>1.4099999999999984</v>
      </c>
      <c r="P375" s="81">
        <f>IF(G375="","",ABS(O375-Components!$C$2)/Components!$D$2)</f>
        <v>203.25985874107113</v>
      </c>
      <c r="Q375" s="81">
        <f>IF(G375="","",ABS(O375-Components!$C$3)/Components!$D$3)</f>
        <v>190.33742159116258</v>
      </c>
      <c r="R375" s="81">
        <f>IF(G375="","",ABS(O375-Components!$C$4)/Components!$D$4)</f>
        <v>29.807388214281037</v>
      </c>
      <c r="S375" s="81">
        <f>IF(G375="","",ABS(O375-Components!$C$5)/Components!$D$5)</f>
        <v>125.20611857877562</v>
      </c>
      <c r="T375" s="81">
        <f>IF(G375="","",ABS(O375-Components!$C$6)/Components!$D$6)</f>
        <v>9.2054742905575768</v>
      </c>
      <c r="U375" s="81">
        <f>IF(G375="","",ABS(O375-Components!$C$7)/Components!$D$7)</f>
        <v>1.4184085053313495</v>
      </c>
      <c r="V375" s="81" t="str">
        <f>IF(G375="","",IF(M375="OK","NONE",INDEX({"S1","S2","W1","W2","N1","N2"},MATCH(MIN(P375:U375),P375:U375,0))))</f>
        <v>N2</v>
      </c>
      <c r="W375" s="117">
        <f t="shared" si="41"/>
        <v>1</v>
      </c>
      <c r="X375" s="107"/>
    </row>
    <row r="376" spans="1:24">
      <c r="A376" s="115">
        <v>374</v>
      </c>
      <c r="B376" s="116">
        <v>13</v>
      </c>
      <c r="C376" s="81" t="s">
        <v>132</v>
      </c>
      <c r="D376" s="111" t="s">
        <v>240</v>
      </c>
      <c r="E376" s="81" t="s">
        <v>110</v>
      </c>
      <c r="F376" s="61">
        <v>7.06</v>
      </c>
      <c r="G376" s="52">
        <f t="shared" si="35"/>
        <v>8.0299999999999994</v>
      </c>
      <c r="H376" s="110"/>
      <c r="I376" s="81">
        <v>9.61</v>
      </c>
      <c r="J376" s="81">
        <f>VLOOKUP(C376,Recipes!$A$2:$N$4,12,FALSE())</f>
        <v>6.1509461004819709E-2</v>
      </c>
      <c r="K376" s="81">
        <f t="shared" si="36"/>
        <v>9.2409432339710804</v>
      </c>
      <c r="L376" s="81">
        <f t="shared" si="37"/>
        <v>9.9790567660289184</v>
      </c>
      <c r="M376" s="81" t="str">
        <f t="shared" si="39"/>
        <v>NG</v>
      </c>
      <c r="N376" s="117">
        <f t="shared" si="38"/>
        <v>1</v>
      </c>
      <c r="O376" s="81">
        <f t="shared" si="40"/>
        <v>1.58</v>
      </c>
      <c r="P376" s="81">
        <f>IF(G376="","",ABS(O376-Components!$C$2)/Components!$D$2)</f>
        <v>177.53714708897499</v>
      </c>
      <c r="Q376" s="81">
        <f>IF(G376="","",ABS(O376-Components!$C$3)/Components!$D$3)</f>
        <v>178.01550168617479</v>
      </c>
      <c r="R376" s="81">
        <f>IF(G376="","",ABS(O376-Components!$C$4)/Components!$D$4)</f>
        <v>41.968802605707857</v>
      </c>
      <c r="S376" s="81">
        <f>IF(G376="","",ABS(O376-Components!$C$5)/Components!$D$5)</f>
        <v>118.45467847778427</v>
      </c>
      <c r="T376" s="81">
        <f>IF(G376="","",ABS(O376-Components!$C$6)/Components!$D$6)</f>
        <v>15.35854360665784</v>
      </c>
      <c r="U376" s="81">
        <f>IF(G376="","",ABS(O376-Components!$C$7)/Components!$D$7)</f>
        <v>8.1790471756020278</v>
      </c>
      <c r="V376" s="81" t="str">
        <f>IF(G376="","",IF(M376="OK","NONE",INDEX({"S1","S2","W1","W2","N1","N2"},MATCH(MIN(P376:U376),P376:U376,0))))</f>
        <v>N2</v>
      </c>
      <c r="W376" s="117">
        <f t="shared" si="41"/>
        <v>1</v>
      </c>
      <c r="X376" s="107"/>
    </row>
    <row r="377" spans="1:24">
      <c r="A377" s="115">
        <v>375</v>
      </c>
      <c r="B377" s="116">
        <v>13</v>
      </c>
      <c r="C377" s="81" t="s">
        <v>132</v>
      </c>
      <c r="D377" s="111" t="s">
        <v>240</v>
      </c>
      <c r="E377" s="81" t="s">
        <v>110</v>
      </c>
      <c r="F377" s="61">
        <v>7.2</v>
      </c>
      <c r="G377" s="52">
        <f t="shared" si="35"/>
        <v>8.17</v>
      </c>
      <c r="H377" s="110"/>
      <c r="I377" s="81">
        <v>9.61</v>
      </c>
      <c r="J377" s="81">
        <f>VLOOKUP(C377,Recipes!$A$2:$N$4,12,FALSE())</f>
        <v>6.1509461004819709E-2</v>
      </c>
      <c r="K377" s="81">
        <f t="shared" si="36"/>
        <v>9.2409432339710804</v>
      </c>
      <c r="L377" s="81">
        <f t="shared" si="37"/>
        <v>9.9790567660289184</v>
      </c>
      <c r="M377" s="81" t="str">
        <f t="shared" si="39"/>
        <v>NG</v>
      </c>
      <c r="N377" s="117">
        <f t="shared" si="38"/>
        <v>1</v>
      </c>
      <c r="O377" s="81">
        <f t="shared" si="40"/>
        <v>1.4399999999999995</v>
      </c>
      <c r="P377" s="81">
        <f>IF(G377="","",ABS(O377-Components!$C$2)/Components!$D$2)</f>
        <v>198.72055668481875</v>
      </c>
      <c r="Q377" s="81">
        <f>IF(G377="","",ABS(O377-Components!$C$3)/Components!$D$3)</f>
        <v>188.16296513734113</v>
      </c>
      <c r="R377" s="81">
        <f>IF(G377="","",ABS(O377-Components!$C$4)/Components!$D$4)</f>
        <v>31.95352016570936</v>
      </c>
      <c r="S377" s="81">
        <f>IF(G377="","",ABS(O377-Components!$C$5)/Components!$D$5)</f>
        <v>124.01468797271828</v>
      </c>
      <c r="T377" s="81">
        <f>IF(G377="","",ABS(O377-Components!$C$6)/Components!$D$6)</f>
        <v>10.291310052222359</v>
      </c>
      <c r="U377" s="81">
        <f>IF(G377="","",ABS(O377-Components!$C$7)/Components!$D$7)</f>
        <v>2.6114623883203261</v>
      </c>
      <c r="V377" s="81" t="str">
        <f>IF(G377="","",IF(M377="OK","NONE",INDEX({"S1","S2","W1","W2","N1","N2"},MATCH(MIN(P377:U377),P377:U377,0))))</f>
        <v>N2</v>
      </c>
      <c r="W377" s="117">
        <f t="shared" si="41"/>
        <v>1</v>
      </c>
      <c r="X377" s="107"/>
    </row>
    <row r="378" spans="1:24">
      <c r="A378" s="115">
        <v>376</v>
      </c>
      <c r="B378" s="116">
        <v>13</v>
      </c>
      <c r="C378" s="81" t="s">
        <v>132</v>
      </c>
      <c r="D378" s="111" t="s">
        <v>240</v>
      </c>
      <c r="E378" s="81" t="s">
        <v>110</v>
      </c>
      <c r="F378" s="61">
        <v>7.21</v>
      </c>
      <c r="G378" s="52">
        <f t="shared" si="35"/>
        <v>8.18</v>
      </c>
      <c r="H378" s="110"/>
      <c r="I378" s="81">
        <v>9.61</v>
      </c>
      <c r="J378" s="81">
        <f>VLOOKUP(C378,Recipes!$A$2:$N$4,12,FALSE())</f>
        <v>6.1509461004819709E-2</v>
      </c>
      <c r="K378" s="81">
        <f t="shared" si="36"/>
        <v>9.2409432339710804</v>
      </c>
      <c r="L378" s="81">
        <f t="shared" si="37"/>
        <v>9.9790567660289184</v>
      </c>
      <c r="M378" s="81" t="str">
        <f t="shared" si="39"/>
        <v>NG</v>
      </c>
      <c r="N378" s="117">
        <f t="shared" si="38"/>
        <v>1</v>
      </c>
      <c r="O378" s="81">
        <f t="shared" si="40"/>
        <v>1.4299999999999997</v>
      </c>
      <c r="P378" s="81">
        <f>IF(G378="","",ABS(O378-Components!$C$2)/Components!$D$2)</f>
        <v>200.23365737023613</v>
      </c>
      <c r="Q378" s="81">
        <f>IF(G378="","",ABS(O378-Components!$C$3)/Components!$D$3)</f>
        <v>188.88778395528158</v>
      </c>
      <c r="R378" s="81">
        <f>IF(G378="","",ABS(O378-Components!$C$4)/Components!$D$4)</f>
        <v>31.238142848566628</v>
      </c>
      <c r="S378" s="81">
        <f>IF(G378="","",ABS(O378-Components!$C$5)/Components!$D$5)</f>
        <v>124.4118315080707</v>
      </c>
      <c r="T378" s="81">
        <f>IF(G378="","",ABS(O378-Components!$C$6)/Components!$D$6)</f>
        <v>9.9293647983341184</v>
      </c>
      <c r="U378" s="81">
        <f>IF(G378="","",ABS(O378-Components!$C$7)/Components!$D$7)</f>
        <v>2.2137777606573574</v>
      </c>
      <c r="V378" s="81" t="str">
        <f>IF(G378="","",IF(M378="OK","NONE",INDEX({"S1","S2","W1","W2","N1","N2"},MATCH(MIN(P378:U378),P378:U378,0))))</f>
        <v>N2</v>
      </c>
      <c r="W378" s="117">
        <f t="shared" si="41"/>
        <v>1</v>
      </c>
      <c r="X378" s="107"/>
    </row>
    <row r="379" spans="1:24">
      <c r="A379" s="115">
        <v>377</v>
      </c>
      <c r="B379" s="116">
        <v>13</v>
      </c>
      <c r="C379" s="81" t="s">
        <v>132</v>
      </c>
      <c r="D379" s="111" t="s">
        <v>240</v>
      </c>
      <c r="E379" s="81" t="s">
        <v>110</v>
      </c>
      <c r="F379" s="61">
        <v>7.22</v>
      </c>
      <c r="G379" s="52">
        <f t="shared" si="35"/>
        <v>8.19</v>
      </c>
      <c r="H379" s="110"/>
      <c r="I379" s="81">
        <v>9.61</v>
      </c>
      <c r="J379" s="81">
        <f>VLOOKUP(C379,Recipes!$A$2:$N$4,12,FALSE())</f>
        <v>6.1509461004819709E-2</v>
      </c>
      <c r="K379" s="81">
        <f t="shared" si="36"/>
        <v>9.2409432339710804</v>
      </c>
      <c r="L379" s="81">
        <f t="shared" si="37"/>
        <v>9.9790567660289184</v>
      </c>
      <c r="M379" s="81" t="str">
        <f t="shared" si="39"/>
        <v>NG</v>
      </c>
      <c r="N379" s="117">
        <f t="shared" si="38"/>
        <v>1</v>
      </c>
      <c r="O379" s="81">
        <f t="shared" si="40"/>
        <v>1.42</v>
      </c>
      <c r="P379" s="81">
        <f>IF(G379="","",ABS(O379-Components!$C$2)/Components!$D$2)</f>
        <v>201.74675805565349</v>
      </c>
      <c r="Q379" s="81">
        <f>IF(G379="","",ABS(O379-Components!$C$3)/Components!$D$3)</f>
        <v>189.61260277322202</v>
      </c>
      <c r="R379" s="81">
        <f>IF(G379="","",ABS(O379-Components!$C$4)/Components!$D$4)</f>
        <v>30.522765531423897</v>
      </c>
      <c r="S379" s="81">
        <f>IF(G379="","",ABS(O379-Components!$C$5)/Components!$D$5)</f>
        <v>124.80897504342312</v>
      </c>
      <c r="T379" s="81">
        <f>IF(G379="","",ABS(O379-Components!$C$6)/Components!$D$6)</f>
        <v>9.5674195444458796</v>
      </c>
      <c r="U379" s="81">
        <f>IF(G379="","",ABS(O379-Components!$C$7)/Components!$D$7)</f>
        <v>1.8160931329943888</v>
      </c>
      <c r="V379" s="81" t="str">
        <f>IF(G379="","",IF(M379="OK","NONE",INDEX({"S1","S2","W1","W2","N1","N2"},MATCH(MIN(P379:U379),P379:U379,0))))</f>
        <v>N2</v>
      </c>
      <c r="W379" s="117">
        <f t="shared" si="41"/>
        <v>1</v>
      </c>
      <c r="X379" s="107"/>
    </row>
    <row r="380" spans="1:24">
      <c r="A380" s="115">
        <v>378</v>
      </c>
      <c r="B380" s="116">
        <v>13</v>
      </c>
      <c r="C380" s="81" t="s">
        <v>132</v>
      </c>
      <c r="D380" s="111" t="s">
        <v>240</v>
      </c>
      <c r="E380" s="81" t="s">
        <v>110</v>
      </c>
      <c r="F380" s="61">
        <v>7.15</v>
      </c>
      <c r="G380" s="52">
        <f t="shared" si="35"/>
        <v>8.120000000000001</v>
      </c>
      <c r="H380" s="110"/>
      <c r="I380" s="81">
        <v>9.61</v>
      </c>
      <c r="J380" s="81">
        <f>VLOOKUP(C380,Recipes!$A$2:$N$4,12,FALSE())</f>
        <v>6.1509461004819709E-2</v>
      </c>
      <c r="K380" s="81">
        <f t="shared" si="36"/>
        <v>9.2409432339710804</v>
      </c>
      <c r="L380" s="81">
        <f t="shared" si="37"/>
        <v>9.9790567660289184</v>
      </c>
      <c r="M380" s="81" t="str">
        <f t="shared" si="39"/>
        <v>NG</v>
      </c>
      <c r="N380" s="117">
        <f t="shared" si="38"/>
        <v>1</v>
      </c>
      <c r="O380" s="81">
        <f t="shared" si="40"/>
        <v>1.4899999999999984</v>
      </c>
      <c r="P380" s="81">
        <f>IF(G380="","",ABS(O380-Components!$C$2)/Components!$D$2)</f>
        <v>191.15505325773188</v>
      </c>
      <c r="Q380" s="81">
        <f>IF(G380="","",ABS(O380-Components!$C$3)/Components!$D$3)</f>
        <v>184.53887104763896</v>
      </c>
      <c r="R380" s="81">
        <f>IF(G380="","",ABS(O380-Components!$C$4)/Components!$D$4)</f>
        <v>35.530406751423016</v>
      </c>
      <c r="S380" s="81">
        <f>IF(G380="","",ABS(O380-Components!$C$5)/Components!$D$5)</f>
        <v>122.02897029595619</v>
      </c>
      <c r="T380" s="81">
        <f>IF(G380="","",ABS(O380-Components!$C$6)/Components!$D$6)</f>
        <v>12.101036321663557</v>
      </c>
      <c r="U380" s="81">
        <f>IF(G380="","",ABS(O380-Components!$C$7)/Components!$D$7)</f>
        <v>4.5998855266351688</v>
      </c>
      <c r="V380" s="81" t="str">
        <f>IF(G380="","",IF(M380="OK","NONE",INDEX({"S1","S2","W1","W2","N1","N2"},MATCH(MIN(P380:U380),P380:U380,0))))</f>
        <v>N2</v>
      </c>
      <c r="W380" s="117">
        <f t="shared" si="41"/>
        <v>1</v>
      </c>
      <c r="X380" s="107"/>
    </row>
    <row r="381" spans="1:24">
      <c r="A381" s="115">
        <v>379</v>
      </c>
      <c r="B381" s="116">
        <v>13</v>
      </c>
      <c r="C381" s="81" t="s">
        <v>132</v>
      </c>
      <c r="D381" s="111" t="s">
        <v>240</v>
      </c>
      <c r="E381" s="81" t="s">
        <v>110</v>
      </c>
      <c r="F381" s="61">
        <v>7.28</v>
      </c>
      <c r="G381" s="52">
        <f t="shared" si="35"/>
        <v>8.25</v>
      </c>
      <c r="H381" s="110"/>
      <c r="I381" s="81">
        <v>9.61</v>
      </c>
      <c r="J381" s="81">
        <f>VLOOKUP(C381,Recipes!$A$2:$N$4,12,FALSE())</f>
        <v>6.1509461004819709E-2</v>
      </c>
      <c r="K381" s="81">
        <f t="shared" si="36"/>
        <v>9.2409432339710804</v>
      </c>
      <c r="L381" s="81">
        <f t="shared" si="37"/>
        <v>9.9790567660289184</v>
      </c>
      <c r="M381" s="81" t="str">
        <f t="shared" si="39"/>
        <v>NG</v>
      </c>
      <c r="N381" s="117">
        <f t="shared" si="38"/>
        <v>1</v>
      </c>
      <c r="O381" s="81">
        <f t="shared" si="40"/>
        <v>1.3599999999999994</v>
      </c>
      <c r="P381" s="81">
        <f>IF(G381="","",ABS(O381-Components!$C$2)/Components!$D$2)</f>
        <v>210.82536216815799</v>
      </c>
      <c r="Q381" s="81">
        <f>IF(G381="","",ABS(O381-Components!$C$3)/Components!$D$3)</f>
        <v>193.96151568086475</v>
      </c>
      <c r="R381" s="81">
        <f>IF(G381="","",ABS(O381-Components!$C$4)/Components!$D$4)</f>
        <v>26.230501628567378</v>
      </c>
      <c r="S381" s="81">
        <f>IF(G381="","",ABS(O381-Components!$C$5)/Components!$D$5)</f>
        <v>127.19183625553771</v>
      </c>
      <c r="T381" s="81">
        <f>IF(G381="","",ABS(O381-Components!$C$6)/Components!$D$6)</f>
        <v>7.3957480211163782</v>
      </c>
      <c r="U381" s="81">
        <f>IF(G381="","",ABS(O381-Components!$C$7)/Components!$D$7)</f>
        <v>0.57001463298349353</v>
      </c>
      <c r="V381" s="81" t="str">
        <f>IF(G381="","",IF(M381="OK","NONE",INDEX({"S1","S2","W1","W2","N1","N2"},MATCH(MIN(P381:U381),P381:U381,0))))</f>
        <v>N2</v>
      </c>
      <c r="W381" s="117">
        <f t="shared" si="41"/>
        <v>1</v>
      </c>
      <c r="X381" s="107"/>
    </row>
    <row r="382" spans="1:24">
      <c r="A382" s="115">
        <v>380</v>
      </c>
      <c r="B382" s="116">
        <v>13</v>
      </c>
      <c r="C382" s="81" t="s">
        <v>132</v>
      </c>
      <c r="D382" s="111" t="s">
        <v>240</v>
      </c>
      <c r="E382" s="81" t="s">
        <v>110</v>
      </c>
      <c r="F382" s="61">
        <v>7.23</v>
      </c>
      <c r="G382" s="52">
        <f t="shared" si="35"/>
        <v>8.2000000000000011</v>
      </c>
      <c r="H382" s="110"/>
      <c r="I382" s="81">
        <v>9.61</v>
      </c>
      <c r="J382" s="81">
        <f>VLOOKUP(C382,Recipes!$A$2:$N$4,12,FALSE())</f>
        <v>6.1509461004819709E-2</v>
      </c>
      <c r="K382" s="81">
        <f t="shared" si="36"/>
        <v>9.2409432339710804</v>
      </c>
      <c r="L382" s="81">
        <f t="shared" si="37"/>
        <v>9.9790567660289184</v>
      </c>
      <c r="M382" s="81" t="str">
        <f t="shared" si="39"/>
        <v>NG</v>
      </c>
      <c r="N382" s="117">
        <f t="shared" si="38"/>
        <v>1</v>
      </c>
      <c r="O382" s="81">
        <f t="shared" si="40"/>
        <v>1.4099999999999984</v>
      </c>
      <c r="P382" s="81">
        <f>IF(G382="","",ABS(O382-Components!$C$2)/Components!$D$2)</f>
        <v>203.25985874107113</v>
      </c>
      <c r="Q382" s="81">
        <f>IF(G382="","",ABS(O382-Components!$C$3)/Components!$D$3)</f>
        <v>190.33742159116258</v>
      </c>
      <c r="R382" s="81">
        <f>IF(G382="","",ABS(O382-Components!$C$4)/Components!$D$4)</f>
        <v>29.807388214281037</v>
      </c>
      <c r="S382" s="81">
        <f>IF(G382="","",ABS(O382-Components!$C$5)/Components!$D$5)</f>
        <v>125.20611857877562</v>
      </c>
      <c r="T382" s="81">
        <f>IF(G382="","",ABS(O382-Components!$C$6)/Components!$D$6)</f>
        <v>9.2054742905575768</v>
      </c>
      <c r="U382" s="81">
        <f>IF(G382="","",ABS(O382-Components!$C$7)/Components!$D$7)</f>
        <v>1.4184085053313495</v>
      </c>
      <c r="V382" s="81" t="str">
        <f>IF(G382="","",IF(M382="OK","NONE",INDEX({"S1","S2","W1","W2","N1","N2"},MATCH(MIN(P382:U382),P382:U382,0))))</f>
        <v>N2</v>
      </c>
      <c r="W382" s="117">
        <f t="shared" si="41"/>
        <v>1</v>
      </c>
      <c r="X382" s="107"/>
    </row>
    <row r="383" spans="1:24">
      <c r="A383" s="115">
        <v>381</v>
      </c>
      <c r="B383" s="116">
        <v>13</v>
      </c>
      <c r="C383" s="81" t="s">
        <v>132</v>
      </c>
      <c r="D383" s="111" t="s">
        <v>240</v>
      </c>
      <c r="E383" s="81" t="s">
        <v>110</v>
      </c>
      <c r="F383" s="61">
        <v>7.26</v>
      </c>
      <c r="G383" s="52">
        <f t="shared" si="35"/>
        <v>8.23</v>
      </c>
      <c r="H383" s="110"/>
      <c r="I383" s="81">
        <v>9.61</v>
      </c>
      <c r="J383" s="81">
        <f>VLOOKUP(C383,Recipes!$A$2:$N$4,12,FALSE())</f>
        <v>6.1509461004819709E-2</v>
      </c>
      <c r="K383" s="81">
        <f t="shared" si="36"/>
        <v>9.2409432339710804</v>
      </c>
      <c r="L383" s="81">
        <f t="shared" si="37"/>
        <v>9.9790567660289184</v>
      </c>
      <c r="M383" s="81" t="str">
        <f t="shared" si="39"/>
        <v>NG</v>
      </c>
      <c r="N383" s="117">
        <f t="shared" si="38"/>
        <v>1</v>
      </c>
      <c r="O383" s="81">
        <f t="shared" si="40"/>
        <v>1.379999999999999</v>
      </c>
      <c r="P383" s="81">
        <f>IF(G383="","",ABS(O383-Components!$C$2)/Components!$D$2)</f>
        <v>207.79916079732325</v>
      </c>
      <c r="Q383" s="81">
        <f>IF(G383="","",ABS(O383-Components!$C$3)/Components!$D$3)</f>
        <v>192.51187804498389</v>
      </c>
      <c r="R383" s="81">
        <f>IF(G383="","",ABS(O383-Components!$C$4)/Components!$D$4)</f>
        <v>27.661256262852842</v>
      </c>
      <c r="S383" s="81">
        <f>IF(G383="","",ABS(O383-Components!$C$5)/Components!$D$5)</f>
        <v>126.39754918483287</v>
      </c>
      <c r="T383" s="81">
        <f>IF(G383="","",ABS(O383-Components!$C$6)/Components!$D$6)</f>
        <v>8.1196385288928568</v>
      </c>
      <c r="U383" s="81">
        <f>IF(G383="","",ABS(O383-Components!$C$7)/Components!$D$7)</f>
        <v>0.22535462234244366</v>
      </c>
      <c r="V383" s="81" t="str">
        <f>IF(G383="","",IF(M383="OK","NONE",INDEX({"S1","S2","W1","W2","N1","N2"},MATCH(MIN(P383:U383),P383:U383,0))))</f>
        <v>N2</v>
      </c>
      <c r="W383" s="117">
        <f t="shared" si="41"/>
        <v>1</v>
      </c>
      <c r="X383" s="107"/>
    </row>
    <row r="384" spans="1:24">
      <c r="A384" s="115">
        <v>382</v>
      </c>
      <c r="B384" s="116">
        <v>13</v>
      </c>
      <c r="C384" s="81" t="s">
        <v>132</v>
      </c>
      <c r="D384" s="111" t="s">
        <v>240</v>
      </c>
      <c r="E384" s="81" t="s">
        <v>110</v>
      </c>
      <c r="F384" s="61">
        <v>7.26</v>
      </c>
      <c r="G384" s="52">
        <f t="shared" si="35"/>
        <v>8.23</v>
      </c>
      <c r="H384" s="110"/>
      <c r="I384" s="81">
        <v>9.61</v>
      </c>
      <c r="J384" s="81">
        <f>VLOOKUP(C384,Recipes!$A$2:$N$4,12,FALSE())</f>
        <v>6.1509461004819709E-2</v>
      </c>
      <c r="K384" s="81">
        <f t="shared" si="36"/>
        <v>9.2409432339710804</v>
      </c>
      <c r="L384" s="81">
        <f t="shared" si="37"/>
        <v>9.9790567660289184</v>
      </c>
      <c r="M384" s="81" t="str">
        <f t="shared" si="39"/>
        <v>NG</v>
      </c>
      <c r="N384" s="117">
        <f t="shared" si="38"/>
        <v>1</v>
      </c>
      <c r="O384" s="81">
        <f t="shared" si="40"/>
        <v>1.379999999999999</v>
      </c>
      <c r="P384" s="81">
        <f>IF(G384="","",ABS(O384-Components!$C$2)/Components!$D$2)</f>
        <v>207.79916079732325</v>
      </c>
      <c r="Q384" s="81">
        <f>IF(G384="","",ABS(O384-Components!$C$3)/Components!$D$3)</f>
        <v>192.51187804498389</v>
      </c>
      <c r="R384" s="81">
        <f>IF(G384="","",ABS(O384-Components!$C$4)/Components!$D$4)</f>
        <v>27.661256262852842</v>
      </c>
      <c r="S384" s="81">
        <f>IF(G384="","",ABS(O384-Components!$C$5)/Components!$D$5)</f>
        <v>126.39754918483287</v>
      </c>
      <c r="T384" s="81">
        <f>IF(G384="","",ABS(O384-Components!$C$6)/Components!$D$6)</f>
        <v>8.1196385288928568</v>
      </c>
      <c r="U384" s="81">
        <f>IF(G384="","",ABS(O384-Components!$C$7)/Components!$D$7)</f>
        <v>0.22535462234244366</v>
      </c>
      <c r="V384" s="81" t="str">
        <f>IF(G384="","",IF(M384="OK","NONE",INDEX({"S1","S2","W1","W2","N1","N2"},MATCH(MIN(P384:U384),P384:U384,0))))</f>
        <v>N2</v>
      </c>
      <c r="W384" s="117">
        <f t="shared" si="41"/>
        <v>1</v>
      </c>
      <c r="X384" s="107"/>
    </row>
    <row r="385" spans="1:24">
      <c r="A385" s="115">
        <v>383</v>
      </c>
      <c r="B385" s="116">
        <v>13</v>
      </c>
      <c r="C385" s="81" t="s">
        <v>132</v>
      </c>
      <c r="D385" s="111" t="s">
        <v>240</v>
      </c>
      <c r="E385" s="81" t="s">
        <v>110</v>
      </c>
      <c r="F385" s="61">
        <v>7.27</v>
      </c>
      <c r="G385" s="52">
        <f t="shared" si="35"/>
        <v>8.24</v>
      </c>
      <c r="H385" s="110"/>
      <c r="I385" s="81">
        <v>9.61</v>
      </c>
      <c r="J385" s="81">
        <f>VLOOKUP(C385,Recipes!$A$2:$N$4,12,FALSE())</f>
        <v>6.1509461004819709E-2</v>
      </c>
      <c r="K385" s="81">
        <f t="shared" si="36"/>
        <v>9.2409432339710804</v>
      </c>
      <c r="L385" s="81">
        <f t="shared" si="37"/>
        <v>9.9790567660289184</v>
      </c>
      <c r="M385" s="81" t="str">
        <f t="shared" si="39"/>
        <v>NG</v>
      </c>
      <c r="N385" s="117">
        <f t="shared" si="38"/>
        <v>1</v>
      </c>
      <c r="O385" s="81">
        <f t="shared" si="40"/>
        <v>1.3699999999999992</v>
      </c>
      <c r="P385" s="81">
        <f>IF(G385="","",ABS(O385-Components!$C$2)/Components!$D$2)</f>
        <v>209.31226148274064</v>
      </c>
      <c r="Q385" s="81">
        <f>IF(G385="","",ABS(O385-Components!$C$3)/Components!$D$3)</f>
        <v>193.2366968629243</v>
      </c>
      <c r="R385" s="81">
        <f>IF(G385="","",ABS(O385-Components!$C$4)/Components!$D$4)</f>
        <v>26.94587894571011</v>
      </c>
      <c r="S385" s="81">
        <f>IF(G385="","",ABS(O385-Components!$C$5)/Components!$D$5)</f>
        <v>126.7946927201853</v>
      </c>
      <c r="T385" s="81">
        <f>IF(G385="","",ABS(O385-Components!$C$6)/Components!$D$6)</f>
        <v>7.7576932750046179</v>
      </c>
      <c r="U385" s="81">
        <f>IF(G385="","",ABS(O385-Components!$C$7)/Components!$D$7)</f>
        <v>0.17233000532052495</v>
      </c>
      <c r="V385" s="81" t="str">
        <f>IF(G385="","",IF(M385="OK","NONE",INDEX({"S1","S2","W1","W2","N1","N2"},MATCH(MIN(P385:U385),P385:U385,0))))</f>
        <v>N2</v>
      </c>
      <c r="W385" s="117">
        <f t="shared" si="41"/>
        <v>1</v>
      </c>
      <c r="X385" s="107"/>
    </row>
    <row r="386" spans="1:24">
      <c r="A386" s="115">
        <v>384</v>
      </c>
      <c r="B386" s="116">
        <v>13</v>
      </c>
      <c r="C386" s="81" t="s">
        <v>132</v>
      </c>
      <c r="D386" s="111" t="s">
        <v>240</v>
      </c>
      <c r="E386" s="81" t="s">
        <v>110</v>
      </c>
      <c r="F386" s="61">
        <v>7.14</v>
      </c>
      <c r="G386" s="52">
        <f t="shared" si="35"/>
        <v>8.11</v>
      </c>
      <c r="H386" s="110"/>
      <c r="I386" s="81">
        <v>9.61</v>
      </c>
      <c r="J386" s="81">
        <f>VLOOKUP(C386,Recipes!$A$2:$N$4,12,FALSE())</f>
        <v>6.1509461004819709E-2</v>
      </c>
      <c r="K386" s="81">
        <f t="shared" si="36"/>
        <v>9.2409432339710804</v>
      </c>
      <c r="L386" s="81">
        <f t="shared" si="37"/>
        <v>9.9790567660289184</v>
      </c>
      <c r="M386" s="81" t="str">
        <f t="shared" si="39"/>
        <v>NG</v>
      </c>
      <c r="N386" s="117">
        <f t="shared" si="38"/>
        <v>1</v>
      </c>
      <c r="O386" s="81">
        <f t="shared" si="40"/>
        <v>1.5</v>
      </c>
      <c r="P386" s="81">
        <f>IF(G386="","",ABS(O386-Components!$C$2)/Components!$D$2)</f>
        <v>189.64195257231424</v>
      </c>
      <c r="Q386" s="81">
        <f>IF(G386="","",ABS(O386-Components!$C$3)/Components!$D$3)</f>
        <v>183.8140522296984</v>
      </c>
      <c r="R386" s="81">
        <f>IF(G386="","",ABS(O386-Components!$C$4)/Components!$D$4)</f>
        <v>36.245784068565875</v>
      </c>
      <c r="S386" s="81">
        <f>IF(G386="","",ABS(O386-Components!$C$5)/Components!$D$5)</f>
        <v>121.6318267606037</v>
      </c>
      <c r="T386" s="81">
        <f>IF(G386="","",ABS(O386-Components!$C$6)/Components!$D$6)</f>
        <v>12.46298157555186</v>
      </c>
      <c r="U386" s="81">
        <f>IF(G386="","",ABS(O386-Components!$C$7)/Components!$D$7)</f>
        <v>4.9975701542982085</v>
      </c>
      <c r="V386" s="81" t="str">
        <f>IF(G386="","",IF(M386="OK","NONE",INDEX({"S1","S2","W1","W2","N1","N2"},MATCH(MIN(P386:U386),P386:U386,0))))</f>
        <v>N2</v>
      </c>
      <c r="W386" s="117">
        <f t="shared" si="41"/>
        <v>1</v>
      </c>
      <c r="X386" s="107"/>
    </row>
    <row r="387" spans="1:24">
      <c r="A387" s="115">
        <v>385</v>
      </c>
      <c r="B387" s="116">
        <v>13</v>
      </c>
      <c r="C387" s="81" t="s">
        <v>132</v>
      </c>
      <c r="D387" s="111" t="s">
        <v>240</v>
      </c>
      <c r="E387" s="81" t="s">
        <v>110</v>
      </c>
      <c r="F387" s="61">
        <v>6.97</v>
      </c>
      <c r="G387" s="52">
        <f t="shared" ref="G387:G422" si="42">0.97+F387</f>
        <v>7.9399999999999995</v>
      </c>
      <c r="H387" s="110"/>
      <c r="I387" s="81">
        <v>9.61</v>
      </c>
      <c r="J387" s="81">
        <f>VLOOKUP(C387,Recipes!$A$2:$N$4,12,FALSE())</f>
        <v>6.1509461004819709E-2</v>
      </c>
      <c r="K387" s="81">
        <f t="shared" ref="K387:K422" si="43">I387-6*J387</f>
        <v>9.2409432339710804</v>
      </c>
      <c r="L387" s="81">
        <f t="shared" ref="L387:L422" si="44">I387+6*J387</f>
        <v>9.9790567660289184</v>
      </c>
      <c r="M387" s="81" t="str">
        <f t="shared" si="39"/>
        <v>NG</v>
      </c>
      <c r="N387" s="117">
        <f t="shared" ref="N387:N422" si="45">IF(M387="","",IF(M387=D387,1,0))</f>
        <v>1</v>
      </c>
      <c r="O387" s="81">
        <f t="shared" si="40"/>
        <v>1.67</v>
      </c>
      <c r="P387" s="81">
        <f>IF(G387="","",ABS(O387-Components!$C$2)/Components!$D$2)</f>
        <v>163.91924092021836</v>
      </c>
      <c r="Q387" s="81">
        <f>IF(G387="","",ABS(O387-Components!$C$3)/Components!$D$3)</f>
        <v>171.49213232471072</v>
      </c>
      <c r="R387" s="81">
        <f>IF(G387="","",ABS(O387-Components!$C$4)/Components!$D$4)</f>
        <v>48.407198459992571</v>
      </c>
      <c r="S387" s="81">
        <f>IF(G387="","",ABS(O387-Components!$C$5)/Components!$D$5)</f>
        <v>114.88038665961243</v>
      </c>
      <c r="T387" s="81">
        <f>IF(G387="","",ABS(O387-Components!$C$6)/Components!$D$6)</f>
        <v>18.616050891652058</v>
      </c>
      <c r="U387" s="81">
        <f>IF(G387="","",ABS(O387-Components!$C$7)/Components!$D$7)</f>
        <v>11.758208824568817</v>
      </c>
      <c r="V387" s="81" t="str">
        <f>IF(G387="","",IF(M387="OK","NONE",INDEX({"S1","S2","W1","W2","N1","N2"},MATCH(MIN(P387:U387),P387:U387,0))))</f>
        <v>N2</v>
      </c>
      <c r="W387" s="117">
        <f t="shared" si="41"/>
        <v>1</v>
      </c>
      <c r="X387" s="107"/>
    </row>
    <row r="388" spans="1:24">
      <c r="A388" s="115">
        <v>386</v>
      </c>
      <c r="B388" s="116">
        <v>13</v>
      </c>
      <c r="C388" s="81" t="s">
        <v>132</v>
      </c>
      <c r="D388" s="111" t="s">
        <v>240</v>
      </c>
      <c r="E388" s="81" t="s">
        <v>110</v>
      </c>
      <c r="F388" s="52">
        <v>7.29</v>
      </c>
      <c r="G388" s="52">
        <f t="shared" si="42"/>
        <v>8.26</v>
      </c>
      <c r="H388" s="110"/>
      <c r="I388" s="81">
        <v>9.61</v>
      </c>
      <c r="J388" s="81">
        <f>VLOOKUP(C388,Recipes!$A$2:$N$4,12,FALSE())</f>
        <v>6.1509461004819709E-2</v>
      </c>
      <c r="K388" s="81">
        <f t="shared" si="43"/>
        <v>9.2409432339710804</v>
      </c>
      <c r="L388" s="81">
        <f t="shared" si="44"/>
        <v>9.9790567660289184</v>
      </c>
      <c r="M388" s="81" t="str">
        <f t="shared" ref="M388:M422" si="46">IF(G388="","",IF(AND(G388&gt;=K388,G388&lt;=L388),"OK","NG"))</f>
        <v>NG</v>
      </c>
      <c r="N388" s="117">
        <f t="shared" si="45"/>
        <v>1</v>
      </c>
      <c r="O388" s="81">
        <f t="shared" ref="O388:O422" si="47">IF(G388="","",I388-G388)</f>
        <v>1.3499999999999996</v>
      </c>
      <c r="P388" s="81">
        <f>IF(G388="","",ABS(O388-Components!$C$2)/Components!$D$2)</f>
        <v>212.33846285357538</v>
      </c>
      <c r="Q388" s="81">
        <f>IF(G388="","",ABS(O388-Components!$C$3)/Components!$D$3)</f>
        <v>194.68633449880519</v>
      </c>
      <c r="R388" s="81">
        <f>IF(G388="","",ABS(O388-Components!$C$4)/Components!$D$4)</f>
        <v>25.515124311424646</v>
      </c>
      <c r="S388" s="81">
        <f>IF(G388="","",ABS(O388-Components!$C$5)/Components!$D$5)</f>
        <v>127.58897979089012</v>
      </c>
      <c r="T388" s="81">
        <f>IF(G388="","",ABS(O388-Components!$C$6)/Components!$D$6)</f>
        <v>7.0338027672281394</v>
      </c>
      <c r="U388" s="81">
        <f>IF(G388="","",ABS(O388-Components!$C$7)/Components!$D$7)</f>
        <v>0.96769926064646217</v>
      </c>
      <c r="V388" s="81" t="str">
        <f>IF(G388="","",IF(M388="OK","NONE",INDEX({"S1","S2","W1","W2","N1","N2"},MATCH(MIN(P388:U388),P388:U388,0))))</f>
        <v>N2</v>
      </c>
      <c r="W388" s="117">
        <f t="shared" ref="W388:W422" si="48">IF(G388="","",IF(V388=E388,1,0))</f>
        <v>1</v>
      </c>
      <c r="X388" s="107"/>
    </row>
    <row r="389" spans="1:24">
      <c r="A389" s="115">
        <v>387</v>
      </c>
      <c r="B389" s="116">
        <v>13</v>
      </c>
      <c r="C389" s="81" t="s">
        <v>132</v>
      </c>
      <c r="D389" s="111" t="s">
        <v>240</v>
      </c>
      <c r="E389" s="81" t="s">
        <v>110</v>
      </c>
      <c r="F389" s="52">
        <v>7.16</v>
      </c>
      <c r="G389" s="52">
        <f t="shared" si="42"/>
        <v>8.1300000000000008</v>
      </c>
      <c r="H389" s="110"/>
      <c r="I389" s="81">
        <v>9.61</v>
      </c>
      <c r="J389" s="81">
        <f>VLOOKUP(C389,Recipes!$A$2:$N$4,12,FALSE())</f>
        <v>6.1509461004819709E-2</v>
      </c>
      <c r="K389" s="81">
        <f t="shared" si="43"/>
        <v>9.2409432339710804</v>
      </c>
      <c r="L389" s="81">
        <f t="shared" si="44"/>
        <v>9.9790567660289184</v>
      </c>
      <c r="M389" s="81" t="str">
        <f t="shared" si="46"/>
        <v>NG</v>
      </c>
      <c r="N389" s="117">
        <f t="shared" si="45"/>
        <v>1</v>
      </c>
      <c r="O389" s="81">
        <f t="shared" si="47"/>
        <v>1.4799999999999986</v>
      </c>
      <c r="P389" s="81">
        <f>IF(G389="","",ABS(O389-Components!$C$2)/Components!$D$2)</f>
        <v>192.66815394314926</v>
      </c>
      <c r="Q389" s="81">
        <f>IF(G389="","",ABS(O389-Components!$C$3)/Components!$D$3)</f>
        <v>185.26368986557938</v>
      </c>
      <c r="R389" s="81">
        <f>IF(G389="","",ABS(O389-Components!$C$4)/Components!$D$4)</f>
        <v>34.815029434280284</v>
      </c>
      <c r="S389" s="81">
        <f>IF(G389="","",ABS(O389-Components!$C$5)/Components!$D$5)</f>
        <v>122.42611383130861</v>
      </c>
      <c r="T389" s="81">
        <f>IF(G389="","",ABS(O389-Components!$C$6)/Components!$D$6)</f>
        <v>11.739091067775316</v>
      </c>
      <c r="U389" s="81">
        <f>IF(G389="","",ABS(O389-Components!$C$7)/Components!$D$7)</f>
        <v>4.2022008989722002</v>
      </c>
      <c r="V389" s="81" t="str">
        <f>IF(G389="","",IF(M389="OK","NONE",INDEX({"S1","S2","W1","W2","N1","N2"},MATCH(MIN(P389:U389),P389:U389,0))))</f>
        <v>N2</v>
      </c>
      <c r="W389" s="117">
        <f t="shared" si="48"/>
        <v>1</v>
      </c>
      <c r="X389" s="107"/>
    </row>
    <row r="390" spans="1:24">
      <c r="A390" s="115">
        <v>388</v>
      </c>
      <c r="B390" s="116">
        <v>13</v>
      </c>
      <c r="C390" s="81" t="s">
        <v>132</v>
      </c>
      <c r="D390" s="111" t="s">
        <v>240</v>
      </c>
      <c r="E390" s="81" t="s">
        <v>110</v>
      </c>
      <c r="F390" s="52">
        <v>7.23</v>
      </c>
      <c r="G390" s="52">
        <f t="shared" si="42"/>
        <v>8.2000000000000011</v>
      </c>
      <c r="H390" s="110"/>
      <c r="I390" s="81">
        <v>9.61</v>
      </c>
      <c r="J390" s="81">
        <f>VLOOKUP(C390,Recipes!$A$2:$N$4,12,FALSE())</f>
        <v>6.1509461004819709E-2</v>
      </c>
      <c r="K390" s="81">
        <f t="shared" si="43"/>
        <v>9.2409432339710804</v>
      </c>
      <c r="L390" s="81">
        <f t="shared" si="44"/>
        <v>9.9790567660289184</v>
      </c>
      <c r="M390" s="81" t="str">
        <f t="shared" si="46"/>
        <v>NG</v>
      </c>
      <c r="N390" s="117">
        <f t="shared" si="45"/>
        <v>1</v>
      </c>
      <c r="O390" s="81">
        <f t="shared" si="47"/>
        <v>1.4099999999999984</v>
      </c>
      <c r="P390" s="81">
        <f>IF(G390="","",ABS(O390-Components!$C$2)/Components!$D$2)</f>
        <v>203.25985874107113</v>
      </c>
      <c r="Q390" s="81">
        <f>IF(G390="","",ABS(O390-Components!$C$3)/Components!$D$3)</f>
        <v>190.33742159116258</v>
      </c>
      <c r="R390" s="81">
        <f>IF(G390="","",ABS(O390-Components!$C$4)/Components!$D$4)</f>
        <v>29.807388214281037</v>
      </c>
      <c r="S390" s="81">
        <f>IF(G390="","",ABS(O390-Components!$C$5)/Components!$D$5)</f>
        <v>125.20611857877562</v>
      </c>
      <c r="T390" s="81">
        <f>IF(G390="","",ABS(O390-Components!$C$6)/Components!$D$6)</f>
        <v>9.2054742905575768</v>
      </c>
      <c r="U390" s="81">
        <f>IF(G390="","",ABS(O390-Components!$C$7)/Components!$D$7)</f>
        <v>1.4184085053313495</v>
      </c>
      <c r="V390" s="81" t="str">
        <f>IF(G390="","",IF(M390="OK","NONE",INDEX({"S1","S2","W1","W2","N1","N2"},MATCH(MIN(P390:U390),P390:U390,0))))</f>
        <v>N2</v>
      </c>
      <c r="W390" s="117">
        <f t="shared" si="48"/>
        <v>1</v>
      </c>
      <c r="X390" s="107"/>
    </row>
    <row r="391" spans="1:24">
      <c r="A391" s="115">
        <v>389</v>
      </c>
      <c r="B391" s="116">
        <v>13</v>
      </c>
      <c r="C391" s="61" t="s">
        <v>132</v>
      </c>
      <c r="D391" s="61" t="s">
        <v>240</v>
      </c>
      <c r="E391" s="61" t="s">
        <v>110</v>
      </c>
      <c r="F391" s="61">
        <v>7.25</v>
      </c>
      <c r="G391" s="52">
        <f t="shared" si="42"/>
        <v>8.2200000000000006</v>
      </c>
      <c r="H391" s="110"/>
      <c r="I391" s="81">
        <v>9.61</v>
      </c>
      <c r="J391" s="81">
        <f>VLOOKUP(C391,Recipes!$A$2:$N$4,12,FALSE())</f>
        <v>6.1509461004819709E-2</v>
      </c>
      <c r="K391" s="81">
        <f t="shared" si="43"/>
        <v>9.2409432339710804</v>
      </c>
      <c r="L391" s="81">
        <f t="shared" si="44"/>
        <v>9.9790567660289184</v>
      </c>
      <c r="M391" s="81" t="str">
        <f t="shared" si="46"/>
        <v>NG</v>
      </c>
      <c r="N391" s="117">
        <f t="shared" si="45"/>
        <v>1</v>
      </c>
      <c r="O391" s="81">
        <f t="shared" si="47"/>
        <v>1.3899999999999988</v>
      </c>
      <c r="P391" s="81">
        <f>IF(G391="","",ABS(O391-Components!$C$2)/Components!$D$2)</f>
        <v>206.28606011190587</v>
      </c>
      <c r="Q391" s="81">
        <f>IF(G391="","",ABS(O391-Components!$C$3)/Components!$D$3)</f>
        <v>191.78705922704344</v>
      </c>
      <c r="R391" s="81">
        <f>IF(G391="","",ABS(O391-Components!$C$4)/Components!$D$4)</f>
        <v>28.376633579995573</v>
      </c>
      <c r="S391" s="81">
        <f>IF(G391="","",ABS(O391-Components!$C$5)/Components!$D$5)</f>
        <v>126.00040564948046</v>
      </c>
      <c r="T391" s="81">
        <f>IF(G391="","",ABS(O391-Components!$C$6)/Components!$D$6)</f>
        <v>8.4815837827810974</v>
      </c>
      <c r="U391" s="81">
        <f>IF(G391="","",ABS(O391-Components!$C$7)/Components!$D$7)</f>
        <v>0.62303925000541227</v>
      </c>
      <c r="V391" s="81" t="str">
        <f>IF(G391="","",IF(M391="OK","NONE",INDEX({"S1","S2","W1","W2","N1","N2"},MATCH(MIN(P391:U391),P391:U391,0))))</f>
        <v>N2</v>
      </c>
      <c r="W391" s="117">
        <f t="shared" si="48"/>
        <v>1</v>
      </c>
      <c r="X391" s="107"/>
    </row>
    <row r="392" spans="1:24">
      <c r="A392" s="115">
        <v>390</v>
      </c>
      <c r="B392" s="116">
        <v>13</v>
      </c>
      <c r="C392" s="61" t="s">
        <v>132</v>
      </c>
      <c r="D392" s="61" t="s">
        <v>240</v>
      </c>
      <c r="E392" s="61" t="s">
        <v>110</v>
      </c>
      <c r="F392" s="61">
        <v>7.2</v>
      </c>
      <c r="G392" s="52">
        <f t="shared" si="42"/>
        <v>8.17</v>
      </c>
      <c r="H392" s="110"/>
      <c r="I392" s="81">
        <v>9.61</v>
      </c>
      <c r="J392" s="81">
        <f>VLOOKUP(C392,Recipes!$A$2:$N$4,12,FALSE())</f>
        <v>6.1509461004819709E-2</v>
      </c>
      <c r="K392" s="81">
        <f t="shared" si="43"/>
        <v>9.2409432339710804</v>
      </c>
      <c r="L392" s="81">
        <f t="shared" si="44"/>
        <v>9.9790567660289184</v>
      </c>
      <c r="M392" s="81" t="str">
        <f t="shared" si="46"/>
        <v>NG</v>
      </c>
      <c r="N392" s="117">
        <f t="shared" si="45"/>
        <v>1</v>
      </c>
      <c r="O392" s="81">
        <f t="shared" si="47"/>
        <v>1.4399999999999995</v>
      </c>
      <c r="P392" s="81">
        <f>IF(G392="","",ABS(O392-Components!$C$2)/Components!$D$2)</f>
        <v>198.72055668481875</v>
      </c>
      <c r="Q392" s="81">
        <f>IF(G392="","",ABS(O392-Components!$C$3)/Components!$D$3)</f>
        <v>188.16296513734113</v>
      </c>
      <c r="R392" s="81">
        <f>IF(G392="","",ABS(O392-Components!$C$4)/Components!$D$4)</f>
        <v>31.95352016570936</v>
      </c>
      <c r="S392" s="81">
        <f>IF(G392="","",ABS(O392-Components!$C$5)/Components!$D$5)</f>
        <v>124.01468797271828</v>
      </c>
      <c r="T392" s="81">
        <f>IF(G392="","",ABS(O392-Components!$C$6)/Components!$D$6)</f>
        <v>10.291310052222359</v>
      </c>
      <c r="U392" s="81">
        <f>IF(G392="","",ABS(O392-Components!$C$7)/Components!$D$7)</f>
        <v>2.6114623883203261</v>
      </c>
      <c r="V392" s="81" t="str">
        <f>IF(G392="","",IF(M392="OK","NONE",INDEX({"S1","S2","W1","W2","N1","N2"},MATCH(MIN(P392:U392),P392:U392,0))))</f>
        <v>N2</v>
      </c>
      <c r="W392" s="117">
        <f t="shared" si="48"/>
        <v>1</v>
      </c>
      <c r="X392" s="107"/>
    </row>
    <row r="393" spans="1:24">
      <c r="A393" s="115">
        <v>391</v>
      </c>
      <c r="B393" s="116">
        <v>14</v>
      </c>
      <c r="C393" s="81" t="s">
        <v>132</v>
      </c>
      <c r="D393" s="111" t="s">
        <v>240</v>
      </c>
      <c r="E393" s="81" t="s">
        <v>108</v>
      </c>
      <c r="F393" s="61">
        <v>7.39</v>
      </c>
      <c r="G393" s="52">
        <f t="shared" si="42"/>
        <v>8.36</v>
      </c>
      <c r="H393" s="110"/>
      <c r="I393" s="81">
        <v>9.61</v>
      </c>
      <c r="J393" s="81">
        <f>VLOOKUP(C393,Recipes!$A$2:$N$4,12,FALSE())</f>
        <v>6.1509461004819709E-2</v>
      </c>
      <c r="K393" s="81">
        <f t="shared" si="43"/>
        <v>9.2409432339710804</v>
      </c>
      <c r="L393" s="81">
        <f t="shared" si="44"/>
        <v>9.9790567660289184</v>
      </c>
      <c r="M393" s="81" t="str">
        <f t="shared" si="46"/>
        <v>NG</v>
      </c>
      <c r="N393" s="117">
        <f t="shared" si="45"/>
        <v>1</v>
      </c>
      <c r="O393" s="81">
        <f t="shared" si="47"/>
        <v>1.25</v>
      </c>
      <c r="P393" s="81">
        <f>IF(G393="","",ABS(O393-Components!$C$2)/Components!$D$2)</f>
        <v>227.46946970774937</v>
      </c>
      <c r="Q393" s="81">
        <f>IF(G393="","",ABS(O393-Components!$C$3)/Components!$D$3)</f>
        <v>201.93452267820967</v>
      </c>
      <c r="R393" s="81">
        <f>IF(G393="","",ABS(O393-Components!$C$4)/Components!$D$4)</f>
        <v>18.3613511399972</v>
      </c>
      <c r="S393" s="81">
        <f>IF(G393="","",ABS(O393-Components!$C$5)/Components!$D$5)</f>
        <v>131.56041514441438</v>
      </c>
      <c r="T393" s="81">
        <f>IF(G393="","",ABS(O393-Components!$C$6)/Components!$D$6)</f>
        <v>3.4143502283456799</v>
      </c>
      <c r="U393" s="81">
        <f>IF(G393="","",ABS(O393-Components!$C$7)/Components!$D$7)</f>
        <v>4.9445455372762188</v>
      </c>
      <c r="V393" s="81" t="str">
        <f>IF(G393="","",IF(M393="OK","NONE",INDEX({"S1","S2","W1","W2","N1","N2"},MATCH(MIN(P393:U393),P393:U393,0))))</f>
        <v>N1</v>
      </c>
      <c r="W393" s="117">
        <f t="shared" si="48"/>
        <v>1</v>
      </c>
      <c r="X393" s="107"/>
    </row>
    <row r="394" spans="1:24">
      <c r="A394" s="115">
        <v>392</v>
      </c>
      <c r="B394" s="116">
        <v>14</v>
      </c>
      <c r="C394" s="81" t="s">
        <v>132</v>
      </c>
      <c r="D394" s="111" t="s">
        <v>240</v>
      </c>
      <c r="E394" s="81" t="s">
        <v>108</v>
      </c>
      <c r="F394" s="61">
        <v>7.49</v>
      </c>
      <c r="G394" s="52">
        <f t="shared" si="42"/>
        <v>8.4600000000000009</v>
      </c>
      <c r="H394" s="110"/>
      <c r="I394" s="81">
        <v>9.61</v>
      </c>
      <c r="J394" s="81">
        <f>VLOOKUP(C394,Recipes!$A$2:$N$4,12,FALSE())</f>
        <v>6.1509461004819709E-2</v>
      </c>
      <c r="K394" s="81">
        <f t="shared" si="43"/>
        <v>9.2409432339710804</v>
      </c>
      <c r="L394" s="81">
        <f t="shared" si="44"/>
        <v>9.9790567660289184</v>
      </c>
      <c r="M394" s="81" t="str">
        <f t="shared" si="46"/>
        <v>NG</v>
      </c>
      <c r="N394" s="117">
        <f t="shared" si="45"/>
        <v>1</v>
      </c>
      <c r="O394" s="81">
        <f t="shared" si="47"/>
        <v>1.1499999999999986</v>
      </c>
      <c r="P394" s="81">
        <f>IF(G394="","",ABS(O394-Components!$C$2)/Components!$D$2)</f>
        <v>242.60047656192364</v>
      </c>
      <c r="Q394" s="81">
        <f>IF(G394="","",ABS(O394-Components!$C$3)/Components!$D$3)</f>
        <v>209.1827108576143</v>
      </c>
      <c r="R394" s="81">
        <f>IF(G394="","",ABS(O394-Components!$C$4)/Components!$D$4)</f>
        <v>11.207577968569629</v>
      </c>
      <c r="S394" s="81">
        <f>IF(G394="","",ABS(O394-Components!$C$5)/Components!$D$5)</f>
        <v>135.53185049793873</v>
      </c>
      <c r="T394" s="81">
        <f>IF(G394="","",ABS(O394-Components!$C$6)/Components!$D$6)</f>
        <v>0.20510231053684372</v>
      </c>
      <c r="U394" s="81">
        <f>IF(G394="","",ABS(O394-Components!$C$7)/Components!$D$7)</f>
        <v>8.9213918139060464</v>
      </c>
      <c r="V394" s="81" t="str">
        <f>IF(G394="","",IF(M394="OK","NONE",INDEX({"S1","S2","W1","W2","N1","N2"},MATCH(MIN(P394:U394),P394:U394,0))))</f>
        <v>N1</v>
      </c>
      <c r="W394" s="117">
        <f t="shared" si="48"/>
        <v>1</v>
      </c>
      <c r="X394" s="107"/>
    </row>
    <row r="395" spans="1:24">
      <c r="A395" s="115">
        <v>393</v>
      </c>
      <c r="B395" s="116">
        <v>14</v>
      </c>
      <c r="C395" s="81" t="s">
        <v>132</v>
      </c>
      <c r="D395" s="111" t="s">
        <v>240</v>
      </c>
      <c r="E395" s="81" t="s">
        <v>108</v>
      </c>
      <c r="F395" s="61">
        <v>7.43</v>
      </c>
      <c r="G395" s="52">
        <f t="shared" si="42"/>
        <v>8.4</v>
      </c>
      <c r="H395" s="110"/>
      <c r="I395" s="81">
        <v>9.61</v>
      </c>
      <c r="J395" s="81">
        <f>VLOOKUP(C395,Recipes!$A$2:$N$4,12,FALSE())</f>
        <v>6.1509461004819709E-2</v>
      </c>
      <c r="K395" s="81">
        <f t="shared" si="43"/>
        <v>9.2409432339710804</v>
      </c>
      <c r="L395" s="81">
        <f t="shared" si="44"/>
        <v>9.9790567660289184</v>
      </c>
      <c r="M395" s="81" t="str">
        <f t="shared" si="46"/>
        <v>NG</v>
      </c>
      <c r="N395" s="117">
        <f t="shared" si="45"/>
        <v>1</v>
      </c>
      <c r="O395" s="81">
        <f t="shared" si="47"/>
        <v>1.2099999999999991</v>
      </c>
      <c r="P395" s="81">
        <f>IF(G395="","",ABS(O395-Components!$C$2)/Components!$D$2)</f>
        <v>233.52187244941913</v>
      </c>
      <c r="Q395" s="81">
        <f>IF(G395="","",ABS(O395-Components!$C$3)/Components!$D$3)</f>
        <v>204.83379794997154</v>
      </c>
      <c r="R395" s="81">
        <f>IF(G395="","",ABS(O395-Components!$C$4)/Components!$D$4)</f>
        <v>15.499841871426147</v>
      </c>
      <c r="S395" s="81">
        <f>IF(G395="","",ABS(O395-Components!$C$5)/Components!$D$5)</f>
        <v>133.14898928582414</v>
      </c>
      <c r="T395" s="81">
        <f>IF(G395="","",ABS(O395-Components!$C$6)/Components!$D$6)</f>
        <v>1.9665692127926575</v>
      </c>
      <c r="U395" s="81">
        <f>IF(G395="","",ABS(O395-Components!$C$7)/Components!$D$7)</f>
        <v>6.5352840479281635</v>
      </c>
      <c r="V395" s="81" t="str">
        <f>IF(G395="","",IF(M395="OK","NONE",INDEX({"S1","S2","W1","W2","N1","N2"},MATCH(MIN(P395:U395),P395:U395,0))))</f>
        <v>N1</v>
      </c>
      <c r="W395" s="117">
        <f t="shared" si="48"/>
        <v>1</v>
      </c>
      <c r="X395" s="107"/>
    </row>
    <row r="396" spans="1:24">
      <c r="A396" s="115">
        <v>394</v>
      </c>
      <c r="B396" s="116">
        <v>14</v>
      </c>
      <c r="C396" s="81" t="s">
        <v>132</v>
      </c>
      <c r="D396" s="111" t="s">
        <v>240</v>
      </c>
      <c r="E396" s="81" t="s">
        <v>108</v>
      </c>
      <c r="F396" s="61">
        <v>7.39</v>
      </c>
      <c r="G396" s="52">
        <f t="shared" si="42"/>
        <v>8.36</v>
      </c>
      <c r="H396" s="110"/>
      <c r="I396" s="81">
        <v>9.61</v>
      </c>
      <c r="J396" s="81">
        <f>VLOOKUP(C396,Recipes!$A$2:$N$4,12,FALSE())</f>
        <v>6.1509461004819709E-2</v>
      </c>
      <c r="K396" s="81">
        <f t="shared" si="43"/>
        <v>9.2409432339710804</v>
      </c>
      <c r="L396" s="81">
        <f t="shared" si="44"/>
        <v>9.9790567660289184</v>
      </c>
      <c r="M396" s="81" t="str">
        <f t="shared" si="46"/>
        <v>NG</v>
      </c>
      <c r="N396" s="117">
        <f t="shared" si="45"/>
        <v>1</v>
      </c>
      <c r="O396" s="81">
        <f t="shared" si="47"/>
        <v>1.25</v>
      </c>
      <c r="P396" s="81">
        <f>IF(G396="","",ABS(O396-Components!$C$2)/Components!$D$2)</f>
        <v>227.46946970774937</v>
      </c>
      <c r="Q396" s="81">
        <f>IF(G396="","",ABS(O396-Components!$C$3)/Components!$D$3)</f>
        <v>201.93452267820967</v>
      </c>
      <c r="R396" s="81">
        <f>IF(G396="","",ABS(O396-Components!$C$4)/Components!$D$4)</f>
        <v>18.3613511399972</v>
      </c>
      <c r="S396" s="81">
        <f>IF(G396="","",ABS(O396-Components!$C$5)/Components!$D$5)</f>
        <v>131.56041514441438</v>
      </c>
      <c r="T396" s="81">
        <f>IF(G396="","",ABS(O396-Components!$C$6)/Components!$D$6)</f>
        <v>3.4143502283456799</v>
      </c>
      <c r="U396" s="81">
        <f>IF(G396="","",ABS(O396-Components!$C$7)/Components!$D$7)</f>
        <v>4.9445455372762188</v>
      </c>
      <c r="V396" s="81" t="str">
        <f>IF(G396="","",IF(M396="OK","NONE",INDEX({"S1","S2","W1","W2","N1","N2"},MATCH(MIN(P396:U396),P396:U396,0))))</f>
        <v>N1</v>
      </c>
      <c r="W396" s="117">
        <f t="shared" si="48"/>
        <v>1</v>
      </c>
      <c r="X396" s="107"/>
    </row>
    <row r="397" spans="1:24">
      <c r="A397" s="115">
        <v>395</v>
      </c>
      <c r="B397" s="116">
        <v>14</v>
      </c>
      <c r="C397" s="81" t="s">
        <v>132</v>
      </c>
      <c r="D397" s="111" t="s">
        <v>240</v>
      </c>
      <c r="E397" s="81" t="s">
        <v>108</v>
      </c>
      <c r="F397" s="61">
        <v>7.49</v>
      </c>
      <c r="G397" s="52">
        <f t="shared" si="42"/>
        <v>8.4600000000000009</v>
      </c>
      <c r="H397" s="110"/>
      <c r="I397" s="81">
        <v>9.61</v>
      </c>
      <c r="J397" s="81">
        <f>VLOOKUP(C397,Recipes!$A$2:$N$4,12,FALSE())</f>
        <v>6.1509461004819709E-2</v>
      </c>
      <c r="K397" s="81">
        <f t="shared" si="43"/>
        <v>9.2409432339710804</v>
      </c>
      <c r="L397" s="81">
        <f t="shared" si="44"/>
        <v>9.9790567660289184</v>
      </c>
      <c r="M397" s="81" t="str">
        <f t="shared" si="46"/>
        <v>NG</v>
      </c>
      <c r="N397" s="117">
        <f t="shared" si="45"/>
        <v>1</v>
      </c>
      <c r="O397" s="81">
        <f t="shared" si="47"/>
        <v>1.1499999999999986</v>
      </c>
      <c r="P397" s="81">
        <f>IF(G397="","",ABS(O397-Components!$C$2)/Components!$D$2)</f>
        <v>242.60047656192364</v>
      </c>
      <c r="Q397" s="81">
        <f>IF(G397="","",ABS(O397-Components!$C$3)/Components!$D$3)</f>
        <v>209.1827108576143</v>
      </c>
      <c r="R397" s="81">
        <f>IF(G397="","",ABS(O397-Components!$C$4)/Components!$D$4)</f>
        <v>11.207577968569629</v>
      </c>
      <c r="S397" s="81">
        <f>IF(G397="","",ABS(O397-Components!$C$5)/Components!$D$5)</f>
        <v>135.53185049793873</v>
      </c>
      <c r="T397" s="81">
        <f>IF(G397="","",ABS(O397-Components!$C$6)/Components!$D$6)</f>
        <v>0.20510231053684372</v>
      </c>
      <c r="U397" s="81">
        <f>IF(G397="","",ABS(O397-Components!$C$7)/Components!$D$7)</f>
        <v>8.9213918139060464</v>
      </c>
      <c r="V397" s="81" t="str">
        <f>IF(G397="","",IF(M397="OK","NONE",INDEX({"S1","S2","W1","W2","N1","N2"},MATCH(MIN(P397:U397),P397:U397,0))))</f>
        <v>N1</v>
      </c>
      <c r="W397" s="117">
        <f t="shared" si="48"/>
        <v>1</v>
      </c>
      <c r="X397" s="107"/>
    </row>
    <row r="398" spans="1:24">
      <c r="A398" s="115">
        <v>396</v>
      </c>
      <c r="B398" s="116">
        <v>14</v>
      </c>
      <c r="C398" s="81" t="s">
        <v>132</v>
      </c>
      <c r="D398" s="111" t="s">
        <v>240</v>
      </c>
      <c r="E398" s="81" t="s">
        <v>108</v>
      </c>
      <c r="F398" s="61">
        <v>7.48</v>
      </c>
      <c r="G398" s="52">
        <f t="shared" si="42"/>
        <v>8.4500000000000011</v>
      </c>
      <c r="H398" s="110"/>
      <c r="I398" s="81">
        <v>9.61</v>
      </c>
      <c r="J398" s="81">
        <f>VLOOKUP(C398,Recipes!$A$2:$N$4,12,FALSE())</f>
        <v>6.1509461004819709E-2</v>
      </c>
      <c r="K398" s="81">
        <f t="shared" si="43"/>
        <v>9.2409432339710804</v>
      </c>
      <c r="L398" s="81">
        <f t="shared" si="44"/>
        <v>9.9790567660289184</v>
      </c>
      <c r="M398" s="81" t="str">
        <f t="shared" si="46"/>
        <v>NG</v>
      </c>
      <c r="N398" s="117">
        <f t="shared" si="45"/>
        <v>1</v>
      </c>
      <c r="O398" s="81">
        <f t="shared" si="47"/>
        <v>1.1599999999999984</v>
      </c>
      <c r="P398" s="81">
        <f>IF(G398="","",ABS(O398-Components!$C$2)/Components!$D$2)</f>
        <v>241.08737587650626</v>
      </c>
      <c r="Q398" s="81">
        <f>IF(G398="","",ABS(O398-Components!$C$3)/Components!$D$3)</f>
        <v>208.45789203967385</v>
      </c>
      <c r="R398" s="81">
        <f>IF(G398="","",ABS(O398-Components!$C$4)/Components!$D$4)</f>
        <v>11.92295528571236</v>
      </c>
      <c r="S398" s="81">
        <f>IF(G398="","",ABS(O398-Components!$C$5)/Components!$D$5)</f>
        <v>135.13470696258631</v>
      </c>
      <c r="T398" s="81">
        <f>IF(G398="","",ABS(O398-Components!$C$6)/Components!$D$6)</f>
        <v>0.15684294335139579</v>
      </c>
      <c r="U398" s="81">
        <f>IF(G398="","",ABS(O398-Components!$C$7)/Components!$D$7)</f>
        <v>8.5237071862430778</v>
      </c>
      <c r="V398" s="81" t="str">
        <f>IF(G398="","",IF(M398="OK","NONE",INDEX({"S1","S2","W1","W2","N1","N2"},MATCH(MIN(P398:U398),P398:U398,0))))</f>
        <v>N1</v>
      </c>
      <c r="W398" s="117">
        <f t="shared" si="48"/>
        <v>1</v>
      </c>
      <c r="X398" s="107"/>
    </row>
    <row r="399" spans="1:24">
      <c r="A399" s="115">
        <v>397</v>
      </c>
      <c r="B399" s="116">
        <v>14</v>
      </c>
      <c r="C399" s="81" t="s">
        <v>132</v>
      </c>
      <c r="D399" s="111" t="s">
        <v>240</v>
      </c>
      <c r="E399" s="81" t="s">
        <v>108</v>
      </c>
      <c r="F399" s="61">
        <v>7.46</v>
      </c>
      <c r="G399" s="52">
        <f t="shared" si="42"/>
        <v>8.43</v>
      </c>
      <c r="H399" s="110"/>
      <c r="I399" s="81">
        <v>9.61</v>
      </c>
      <c r="J399" s="81">
        <f>VLOOKUP(C399,Recipes!$A$2:$N$4,12,FALSE())</f>
        <v>6.1509461004819709E-2</v>
      </c>
      <c r="K399" s="81">
        <f t="shared" si="43"/>
        <v>9.2409432339710804</v>
      </c>
      <c r="L399" s="81">
        <f t="shared" si="44"/>
        <v>9.9790567660289184</v>
      </c>
      <c r="M399" s="81" t="str">
        <f t="shared" si="46"/>
        <v>NG</v>
      </c>
      <c r="N399" s="117">
        <f t="shared" si="45"/>
        <v>1</v>
      </c>
      <c r="O399" s="81">
        <f t="shared" si="47"/>
        <v>1.1799999999999997</v>
      </c>
      <c r="P399" s="81">
        <f>IF(G399="","",ABS(O399-Components!$C$2)/Components!$D$2)</f>
        <v>238.06117450567126</v>
      </c>
      <c r="Q399" s="81">
        <f>IF(G399="","",ABS(O399-Components!$C$3)/Components!$D$3)</f>
        <v>207.00825440379285</v>
      </c>
      <c r="R399" s="81">
        <f>IF(G399="","",ABS(O399-Components!$C$4)/Components!$D$4)</f>
        <v>13.353709919997952</v>
      </c>
      <c r="S399" s="81">
        <f>IF(G399="","",ABS(O399-Components!$C$5)/Components!$D$5)</f>
        <v>134.3404198918814</v>
      </c>
      <c r="T399" s="81">
        <f>IF(G399="","",ABS(O399-Components!$C$6)/Components!$D$6)</f>
        <v>0.8807334511279391</v>
      </c>
      <c r="U399" s="81">
        <f>IF(G399="","",ABS(O399-Components!$C$7)/Components!$D$7)</f>
        <v>7.7283379309170694</v>
      </c>
      <c r="V399" s="81" t="str">
        <f>IF(G399="","",IF(M399="OK","NONE",INDEX({"S1","S2","W1","W2","N1","N2"},MATCH(MIN(P399:U399),P399:U399,0))))</f>
        <v>N1</v>
      </c>
      <c r="W399" s="117">
        <f t="shared" si="48"/>
        <v>1</v>
      </c>
      <c r="X399" s="107"/>
    </row>
    <row r="400" spans="1:24">
      <c r="A400" s="115">
        <v>398</v>
      </c>
      <c r="B400" s="116">
        <v>14</v>
      </c>
      <c r="C400" s="81" t="s">
        <v>132</v>
      </c>
      <c r="D400" s="111" t="s">
        <v>240</v>
      </c>
      <c r="E400" s="81" t="s">
        <v>108</v>
      </c>
      <c r="F400" s="61">
        <v>7.48</v>
      </c>
      <c r="G400" s="52">
        <f t="shared" si="42"/>
        <v>8.4500000000000011</v>
      </c>
      <c r="H400" s="110"/>
      <c r="I400" s="81">
        <v>9.61</v>
      </c>
      <c r="J400" s="81">
        <f>VLOOKUP(C400,Recipes!$A$2:$N$4,12,FALSE())</f>
        <v>6.1509461004819709E-2</v>
      </c>
      <c r="K400" s="81">
        <f t="shared" si="43"/>
        <v>9.2409432339710804</v>
      </c>
      <c r="L400" s="81">
        <f t="shared" si="44"/>
        <v>9.9790567660289184</v>
      </c>
      <c r="M400" s="81" t="str">
        <f t="shared" si="46"/>
        <v>NG</v>
      </c>
      <c r="N400" s="117">
        <f t="shared" si="45"/>
        <v>1</v>
      </c>
      <c r="O400" s="81">
        <f t="shared" si="47"/>
        <v>1.1599999999999984</v>
      </c>
      <c r="P400" s="81">
        <f>IF(G400="","",ABS(O400-Components!$C$2)/Components!$D$2)</f>
        <v>241.08737587650626</v>
      </c>
      <c r="Q400" s="81">
        <f>IF(G400="","",ABS(O400-Components!$C$3)/Components!$D$3)</f>
        <v>208.45789203967385</v>
      </c>
      <c r="R400" s="81">
        <f>IF(G400="","",ABS(O400-Components!$C$4)/Components!$D$4)</f>
        <v>11.92295528571236</v>
      </c>
      <c r="S400" s="81">
        <f>IF(G400="","",ABS(O400-Components!$C$5)/Components!$D$5)</f>
        <v>135.13470696258631</v>
      </c>
      <c r="T400" s="81">
        <f>IF(G400="","",ABS(O400-Components!$C$6)/Components!$D$6)</f>
        <v>0.15684294335139579</v>
      </c>
      <c r="U400" s="81">
        <f>IF(G400="","",ABS(O400-Components!$C$7)/Components!$D$7)</f>
        <v>8.5237071862430778</v>
      </c>
      <c r="V400" s="81" t="str">
        <f>IF(G400="","",IF(M400="OK","NONE",INDEX({"S1","S2","W1","W2","N1","N2"},MATCH(MIN(P400:U400),P400:U400,0))))</f>
        <v>N1</v>
      </c>
      <c r="W400" s="117">
        <f t="shared" si="48"/>
        <v>1</v>
      </c>
      <c r="X400" s="107"/>
    </row>
    <row r="401" spans="1:24">
      <c r="A401" s="115">
        <v>399</v>
      </c>
      <c r="B401" s="116">
        <v>14</v>
      </c>
      <c r="C401" s="81" t="s">
        <v>132</v>
      </c>
      <c r="D401" s="111" t="s">
        <v>240</v>
      </c>
      <c r="E401" s="81" t="s">
        <v>108</v>
      </c>
      <c r="F401" s="61">
        <v>7.45</v>
      </c>
      <c r="G401" s="52">
        <f t="shared" si="42"/>
        <v>8.42</v>
      </c>
      <c r="H401" s="110"/>
      <c r="I401" s="81">
        <v>9.61</v>
      </c>
      <c r="J401" s="81">
        <f>VLOOKUP(C401,Recipes!$A$2:$N$4,12,FALSE())</f>
        <v>6.1509461004819709E-2</v>
      </c>
      <c r="K401" s="81">
        <f t="shared" si="43"/>
        <v>9.2409432339710804</v>
      </c>
      <c r="L401" s="81">
        <f t="shared" si="44"/>
        <v>9.9790567660289184</v>
      </c>
      <c r="M401" s="81" t="str">
        <f t="shared" si="46"/>
        <v>NG</v>
      </c>
      <c r="N401" s="117">
        <f t="shared" si="45"/>
        <v>1</v>
      </c>
      <c r="O401" s="81">
        <f t="shared" si="47"/>
        <v>1.1899999999999995</v>
      </c>
      <c r="P401" s="81">
        <f>IF(G401="","",ABS(O401-Components!$C$2)/Components!$D$2)</f>
        <v>236.54807382025388</v>
      </c>
      <c r="Q401" s="81">
        <f>IF(G401="","",ABS(O401-Components!$C$3)/Components!$D$3)</f>
        <v>206.28343558585243</v>
      </c>
      <c r="R401" s="81">
        <f>IF(G401="","",ABS(O401-Components!$C$4)/Components!$D$4)</f>
        <v>14.069087237140684</v>
      </c>
      <c r="S401" s="81">
        <f>IF(G401="","",ABS(O401-Components!$C$5)/Components!$D$5)</f>
        <v>133.94327635652897</v>
      </c>
      <c r="T401" s="81">
        <f>IF(G401="","",ABS(O401-Components!$C$6)/Components!$D$6)</f>
        <v>1.2426787050161785</v>
      </c>
      <c r="U401" s="81">
        <f>IF(G401="","",ABS(O401-Components!$C$7)/Components!$D$7)</f>
        <v>7.3306533032541008</v>
      </c>
      <c r="V401" s="81" t="str">
        <f>IF(G401="","",IF(M401="OK","NONE",INDEX({"S1","S2","W1","W2","N1","N2"},MATCH(MIN(P401:U401),P401:U401,0))))</f>
        <v>N1</v>
      </c>
      <c r="W401" s="117">
        <f t="shared" si="48"/>
        <v>1</v>
      </c>
      <c r="X401" s="107"/>
    </row>
    <row r="402" spans="1:24">
      <c r="A402" s="115">
        <v>400</v>
      </c>
      <c r="B402" s="116">
        <v>14</v>
      </c>
      <c r="C402" s="81" t="s">
        <v>132</v>
      </c>
      <c r="D402" s="111" t="s">
        <v>240</v>
      </c>
      <c r="E402" s="81" t="s">
        <v>108</v>
      </c>
      <c r="F402" s="61">
        <v>7.43</v>
      </c>
      <c r="G402" s="52">
        <f t="shared" si="42"/>
        <v>8.4</v>
      </c>
      <c r="H402" s="110"/>
      <c r="I402" s="81">
        <v>9.61</v>
      </c>
      <c r="J402" s="81">
        <f>VLOOKUP(C402,Recipes!$A$2:$N$4,12,FALSE())</f>
        <v>6.1509461004819709E-2</v>
      </c>
      <c r="K402" s="81">
        <f t="shared" si="43"/>
        <v>9.2409432339710804</v>
      </c>
      <c r="L402" s="81">
        <f t="shared" si="44"/>
        <v>9.9790567660289184</v>
      </c>
      <c r="M402" s="81" t="str">
        <f t="shared" si="46"/>
        <v>NG</v>
      </c>
      <c r="N402" s="117">
        <f t="shared" si="45"/>
        <v>1</v>
      </c>
      <c r="O402" s="81">
        <f t="shared" si="47"/>
        <v>1.2099999999999991</v>
      </c>
      <c r="P402" s="81">
        <f>IF(G402="","",ABS(O402-Components!$C$2)/Components!$D$2)</f>
        <v>233.52187244941913</v>
      </c>
      <c r="Q402" s="81">
        <f>IF(G402="","",ABS(O402-Components!$C$3)/Components!$D$3)</f>
        <v>204.83379794997154</v>
      </c>
      <c r="R402" s="81">
        <f>IF(G402="","",ABS(O402-Components!$C$4)/Components!$D$4)</f>
        <v>15.499841871426147</v>
      </c>
      <c r="S402" s="81">
        <f>IF(G402="","",ABS(O402-Components!$C$5)/Components!$D$5)</f>
        <v>133.14898928582414</v>
      </c>
      <c r="T402" s="81">
        <f>IF(G402="","",ABS(O402-Components!$C$6)/Components!$D$6)</f>
        <v>1.9665692127926575</v>
      </c>
      <c r="U402" s="81">
        <f>IF(G402="","",ABS(O402-Components!$C$7)/Components!$D$7)</f>
        <v>6.5352840479281635</v>
      </c>
      <c r="V402" s="81" t="str">
        <f>IF(G402="","",IF(M402="OK","NONE",INDEX({"S1","S2","W1","W2","N1","N2"},MATCH(MIN(P402:U402),P402:U402,0))))</f>
        <v>N1</v>
      </c>
      <c r="W402" s="117">
        <f t="shared" si="48"/>
        <v>1</v>
      </c>
      <c r="X402" s="107"/>
    </row>
    <row r="403" spans="1:24">
      <c r="A403" s="115">
        <v>401</v>
      </c>
      <c r="B403" s="116">
        <v>14</v>
      </c>
      <c r="C403" s="81" t="s">
        <v>132</v>
      </c>
      <c r="D403" s="111" t="s">
        <v>240</v>
      </c>
      <c r="E403" s="81" t="s">
        <v>108</v>
      </c>
      <c r="F403" s="61">
        <v>7.48</v>
      </c>
      <c r="G403" s="52">
        <f t="shared" si="42"/>
        <v>8.4500000000000011</v>
      </c>
      <c r="H403" s="110"/>
      <c r="I403" s="81">
        <v>9.61</v>
      </c>
      <c r="J403" s="81">
        <f>VLOOKUP(C403,Recipes!$A$2:$N$4,12,FALSE())</f>
        <v>6.1509461004819709E-2</v>
      </c>
      <c r="K403" s="81">
        <f t="shared" si="43"/>
        <v>9.2409432339710804</v>
      </c>
      <c r="L403" s="81">
        <f t="shared" si="44"/>
        <v>9.9790567660289184</v>
      </c>
      <c r="M403" s="81" t="str">
        <f t="shared" si="46"/>
        <v>NG</v>
      </c>
      <c r="N403" s="117">
        <f t="shared" si="45"/>
        <v>1</v>
      </c>
      <c r="O403" s="81">
        <f t="shared" si="47"/>
        <v>1.1599999999999984</v>
      </c>
      <c r="P403" s="81">
        <f>IF(G403="","",ABS(O403-Components!$C$2)/Components!$D$2)</f>
        <v>241.08737587650626</v>
      </c>
      <c r="Q403" s="81">
        <f>IF(G403="","",ABS(O403-Components!$C$3)/Components!$D$3)</f>
        <v>208.45789203967385</v>
      </c>
      <c r="R403" s="81">
        <f>IF(G403="","",ABS(O403-Components!$C$4)/Components!$D$4)</f>
        <v>11.92295528571236</v>
      </c>
      <c r="S403" s="81">
        <f>IF(G403="","",ABS(O403-Components!$C$5)/Components!$D$5)</f>
        <v>135.13470696258631</v>
      </c>
      <c r="T403" s="81">
        <f>IF(G403="","",ABS(O403-Components!$C$6)/Components!$D$6)</f>
        <v>0.15684294335139579</v>
      </c>
      <c r="U403" s="81">
        <f>IF(G403="","",ABS(O403-Components!$C$7)/Components!$D$7)</f>
        <v>8.5237071862430778</v>
      </c>
      <c r="V403" s="81" t="str">
        <f>IF(G403="","",IF(M403="OK","NONE",INDEX({"S1","S2","W1","W2","N1","N2"},MATCH(MIN(P403:U403),P403:U403,0))))</f>
        <v>N1</v>
      </c>
      <c r="W403" s="117">
        <f t="shared" si="48"/>
        <v>1</v>
      </c>
      <c r="X403" s="107"/>
    </row>
    <row r="404" spans="1:24">
      <c r="A404" s="115">
        <v>402</v>
      </c>
      <c r="B404" s="116">
        <v>14</v>
      </c>
      <c r="C404" s="81" t="s">
        <v>132</v>
      </c>
      <c r="D404" s="111" t="s">
        <v>240</v>
      </c>
      <c r="E404" s="81" t="s">
        <v>108</v>
      </c>
      <c r="F404" s="61">
        <v>7.46</v>
      </c>
      <c r="G404" s="52">
        <f t="shared" si="42"/>
        <v>8.43</v>
      </c>
      <c r="H404" s="110"/>
      <c r="I404" s="81">
        <v>9.61</v>
      </c>
      <c r="J404" s="81">
        <f>VLOOKUP(C404,Recipes!$A$2:$N$4,12,FALSE())</f>
        <v>6.1509461004819709E-2</v>
      </c>
      <c r="K404" s="81">
        <f t="shared" si="43"/>
        <v>9.2409432339710804</v>
      </c>
      <c r="L404" s="81">
        <f t="shared" si="44"/>
        <v>9.9790567660289184</v>
      </c>
      <c r="M404" s="81" t="str">
        <f t="shared" si="46"/>
        <v>NG</v>
      </c>
      <c r="N404" s="117">
        <f t="shared" si="45"/>
        <v>1</v>
      </c>
      <c r="O404" s="81">
        <f t="shared" si="47"/>
        <v>1.1799999999999997</v>
      </c>
      <c r="P404" s="81">
        <f>IF(G404="","",ABS(O404-Components!$C$2)/Components!$D$2)</f>
        <v>238.06117450567126</v>
      </c>
      <c r="Q404" s="81">
        <f>IF(G404="","",ABS(O404-Components!$C$3)/Components!$D$3)</f>
        <v>207.00825440379285</v>
      </c>
      <c r="R404" s="81">
        <f>IF(G404="","",ABS(O404-Components!$C$4)/Components!$D$4)</f>
        <v>13.353709919997952</v>
      </c>
      <c r="S404" s="81">
        <f>IF(G404="","",ABS(O404-Components!$C$5)/Components!$D$5)</f>
        <v>134.3404198918814</v>
      </c>
      <c r="T404" s="81">
        <f>IF(G404="","",ABS(O404-Components!$C$6)/Components!$D$6)</f>
        <v>0.8807334511279391</v>
      </c>
      <c r="U404" s="81">
        <f>IF(G404="","",ABS(O404-Components!$C$7)/Components!$D$7)</f>
        <v>7.7283379309170694</v>
      </c>
      <c r="V404" s="81" t="str">
        <f>IF(G404="","",IF(M404="OK","NONE",INDEX({"S1","S2","W1","W2","N1","N2"},MATCH(MIN(P404:U404),P404:U404,0))))</f>
        <v>N1</v>
      </c>
      <c r="W404" s="117">
        <f t="shared" si="48"/>
        <v>1</v>
      </c>
      <c r="X404" s="107"/>
    </row>
    <row r="405" spans="1:24">
      <c r="A405" s="115">
        <v>403</v>
      </c>
      <c r="B405" s="116">
        <v>14</v>
      </c>
      <c r="C405" s="81" t="s">
        <v>132</v>
      </c>
      <c r="D405" s="111" t="s">
        <v>240</v>
      </c>
      <c r="E405" s="81" t="s">
        <v>108</v>
      </c>
      <c r="F405" s="61">
        <v>7.47</v>
      </c>
      <c r="G405" s="52">
        <f t="shared" si="42"/>
        <v>8.44</v>
      </c>
      <c r="H405" s="110"/>
      <c r="I405" s="81">
        <v>9.61</v>
      </c>
      <c r="J405" s="81">
        <f>VLOOKUP(C405,Recipes!$A$2:$N$4,12,FALSE())</f>
        <v>6.1509461004819709E-2</v>
      </c>
      <c r="K405" s="81">
        <f t="shared" si="43"/>
        <v>9.2409432339710804</v>
      </c>
      <c r="L405" s="81">
        <f t="shared" si="44"/>
        <v>9.9790567660289184</v>
      </c>
      <c r="M405" s="81" t="str">
        <f t="shared" si="46"/>
        <v>NG</v>
      </c>
      <c r="N405" s="117">
        <f t="shared" si="45"/>
        <v>1</v>
      </c>
      <c r="O405" s="81">
        <f t="shared" si="47"/>
        <v>1.17</v>
      </c>
      <c r="P405" s="81">
        <f>IF(G405="","",ABS(O405-Components!$C$2)/Components!$D$2)</f>
        <v>239.57427519108862</v>
      </c>
      <c r="Q405" s="81">
        <f>IF(G405="","",ABS(O405-Components!$C$3)/Components!$D$3)</f>
        <v>207.73307322173329</v>
      </c>
      <c r="R405" s="81">
        <f>IF(G405="","",ABS(O405-Components!$C$4)/Components!$D$4)</f>
        <v>12.63833260285522</v>
      </c>
      <c r="S405" s="81">
        <f>IF(G405="","",ABS(O405-Components!$C$5)/Components!$D$5)</f>
        <v>134.73756342723382</v>
      </c>
      <c r="T405" s="81">
        <f>IF(G405="","",ABS(O405-Components!$C$6)/Components!$D$6)</f>
        <v>0.5187881972396996</v>
      </c>
      <c r="U405" s="81">
        <f>IF(G405="","",ABS(O405-Components!$C$7)/Components!$D$7)</f>
        <v>8.1260225585800381</v>
      </c>
      <c r="V405" s="81" t="str">
        <f>IF(G405="","",IF(M405="OK","NONE",INDEX({"S1","S2","W1","W2","N1","N2"},MATCH(MIN(P405:U405),P405:U405,0))))</f>
        <v>N1</v>
      </c>
      <c r="W405" s="117">
        <f t="shared" si="48"/>
        <v>1</v>
      </c>
      <c r="X405" s="107"/>
    </row>
    <row r="406" spans="1:24">
      <c r="A406" s="115">
        <v>404</v>
      </c>
      <c r="B406" s="116">
        <v>14</v>
      </c>
      <c r="C406" s="81" t="s">
        <v>132</v>
      </c>
      <c r="D406" s="111" t="s">
        <v>240</v>
      </c>
      <c r="E406" s="81" t="s">
        <v>108</v>
      </c>
      <c r="F406" s="61">
        <v>7.3</v>
      </c>
      <c r="G406" s="52">
        <f t="shared" si="42"/>
        <v>8.27</v>
      </c>
      <c r="H406" s="110"/>
      <c r="I406" s="81">
        <v>9.61</v>
      </c>
      <c r="J406" s="81">
        <f>VLOOKUP(C406,Recipes!$A$2:$N$4,12,FALSE())</f>
        <v>6.1509461004819709E-2</v>
      </c>
      <c r="K406" s="81">
        <f t="shared" si="43"/>
        <v>9.2409432339710804</v>
      </c>
      <c r="L406" s="81">
        <f t="shared" si="44"/>
        <v>9.9790567660289184</v>
      </c>
      <c r="M406" s="81" t="str">
        <f t="shared" si="46"/>
        <v>NG</v>
      </c>
      <c r="N406" s="117">
        <f t="shared" si="45"/>
        <v>1</v>
      </c>
      <c r="O406" s="81">
        <f t="shared" si="47"/>
        <v>1.3399999999999999</v>
      </c>
      <c r="P406" s="81">
        <f>IF(G406="","",ABS(O406-Components!$C$2)/Components!$D$2)</f>
        <v>213.85156353899274</v>
      </c>
      <c r="Q406" s="81">
        <f>IF(G406="","",ABS(O406-Components!$C$3)/Components!$D$3)</f>
        <v>195.41115331674561</v>
      </c>
      <c r="R406" s="81">
        <f>IF(G406="","",ABS(O406-Components!$C$4)/Components!$D$4)</f>
        <v>24.799746994281914</v>
      </c>
      <c r="S406" s="81">
        <f>IF(G406="","",ABS(O406-Components!$C$5)/Components!$D$5)</f>
        <v>127.98612332624255</v>
      </c>
      <c r="T406" s="81">
        <f>IF(G406="","",ABS(O406-Components!$C$6)/Components!$D$6)</f>
        <v>6.6718575133398996</v>
      </c>
      <c r="U406" s="81">
        <f>IF(G406="","",ABS(O406-Components!$C$7)/Components!$D$7)</f>
        <v>1.3653838883094307</v>
      </c>
      <c r="V406" s="81" t="str">
        <f>IF(G406="","",IF(M406="OK","NONE",INDEX({"S1","S2","W1","W2","N1","N2"},MATCH(MIN(P406:U406),P406:U406,0))))</f>
        <v>N2</v>
      </c>
      <c r="W406" s="122">
        <f t="shared" si="48"/>
        <v>0</v>
      </c>
      <c r="X406" s="107"/>
    </row>
    <row r="407" spans="1:24">
      <c r="A407" s="115">
        <v>405</v>
      </c>
      <c r="B407" s="116">
        <v>14</v>
      </c>
      <c r="C407" s="81" t="s">
        <v>132</v>
      </c>
      <c r="D407" s="111" t="s">
        <v>240</v>
      </c>
      <c r="E407" s="81" t="s">
        <v>108</v>
      </c>
      <c r="F407" s="61">
        <v>7.44</v>
      </c>
      <c r="G407" s="52">
        <f t="shared" si="42"/>
        <v>8.41</v>
      </c>
      <c r="H407" s="110"/>
      <c r="I407" s="81">
        <v>9.61</v>
      </c>
      <c r="J407" s="81">
        <f>VLOOKUP(C407,Recipes!$A$2:$N$4,12,FALSE())</f>
        <v>6.1509461004819709E-2</v>
      </c>
      <c r="K407" s="81">
        <f t="shared" si="43"/>
        <v>9.2409432339710804</v>
      </c>
      <c r="L407" s="81">
        <f t="shared" si="44"/>
        <v>9.9790567660289184</v>
      </c>
      <c r="M407" s="81" t="str">
        <f t="shared" si="46"/>
        <v>NG</v>
      </c>
      <c r="N407" s="117">
        <f t="shared" si="45"/>
        <v>1</v>
      </c>
      <c r="O407" s="81">
        <f t="shared" si="47"/>
        <v>1.1999999999999993</v>
      </c>
      <c r="P407" s="81">
        <f>IF(G407="","",ABS(O407-Components!$C$2)/Components!$D$2)</f>
        <v>235.03497313483649</v>
      </c>
      <c r="Q407" s="81">
        <f>IF(G407="","",ABS(O407-Components!$C$3)/Components!$D$3)</f>
        <v>205.55861676791199</v>
      </c>
      <c r="R407" s="81">
        <f>IF(G407="","",ABS(O407-Components!$C$4)/Components!$D$4)</f>
        <v>14.784464554283415</v>
      </c>
      <c r="S407" s="81">
        <f>IF(G407="","",ABS(O407-Components!$C$5)/Components!$D$5)</f>
        <v>133.54613282117657</v>
      </c>
      <c r="T407" s="81">
        <f>IF(G407="","",ABS(O407-Components!$C$6)/Components!$D$6)</f>
        <v>1.604623958904418</v>
      </c>
      <c r="U407" s="81">
        <f>IF(G407="","",ABS(O407-Components!$C$7)/Components!$D$7)</f>
        <v>6.9329686755911322</v>
      </c>
      <c r="V407" s="81" t="str">
        <f>IF(G407="","",IF(M407="OK","NONE",INDEX({"S1","S2","W1","W2","N1","N2"},MATCH(MIN(P407:U407),P407:U407,0))))</f>
        <v>N1</v>
      </c>
      <c r="W407" s="117">
        <f t="shared" si="48"/>
        <v>1</v>
      </c>
      <c r="X407" s="107"/>
    </row>
    <row r="408" spans="1:24">
      <c r="A408" s="115">
        <v>406</v>
      </c>
      <c r="B408" s="116">
        <v>14</v>
      </c>
      <c r="C408" s="81" t="s">
        <v>132</v>
      </c>
      <c r="D408" s="111" t="s">
        <v>240</v>
      </c>
      <c r="E408" s="81" t="s">
        <v>108</v>
      </c>
      <c r="F408" s="61">
        <v>7.45</v>
      </c>
      <c r="G408" s="52">
        <f t="shared" si="42"/>
        <v>8.42</v>
      </c>
      <c r="H408" s="110"/>
      <c r="I408" s="81">
        <v>9.61</v>
      </c>
      <c r="J408" s="81">
        <f>VLOOKUP(C408,Recipes!$A$2:$N$4,12,FALSE())</f>
        <v>6.1509461004819709E-2</v>
      </c>
      <c r="K408" s="81">
        <f t="shared" si="43"/>
        <v>9.2409432339710804</v>
      </c>
      <c r="L408" s="81">
        <f t="shared" si="44"/>
        <v>9.9790567660289184</v>
      </c>
      <c r="M408" s="81" t="str">
        <f t="shared" si="46"/>
        <v>NG</v>
      </c>
      <c r="N408" s="117">
        <f t="shared" si="45"/>
        <v>1</v>
      </c>
      <c r="O408" s="81">
        <f t="shared" si="47"/>
        <v>1.1899999999999995</v>
      </c>
      <c r="P408" s="81">
        <f>IF(G408="","",ABS(O408-Components!$C$2)/Components!$D$2)</f>
        <v>236.54807382025388</v>
      </c>
      <c r="Q408" s="81">
        <f>IF(G408="","",ABS(O408-Components!$C$3)/Components!$D$3)</f>
        <v>206.28343558585243</v>
      </c>
      <c r="R408" s="81">
        <f>IF(G408="","",ABS(O408-Components!$C$4)/Components!$D$4)</f>
        <v>14.069087237140684</v>
      </c>
      <c r="S408" s="81">
        <f>IF(G408="","",ABS(O408-Components!$C$5)/Components!$D$5)</f>
        <v>133.94327635652897</v>
      </c>
      <c r="T408" s="81">
        <f>IF(G408="","",ABS(O408-Components!$C$6)/Components!$D$6)</f>
        <v>1.2426787050161785</v>
      </c>
      <c r="U408" s="81">
        <f>IF(G408="","",ABS(O408-Components!$C$7)/Components!$D$7)</f>
        <v>7.3306533032541008</v>
      </c>
      <c r="V408" s="81" t="str">
        <f>IF(G408="","",IF(M408="OK","NONE",INDEX({"S1","S2","W1","W2","N1","N2"},MATCH(MIN(P408:U408),P408:U408,0))))</f>
        <v>N1</v>
      </c>
      <c r="W408" s="117">
        <f t="shared" si="48"/>
        <v>1</v>
      </c>
      <c r="X408" s="107"/>
    </row>
    <row r="409" spans="1:24">
      <c r="A409" s="115">
        <v>407</v>
      </c>
      <c r="B409" s="116">
        <v>14</v>
      </c>
      <c r="C409" s="81" t="s">
        <v>132</v>
      </c>
      <c r="D409" s="111" t="s">
        <v>240</v>
      </c>
      <c r="E409" s="81" t="s">
        <v>108</v>
      </c>
      <c r="F409" s="61">
        <v>7.45</v>
      </c>
      <c r="G409" s="52">
        <f t="shared" si="42"/>
        <v>8.42</v>
      </c>
      <c r="H409" s="110"/>
      <c r="I409" s="81">
        <v>9.61</v>
      </c>
      <c r="J409" s="81">
        <f>VLOOKUP(C409,Recipes!$A$2:$N$4,12,FALSE())</f>
        <v>6.1509461004819709E-2</v>
      </c>
      <c r="K409" s="81">
        <f t="shared" si="43"/>
        <v>9.2409432339710804</v>
      </c>
      <c r="L409" s="81">
        <f t="shared" si="44"/>
        <v>9.9790567660289184</v>
      </c>
      <c r="M409" s="81" t="str">
        <f t="shared" si="46"/>
        <v>NG</v>
      </c>
      <c r="N409" s="117">
        <f t="shared" si="45"/>
        <v>1</v>
      </c>
      <c r="O409" s="81">
        <f t="shared" si="47"/>
        <v>1.1899999999999995</v>
      </c>
      <c r="P409" s="81">
        <f>IF(G409="","",ABS(O409-Components!$C$2)/Components!$D$2)</f>
        <v>236.54807382025388</v>
      </c>
      <c r="Q409" s="81">
        <f>IF(G409="","",ABS(O409-Components!$C$3)/Components!$D$3)</f>
        <v>206.28343558585243</v>
      </c>
      <c r="R409" s="81">
        <f>IF(G409="","",ABS(O409-Components!$C$4)/Components!$D$4)</f>
        <v>14.069087237140684</v>
      </c>
      <c r="S409" s="81">
        <f>IF(G409="","",ABS(O409-Components!$C$5)/Components!$D$5)</f>
        <v>133.94327635652897</v>
      </c>
      <c r="T409" s="81">
        <f>IF(G409="","",ABS(O409-Components!$C$6)/Components!$D$6)</f>
        <v>1.2426787050161785</v>
      </c>
      <c r="U409" s="81">
        <f>IF(G409="","",ABS(O409-Components!$C$7)/Components!$D$7)</f>
        <v>7.3306533032541008</v>
      </c>
      <c r="V409" s="81" t="str">
        <f>IF(G409="","",IF(M409="OK","NONE",INDEX({"S1","S2","W1","W2","N1","N2"},MATCH(MIN(P409:U409),P409:U409,0))))</f>
        <v>N1</v>
      </c>
      <c r="W409" s="117">
        <f t="shared" si="48"/>
        <v>1</v>
      </c>
      <c r="X409" s="107"/>
    </row>
    <row r="410" spans="1:24">
      <c r="A410" s="115">
        <v>408</v>
      </c>
      <c r="B410" s="116">
        <v>14</v>
      </c>
      <c r="C410" s="81" t="s">
        <v>132</v>
      </c>
      <c r="D410" s="111" t="s">
        <v>240</v>
      </c>
      <c r="E410" s="81" t="s">
        <v>108</v>
      </c>
      <c r="F410" s="61">
        <v>7.44</v>
      </c>
      <c r="G410" s="52">
        <f t="shared" si="42"/>
        <v>8.41</v>
      </c>
      <c r="H410" s="110"/>
      <c r="I410" s="81">
        <v>9.61</v>
      </c>
      <c r="J410" s="81">
        <f>VLOOKUP(C410,Recipes!$A$2:$N$4,12,FALSE())</f>
        <v>6.1509461004819709E-2</v>
      </c>
      <c r="K410" s="81">
        <f t="shared" si="43"/>
        <v>9.2409432339710804</v>
      </c>
      <c r="L410" s="81">
        <f t="shared" si="44"/>
        <v>9.9790567660289184</v>
      </c>
      <c r="M410" s="81" t="str">
        <f t="shared" si="46"/>
        <v>NG</v>
      </c>
      <c r="N410" s="117">
        <f t="shared" si="45"/>
        <v>1</v>
      </c>
      <c r="O410" s="81">
        <f t="shared" si="47"/>
        <v>1.1999999999999993</v>
      </c>
      <c r="P410" s="81">
        <f>IF(G410="","",ABS(O410-Components!$C$2)/Components!$D$2)</f>
        <v>235.03497313483649</v>
      </c>
      <c r="Q410" s="81">
        <f>IF(G410="","",ABS(O410-Components!$C$3)/Components!$D$3)</f>
        <v>205.55861676791199</v>
      </c>
      <c r="R410" s="81">
        <f>IF(G410="","",ABS(O410-Components!$C$4)/Components!$D$4)</f>
        <v>14.784464554283415</v>
      </c>
      <c r="S410" s="81">
        <f>IF(G410="","",ABS(O410-Components!$C$5)/Components!$D$5)</f>
        <v>133.54613282117657</v>
      </c>
      <c r="T410" s="81">
        <f>IF(G410="","",ABS(O410-Components!$C$6)/Components!$D$6)</f>
        <v>1.604623958904418</v>
      </c>
      <c r="U410" s="81">
        <f>IF(G410="","",ABS(O410-Components!$C$7)/Components!$D$7)</f>
        <v>6.9329686755911322</v>
      </c>
      <c r="V410" s="81" t="str">
        <f>IF(G410="","",IF(M410="OK","NONE",INDEX({"S1","S2","W1","W2","N1","N2"},MATCH(MIN(P410:U410),P410:U410,0))))</f>
        <v>N1</v>
      </c>
      <c r="W410" s="117">
        <f t="shared" si="48"/>
        <v>1</v>
      </c>
      <c r="X410" s="107"/>
    </row>
    <row r="411" spans="1:24">
      <c r="A411" s="115">
        <v>409</v>
      </c>
      <c r="B411" s="116">
        <v>14</v>
      </c>
      <c r="C411" s="81" t="s">
        <v>132</v>
      </c>
      <c r="D411" s="111" t="s">
        <v>240</v>
      </c>
      <c r="E411" s="81" t="s">
        <v>108</v>
      </c>
      <c r="F411" s="61">
        <v>7.47</v>
      </c>
      <c r="G411" s="52">
        <f t="shared" si="42"/>
        <v>8.44</v>
      </c>
      <c r="H411" s="110"/>
      <c r="I411" s="81">
        <v>9.61</v>
      </c>
      <c r="J411" s="81">
        <f>VLOOKUP(C411,Recipes!$A$2:$N$4,12,FALSE())</f>
        <v>6.1509461004819709E-2</v>
      </c>
      <c r="K411" s="81">
        <f t="shared" si="43"/>
        <v>9.2409432339710804</v>
      </c>
      <c r="L411" s="81">
        <f t="shared" si="44"/>
        <v>9.9790567660289184</v>
      </c>
      <c r="M411" s="81" t="str">
        <f t="shared" si="46"/>
        <v>NG</v>
      </c>
      <c r="N411" s="117">
        <f t="shared" si="45"/>
        <v>1</v>
      </c>
      <c r="O411" s="81">
        <f t="shared" si="47"/>
        <v>1.17</v>
      </c>
      <c r="P411" s="81">
        <f>IF(G411="","",ABS(O411-Components!$C$2)/Components!$D$2)</f>
        <v>239.57427519108862</v>
      </c>
      <c r="Q411" s="81">
        <f>IF(G411="","",ABS(O411-Components!$C$3)/Components!$D$3)</f>
        <v>207.73307322173329</v>
      </c>
      <c r="R411" s="81">
        <f>IF(G411="","",ABS(O411-Components!$C$4)/Components!$D$4)</f>
        <v>12.63833260285522</v>
      </c>
      <c r="S411" s="81">
        <f>IF(G411="","",ABS(O411-Components!$C$5)/Components!$D$5)</f>
        <v>134.73756342723382</v>
      </c>
      <c r="T411" s="81">
        <f>IF(G411="","",ABS(O411-Components!$C$6)/Components!$D$6)</f>
        <v>0.5187881972396996</v>
      </c>
      <c r="U411" s="81">
        <f>IF(G411="","",ABS(O411-Components!$C$7)/Components!$D$7)</f>
        <v>8.1260225585800381</v>
      </c>
      <c r="V411" s="81" t="str">
        <f>IF(G411="","",IF(M411="OK","NONE",INDEX({"S1","S2","W1","W2","N1","N2"},MATCH(MIN(P411:U411),P411:U411,0))))</f>
        <v>N1</v>
      </c>
      <c r="W411" s="117">
        <f t="shared" si="48"/>
        <v>1</v>
      </c>
      <c r="X411" s="107"/>
    </row>
    <row r="412" spans="1:24">
      <c r="A412" s="115">
        <v>410</v>
      </c>
      <c r="B412" s="116">
        <v>14</v>
      </c>
      <c r="C412" s="81" t="s">
        <v>132</v>
      </c>
      <c r="D412" s="111" t="s">
        <v>240</v>
      </c>
      <c r="E412" s="81" t="s">
        <v>108</v>
      </c>
      <c r="F412" s="61">
        <v>7.38</v>
      </c>
      <c r="G412" s="52">
        <f t="shared" si="42"/>
        <v>8.35</v>
      </c>
      <c r="H412" s="110"/>
      <c r="I412" s="81">
        <v>9.61</v>
      </c>
      <c r="J412" s="81">
        <f>VLOOKUP(C412,Recipes!$A$2:$N$4,12,FALSE())</f>
        <v>6.1509461004819709E-2</v>
      </c>
      <c r="K412" s="81">
        <f t="shared" si="43"/>
        <v>9.2409432339710804</v>
      </c>
      <c r="L412" s="81">
        <f t="shared" si="44"/>
        <v>9.9790567660289184</v>
      </c>
      <c r="M412" s="81" t="str">
        <f t="shared" si="46"/>
        <v>NG</v>
      </c>
      <c r="N412" s="117">
        <f t="shared" si="45"/>
        <v>1</v>
      </c>
      <c r="O412" s="81">
        <f t="shared" si="47"/>
        <v>1.2599999999999998</v>
      </c>
      <c r="P412" s="81">
        <f>IF(G412="","",ABS(O412-Components!$C$2)/Components!$D$2)</f>
        <v>225.95636902233198</v>
      </c>
      <c r="Q412" s="81">
        <f>IF(G412="","",ABS(O412-Components!$C$3)/Components!$D$3)</f>
        <v>201.20970386026923</v>
      </c>
      <c r="R412" s="81">
        <f>IF(G412="","",ABS(O412-Components!$C$4)/Components!$D$4)</f>
        <v>19.076728457139932</v>
      </c>
      <c r="S412" s="81">
        <f>IF(G412="","",ABS(O412-Components!$C$5)/Components!$D$5)</f>
        <v>131.16327160906198</v>
      </c>
      <c r="T412" s="81">
        <f>IF(G412="","",ABS(O412-Components!$C$6)/Components!$D$6)</f>
        <v>3.7762954822339192</v>
      </c>
      <c r="U412" s="81">
        <f>IF(G412="","",ABS(O412-Components!$C$7)/Components!$D$7)</f>
        <v>4.5468609096132502</v>
      </c>
      <c r="V412" s="81" t="str">
        <f>IF(G412="","",IF(M412="OK","NONE",INDEX({"S1","S2","W1","W2","N1","N2"},MATCH(MIN(P412:U412),P412:U412,0))))</f>
        <v>N1</v>
      </c>
      <c r="W412" s="117">
        <f t="shared" si="48"/>
        <v>1</v>
      </c>
      <c r="X412" s="107"/>
    </row>
    <row r="413" spans="1:24">
      <c r="A413" s="115">
        <v>411</v>
      </c>
      <c r="B413" s="116">
        <v>14</v>
      </c>
      <c r="C413" s="81" t="s">
        <v>132</v>
      </c>
      <c r="D413" s="111" t="s">
        <v>240</v>
      </c>
      <c r="E413" s="81" t="s">
        <v>108</v>
      </c>
      <c r="F413" s="61">
        <v>7.45</v>
      </c>
      <c r="G413" s="52">
        <f t="shared" si="42"/>
        <v>8.42</v>
      </c>
      <c r="H413" s="110"/>
      <c r="I413" s="81">
        <v>9.61</v>
      </c>
      <c r="J413" s="81">
        <f>VLOOKUP(C413,Recipes!$A$2:$N$4,12,FALSE())</f>
        <v>6.1509461004819709E-2</v>
      </c>
      <c r="K413" s="81">
        <f t="shared" si="43"/>
        <v>9.2409432339710804</v>
      </c>
      <c r="L413" s="81">
        <f t="shared" si="44"/>
        <v>9.9790567660289184</v>
      </c>
      <c r="M413" s="81" t="str">
        <f t="shared" si="46"/>
        <v>NG</v>
      </c>
      <c r="N413" s="117">
        <f t="shared" si="45"/>
        <v>1</v>
      </c>
      <c r="O413" s="81">
        <f t="shared" si="47"/>
        <v>1.1899999999999995</v>
      </c>
      <c r="P413" s="81">
        <f>IF(G413="","",ABS(O413-Components!$C$2)/Components!$D$2)</f>
        <v>236.54807382025388</v>
      </c>
      <c r="Q413" s="81">
        <f>IF(G413="","",ABS(O413-Components!$C$3)/Components!$D$3)</f>
        <v>206.28343558585243</v>
      </c>
      <c r="R413" s="81">
        <f>IF(G413="","",ABS(O413-Components!$C$4)/Components!$D$4)</f>
        <v>14.069087237140684</v>
      </c>
      <c r="S413" s="81">
        <f>IF(G413="","",ABS(O413-Components!$C$5)/Components!$D$5)</f>
        <v>133.94327635652897</v>
      </c>
      <c r="T413" s="81">
        <f>IF(G413="","",ABS(O413-Components!$C$6)/Components!$D$6)</f>
        <v>1.2426787050161785</v>
      </c>
      <c r="U413" s="81">
        <f>IF(G413="","",ABS(O413-Components!$C$7)/Components!$D$7)</f>
        <v>7.3306533032541008</v>
      </c>
      <c r="V413" s="81" t="str">
        <f>IF(G413="","",IF(M413="OK","NONE",INDEX({"S1","S2","W1","W2","N1","N2"},MATCH(MIN(P413:U413),P413:U413,0))))</f>
        <v>N1</v>
      </c>
      <c r="W413" s="117">
        <f t="shared" si="48"/>
        <v>1</v>
      </c>
      <c r="X413" s="107"/>
    </row>
    <row r="414" spans="1:24">
      <c r="A414" s="115">
        <v>412</v>
      </c>
      <c r="B414" s="116">
        <v>14</v>
      </c>
      <c r="C414" s="81" t="s">
        <v>132</v>
      </c>
      <c r="D414" s="111" t="s">
        <v>240</v>
      </c>
      <c r="E414" s="81" t="s">
        <v>108</v>
      </c>
      <c r="F414" s="61">
        <v>7.45</v>
      </c>
      <c r="G414" s="52">
        <f t="shared" si="42"/>
        <v>8.42</v>
      </c>
      <c r="H414" s="110"/>
      <c r="I414" s="81">
        <v>9.61</v>
      </c>
      <c r="J414" s="81">
        <f>VLOOKUP(C414,Recipes!$A$2:$N$4,12,FALSE())</f>
        <v>6.1509461004819709E-2</v>
      </c>
      <c r="K414" s="81">
        <f t="shared" si="43"/>
        <v>9.2409432339710804</v>
      </c>
      <c r="L414" s="81">
        <f t="shared" si="44"/>
        <v>9.9790567660289184</v>
      </c>
      <c r="M414" s="81" t="str">
        <f t="shared" si="46"/>
        <v>NG</v>
      </c>
      <c r="N414" s="117">
        <f t="shared" si="45"/>
        <v>1</v>
      </c>
      <c r="O414" s="81">
        <f t="shared" si="47"/>
        <v>1.1899999999999995</v>
      </c>
      <c r="P414" s="81">
        <f>IF(G414="","",ABS(O414-Components!$C$2)/Components!$D$2)</f>
        <v>236.54807382025388</v>
      </c>
      <c r="Q414" s="81">
        <f>IF(G414="","",ABS(O414-Components!$C$3)/Components!$D$3)</f>
        <v>206.28343558585243</v>
      </c>
      <c r="R414" s="81">
        <f>IF(G414="","",ABS(O414-Components!$C$4)/Components!$D$4)</f>
        <v>14.069087237140684</v>
      </c>
      <c r="S414" s="81">
        <f>IF(G414="","",ABS(O414-Components!$C$5)/Components!$D$5)</f>
        <v>133.94327635652897</v>
      </c>
      <c r="T414" s="81">
        <f>IF(G414="","",ABS(O414-Components!$C$6)/Components!$D$6)</f>
        <v>1.2426787050161785</v>
      </c>
      <c r="U414" s="81">
        <f>IF(G414="","",ABS(O414-Components!$C$7)/Components!$D$7)</f>
        <v>7.3306533032541008</v>
      </c>
      <c r="V414" s="81" t="str">
        <f>IF(G414="","",IF(M414="OK","NONE",INDEX({"S1","S2","W1","W2","N1","N2"},MATCH(MIN(P414:U414),P414:U414,0))))</f>
        <v>N1</v>
      </c>
      <c r="W414" s="117">
        <f t="shared" si="48"/>
        <v>1</v>
      </c>
      <c r="X414" s="107"/>
    </row>
    <row r="415" spans="1:24">
      <c r="A415" s="115">
        <v>413</v>
      </c>
      <c r="B415" s="116">
        <v>14</v>
      </c>
      <c r="C415" s="81" t="s">
        <v>132</v>
      </c>
      <c r="D415" s="111" t="s">
        <v>240</v>
      </c>
      <c r="E415" s="81" t="s">
        <v>108</v>
      </c>
      <c r="F415" s="61">
        <v>7.45</v>
      </c>
      <c r="G415" s="52">
        <f t="shared" si="42"/>
        <v>8.42</v>
      </c>
      <c r="H415" s="110"/>
      <c r="I415" s="81">
        <v>9.61</v>
      </c>
      <c r="J415" s="81">
        <f>VLOOKUP(C415,Recipes!$A$2:$N$4,12,FALSE())</f>
        <v>6.1509461004819709E-2</v>
      </c>
      <c r="K415" s="81">
        <f t="shared" si="43"/>
        <v>9.2409432339710804</v>
      </c>
      <c r="L415" s="81">
        <f t="shared" si="44"/>
        <v>9.9790567660289184</v>
      </c>
      <c r="M415" s="81" t="str">
        <f t="shared" si="46"/>
        <v>NG</v>
      </c>
      <c r="N415" s="117">
        <f t="shared" si="45"/>
        <v>1</v>
      </c>
      <c r="O415" s="81">
        <f t="shared" si="47"/>
        <v>1.1899999999999995</v>
      </c>
      <c r="P415" s="81">
        <f>IF(G415="","",ABS(O415-Components!$C$2)/Components!$D$2)</f>
        <v>236.54807382025388</v>
      </c>
      <c r="Q415" s="81">
        <f>IF(G415="","",ABS(O415-Components!$C$3)/Components!$D$3)</f>
        <v>206.28343558585243</v>
      </c>
      <c r="R415" s="81">
        <f>IF(G415="","",ABS(O415-Components!$C$4)/Components!$D$4)</f>
        <v>14.069087237140684</v>
      </c>
      <c r="S415" s="81">
        <f>IF(G415="","",ABS(O415-Components!$C$5)/Components!$D$5)</f>
        <v>133.94327635652897</v>
      </c>
      <c r="T415" s="81">
        <f>IF(G415="","",ABS(O415-Components!$C$6)/Components!$D$6)</f>
        <v>1.2426787050161785</v>
      </c>
      <c r="U415" s="81">
        <f>IF(G415="","",ABS(O415-Components!$C$7)/Components!$D$7)</f>
        <v>7.3306533032541008</v>
      </c>
      <c r="V415" s="81" t="str">
        <f>IF(G415="","",IF(M415="OK","NONE",INDEX({"S1","S2","W1","W2","N1","N2"},MATCH(MIN(P415:U415),P415:U415,0))))</f>
        <v>N1</v>
      </c>
      <c r="W415" s="117">
        <f t="shared" si="48"/>
        <v>1</v>
      </c>
      <c r="X415" s="107"/>
    </row>
    <row r="416" spans="1:24">
      <c r="A416" s="115">
        <v>414</v>
      </c>
      <c r="B416" s="116">
        <v>14</v>
      </c>
      <c r="C416" s="81" t="s">
        <v>132</v>
      </c>
      <c r="D416" s="111" t="s">
        <v>240</v>
      </c>
      <c r="E416" s="81" t="s">
        <v>108</v>
      </c>
      <c r="F416" s="61">
        <v>7.44</v>
      </c>
      <c r="G416" s="52">
        <f t="shared" si="42"/>
        <v>8.41</v>
      </c>
      <c r="H416" s="110"/>
      <c r="I416" s="81">
        <v>9.61</v>
      </c>
      <c r="J416" s="81">
        <f>VLOOKUP(C416,Recipes!$A$2:$N$4,12,FALSE())</f>
        <v>6.1509461004819709E-2</v>
      </c>
      <c r="K416" s="81">
        <f t="shared" si="43"/>
        <v>9.2409432339710804</v>
      </c>
      <c r="L416" s="81">
        <f t="shared" si="44"/>
        <v>9.9790567660289184</v>
      </c>
      <c r="M416" s="81" t="str">
        <f t="shared" si="46"/>
        <v>NG</v>
      </c>
      <c r="N416" s="117">
        <f t="shared" si="45"/>
        <v>1</v>
      </c>
      <c r="O416" s="81">
        <f t="shared" si="47"/>
        <v>1.1999999999999993</v>
      </c>
      <c r="P416" s="81">
        <f>IF(G416="","",ABS(O416-Components!$C$2)/Components!$D$2)</f>
        <v>235.03497313483649</v>
      </c>
      <c r="Q416" s="81">
        <f>IF(G416="","",ABS(O416-Components!$C$3)/Components!$D$3)</f>
        <v>205.55861676791199</v>
      </c>
      <c r="R416" s="81">
        <f>IF(G416="","",ABS(O416-Components!$C$4)/Components!$D$4)</f>
        <v>14.784464554283415</v>
      </c>
      <c r="S416" s="81">
        <f>IF(G416="","",ABS(O416-Components!$C$5)/Components!$D$5)</f>
        <v>133.54613282117657</v>
      </c>
      <c r="T416" s="81">
        <f>IF(G416="","",ABS(O416-Components!$C$6)/Components!$D$6)</f>
        <v>1.604623958904418</v>
      </c>
      <c r="U416" s="81">
        <f>IF(G416="","",ABS(O416-Components!$C$7)/Components!$D$7)</f>
        <v>6.9329686755911322</v>
      </c>
      <c r="V416" s="81" t="str">
        <f>IF(G416="","",IF(M416="OK","NONE",INDEX({"S1","S2","W1","W2","N1","N2"},MATCH(MIN(P416:U416),P416:U416,0))))</f>
        <v>N1</v>
      </c>
      <c r="W416" s="117">
        <f t="shared" si="48"/>
        <v>1</v>
      </c>
      <c r="X416" s="107"/>
    </row>
    <row r="417" spans="1:24">
      <c r="A417" s="115">
        <v>415</v>
      </c>
      <c r="B417" s="116">
        <v>14</v>
      </c>
      <c r="C417" s="81" t="s">
        <v>132</v>
      </c>
      <c r="D417" s="111" t="s">
        <v>240</v>
      </c>
      <c r="E417" s="81" t="s">
        <v>108</v>
      </c>
      <c r="F417" s="52">
        <v>7.45</v>
      </c>
      <c r="G417" s="52">
        <f t="shared" si="42"/>
        <v>8.42</v>
      </c>
      <c r="H417" s="110"/>
      <c r="I417" s="81">
        <v>9.61</v>
      </c>
      <c r="J417" s="81">
        <f>VLOOKUP(C417,Recipes!$A$2:$N$4,12,FALSE())</f>
        <v>6.1509461004819709E-2</v>
      </c>
      <c r="K417" s="81">
        <f t="shared" si="43"/>
        <v>9.2409432339710804</v>
      </c>
      <c r="L417" s="81">
        <f t="shared" si="44"/>
        <v>9.9790567660289184</v>
      </c>
      <c r="M417" s="81" t="str">
        <f t="shared" si="46"/>
        <v>NG</v>
      </c>
      <c r="N417" s="117">
        <f t="shared" si="45"/>
        <v>1</v>
      </c>
      <c r="O417" s="81">
        <f t="shared" si="47"/>
        <v>1.1899999999999995</v>
      </c>
      <c r="P417" s="81">
        <f>IF(G417="","",ABS(O417-Components!$C$2)/Components!$D$2)</f>
        <v>236.54807382025388</v>
      </c>
      <c r="Q417" s="81">
        <f>IF(G417="","",ABS(O417-Components!$C$3)/Components!$D$3)</f>
        <v>206.28343558585243</v>
      </c>
      <c r="R417" s="81">
        <f>IF(G417="","",ABS(O417-Components!$C$4)/Components!$D$4)</f>
        <v>14.069087237140684</v>
      </c>
      <c r="S417" s="81">
        <f>IF(G417="","",ABS(O417-Components!$C$5)/Components!$D$5)</f>
        <v>133.94327635652897</v>
      </c>
      <c r="T417" s="81">
        <f>IF(G417="","",ABS(O417-Components!$C$6)/Components!$D$6)</f>
        <v>1.2426787050161785</v>
      </c>
      <c r="U417" s="81">
        <f>IF(G417="","",ABS(O417-Components!$C$7)/Components!$D$7)</f>
        <v>7.3306533032541008</v>
      </c>
      <c r="V417" s="81" t="str">
        <f>IF(G417="","",IF(M417="OK","NONE",INDEX({"S1","S2","W1","W2","N1","N2"},MATCH(MIN(P417:U417),P417:U417,0))))</f>
        <v>N1</v>
      </c>
      <c r="W417" s="117">
        <f t="shared" si="48"/>
        <v>1</v>
      </c>
      <c r="X417" s="107"/>
    </row>
    <row r="418" spans="1:24">
      <c r="A418" s="115">
        <v>416</v>
      </c>
      <c r="B418" s="116">
        <v>14</v>
      </c>
      <c r="C418" s="81" t="s">
        <v>132</v>
      </c>
      <c r="D418" s="111" t="s">
        <v>240</v>
      </c>
      <c r="E418" s="81" t="s">
        <v>108</v>
      </c>
      <c r="F418" s="52">
        <v>7.45</v>
      </c>
      <c r="G418" s="52">
        <f t="shared" si="42"/>
        <v>8.42</v>
      </c>
      <c r="H418" s="110"/>
      <c r="I418" s="81">
        <v>9.61</v>
      </c>
      <c r="J418" s="81">
        <f>VLOOKUP(C418,Recipes!$A$2:$N$4,12,FALSE())</f>
        <v>6.1509461004819709E-2</v>
      </c>
      <c r="K418" s="81">
        <f t="shared" si="43"/>
        <v>9.2409432339710804</v>
      </c>
      <c r="L418" s="81">
        <f t="shared" si="44"/>
        <v>9.9790567660289184</v>
      </c>
      <c r="M418" s="81" t="str">
        <f t="shared" si="46"/>
        <v>NG</v>
      </c>
      <c r="N418" s="117">
        <f t="shared" si="45"/>
        <v>1</v>
      </c>
      <c r="O418" s="81">
        <f t="shared" si="47"/>
        <v>1.1899999999999995</v>
      </c>
      <c r="P418" s="81">
        <f>IF(G418="","",ABS(O418-Components!$C$2)/Components!$D$2)</f>
        <v>236.54807382025388</v>
      </c>
      <c r="Q418" s="81">
        <f>IF(G418="","",ABS(O418-Components!$C$3)/Components!$D$3)</f>
        <v>206.28343558585243</v>
      </c>
      <c r="R418" s="81">
        <f>IF(G418="","",ABS(O418-Components!$C$4)/Components!$D$4)</f>
        <v>14.069087237140684</v>
      </c>
      <c r="S418" s="81">
        <f>IF(G418="","",ABS(O418-Components!$C$5)/Components!$D$5)</f>
        <v>133.94327635652897</v>
      </c>
      <c r="T418" s="81">
        <f>IF(G418="","",ABS(O418-Components!$C$6)/Components!$D$6)</f>
        <v>1.2426787050161785</v>
      </c>
      <c r="U418" s="81">
        <f>IF(G418="","",ABS(O418-Components!$C$7)/Components!$D$7)</f>
        <v>7.3306533032541008</v>
      </c>
      <c r="V418" s="81" t="str">
        <f>IF(G418="","",IF(M418="OK","NONE",INDEX({"S1","S2","W1","W2","N1","N2"},MATCH(MIN(P418:U418),P418:U418,0))))</f>
        <v>N1</v>
      </c>
      <c r="W418" s="117">
        <f t="shared" si="48"/>
        <v>1</v>
      </c>
      <c r="X418" s="107"/>
    </row>
    <row r="419" spans="1:24">
      <c r="A419" s="115">
        <v>417</v>
      </c>
      <c r="B419" s="116">
        <v>14</v>
      </c>
      <c r="C419" s="61" t="s">
        <v>132</v>
      </c>
      <c r="D419" s="61" t="s">
        <v>240</v>
      </c>
      <c r="E419" s="61" t="s">
        <v>108</v>
      </c>
      <c r="F419" s="61">
        <v>7.44</v>
      </c>
      <c r="G419" s="52">
        <f t="shared" si="42"/>
        <v>8.41</v>
      </c>
      <c r="H419" s="110"/>
      <c r="I419" s="81">
        <v>9.61</v>
      </c>
      <c r="J419" s="81">
        <f>VLOOKUP(C419,Recipes!$A$2:$N$4,12,FALSE())</f>
        <v>6.1509461004819709E-2</v>
      </c>
      <c r="K419" s="81">
        <f t="shared" si="43"/>
        <v>9.2409432339710804</v>
      </c>
      <c r="L419" s="81">
        <f t="shared" si="44"/>
        <v>9.9790567660289184</v>
      </c>
      <c r="M419" s="81" t="str">
        <f t="shared" si="46"/>
        <v>NG</v>
      </c>
      <c r="N419" s="117">
        <f t="shared" si="45"/>
        <v>1</v>
      </c>
      <c r="O419" s="81">
        <f t="shared" si="47"/>
        <v>1.1999999999999993</v>
      </c>
      <c r="P419" s="81">
        <f>IF(G419="","",ABS(O419-Components!$C$2)/Components!$D$2)</f>
        <v>235.03497313483649</v>
      </c>
      <c r="Q419" s="81">
        <f>IF(G419="","",ABS(O419-Components!$C$3)/Components!$D$3)</f>
        <v>205.55861676791199</v>
      </c>
      <c r="R419" s="81">
        <f>IF(G419="","",ABS(O419-Components!$C$4)/Components!$D$4)</f>
        <v>14.784464554283415</v>
      </c>
      <c r="S419" s="81">
        <f>IF(G419="","",ABS(O419-Components!$C$5)/Components!$D$5)</f>
        <v>133.54613282117657</v>
      </c>
      <c r="T419" s="81">
        <f>IF(G419="","",ABS(O419-Components!$C$6)/Components!$D$6)</f>
        <v>1.604623958904418</v>
      </c>
      <c r="U419" s="81">
        <f>IF(G419="","",ABS(O419-Components!$C$7)/Components!$D$7)</f>
        <v>6.9329686755911322</v>
      </c>
      <c r="V419" s="81" t="str">
        <f>IF(G419="","",IF(M419="OK","NONE",INDEX({"S1","S2","W1","W2","N1","N2"},MATCH(MIN(P419:U419),P419:U419,0))))</f>
        <v>N1</v>
      </c>
      <c r="W419" s="117">
        <f t="shared" si="48"/>
        <v>1</v>
      </c>
      <c r="X419" s="107"/>
    </row>
    <row r="420" spans="1:24">
      <c r="A420" s="115">
        <v>418</v>
      </c>
      <c r="B420" s="116">
        <v>14</v>
      </c>
      <c r="C420" s="61" t="s">
        <v>132</v>
      </c>
      <c r="D420" s="61" t="s">
        <v>240</v>
      </c>
      <c r="E420" s="61" t="s">
        <v>108</v>
      </c>
      <c r="F420" s="61">
        <v>7.46</v>
      </c>
      <c r="G420" s="52">
        <f t="shared" si="42"/>
        <v>8.43</v>
      </c>
      <c r="H420" s="110"/>
      <c r="I420" s="81">
        <v>9.61</v>
      </c>
      <c r="J420" s="81">
        <f>VLOOKUP(C420,Recipes!$A$2:$N$4,12,FALSE())</f>
        <v>6.1509461004819709E-2</v>
      </c>
      <c r="K420" s="81">
        <f t="shared" si="43"/>
        <v>9.2409432339710804</v>
      </c>
      <c r="L420" s="81">
        <f t="shared" si="44"/>
        <v>9.9790567660289184</v>
      </c>
      <c r="M420" s="81" t="str">
        <f t="shared" si="46"/>
        <v>NG</v>
      </c>
      <c r="N420" s="117">
        <f t="shared" si="45"/>
        <v>1</v>
      </c>
      <c r="O420" s="81">
        <f t="shared" si="47"/>
        <v>1.1799999999999997</v>
      </c>
      <c r="P420" s="81">
        <f>IF(G420="","",ABS(O420-Components!$C$2)/Components!$D$2)</f>
        <v>238.06117450567126</v>
      </c>
      <c r="Q420" s="81">
        <f>IF(G420="","",ABS(O420-Components!$C$3)/Components!$D$3)</f>
        <v>207.00825440379285</v>
      </c>
      <c r="R420" s="81">
        <f>IF(G420="","",ABS(O420-Components!$C$4)/Components!$D$4)</f>
        <v>13.353709919997952</v>
      </c>
      <c r="S420" s="81">
        <f>IF(G420="","",ABS(O420-Components!$C$5)/Components!$D$5)</f>
        <v>134.3404198918814</v>
      </c>
      <c r="T420" s="81">
        <f>IF(G420="","",ABS(O420-Components!$C$6)/Components!$D$6)</f>
        <v>0.8807334511279391</v>
      </c>
      <c r="U420" s="81">
        <f>IF(G420="","",ABS(O420-Components!$C$7)/Components!$D$7)</f>
        <v>7.7283379309170694</v>
      </c>
      <c r="V420" s="81" t="str">
        <f>IF(G420="","",IF(M420="OK","NONE",INDEX({"S1","S2","W1","W2","N1","N2"},MATCH(MIN(P420:U420),P420:U420,0))))</f>
        <v>N1</v>
      </c>
      <c r="W420" s="117">
        <f t="shared" si="48"/>
        <v>1</v>
      </c>
      <c r="X420" s="107"/>
    </row>
    <row r="421" spans="1:24">
      <c r="A421" s="115">
        <v>419</v>
      </c>
      <c r="B421" s="116">
        <v>14</v>
      </c>
      <c r="C421" s="81" t="s">
        <v>132</v>
      </c>
      <c r="D421" s="111" t="s">
        <v>240</v>
      </c>
      <c r="E421" s="81" t="s">
        <v>108</v>
      </c>
      <c r="F421" s="61">
        <v>7.25</v>
      </c>
      <c r="G421" s="52">
        <f t="shared" si="42"/>
        <v>8.2200000000000006</v>
      </c>
      <c r="H421" s="110"/>
      <c r="I421" s="81">
        <v>9.61</v>
      </c>
      <c r="J421" s="81">
        <f>VLOOKUP(C421,Recipes!$A$2:$N$4,12,FALSE())</f>
        <v>6.1509461004819709E-2</v>
      </c>
      <c r="K421" s="81">
        <f t="shared" si="43"/>
        <v>9.2409432339710804</v>
      </c>
      <c r="L421" s="81">
        <f t="shared" si="44"/>
        <v>9.9790567660289184</v>
      </c>
      <c r="M421" s="81" t="str">
        <f t="shared" si="46"/>
        <v>NG</v>
      </c>
      <c r="N421" s="117">
        <f t="shared" si="45"/>
        <v>1</v>
      </c>
      <c r="O421" s="81">
        <f t="shared" si="47"/>
        <v>1.3899999999999988</v>
      </c>
      <c r="P421" s="81">
        <f>IF(G421="","",ABS(O421-Components!$C$2)/Components!$D$2)</f>
        <v>206.28606011190587</v>
      </c>
      <c r="Q421" s="81">
        <f>IF(G421="","",ABS(O421-Components!$C$3)/Components!$D$3)</f>
        <v>191.78705922704344</v>
      </c>
      <c r="R421" s="81">
        <f>IF(G421="","",ABS(O421-Components!$C$4)/Components!$D$4)</f>
        <v>28.376633579995573</v>
      </c>
      <c r="S421" s="81">
        <f>IF(G421="","",ABS(O421-Components!$C$5)/Components!$D$5)</f>
        <v>126.00040564948046</v>
      </c>
      <c r="T421" s="81">
        <f>IF(G421="","",ABS(O421-Components!$C$6)/Components!$D$6)</f>
        <v>8.4815837827810974</v>
      </c>
      <c r="U421" s="81">
        <f>IF(G421="","",ABS(O421-Components!$C$7)/Components!$D$7)</f>
        <v>0.62303925000541227</v>
      </c>
      <c r="V421" s="81" t="str">
        <f>IF(G421="","",IF(M421="OK","NONE",INDEX({"S1","S2","W1","W2","N1","N2"},MATCH(MIN(P421:U421),P421:U421,0))))</f>
        <v>N2</v>
      </c>
      <c r="W421" s="122">
        <f t="shared" si="48"/>
        <v>0</v>
      </c>
      <c r="X421" s="107"/>
    </row>
    <row r="422" spans="1:24">
      <c r="A422" s="115">
        <v>420</v>
      </c>
      <c r="B422" s="116">
        <v>14</v>
      </c>
      <c r="C422" s="61" t="s">
        <v>132</v>
      </c>
      <c r="D422" s="61" t="s">
        <v>240</v>
      </c>
      <c r="E422" s="61" t="s">
        <v>108</v>
      </c>
      <c r="F422" s="61">
        <v>7.47</v>
      </c>
      <c r="G422" s="112">
        <f t="shared" si="42"/>
        <v>8.44</v>
      </c>
      <c r="H422" s="113"/>
      <c r="I422" s="81">
        <v>9.61</v>
      </c>
      <c r="J422" s="81">
        <f>VLOOKUP(C422,Recipes!$A$2:$N$4,12,FALSE())</f>
        <v>6.1509461004819709E-2</v>
      </c>
      <c r="K422" s="81">
        <f t="shared" si="43"/>
        <v>9.2409432339710804</v>
      </c>
      <c r="L422" s="81">
        <f t="shared" si="44"/>
        <v>9.9790567660289184</v>
      </c>
      <c r="M422" s="81" t="str">
        <f t="shared" si="46"/>
        <v>NG</v>
      </c>
      <c r="N422" s="117">
        <f t="shared" si="45"/>
        <v>1</v>
      </c>
      <c r="O422" s="81">
        <f t="shared" si="47"/>
        <v>1.17</v>
      </c>
      <c r="P422" s="81">
        <f>IF(G422="","",ABS(O422-Components!$C$2)/Components!$D$2)</f>
        <v>239.57427519108862</v>
      </c>
      <c r="Q422" s="81">
        <f>IF(G422="","",ABS(O422-Components!$C$3)/Components!$D$3)</f>
        <v>207.73307322173329</v>
      </c>
      <c r="R422" s="81">
        <f>IF(G422="","",ABS(O422-Components!$C$4)/Components!$D$4)</f>
        <v>12.63833260285522</v>
      </c>
      <c r="S422" s="81">
        <f>IF(G422="","",ABS(O422-Components!$C$5)/Components!$D$5)</f>
        <v>134.73756342723382</v>
      </c>
      <c r="T422" s="81">
        <f>IF(G422="","",ABS(O422-Components!$C$6)/Components!$D$6)</f>
        <v>0.5187881972396996</v>
      </c>
      <c r="U422" s="81">
        <f>IF(G422="","",ABS(O422-Components!$C$7)/Components!$D$7)</f>
        <v>8.1260225585800381</v>
      </c>
      <c r="V422" s="81" t="str">
        <f>IF(G422="","",IF(M422="OK","NONE",INDEX({"S1","S2","W1","W2","N1","N2"},MATCH(MIN(P422:U422),P422:U422,0))))</f>
        <v>N1</v>
      </c>
      <c r="W422" s="117">
        <f t="shared" si="48"/>
        <v>1</v>
      </c>
      <c r="X422" s="107"/>
    </row>
    <row r="423" spans="1:24">
      <c r="A423" s="7"/>
      <c r="B423" s="66"/>
      <c r="C423" s="7"/>
      <c r="D423" s="7"/>
      <c r="E423" s="7"/>
      <c r="F423" s="67"/>
      <c r="G423" s="68"/>
      <c r="H423" s="69"/>
      <c r="I423" s="70"/>
      <c r="J423" s="70"/>
      <c r="K423" s="71"/>
      <c r="L423" s="71"/>
      <c r="M423" s="7"/>
      <c r="N423" s="7"/>
      <c r="O423" s="71"/>
      <c r="P423" s="72"/>
      <c r="Q423" s="72"/>
      <c r="R423" s="72"/>
      <c r="S423" s="72"/>
      <c r="T423" s="72"/>
      <c r="U423" s="72"/>
      <c r="V423" s="7"/>
      <c r="W423" s="7"/>
    </row>
    <row r="424" spans="1:24">
      <c r="A424" s="7"/>
      <c r="B424" s="66"/>
      <c r="C424" s="7"/>
      <c r="D424" s="7"/>
      <c r="E424" s="7"/>
      <c r="F424" s="67"/>
      <c r="G424" s="68"/>
      <c r="H424" s="69"/>
      <c r="I424" s="70"/>
      <c r="J424" s="70"/>
      <c r="K424" s="71"/>
      <c r="L424" s="71"/>
      <c r="M424" s="7"/>
      <c r="N424" s="7"/>
      <c r="O424" s="71"/>
      <c r="P424" s="72"/>
      <c r="Q424" s="72"/>
      <c r="R424" s="72"/>
      <c r="S424" s="72"/>
      <c r="T424" s="72"/>
      <c r="U424" s="72"/>
      <c r="V424" s="7"/>
      <c r="W424" s="7"/>
    </row>
  </sheetData>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X455"/>
  <sheetViews>
    <sheetView zoomScaleNormal="100" workbookViewId="0">
      <pane ySplit="14" topLeftCell="A454" activePane="bottomLeft" state="frozen"/>
      <selection pane="bottomLeft" activeCell="E464" sqref="E464"/>
    </sheetView>
  </sheetViews>
  <sheetFormatPr defaultColWidth="8.7109375" defaultRowHeight="15"/>
  <cols>
    <col min="1" max="1" width="44.42578125" customWidth="1"/>
    <col min="2" max="2" width="18.7109375" bestFit="1" customWidth="1"/>
    <col min="3" max="3" width="39.7109375" bestFit="1" customWidth="1"/>
    <col min="4" max="4" width="18" customWidth="1"/>
    <col min="5" max="6" width="19" customWidth="1"/>
    <col min="7" max="7" width="22.5703125" customWidth="1"/>
    <col min="8" max="8" width="17" customWidth="1"/>
    <col min="9" max="9" width="14" customWidth="1"/>
    <col min="10" max="10" width="9.7109375" customWidth="1"/>
    <col min="11" max="11" width="14" customWidth="1"/>
    <col min="12" max="12" width="13" customWidth="1"/>
    <col min="13" max="13" width="17.140625" customWidth="1"/>
    <col min="14" max="14" width="12" customWidth="1"/>
    <col min="15" max="15" width="9" customWidth="1"/>
    <col min="16" max="17" width="10.7109375" customWidth="1"/>
    <col min="18" max="19" width="11.5703125" customWidth="1"/>
    <col min="20" max="21" width="11.140625" customWidth="1"/>
    <col min="22" max="22" width="19" customWidth="1"/>
    <col min="23" max="23" width="12" customWidth="1"/>
    <col min="24" max="24" width="15.42578125" bestFit="1" customWidth="1"/>
  </cols>
  <sheetData>
    <row r="1" spans="1:24" ht="18.75" customHeight="1">
      <c r="A1" s="174" t="s">
        <v>296</v>
      </c>
      <c r="B1" s="174"/>
      <c r="C1" s="174"/>
      <c r="D1" s="174"/>
      <c r="E1" s="174"/>
      <c r="F1" s="174"/>
      <c r="G1" s="174"/>
      <c r="H1" s="174"/>
    </row>
    <row r="2" spans="1:24">
      <c r="A2" s="175" t="s">
        <v>297</v>
      </c>
      <c r="B2" s="175"/>
      <c r="C2" s="175"/>
      <c r="D2" s="175"/>
      <c r="E2" s="175"/>
      <c r="F2" s="175"/>
      <c r="G2" s="175"/>
      <c r="H2" s="175"/>
    </row>
    <row r="4" spans="1:24">
      <c r="A4" s="176" t="s">
        <v>298</v>
      </c>
      <c r="B4" s="176"/>
      <c r="C4" s="176"/>
    </row>
    <row r="5" spans="1:24">
      <c r="A5" s="84" t="s">
        <v>299</v>
      </c>
      <c r="B5" s="84" t="s">
        <v>300</v>
      </c>
      <c r="C5" s="84" t="s">
        <v>301</v>
      </c>
    </row>
    <row r="6" spans="1:24">
      <c r="A6" t="s">
        <v>302</v>
      </c>
      <c r="B6" s="85">
        <v>30</v>
      </c>
      <c r="C6" t="s">
        <v>303</v>
      </c>
    </row>
    <row r="7" spans="1:24">
      <c r="A7" t="s">
        <v>304</v>
      </c>
      <c r="B7" s="85">
        <v>1</v>
      </c>
      <c r="C7" t="s">
        <v>305</v>
      </c>
    </row>
    <row r="8" spans="1:24">
      <c r="A8" t="s">
        <v>306</v>
      </c>
      <c r="B8" s="124">
        <v>2.7000000000000001E-3</v>
      </c>
      <c r="C8" t="s">
        <v>307</v>
      </c>
    </row>
    <row r="9" spans="1:24">
      <c r="A9" t="s">
        <v>308</v>
      </c>
      <c r="B9" s="124">
        <f>_xlfn.F.INV(1-B8, B7, B6-B7-1)</f>
        <v>10.832459558001522</v>
      </c>
      <c r="C9" t="s">
        <v>309</v>
      </c>
    </row>
    <row r="10" spans="1:24">
      <c r="A10" t="s">
        <v>310</v>
      </c>
      <c r="B10" s="124">
        <f>B7*(B6+1)/(B6-B7-1)*B9</f>
        <v>11.993080224930258</v>
      </c>
      <c r="C10" t="s">
        <v>311</v>
      </c>
    </row>
    <row r="11" spans="1:24">
      <c r="A11" t="s">
        <v>312</v>
      </c>
      <c r="B11" s="124">
        <f>SQRT(B10)</f>
        <v>3.4631026876098057</v>
      </c>
      <c r="C11" t="s">
        <v>313</v>
      </c>
    </row>
    <row r="12" spans="1:24">
      <c r="A12" t="s">
        <v>314</v>
      </c>
      <c r="B12" s="124">
        <f>2*B7/B6</f>
        <v>6.6666666666666666E-2</v>
      </c>
      <c r="C12" t="s">
        <v>315</v>
      </c>
      <c r="N12" s="137"/>
    </row>
    <row r="13" spans="1:24">
      <c r="N13" s="137"/>
    </row>
    <row r="14" spans="1:24" ht="30" customHeight="1" thickBot="1">
      <c r="A14" s="86" t="s">
        <v>216</v>
      </c>
      <c r="B14" s="87" t="s">
        <v>217</v>
      </c>
      <c r="C14" s="87" t="s">
        <v>218</v>
      </c>
      <c r="D14" s="87" t="s">
        <v>219</v>
      </c>
      <c r="E14" s="87" t="s">
        <v>220</v>
      </c>
      <c r="F14" s="87" t="s">
        <v>221</v>
      </c>
      <c r="G14" s="87" t="s">
        <v>445</v>
      </c>
      <c r="H14" s="87" t="s">
        <v>223</v>
      </c>
      <c r="I14" s="87" t="s">
        <v>224</v>
      </c>
      <c r="J14" s="87" t="s">
        <v>316</v>
      </c>
      <c r="K14" s="87" t="s">
        <v>317</v>
      </c>
      <c r="L14" s="87" t="s">
        <v>318</v>
      </c>
      <c r="M14" s="87" t="s">
        <v>227</v>
      </c>
      <c r="N14" s="138" t="s">
        <v>228</v>
      </c>
      <c r="O14" s="87" t="s">
        <v>229</v>
      </c>
      <c r="P14" s="87" t="s">
        <v>230</v>
      </c>
      <c r="Q14" s="87" t="s">
        <v>231</v>
      </c>
      <c r="R14" s="87" t="s">
        <v>232</v>
      </c>
      <c r="S14" s="87" t="s">
        <v>233</v>
      </c>
      <c r="T14" s="87" t="s">
        <v>234</v>
      </c>
      <c r="U14" s="87" t="s">
        <v>235</v>
      </c>
      <c r="V14" s="87" t="s">
        <v>236</v>
      </c>
      <c r="W14" s="88" t="s">
        <v>237</v>
      </c>
      <c r="X14" s="123" t="s">
        <v>453</v>
      </c>
    </row>
    <row r="15" spans="1:24" ht="15.75">
      <c r="A15" s="115">
        <v>1</v>
      </c>
      <c r="B15" s="135">
        <f>'Runs Z-Score'!B3</f>
        <v>1</v>
      </c>
      <c r="C15" s="89" t="str">
        <f>'Runs Z-Score'!C3</f>
        <v>R3</v>
      </c>
      <c r="D15" s="89" t="str">
        <f>'Runs Z-Score'!D3</f>
        <v>OK</v>
      </c>
      <c r="E15" s="89" t="str">
        <f>'Runs Z-Score'!E3</f>
        <v>NONE</v>
      </c>
      <c r="F15" s="89">
        <f>'Runs Z-Score'!F3</f>
        <v>9.91</v>
      </c>
      <c r="G15" s="89">
        <f t="shared" ref="G15:G78" si="0">0.97+F15</f>
        <v>10.88</v>
      </c>
      <c r="H15" s="89">
        <f>VLOOKUP(C15,Recipes!$A$2:$N$4,10,FALSE())</f>
        <v>10.940000000000001</v>
      </c>
      <c r="I15" s="89">
        <f>VLOOKUP(C15,Recipes!$A$2:$N$4,12,FALSE())</f>
        <v>5.2703573566378441E-2</v>
      </c>
      <c r="J15" s="89">
        <f>IF(G15="","",((G15-H15)/I15)^2)</f>
        <v>1.2960518420737057</v>
      </c>
      <c r="K15" s="89">
        <f>IF(G15="","",MAX(0, J15-$B$12))</f>
        <v>1.2293851754070391</v>
      </c>
      <c r="L15" s="89">
        <f>IF(G15="","",SQRT(K15))</f>
        <v>1.1087764316610627</v>
      </c>
      <c r="M15" s="89" t="str">
        <f>IF(G15="","",IF(K15&lt;=$B$10,"OK","NG"))</f>
        <v>OK</v>
      </c>
      <c r="N15" s="117">
        <f>IF(M15="","",IF(M15=D15,1,0))</f>
        <v>1</v>
      </c>
      <c r="O15" s="89">
        <f t="shared" ref="O15:O78" si="1">IF(G15="","",H15-G15)</f>
        <v>6.0000000000000497E-2</v>
      </c>
      <c r="P15" s="89">
        <f>IF(G15="","",ABS(O15-Components!$C$2))</f>
        <v>2.6933333333333294</v>
      </c>
      <c r="Q15" s="89">
        <f>IF(G15="","",ABS(O15-Components!$C$3))</f>
        <v>3.9759999999999991</v>
      </c>
      <c r="R15" s="89">
        <f>IF(G15="","",ABS(O15-Components!$C$4))</f>
        <v>0.93333333333333246</v>
      </c>
      <c r="S15" s="89">
        <f>IF(G15="","",ABS(O15-Components!$C$5))</f>
        <v>4.5026666666666699</v>
      </c>
      <c r="T15" s="89">
        <f>IF(G15="","",ABS(O15-Components!$C$6))</f>
        <v>1.0956666666666695</v>
      </c>
      <c r="U15" s="89">
        <f>IF(G15="","",ABS(O15-Components!$C$7))</f>
        <v>1.3143333333333296</v>
      </c>
      <c r="V15" s="89" t="str">
        <f>IF(G15="","",IF(M15="OK","NONE",INDEX({"S1","S2","W1","W2","N1","N2"},MATCH(MIN(P15:U15),P15:U15,0))))</f>
        <v>NONE</v>
      </c>
      <c r="W15" s="139">
        <f>IF(G15="","",IF(V15=E15,1,0))</f>
        <v>1</v>
      </c>
      <c r="X15" s="125"/>
    </row>
    <row r="16" spans="1:24" ht="15.75">
      <c r="A16" s="115">
        <v>2</v>
      </c>
      <c r="B16" s="135">
        <f>'Runs Z-Score'!B4</f>
        <v>1</v>
      </c>
      <c r="C16" s="89" t="str">
        <f>'Runs Z-Score'!C4</f>
        <v>R3</v>
      </c>
      <c r="D16" s="89" t="str">
        <f>'Runs Z-Score'!D4</f>
        <v>OK</v>
      </c>
      <c r="E16" s="89" t="str">
        <f>'Runs Z-Score'!E4</f>
        <v>NONE</v>
      </c>
      <c r="F16" s="89">
        <f>'Runs Z-Score'!F4</f>
        <v>10</v>
      </c>
      <c r="G16" s="89">
        <f t="shared" si="0"/>
        <v>10.97</v>
      </c>
      <c r="H16" s="89">
        <f>VLOOKUP(C16,Recipes!$A$2:$N$4,10,FALSE())</f>
        <v>10.940000000000001</v>
      </c>
      <c r="I16" s="89">
        <f>VLOOKUP(C16,Recipes!$A$2:$N$4,12,FALSE())</f>
        <v>5.2703573566378441E-2</v>
      </c>
      <c r="J16" s="89">
        <f t="shared" ref="J16:J79" si="2">IF(G16="","",((G16-H16)/I16)^2)</f>
        <v>0.32401296051840722</v>
      </c>
      <c r="K16" s="89">
        <f t="shared" ref="K16:K79" si="3">IF(G16="","",MAX(0, J16-$B$12))</f>
        <v>0.25734629385174057</v>
      </c>
      <c r="L16" s="89">
        <f t="shared" ref="L16:L79" si="4">IF(G16="","",SQRT(K16))</f>
        <v>0.50729310447880183</v>
      </c>
      <c r="M16" s="89" t="str">
        <f t="shared" ref="M16:M79" si="5">IF(G16="","",IF(K16&lt;=$B$10,"OK","NG"))</f>
        <v>OK</v>
      </c>
      <c r="N16" s="117">
        <f t="shared" ref="N16:N79" si="6">IF(M16="","",IF(M16=D16,1,0))</f>
        <v>1</v>
      </c>
      <c r="O16" s="89">
        <f t="shared" si="1"/>
        <v>-2.9999999999999361E-2</v>
      </c>
      <c r="P16" s="89">
        <f>IF(G16="","",ABS(O16-Components!$C$2))</f>
        <v>2.7833333333333292</v>
      </c>
      <c r="Q16" s="89">
        <f>IF(G16="","",ABS(O16-Components!$C$3))</f>
        <v>4.0659999999999989</v>
      </c>
      <c r="R16" s="89">
        <f>IF(G16="","",ABS(O16-Components!$C$4))</f>
        <v>1.0233333333333323</v>
      </c>
      <c r="S16" s="89">
        <f>IF(G16="","",ABS(O16-Components!$C$5))</f>
        <v>4.5926666666666698</v>
      </c>
      <c r="T16" s="89">
        <f>IF(G16="","",ABS(O16-Components!$C$6))</f>
        <v>1.1856666666666693</v>
      </c>
      <c r="U16" s="89">
        <f>IF(G16="","",ABS(O16-Components!$C$7))</f>
        <v>1.4043333333333294</v>
      </c>
      <c r="V16" s="89" t="str">
        <f>IF(G16="","",IF(M16="OK","NONE",INDEX({"S1","S2","W1","W2","N1","N2"},MATCH(MIN(P16:U16),P16:U16,0))))</f>
        <v>NONE</v>
      </c>
      <c r="W16" s="139">
        <f t="shared" ref="W16:W79" si="7">IF(G16="","",IF(V16=E16,1,0))</f>
        <v>1</v>
      </c>
      <c r="X16" s="125"/>
    </row>
    <row r="17" spans="1:24" ht="15.75">
      <c r="A17" s="115">
        <v>3</v>
      </c>
      <c r="B17" s="135">
        <f>'Runs Z-Score'!B5</f>
        <v>1</v>
      </c>
      <c r="C17" s="89" t="str">
        <f>'Runs Z-Score'!C5</f>
        <v>R3</v>
      </c>
      <c r="D17" s="89" t="str">
        <f>'Runs Z-Score'!D5</f>
        <v>OK</v>
      </c>
      <c r="E17" s="89" t="str">
        <f>'Runs Z-Score'!E5</f>
        <v>NONE</v>
      </c>
      <c r="F17" s="89">
        <f>'Runs Z-Score'!F5</f>
        <v>10</v>
      </c>
      <c r="G17" s="89">
        <f t="shared" si="0"/>
        <v>10.97</v>
      </c>
      <c r="H17" s="89">
        <f>VLOOKUP(C17,Recipes!$A$2:$N$4,10,FALSE())</f>
        <v>10.940000000000001</v>
      </c>
      <c r="I17" s="89">
        <f>VLOOKUP(C17,Recipes!$A$2:$N$4,12,FALSE())</f>
        <v>5.2703573566378441E-2</v>
      </c>
      <c r="J17" s="89">
        <f t="shared" si="2"/>
        <v>0.32401296051840722</v>
      </c>
      <c r="K17" s="89">
        <f t="shared" si="3"/>
        <v>0.25734629385174057</v>
      </c>
      <c r="L17" s="89">
        <f t="shared" si="4"/>
        <v>0.50729310447880183</v>
      </c>
      <c r="M17" s="89" t="str">
        <f t="shared" si="5"/>
        <v>OK</v>
      </c>
      <c r="N17" s="117">
        <f t="shared" si="6"/>
        <v>1</v>
      </c>
      <c r="O17" s="89">
        <f t="shared" si="1"/>
        <v>-2.9999999999999361E-2</v>
      </c>
      <c r="P17" s="89">
        <f>IF(G17="","",ABS(O17-Components!$C$2))</f>
        <v>2.7833333333333292</v>
      </c>
      <c r="Q17" s="89">
        <f>IF(G17="","",ABS(O17-Components!$C$3))</f>
        <v>4.0659999999999989</v>
      </c>
      <c r="R17" s="89">
        <f>IF(G17="","",ABS(O17-Components!$C$4))</f>
        <v>1.0233333333333323</v>
      </c>
      <c r="S17" s="89">
        <f>IF(G17="","",ABS(O17-Components!$C$5))</f>
        <v>4.5926666666666698</v>
      </c>
      <c r="T17" s="89">
        <f>IF(G17="","",ABS(O17-Components!$C$6))</f>
        <v>1.1856666666666693</v>
      </c>
      <c r="U17" s="89">
        <f>IF(G17="","",ABS(O17-Components!$C$7))</f>
        <v>1.4043333333333294</v>
      </c>
      <c r="V17" s="89" t="str">
        <f>IF(G17="","",IF(M17="OK","NONE",INDEX({"S1","S2","W1","W2","N1","N2"},MATCH(MIN(P17:U17),P17:U17,0))))</f>
        <v>NONE</v>
      </c>
      <c r="W17" s="139">
        <f t="shared" si="7"/>
        <v>1</v>
      </c>
      <c r="X17" s="125"/>
    </row>
    <row r="18" spans="1:24" ht="15.75">
      <c r="A18" s="115">
        <v>4</v>
      </c>
      <c r="B18" s="135">
        <f>'Runs Z-Score'!B6</f>
        <v>1</v>
      </c>
      <c r="C18" s="89" t="str">
        <f>'Runs Z-Score'!C6</f>
        <v>R3</v>
      </c>
      <c r="D18" s="89" t="str">
        <f>'Runs Z-Score'!D6</f>
        <v>OK</v>
      </c>
      <c r="E18" s="89" t="str">
        <f>'Runs Z-Score'!E6</f>
        <v>NONE</v>
      </c>
      <c r="F18" s="89">
        <f>'Runs Z-Score'!F6</f>
        <v>9.91</v>
      </c>
      <c r="G18" s="89">
        <f t="shared" si="0"/>
        <v>10.88</v>
      </c>
      <c r="H18" s="89">
        <f>VLOOKUP(C18,Recipes!$A$2:$N$4,10,FALSE())</f>
        <v>10.940000000000001</v>
      </c>
      <c r="I18" s="89">
        <f>VLOOKUP(C18,Recipes!$A$2:$N$4,12,FALSE())</f>
        <v>5.2703573566378441E-2</v>
      </c>
      <c r="J18" s="89">
        <f t="shared" si="2"/>
        <v>1.2960518420737057</v>
      </c>
      <c r="K18" s="89">
        <f t="shared" si="3"/>
        <v>1.2293851754070391</v>
      </c>
      <c r="L18" s="89">
        <f t="shared" si="4"/>
        <v>1.1087764316610627</v>
      </c>
      <c r="M18" s="89" t="str">
        <f t="shared" si="5"/>
        <v>OK</v>
      </c>
      <c r="N18" s="117">
        <f t="shared" si="6"/>
        <v>1</v>
      </c>
      <c r="O18" s="89">
        <f t="shared" si="1"/>
        <v>6.0000000000000497E-2</v>
      </c>
      <c r="P18" s="89">
        <f>IF(G18="","",ABS(O18-Components!$C$2))</f>
        <v>2.6933333333333294</v>
      </c>
      <c r="Q18" s="89">
        <f>IF(G18="","",ABS(O18-Components!$C$3))</f>
        <v>3.9759999999999991</v>
      </c>
      <c r="R18" s="89">
        <f>IF(G18="","",ABS(O18-Components!$C$4))</f>
        <v>0.93333333333333246</v>
      </c>
      <c r="S18" s="89">
        <f>IF(G18="","",ABS(O18-Components!$C$5))</f>
        <v>4.5026666666666699</v>
      </c>
      <c r="T18" s="89">
        <f>IF(G18="","",ABS(O18-Components!$C$6))</f>
        <v>1.0956666666666695</v>
      </c>
      <c r="U18" s="89">
        <f>IF(G18="","",ABS(O18-Components!$C$7))</f>
        <v>1.3143333333333296</v>
      </c>
      <c r="V18" s="89" t="str">
        <f>IF(G18="","",IF(M18="OK","NONE",INDEX({"S1","S2","W1","W2","N1","N2"},MATCH(MIN(P18:U18),P18:U18,0))))</f>
        <v>NONE</v>
      </c>
      <c r="W18" s="139">
        <f t="shared" si="7"/>
        <v>1</v>
      </c>
      <c r="X18" s="125"/>
    </row>
    <row r="19" spans="1:24" ht="15.75">
      <c r="A19" s="115">
        <v>5</v>
      </c>
      <c r="B19" s="135">
        <f>'Runs Z-Score'!B7</f>
        <v>1</v>
      </c>
      <c r="C19" s="89" t="str">
        <f>'Runs Z-Score'!C7</f>
        <v>R3</v>
      </c>
      <c r="D19" s="89" t="str">
        <f>'Runs Z-Score'!D7</f>
        <v>OK</v>
      </c>
      <c r="E19" s="89" t="str">
        <f>'Runs Z-Score'!E7</f>
        <v>NONE</v>
      </c>
      <c r="F19" s="89">
        <f>'Runs Z-Score'!F7</f>
        <v>10.039999999999999</v>
      </c>
      <c r="G19" s="89">
        <f t="shared" si="0"/>
        <v>11.01</v>
      </c>
      <c r="H19" s="89">
        <f>VLOOKUP(C19,Recipes!$A$2:$N$4,10,FALSE())</f>
        <v>10.940000000000001</v>
      </c>
      <c r="I19" s="89">
        <f>VLOOKUP(C19,Recipes!$A$2:$N$4,12,FALSE())</f>
        <v>5.2703573566378441E-2</v>
      </c>
      <c r="J19" s="89">
        <f t="shared" si="2"/>
        <v>1.7640705628224393</v>
      </c>
      <c r="K19" s="89">
        <f t="shared" si="3"/>
        <v>1.6974038961557727</v>
      </c>
      <c r="L19" s="89">
        <f t="shared" si="4"/>
        <v>1.3028445402870492</v>
      </c>
      <c r="M19" s="89" t="str">
        <f t="shared" si="5"/>
        <v>OK</v>
      </c>
      <c r="N19" s="117">
        <f t="shared" si="6"/>
        <v>1</v>
      </c>
      <c r="O19" s="89">
        <f t="shared" si="1"/>
        <v>-6.9999999999998508E-2</v>
      </c>
      <c r="P19" s="89">
        <f>IF(G19="","",ABS(O19-Components!$C$2))</f>
        <v>2.8233333333333284</v>
      </c>
      <c r="Q19" s="89">
        <f>IF(G19="","",ABS(O19-Components!$C$3))</f>
        <v>4.1059999999999981</v>
      </c>
      <c r="R19" s="89">
        <f>IF(G19="","",ABS(O19-Components!$C$4))</f>
        <v>1.0633333333333315</v>
      </c>
      <c r="S19" s="89">
        <f>IF(G19="","",ABS(O19-Components!$C$5))</f>
        <v>4.6326666666666689</v>
      </c>
      <c r="T19" s="89">
        <f>IF(G19="","",ABS(O19-Components!$C$6))</f>
        <v>1.2256666666666685</v>
      </c>
      <c r="U19" s="89">
        <f>IF(G19="","",ABS(O19-Components!$C$7))</f>
        <v>1.4443333333333286</v>
      </c>
      <c r="V19" s="89" t="str">
        <f>IF(G19="","",IF(M19="OK","NONE",INDEX({"S1","S2","W1","W2","N1","N2"},MATCH(MIN(P19:U19),P19:U19,0))))</f>
        <v>NONE</v>
      </c>
      <c r="W19" s="139">
        <f t="shared" si="7"/>
        <v>1</v>
      </c>
      <c r="X19" s="125"/>
    </row>
    <row r="20" spans="1:24" ht="15.75">
      <c r="A20" s="115">
        <v>6</v>
      </c>
      <c r="B20" s="135">
        <f>'Runs Z-Score'!B8</f>
        <v>1</v>
      </c>
      <c r="C20" s="89" t="str">
        <f>'Runs Z-Score'!C8</f>
        <v>R3</v>
      </c>
      <c r="D20" s="89" t="str">
        <f>'Runs Z-Score'!D8</f>
        <v>OK</v>
      </c>
      <c r="E20" s="89" t="str">
        <f>'Runs Z-Score'!E8</f>
        <v>NONE</v>
      </c>
      <c r="F20" s="89">
        <f>'Runs Z-Score'!F8</f>
        <v>9.84</v>
      </c>
      <c r="G20" s="89">
        <f t="shared" si="0"/>
        <v>10.81</v>
      </c>
      <c r="H20" s="89">
        <f>VLOOKUP(C20,Recipes!$A$2:$N$4,10,FALSE())</f>
        <v>10.940000000000001</v>
      </c>
      <c r="I20" s="89">
        <f>VLOOKUP(C20,Recipes!$A$2:$N$4,12,FALSE())</f>
        <v>5.2703573566378441E-2</v>
      </c>
      <c r="J20" s="89">
        <f t="shared" si="2"/>
        <v>6.0842433697348683</v>
      </c>
      <c r="K20" s="89">
        <f t="shared" si="3"/>
        <v>6.0175767030682019</v>
      </c>
      <c r="L20" s="89">
        <f t="shared" si="4"/>
        <v>2.4530749485224055</v>
      </c>
      <c r="M20" s="89" t="str">
        <f t="shared" si="5"/>
        <v>OK</v>
      </c>
      <c r="N20" s="117">
        <f t="shared" si="6"/>
        <v>1</v>
      </c>
      <c r="O20" s="89">
        <f t="shared" si="1"/>
        <v>0.13000000000000078</v>
      </c>
      <c r="P20" s="89">
        <f>IF(G20="","",ABS(O20-Components!$C$2))</f>
        <v>2.6233333333333291</v>
      </c>
      <c r="Q20" s="89">
        <f>IF(G20="","",ABS(O20-Components!$C$3))</f>
        <v>3.9059999999999988</v>
      </c>
      <c r="R20" s="89">
        <f>IF(G20="","",ABS(O20-Components!$C$4))</f>
        <v>0.86333333333333218</v>
      </c>
      <c r="S20" s="89">
        <f>IF(G20="","",ABS(O20-Components!$C$5))</f>
        <v>4.4326666666666696</v>
      </c>
      <c r="T20" s="89">
        <f>IF(G20="","",ABS(O20-Components!$C$6))</f>
        <v>1.0256666666666692</v>
      </c>
      <c r="U20" s="89">
        <f>IF(G20="","",ABS(O20-Components!$C$7))</f>
        <v>1.2443333333333293</v>
      </c>
      <c r="V20" s="89" t="str">
        <f>IF(G20="","",IF(M20="OK","NONE",INDEX({"S1","S2","W1","W2","N1","N2"},MATCH(MIN(P20:U20),P20:U20,0))))</f>
        <v>NONE</v>
      </c>
      <c r="W20" s="139">
        <f t="shared" si="7"/>
        <v>1</v>
      </c>
      <c r="X20" s="125"/>
    </row>
    <row r="21" spans="1:24" ht="15.75">
      <c r="A21" s="115">
        <v>7</v>
      </c>
      <c r="B21" s="135">
        <f>'Runs Z-Score'!B9</f>
        <v>1</v>
      </c>
      <c r="C21" s="89" t="str">
        <f>'Runs Z-Score'!C9</f>
        <v>R3</v>
      </c>
      <c r="D21" s="89" t="str">
        <f>'Runs Z-Score'!D9</f>
        <v>OK</v>
      </c>
      <c r="E21" s="89" t="str">
        <f>'Runs Z-Score'!E9</f>
        <v>NONE</v>
      </c>
      <c r="F21" s="89">
        <f>'Runs Z-Score'!F9</f>
        <v>9.9</v>
      </c>
      <c r="G21" s="89">
        <f t="shared" si="0"/>
        <v>10.870000000000001</v>
      </c>
      <c r="H21" s="89">
        <f>VLOOKUP(C21,Recipes!$A$2:$N$4,10,FALSE())</f>
        <v>10.940000000000001</v>
      </c>
      <c r="I21" s="89">
        <f>VLOOKUP(C21,Recipes!$A$2:$N$4,12,FALSE())</f>
        <v>5.2703573566378441E-2</v>
      </c>
      <c r="J21" s="89">
        <f t="shared" si="2"/>
        <v>1.7640705628225284</v>
      </c>
      <c r="K21" s="89">
        <f t="shared" si="3"/>
        <v>1.6974038961558617</v>
      </c>
      <c r="L21" s="89">
        <f t="shared" si="4"/>
        <v>1.3028445402870834</v>
      </c>
      <c r="M21" s="89" t="str">
        <f t="shared" si="5"/>
        <v>OK</v>
      </c>
      <c r="N21" s="117">
        <f t="shared" si="6"/>
        <v>1</v>
      </c>
      <c r="O21" s="89">
        <f t="shared" si="1"/>
        <v>7.0000000000000284E-2</v>
      </c>
      <c r="P21" s="89">
        <f>IF(G21="","",ABS(O21-Components!$C$2))</f>
        <v>2.6833333333333296</v>
      </c>
      <c r="Q21" s="89">
        <f>IF(G21="","",ABS(O21-Components!$C$3))</f>
        <v>3.9659999999999993</v>
      </c>
      <c r="R21" s="89">
        <f>IF(G21="","",ABS(O21-Components!$C$4))</f>
        <v>0.92333333333333267</v>
      </c>
      <c r="S21" s="89">
        <f>IF(G21="","",ABS(O21-Components!$C$5))</f>
        <v>4.4926666666666701</v>
      </c>
      <c r="T21" s="89">
        <f>IF(G21="","",ABS(O21-Components!$C$6))</f>
        <v>1.0856666666666697</v>
      </c>
      <c r="U21" s="89">
        <f>IF(G21="","",ABS(O21-Components!$C$7))</f>
        <v>1.3043333333333298</v>
      </c>
      <c r="V21" s="89" t="str">
        <f>IF(G21="","",IF(M21="OK","NONE",INDEX({"S1","S2","W1","W2","N1","N2"},MATCH(MIN(P21:U21),P21:U21,0))))</f>
        <v>NONE</v>
      </c>
      <c r="W21" s="139">
        <f t="shared" si="7"/>
        <v>1</v>
      </c>
      <c r="X21" s="125"/>
    </row>
    <row r="22" spans="1:24" ht="15.75">
      <c r="A22" s="115">
        <v>8</v>
      </c>
      <c r="B22" s="135">
        <f>'Runs Z-Score'!B10</f>
        <v>1</v>
      </c>
      <c r="C22" s="89" t="str">
        <f>'Runs Z-Score'!C10</f>
        <v>R3</v>
      </c>
      <c r="D22" s="89" t="str">
        <f>'Runs Z-Score'!D10</f>
        <v>OK</v>
      </c>
      <c r="E22" s="89" t="str">
        <f>'Runs Z-Score'!E10</f>
        <v>NONE</v>
      </c>
      <c r="F22" s="89">
        <f>'Runs Z-Score'!F10</f>
        <v>9.92</v>
      </c>
      <c r="G22" s="89">
        <f t="shared" si="0"/>
        <v>10.89</v>
      </c>
      <c r="H22" s="89">
        <f>VLOOKUP(C22,Recipes!$A$2:$N$4,10,FALSE())</f>
        <v>10.940000000000001</v>
      </c>
      <c r="I22" s="89">
        <f>VLOOKUP(C22,Recipes!$A$2:$N$4,12,FALSE())</f>
        <v>5.2703573566378441E-2</v>
      </c>
      <c r="J22" s="89">
        <f t="shared" si="2"/>
        <v>0.900036001440084</v>
      </c>
      <c r="K22" s="89">
        <f t="shared" si="3"/>
        <v>0.83336933477341735</v>
      </c>
      <c r="L22" s="89">
        <f t="shared" si="4"/>
        <v>0.91289064776314655</v>
      </c>
      <c r="M22" s="89" t="str">
        <f t="shared" si="5"/>
        <v>OK</v>
      </c>
      <c r="N22" s="117">
        <f t="shared" si="6"/>
        <v>1</v>
      </c>
      <c r="O22" s="89">
        <f t="shared" si="1"/>
        <v>5.0000000000000711E-2</v>
      </c>
      <c r="P22" s="89">
        <f>IF(G22="","",ABS(O22-Components!$C$2))</f>
        <v>2.7033333333333291</v>
      </c>
      <c r="Q22" s="89">
        <f>IF(G22="","",ABS(O22-Components!$C$3))</f>
        <v>3.9859999999999989</v>
      </c>
      <c r="R22" s="89">
        <f>IF(G22="","",ABS(O22-Components!$C$4))</f>
        <v>0.94333333333333225</v>
      </c>
      <c r="S22" s="89">
        <f>IF(G22="","",ABS(O22-Components!$C$5))</f>
        <v>4.5126666666666697</v>
      </c>
      <c r="T22" s="89">
        <f>IF(G22="","",ABS(O22-Components!$C$6))</f>
        <v>1.1056666666666692</v>
      </c>
      <c r="U22" s="89">
        <f>IF(G22="","",ABS(O22-Components!$C$7))</f>
        <v>1.3243333333333294</v>
      </c>
      <c r="V22" s="89" t="str">
        <f>IF(G22="","",IF(M22="OK","NONE",INDEX({"S1","S2","W1","W2","N1","N2"},MATCH(MIN(P22:U22),P22:U22,0))))</f>
        <v>NONE</v>
      </c>
      <c r="W22" s="139">
        <f t="shared" si="7"/>
        <v>1</v>
      </c>
      <c r="X22" s="125"/>
    </row>
    <row r="23" spans="1:24" ht="15.75">
      <c r="A23" s="115">
        <v>9</v>
      </c>
      <c r="B23" s="135">
        <f>'Runs Z-Score'!B11</f>
        <v>1</v>
      </c>
      <c r="C23" s="89" t="str">
        <f>'Runs Z-Score'!C11</f>
        <v>R3</v>
      </c>
      <c r="D23" s="89" t="str">
        <f>'Runs Z-Score'!D11</f>
        <v>OK</v>
      </c>
      <c r="E23" s="89" t="str">
        <f>'Runs Z-Score'!E11</f>
        <v>NONE</v>
      </c>
      <c r="F23" s="89">
        <f>'Runs Z-Score'!F11</f>
        <v>9.9499999999999993</v>
      </c>
      <c r="G23" s="89">
        <f t="shared" si="0"/>
        <v>10.92</v>
      </c>
      <c r="H23" s="89">
        <f>VLOOKUP(C23,Recipes!$A$2:$N$4,10,FALSE())</f>
        <v>10.940000000000001</v>
      </c>
      <c r="I23" s="89">
        <f>VLOOKUP(C23,Recipes!$A$2:$N$4,12,FALSE())</f>
        <v>5.2703573566378441E-2</v>
      </c>
      <c r="J23" s="89">
        <f t="shared" si="2"/>
        <v>0.1440057602304288</v>
      </c>
      <c r="K23" s="89">
        <f t="shared" si="3"/>
        <v>7.7339093563762132E-2</v>
      </c>
      <c r="L23" s="89">
        <f t="shared" si="4"/>
        <v>0.27809907149029128</v>
      </c>
      <c r="M23" s="89" t="str">
        <f t="shared" si="5"/>
        <v>OK</v>
      </c>
      <c r="N23" s="117">
        <f t="shared" si="6"/>
        <v>1</v>
      </c>
      <c r="O23" s="89">
        <f t="shared" si="1"/>
        <v>2.000000000000135E-2</v>
      </c>
      <c r="P23" s="89">
        <f>IF(G23="","",ABS(O23-Components!$C$2))</f>
        <v>2.7333333333333285</v>
      </c>
      <c r="Q23" s="89">
        <f>IF(G23="","",ABS(O23-Components!$C$3))</f>
        <v>4.0159999999999982</v>
      </c>
      <c r="R23" s="89">
        <f>IF(G23="","",ABS(O23-Components!$C$4))</f>
        <v>0.97333333333333161</v>
      </c>
      <c r="S23" s="89">
        <f>IF(G23="","",ABS(O23-Components!$C$5))</f>
        <v>4.5426666666666691</v>
      </c>
      <c r="T23" s="89">
        <f>IF(G23="","",ABS(O23-Components!$C$6))</f>
        <v>1.1356666666666686</v>
      </c>
      <c r="U23" s="89">
        <f>IF(G23="","",ABS(O23-Components!$C$7))</f>
        <v>1.3543333333333287</v>
      </c>
      <c r="V23" s="89" t="str">
        <f>IF(G23="","",IF(M23="OK","NONE",INDEX({"S1","S2","W1","W2","N1","N2"},MATCH(MIN(P23:U23),P23:U23,0))))</f>
        <v>NONE</v>
      </c>
      <c r="W23" s="139">
        <f t="shared" si="7"/>
        <v>1</v>
      </c>
      <c r="X23" s="125"/>
    </row>
    <row r="24" spans="1:24" ht="15.75">
      <c r="A24" s="115">
        <v>10</v>
      </c>
      <c r="B24" s="135">
        <f>'Runs Z-Score'!B12</f>
        <v>1</v>
      </c>
      <c r="C24" s="89" t="str">
        <f>'Runs Z-Score'!C12</f>
        <v>R3</v>
      </c>
      <c r="D24" s="89" t="str">
        <f>'Runs Z-Score'!D12</f>
        <v>OK</v>
      </c>
      <c r="E24" s="89" t="str">
        <f>'Runs Z-Score'!E12</f>
        <v>NONE</v>
      </c>
      <c r="F24" s="89">
        <f>'Runs Z-Score'!F12</f>
        <v>9.8699999999999992</v>
      </c>
      <c r="G24" s="89">
        <f t="shared" si="0"/>
        <v>10.84</v>
      </c>
      <c r="H24" s="89">
        <f>VLOOKUP(C24,Recipes!$A$2:$N$4,10,FALSE())</f>
        <v>10.940000000000001</v>
      </c>
      <c r="I24" s="89">
        <f>VLOOKUP(C24,Recipes!$A$2:$N$4,12,FALSE())</f>
        <v>5.2703573566378441E-2</v>
      </c>
      <c r="J24" s="89">
        <f t="shared" si="2"/>
        <v>3.600144005760336</v>
      </c>
      <c r="K24" s="89">
        <f t="shared" si="3"/>
        <v>3.5334773390936691</v>
      </c>
      <c r="L24" s="89">
        <f t="shared" si="4"/>
        <v>1.8797545954442216</v>
      </c>
      <c r="M24" s="89" t="str">
        <f t="shared" si="5"/>
        <v>OK</v>
      </c>
      <c r="N24" s="117">
        <f t="shared" si="6"/>
        <v>1</v>
      </c>
      <c r="O24" s="89">
        <f t="shared" si="1"/>
        <v>0.10000000000000142</v>
      </c>
      <c r="P24" s="89">
        <f>IF(G24="","",ABS(O24-Components!$C$2))</f>
        <v>2.6533333333333284</v>
      </c>
      <c r="Q24" s="89">
        <f>IF(G24="","",ABS(O24-Components!$C$3))</f>
        <v>3.9359999999999982</v>
      </c>
      <c r="R24" s="89">
        <f>IF(G24="","",ABS(O24-Components!$C$4))</f>
        <v>0.89333333333333154</v>
      </c>
      <c r="S24" s="89">
        <f>IF(G24="","",ABS(O24-Components!$C$5))</f>
        <v>4.462666666666669</v>
      </c>
      <c r="T24" s="89">
        <f>IF(G24="","",ABS(O24-Components!$C$6))</f>
        <v>1.0556666666666685</v>
      </c>
      <c r="U24" s="89">
        <f>IF(G24="","",ABS(O24-Components!$C$7))</f>
        <v>1.2743333333333287</v>
      </c>
      <c r="V24" s="89" t="str">
        <f>IF(G24="","",IF(M24="OK","NONE",INDEX({"S1","S2","W1","W2","N1","N2"},MATCH(MIN(P24:U24),P24:U24,0))))</f>
        <v>NONE</v>
      </c>
      <c r="W24" s="139">
        <f t="shared" si="7"/>
        <v>1</v>
      </c>
      <c r="X24" s="125"/>
    </row>
    <row r="25" spans="1:24" ht="15.75">
      <c r="A25" s="115">
        <v>11</v>
      </c>
      <c r="B25" s="135">
        <f>'Runs Z-Score'!B13</f>
        <v>1</v>
      </c>
      <c r="C25" s="89" t="str">
        <f>'Runs Z-Score'!C13</f>
        <v>R3</v>
      </c>
      <c r="D25" s="89" t="str">
        <f>'Runs Z-Score'!D13</f>
        <v>OK</v>
      </c>
      <c r="E25" s="89" t="str">
        <f>'Runs Z-Score'!E13</f>
        <v>NONE</v>
      </c>
      <c r="F25" s="89">
        <f>'Runs Z-Score'!F13</f>
        <v>9.8800000000000008</v>
      </c>
      <c r="G25" s="89">
        <f t="shared" si="0"/>
        <v>10.850000000000001</v>
      </c>
      <c r="H25" s="89">
        <f>VLOOKUP(C25,Recipes!$A$2:$N$4,10,FALSE())</f>
        <v>10.940000000000001</v>
      </c>
      <c r="I25" s="89">
        <f>VLOOKUP(C25,Recipes!$A$2:$N$4,12,FALSE())</f>
        <v>5.2703573566378441E-2</v>
      </c>
      <c r="J25" s="89">
        <f t="shared" si="2"/>
        <v>2.91611664466578</v>
      </c>
      <c r="K25" s="89">
        <f t="shared" si="3"/>
        <v>2.8494499779991131</v>
      </c>
      <c r="L25" s="89">
        <f t="shared" si="4"/>
        <v>1.6880313912955272</v>
      </c>
      <c r="M25" s="89" t="str">
        <f t="shared" si="5"/>
        <v>OK</v>
      </c>
      <c r="N25" s="117">
        <f t="shared" si="6"/>
        <v>1</v>
      </c>
      <c r="O25" s="89">
        <f t="shared" si="1"/>
        <v>8.9999999999999858E-2</v>
      </c>
      <c r="P25" s="89">
        <f>IF(G25="","",ABS(O25-Components!$C$2))</f>
        <v>2.66333333333333</v>
      </c>
      <c r="Q25" s="89">
        <f>IF(G25="","",ABS(O25-Components!$C$3))</f>
        <v>3.9459999999999997</v>
      </c>
      <c r="R25" s="89">
        <f>IF(G25="","",ABS(O25-Components!$C$4))</f>
        <v>0.9033333333333331</v>
      </c>
      <c r="S25" s="89">
        <f>IF(G25="","",ABS(O25-Components!$C$5))</f>
        <v>4.4726666666666706</v>
      </c>
      <c r="T25" s="89">
        <f>IF(G25="","",ABS(O25-Components!$C$6))</f>
        <v>1.0656666666666701</v>
      </c>
      <c r="U25" s="89">
        <f>IF(G25="","",ABS(O25-Components!$C$7))</f>
        <v>1.2843333333333302</v>
      </c>
      <c r="V25" s="89" t="str">
        <f>IF(G25="","",IF(M25="OK","NONE",INDEX({"S1","S2","W1","W2","N1","N2"},MATCH(MIN(P25:U25),P25:U25,0))))</f>
        <v>NONE</v>
      </c>
      <c r="W25" s="139">
        <f t="shared" si="7"/>
        <v>1</v>
      </c>
      <c r="X25" s="125"/>
    </row>
    <row r="26" spans="1:24" ht="15.75">
      <c r="A26" s="115">
        <v>12</v>
      </c>
      <c r="B26" s="135">
        <f>'Runs Z-Score'!B14</f>
        <v>1</v>
      </c>
      <c r="C26" s="89" t="str">
        <f>'Runs Z-Score'!C14</f>
        <v>R3</v>
      </c>
      <c r="D26" s="89" t="str">
        <f>'Runs Z-Score'!D14</f>
        <v>OK</v>
      </c>
      <c r="E26" s="89" t="str">
        <f>'Runs Z-Score'!E14</f>
        <v>NONE</v>
      </c>
      <c r="F26" s="89">
        <f>'Runs Z-Score'!F14</f>
        <v>9.91</v>
      </c>
      <c r="G26" s="89">
        <f t="shared" si="0"/>
        <v>10.88</v>
      </c>
      <c r="H26" s="89">
        <f>VLOOKUP(C26,Recipes!$A$2:$N$4,10,FALSE())</f>
        <v>10.940000000000001</v>
      </c>
      <c r="I26" s="89">
        <f>VLOOKUP(C26,Recipes!$A$2:$N$4,12,FALSE())</f>
        <v>5.2703573566378441E-2</v>
      </c>
      <c r="J26" s="89">
        <f t="shared" si="2"/>
        <v>1.2960518420737057</v>
      </c>
      <c r="K26" s="89">
        <f t="shared" si="3"/>
        <v>1.2293851754070391</v>
      </c>
      <c r="L26" s="89">
        <f t="shared" si="4"/>
        <v>1.1087764316610627</v>
      </c>
      <c r="M26" s="89" t="str">
        <f t="shared" si="5"/>
        <v>OK</v>
      </c>
      <c r="N26" s="117">
        <f t="shared" si="6"/>
        <v>1</v>
      </c>
      <c r="O26" s="89">
        <f t="shared" si="1"/>
        <v>6.0000000000000497E-2</v>
      </c>
      <c r="P26" s="89">
        <f>IF(G26="","",ABS(O26-Components!$C$2))</f>
        <v>2.6933333333333294</v>
      </c>
      <c r="Q26" s="89">
        <f>IF(G26="","",ABS(O26-Components!$C$3))</f>
        <v>3.9759999999999991</v>
      </c>
      <c r="R26" s="89">
        <f>IF(G26="","",ABS(O26-Components!$C$4))</f>
        <v>0.93333333333333246</v>
      </c>
      <c r="S26" s="89">
        <f>IF(G26="","",ABS(O26-Components!$C$5))</f>
        <v>4.5026666666666699</v>
      </c>
      <c r="T26" s="89">
        <f>IF(G26="","",ABS(O26-Components!$C$6))</f>
        <v>1.0956666666666695</v>
      </c>
      <c r="U26" s="89">
        <f>IF(G26="","",ABS(O26-Components!$C$7))</f>
        <v>1.3143333333333296</v>
      </c>
      <c r="V26" s="89" t="str">
        <f>IF(G26="","",IF(M26="OK","NONE",INDEX({"S1","S2","W1","W2","N1","N2"},MATCH(MIN(P26:U26),P26:U26,0))))</f>
        <v>NONE</v>
      </c>
      <c r="W26" s="139">
        <f t="shared" si="7"/>
        <v>1</v>
      </c>
      <c r="X26" s="125"/>
    </row>
    <row r="27" spans="1:24" ht="15.75">
      <c r="A27" s="115">
        <v>13</v>
      </c>
      <c r="B27" s="135">
        <f>'Runs Z-Score'!B15</f>
        <v>1</v>
      </c>
      <c r="C27" s="89" t="str">
        <f>'Runs Z-Score'!C15</f>
        <v>R3</v>
      </c>
      <c r="D27" s="89" t="str">
        <f>'Runs Z-Score'!D15</f>
        <v>OK</v>
      </c>
      <c r="E27" s="89" t="str">
        <f>'Runs Z-Score'!E15</f>
        <v>NONE</v>
      </c>
      <c r="F27" s="89">
        <f>'Runs Z-Score'!F15</f>
        <v>9.9</v>
      </c>
      <c r="G27" s="89">
        <f t="shared" si="0"/>
        <v>10.870000000000001</v>
      </c>
      <c r="H27" s="89">
        <f>VLOOKUP(C27,Recipes!$A$2:$N$4,10,FALSE())</f>
        <v>10.940000000000001</v>
      </c>
      <c r="I27" s="89">
        <f>VLOOKUP(C27,Recipes!$A$2:$N$4,12,FALSE())</f>
        <v>5.2703573566378441E-2</v>
      </c>
      <c r="J27" s="89">
        <f t="shared" si="2"/>
        <v>1.7640705628225284</v>
      </c>
      <c r="K27" s="89">
        <f t="shared" si="3"/>
        <v>1.6974038961558617</v>
      </c>
      <c r="L27" s="89">
        <f t="shared" si="4"/>
        <v>1.3028445402870834</v>
      </c>
      <c r="M27" s="89" t="str">
        <f t="shared" si="5"/>
        <v>OK</v>
      </c>
      <c r="N27" s="117">
        <f t="shared" si="6"/>
        <v>1</v>
      </c>
      <c r="O27" s="89">
        <f t="shared" si="1"/>
        <v>7.0000000000000284E-2</v>
      </c>
      <c r="P27" s="89">
        <f>IF(G27="","",ABS(O27-Components!$C$2))</f>
        <v>2.6833333333333296</v>
      </c>
      <c r="Q27" s="89">
        <f>IF(G27="","",ABS(O27-Components!$C$3))</f>
        <v>3.9659999999999993</v>
      </c>
      <c r="R27" s="89">
        <f>IF(G27="","",ABS(O27-Components!$C$4))</f>
        <v>0.92333333333333267</v>
      </c>
      <c r="S27" s="89">
        <f>IF(G27="","",ABS(O27-Components!$C$5))</f>
        <v>4.4926666666666701</v>
      </c>
      <c r="T27" s="89">
        <f>IF(G27="","",ABS(O27-Components!$C$6))</f>
        <v>1.0856666666666697</v>
      </c>
      <c r="U27" s="89">
        <f>IF(G27="","",ABS(O27-Components!$C$7))</f>
        <v>1.3043333333333298</v>
      </c>
      <c r="V27" s="89" t="str">
        <f>IF(G27="","",IF(M27="OK","NONE",INDEX({"S1","S2","W1","W2","N1","N2"},MATCH(MIN(P27:U27),P27:U27,0))))</f>
        <v>NONE</v>
      </c>
      <c r="W27" s="139">
        <f t="shared" si="7"/>
        <v>1</v>
      </c>
      <c r="X27" s="125"/>
    </row>
    <row r="28" spans="1:24" ht="15.75">
      <c r="A28" s="115">
        <v>14</v>
      </c>
      <c r="B28" s="135">
        <f>'Runs Z-Score'!B16</f>
        <v>1</v>
      </c>
      <c r="C28" s="89" t="str">
        <f>'Runs Z-Score'!C16</f>
        <v>R3</v>
      </c>
      <c r="D28" s="89" t="str">
        <f>'Runs Z-Score'!D16</f>
        <v>OK</v>
      </c>
      <c r="E28" s="89" t="str">
        <f>'Runs Z-Score'!E16</f>
        <v>NONE</v>
      </c>
      <c r="F28" s="89">
        <f>'Runs Z-Score'!F16</f>
        <v>9.92</v>
      </c>
      <c r="G28" s="89">
        <f t="shared" si="0"/>
        <v>10.89</v>
      </c>
      <c r="H28" s="89">
        <f>VLOOKUP(C28,Recipes!$A$2:$N$4,10,FALSE())</f>
        <v>10.940000000000001</v>
      </c>
      <c r="I28" s="89">
        <f>VLOOKUP(C28,Recipes!$A$2:$N$4,12,FALSE())</f>
        <v>5.2703573566378441E-2</v>
      </c>
      <c r="J28" s="89">
        <f t="shared" si="2"/>
        <v>0.900036001440084</v>
      </c>
      <c r="K28" s="89">
        <f t="shared" si="3"/>
        <v>0.83336933477341735</v>
      </c>
      <c r="L28" s="89">
        <f t="shared" si="4"/>
        <v>0.91289064776314655</v>
      </c>
      <c r="M28" s="89" t="str">
        <f t="shared" si="5"/>
        <v>OK</v>
      </c>
      <c r="N28" s="117">
        <f t="shared" si="6"/>
        <v>1</v>
      </c>
      <c r="O28" s="89">
        <f t="shared" si="1"/>
        <v>5.0000000000000711E-2</v>
      </c>
      <c r="P28" s="89">
        <f>IF(G28="","",ABS(O28-Components!$C$2))</f>
        <v>2.7033333333333291</v>
      </c>
      <c r="Q28" s="89">
        <f>IF(G28="","",ABS(O28-Components!$C$3))</f>
        <v>3.9859999999999989</v>
      </c>
      <c r="R28" s="89">
        <f>IF(G28="","",ABS(O28-Components!$C$4))</f>
        <v>0.94333333333333225</v>
      </c>
      <c r="S28" s="89">
        <f>IF(G28="","",ABS(O28-Components!$C$5))</f>
        <v>4.5126666666666697</v>
      </c>
      <c r="T28" s="89">
        <f>IF(G28="","",ABS(O28-Components!$C$6))</f>
        <v>1.1056666666666692</v>
      </c>
      <c r="U28" s="89">
        <f>IF(G28="","",ABS(O28-Components!$C$7))</f>
        <v>1.3243333333333294</v>
      </c>
      <c r="V28" s="89" t="str">
        <f>IF(G28="","",IF(M28="OK","NONE",INDEX({"S1","S2","W1","W2","N1","N2"},MATCH(MIN(P28:U28),P28:U28,0))))</f>
        <v>NONE</v>
      </c>
      <c r="W28" s="139">
        <f t="shared" si="7"/>
        <v>1</v>
      </c>
      <c r="X28" s="125"/>
    </row>
    <row r="29" spans="1:24" ht="15.75">
      <c r="A29" s="115">
        <v>15</v>
      </c>
      <c r="B29" s="135">
        <f>'Runs Z-Score'!B17</f>
        <v>1</v>
      </c>
      <c r="C29" s="89" t="str">
        <f>'Runs Z-Score'!C17</f>
        <v>R3</v>
      </c>
      <c r="D29" s="89" t="str">
        <f>'Runs Z-Score'!D17</f>
        <v>OK</v>
      </c>
      <c r="E29" s="89" t="str">
        <f>'Runs Z-Score'!E17</f>
        <v>NONE</v>
      </c>
      <c r="F29" s="89">
        <f>'Runs Z-Score'!F17</f>
        <v>9.94</v>
      </c>
      <c r="G29" s="89">
        <f t="shared" si="0"/>
        <v>10.91</v>
      </c>
      <c r="H29" s="89">
        <f>VLOOKUP(C29,Recipes!$A$2:$N$4,10,FALSE())</f>
        <v>10.940000000000001</v>
      </c>
      <c r="I29" s="89">
        <f>VLOOKUP(C29,Recipes!$A$2:$N$4,12,FALSE())</f>
        <v>5.2703573566378441E-2</v>
      </c>
      <c r="J29" s="89">
        <f t="shared" si="2"/>
        <v>0.32401296051844553</v>
      </c>
      <c r="K29" s="89">
        <f t="shared" si="3"/>
        <v>0.25734629385177887</v>
      </c>
      <c r="L29" s="89">
        <f t="shared" si="4"/>
        <v>0.50729310447883957</v>
      </c>
      <c r="M29" s="89" t="str">
        <f t="shared" si="5"/>
        <v>OK</v>
      </c>
      <c r="N29" s="117">
        <f t="shared" si="6"/>
        <v>1</v>
      </c>
      <c r="O29" s="89">
        <f t="shared" si="1"/>
        <v>3.0000000000001137E-2</v>
      </c>
      <c r="P29" s="89">
        <f>IF(G29="","",ABS(O29-Components!$C$2))</f>
        <v>2.7233333333333287</v>
      </c>
      <c r="Q29" s="89">
        <f>IF(G29="","",ABS(O29-Components!$C$3))</f>
        <v>4.0059999999999985</v>
      </c>
      <c r="R29" s="89">
        <f>IF(G29="","",ABS(O29-Components!$C$4))</f>
        <v>0.96333333333333182</v>
      </c>
      <c r="S29" s="89">
        <f>IF(G29="","",ABS(O29-Components!$C$5))</f>
        <v>4.5326666666666693</v>
      </c>
      <c r="T29" s="89">
        <f>IF(G29="","",ABS(O29-Components!$C$6))</f>
        <v>1.1256666666666688</v>
      </c>
      <c r="U29" s="89">
        <f>IF(G29="","",ABS(O29-Components!$C$7))</f>
        <v>1.3443333333333289</v>
      </c>
      <c r="V29" s="89" t="str">
        <f>IF(G29="","",IF(M29="OK","NONE",INDEX({"S1","S2","W1","W2","N1","N2"},MATCH(MIN(P29:U29),P29:U29,0))))</f>
        <v>NONE</v>
      </c>
      <c r="W29" s="139">
        <f t="shared" si="7"/>
        <v>1</v>
      </c>
      <c r="X29" s="125"/>
    </row>
    <row r="30" spans="1:24" ht="15.75">
      <c r="A30" s="115">
        <v>16</v>
      </c>
      <c r="B30" s="135">
        <f>'Runs Z-Score'!B18</f>
        <v>1</v>
      </c>
      <c r="C30" s="89" t="str">
        <f>'Runs Z-Score'!C18</f>
        <v>R3</v>
      </c>
      <c r="D30" s="89" t="str">
        <f>'Runs Z-Score'!D18</f>
        <v>OK</v>
      </c>
      <c r="E30" s="89" t="str">
        <f>'Runs Z-Score'!E18</f>
        <v>NONE</v>
      </c>
      <c r="F30" s="89">
        <f>'Runs Z-Score'!F18</f>
        <v>9.92</v>
      </c>
      <c r="G30" s="89">
        <f t="shared" si="0"/>
        <v>10.89</v>
      </c>
      <c r="H30" s="89">
        <f>VLOOKUP(C30,Recipes!$A$2:$N$4,10,FALSE())</f>
        <v>10.940000000000001</v>
      </c>
      <c r="I30" s="89">
        <f>VLOOKUP(C30,Recipes!$A$2:$N$4,12,FALSE())</f>
        <v>5.2703573566378441E-2</v>
      </c>
      <c r="J30" s="89">
        <f t="shared" si="2"/>
        <v>0.900036001440084</v>
      </c>
      <c r="K30" s="89">
        <f t="shared" si="3"/>
        <v>0.83336933477341735</v>
      </c>
      <c r="L30" s="89">
        <f t="shared" si="4"/>
        <v>0.91289064776314655</v>
      </c>
      <c r="M30" s="89" t="str">
        <f t="shared" si="5"/>
        <v>OK</v>
      </c>
      <c r="N30" s="117">
        <f t="shared" si="6"/>
        <v>1</v>
      </c>
      <c r="O30" s="89">
        <f t="shared" si="1"/>
        <v>5.0000000000000711E-2</v>
      </c>
      <c r="P30" s="89">
        <f>IF(G30="","",ABS(O30-Components!$C$2))</f>
        <v>2.7033333333333291</v>
      </c>
      <c r="Q30" s="89">
        <f>IF(G30="","",ABS(O30-Components!$C$3))</f>
        <v>3.9859999999999989</v>
      </c>
      <c r="R30" s="89">
        <f>IF(G30="","",ABS(O30-Components!$C$4))</f>
        <v>0.94333333333333225</v>
      </c>
      <c r="S30" s="89">
        <f>IF(G30="","",ABS(O30-Components!$C$5))</f>
        <v>4.5126666666666697</v>
      </c>
      <c r="T30" s="89">
        <f>IF(G30="","",ABS(O30-Components!$C$6))</f>
        <v>1.1056666666666692</v>
      </c>
      <c r="U30" s="89">
        <f>IF(G30="","",ABS(O30-Components!$C$7))</f>
        <v>1.3243333333333294</v>
      </c>
      <c r="V30" s="89" t="str">
        <f>IF(G30="","",IF(M30="OK","NONE",INDEX({"S1","S2","W1","W2","N1","N2"},MATCH(MIN(P30:U30),P30:U30,0))))</f>
        <v>NONE</v>
      </c>
      <c r="W30" s="139">
        <f t="shared" si="7"/>
        <v>1</v>
      </c>
      <c r="X30" s="125"/>
    </row>
    <row r="31" spans="1:24" ht="15.75">
      <c r="A31" s="115">
        <v>17</v>
      </c>
      <c r="B31" s="135">
        <f>'Runs Z-Score'!B19</f>
        <v>1</v>
      </c>
      <c r="C31" s="89" t="str">
        <f>'Runs Z-Score'!C19</f>
        <v>R3</v>
      </c>
      <c r="D31" s="89" t="str">
        <f>'Runs Z-Score'!D19</f>
        <v>OK</v>
      </c>
      <c r="E31" s="89" t="str">
        <f>'Runs Z-Score'!E19</f>
        <v>NONE</v>
      </c>
      <c r="F31" s="89">
        <f>'Runs Z-Score'!F19</f>
        <v>9.89</v>
      </c>
      <c r="G31" s="89">
        <f t="shared" si="0"/>
        <v>10.860000000000001</v>
      </c>
      <c r="H31" s="89">
        <f>VLOOKUP(C31,Recipes!$A$2:$N$4,10,FALSE())</f>
        <v>10.940000000000001</v>
      </c>
      <c r="I31" s="89">
        <f>VLOOKUP(C31,Recipes!$A$2:$N$4,12,FALSE())</f>
        <v>5.2703573566378441E-2</v>
      </c>
      <c r="J31" s="89">
        <f t="shared" si="2"/>
        <v>2.3040921636865535</v>
      </c>
      <c r="K31" s="89">
        <f t="shared" si="3"/>
        <v>2.2374254970198866</v>
      </c>
      <c r="L31" s="89">
        <f t="shared" si="4"/>
        <v>1.4958026263581323</v>
      </c>
      <c r="M31" s="89" t="str">
        <f t="shared" si="5"/>
        <v>OK</v>
      </c>
      <c r="N31" s="117">
        <f t="shared" si="6"/>
        <v>1</v>
      </c>
      <c r="O31" s="89">
        <f t="shared" si="1"/>
        <v>8.0000000000000071E-2</v>
      </c>
      <c r="P31" s="89">
        <f>IF(G31="","",ABS(O31-Components!$C$2))</f>
        <v>2.6733333333333298</v>
      </c>
      <c r="Q31" s="89">
        <f>IF(G31="","",ABS(O31-Components!$C$3))</f>
        <v>3.9559999999999995</v>
      </c>
      <c r="R31" s="89">
        <f>IF(G31="","",ABS(O31-Components!$C$4))</f>
        <v>0.91333333333333289</v>
      </c>
      <c r="S31" s="89">
        <f>IF(G31="","",ABS(O31-Components!$C$5))</f>
        <v>4.4826666666666704</v>
      </c>
      <c r="T31" s="89">
        <f>IF(G31="","",ABS(O31-Components!$C$6))</f>
        <v>1.0756666666666699</v>
      </c>
      <c r="U31" s="89">
        <f>IF(G31="","",ABS(O31-Components!$C$7))</f>
        <v>1.29433333333333</v>
      </c>
      <c r="V31" s="89" t="str">
        <f>IF(G31="","",IF(M31="OK","NONE",INDEX({"S1","S2","W1","W2","N1","N2"},MATCH(MIN(P31:U31),P31:U31,0))))</f>
        <v>NONE</v>
      </c>
      <c r="W31" s="139">
        <f t="shared" si="7"/>
        <v>1</v>
      </c>
      <c r="X31" s="125"/>
    </row>
    <row r="32" spans="1:24" ht="15.75">
      <c r="A32" s="115">
        <v>18</v>
      </c>
      <c r="B32" s="135">
        <f>'Runs Z-Score'!B20</f>
        <v>1</v>
      </c>
      <c r="C32" s="89" t="str">
        <f>'Runs Z-Score'!C20</f>
        <v>R3</v>
      </c>
      <c r="D32" s="89" t="str">
        <f>'Runs Z-Score'!D20</f>
        <v>OK</v>
      </c>
      <c r="E32" s="89" t="str">
        <f>'Runs Z-Score'!E20</f>
        <v>NONE</v>
      </c>
      <c r="F32" s="89">
        <f>'Runs Z-Score'!F20</f>
        <v>9.92</v>
      </c>
      <c r="G32" s="89">
        <f t="shared" si="0"/>
        <v>10.89</v>
      </c>
      <c r="H32" s="89">
        <f>VLOOKUP(C32,Recipes!$A$2:$N$4,10,FALSE())</f>
        <v>10.940000000000001</v>
      </c>
      <c r="I32" s="89">
        <f>VLOOKUP(C32,Recipes!$A$2:$N$4,12,FALSE())</f>
        <v>5.2703573566378441E-2</v>
      </c>
      <c r="J32" s="89">
        <f t="shared" si="2"/>
        <v>0.900036001440084</v>
      </c>
      <c r="K32" s="89">
        <f t="shared" si="3"/>
        <v>0.83336933477341735</v>
      </c>
      <c r="L32" s="89">
        <f t="shared" si="4"/>
        <v>0.91289064776314655</v>
      </c>
      <c r="M32" s="89" t="str">
        <f t="shared" si="5"/>
        <v>OK</v>
      </c>
      <c r="N32" s="117">
        <f t="shared" si="6"/>
        <v>1</v>
      </c>
      <c r="O32" s="89">
        <f t="shared" si="1"/>
        <v>5.0000000000000711E-2</v>
      </c>
      <c r="P32" s="89">
        <f>IF(G32="","",ABS(O32-Components!$C$2))</f>
        <v>2.7033333333333291</v>
      </c>
      <c r="Q32" s="89">
        <f>IF(G32="","",ABS(O32-Components!$C$3))</f>
        <v>3.9859999999999989</v>
      </c>
      <c r="R32" s="89">
        <f>IF(G32="","",ABS(O32-Components!$C$4))</f>
        <v>0.94333333333333225</v>
      </c>
      <c r="S32" s="89">
        <f>IF(G32="","",ABS(O32-Components!$C$5))</f>
        <v>4.5126666666666697</v>
      </c>
      <c r="T32" s="89">
        <f>IF(G32="","",ABS(O32-Components!$C$6))</f>
        <v>1.1056666666666692</v>
      </c>
      <c r="U32" s="89">
        <f>IF(G32="","",ABS(O32-Components!$C$7))</f>
        <v>1.3243333333333294</v>
      </c>
      <c r="V32" s="89" t="str">
        <f>IF(G32="","",IF(M32="OK","NONE",INDEX({"S1","S2","W1","W2","N1","N2"},MATCH(MIN(P32:U32),P32:U32,0))))</f>
        <v>NONE</v>
      </c>
      <c r="W32" s="139">
        <f t="shared" si="7"/>
        <v>1</v>
      </c>
      <c r="X32" s="125"/>
    </row>
    <row r="33" spans="1:24" ht="15.75">
      <c r="A33" s="115">
        <v>19</v>
      </c>
      <c r="B33" s="135">
        <f>'Runs Z-Score'!B21</f>
        <v>1</v>
      </c>
      <c r="C33" s="89" t="str">
        <f>'Runs Z-Score'!C21</f>
        <v>R3</v>
      </c>
      <c r="D33" s="89" t="str">
        <f>'Runs Z-Score'!D21</f>
        <v>OK</v>
      </c>
      <c r="E33" s="89" t="str">
        <f>'Runs Z-Score'!E21</f>
        <v>NONE</v>
      </c>
      <c r="F33" s="89">
        <f>'Runs Z-Score'!F21</f>
        <v>9.9499999999999993</v>
      </c>
      <c r="G33" s="89">
        <f t="shared" si="0"/>
        <v>10.92</v>
      </c>
      <c r="H33" s="89">
        <f>VLOOKUP(C33,Recipes!$A$2:$N$4,10,FALSE())</f>
        <v>10.940000000000001</v>
      </c>
      <c r="I33" s="89">
        <f>VLOOKUP(C33,Recipes!$A$2:$N$4,12,FALSE())</f>
        <v>5.2703573566378441E-2</v>
      </c>
      <c r="J33" s="89">
        <f t="shared" si="2"/>
        <v>0.1440057602304288</v>
      </c>
      <c r="K33" s="89">
        <f t="shared" si="3"/>
        <v>7.7339093563762132E-2</v>
      </c>
      <c r="L33" s="89">
        <f t="shared" si="4"/>
        <v>0.27809907149029128</v>
      </c>
      <c r="M33" s="89" t="str">
        <f t="shared" si="5"/>
        <v>OK</v>
      </c>
      <c r="N33" s="117">
        <f t="shared" si="6"/>
        <v>1</v>
      </c>
      <c r="O33" s="89">
        <f t="shared" si="1"/>
        <v>2.000000000000135E-2</v>
      </c>
      <c r="P33" s="89">
        <f>IF(G33="","",ABS(O33-Components!$C$2))</f>
        <v>2.7333333333333285</v>
      </c>
      <c r="Q33" s="89">
        <f>IF(G33="","",ABS(O33-Components!$C$3))</f>
        <v>4.0159999999999982</v>
      </c>
      <c r="R33" s="89">
        <f>IF(G33="","",ABS(O33-Components!$C$4))</f>
        <v>0.97333333333333161</v>
      </c>
      <c r="S33" s="89">
        <f>IF(G33="","",ABS(O33-Components!$C$5))</f>
        <v>4.5426666666666691</v>
      </c>
      <c r="T33" s="89">
        <f>IF(G33="","",ABS(O33-Components!$C$6))</f>
        <v>1.1356666666666686</v>
      </c>
      <c r="U33" s="89">
        <f>IF(G33="","",ABS(O33-Components!$C$7))</f>
        <v>1.3543333333333287</v>
      </c>
      <c r="V33" s="89" t="str">
        <f>IF(G33="","",IF(M33="OK","NONE",INDEX({"S1","S2","W1","W2","N1","N2"},MATCH(MIN(P33:U33),P33:U33,0))))</f>
        <v>NONE</v>
      </c>
      <c r="W33" s="139">
        <f t="shared" si="7"/>
        <v>1</v>
      </c>
      <c r="X33" s="125"/>
    </row>
    <row r="34" spans="1:24" ht="15.75">
      <c r="A34" s="115">
        <v>20</v>
      </c>
      <c r="B34" s="135">
        <f>'Runs Z-Score'!B22</f>
        <v>1</v>
      </c>
      <c r="C34" s="89" t="str">
        <f>'Runs Z-Score'!C22</f>
        <v>R3</v>
      </c>
      <c r="D34" s="89" t="str">
        <f>'Runs Z-Score'!D22</f>
        <v>OK</v>
      </c>
      <c r="E34" s="89" t="str">
        <f>'Runs Z-Score'!E22</f>
        <v>NONE</v>
      </c>
      <c r="F34" s="89">
        <f>'Runs Z-Score'!F22</f>
        <v>9.98</v>
      </c>
      <c r="G34" s="89">
        <f t="shared" si="0"/>
        <v>10.950000000000001</v>
      </c>
      <c r="H34" s="89">
        <f>VLOOKUP(C34,Recipes!$A$2:$N$4,10,FALSE())</f>
        <v>10.940000000000001</v>
      </c>
      <c r="I34" s="89">
        <f>VLOOKUP(C34,Recipes!$A$2:$N$4,12,FALSE())</f>
        <v>5.2703573566378441E-2</v>
      </c>
      <c r="J34" s="89">
        <f t="shared" si="2"/>
        <v>3.6001440057600795E-2</v>
      </c>
      <c r="K34" s="89">
        <f t="shared" si="3"/>
        <v>0</v>
      </c>
      <c r="L34" s="89">
        <f t="shared" si="4"/>
        <v>0</v>
      </c>
      <c r="M34" s="89" t="str">
        <f t="shared" si="5"/>
        <v>OK</v>
      </c>
      <c r="N34" s="117">
        <f t="shared" si="6"/>
        <v>1</v>
      </c>
      <c r="O34" s="89">
        <f t="shared" si="1"/>
        <v>-9.9999999999997868E-3</v>
      </c>
      <c r="P34" s="89">
        <f>IF(G34="","",ABS(O34-Components!$C$2))</f>
        <v>2.7633333333333296</v>
      </c>
      <c r="Q34" s="89">
        <f>IF(G34="","",ABS(O34-Components!$C$3))</f>
        <v>4.0459999999999994</v>
      </c>
      <c r="R34" s="89">
        <f>IF(G34="","",ABS(O34-Components!$C$4))</f>
        <v>1.0033333333333327</v>
      </c>
      <c r="S34" s="89">
        <f>IF(G34="","",ABS(O34-Components!$C$5))</f>
        <v>4.5726666666666702</v>
      </c>
      <c r="T34" s="89">
        <f>IF(G34="","",ABS(O34-Components!$C$6))</f>
        <v>1.1656666666666697</v>
      </c>
      <c r="U34" s="89">
        <f>IF(G34="","",ABS(O34-Components!$C$7))</f>
        <v>1.3843333333333299</v>
      </c>
      <c r="V34" s="89" t="str">
        <f>IF(G34="","",IF(M34="OK","NONE",INDEX({"S1","S2","W1","W2","N1","N2"},MATCH(MIN(P34:U34),P34:U34,0))))</f>
        <v>NONE</v>
      </c>
      <c r="W34" s="139">
        <f t="shared" si="7"/>
        <v>1</v>
      </c>
      <c r="X34" s="125"/>
    </row>
    <row r="35" spans="1:24" ht="15.75">
      <c r="A35" s="115">
        <v>21</v>
      </c>
      <c r="B35" s="135">
        <f>'Runs Z-Score'!B23</f>
        <v>1</v>
      </c>
      <c r="C35" s="89" t="str">
        <f>'Runs Z-Score'!C23</f>
        <v>R3</v>
      </c>
      <c r="D35" s="89" t="str">
        <f>'Runs Z-Score'!D23</f>
        <v>OK</v>
      </c>
      <c r="E35" s="89" t="str">
        <f>'Runs Z-Score'!E23</f>
        <v>NONE</v>
      </c>
      <c r="F35" s="89">
        <f>'Runs Z-Score'!F23</f>
        <v>9.99</v>
      </c>
      <c r="G35" s="89">
        <f t="shared" si="0"/>
        <v>10.96</v>
      </c>
      <c r="H35" s="89">
        <f>VLOOKUP(C35,Recipes!$A$2:$N$4,10,FALSE())</f>
        <v>10.940000000000001</v>
      </c>
      <c r="I35" s="89">
        <f>VLOOKUP(C35,Recipes!$A$2:$N$4,12,FALSE())</f>
        <v>5.2703573566378441E-2</v>
      </c>
      <c r="J35" s="89">
        <f t="shared" si="2"/>
        <v>0.14400576023040318</v>
      </c>
      <c r="K35" s="89">
        <f t="shared" si="3"/>
        <v>7.7339093563736513E-2</v>
      </c>
      <c r="L35" s="89">
        <f t="shared" si="4"/>
        <v>0.27809907149024521</v>
      </c>
      <c r="M35" s="89" t="str">
        <f t="shared" si="5"/>
        <v>OK</v>
      </c>
      <c r="N35" s="117">
        <f t="shared" si="6"/>
        <v>1</v>
      </c>
      <c r="O35" s="89">
        <f t="shared" si="1"/>
        <v>-1.9999999999999574E-2</v>
      </c>
      <c r="P35" s="89">
        <f>IF(G35="","",ABS(O35-Components!$C$2))</f>
        <v>2.7733333333333294</v>
      </c>
      <c r="Q35" s="89">
        <f>IF(G35="","",ABS(O35-Components!$C$3))</f>
        <v>4.0559999999999992</v>
      </c>
      <c r="R35" s="89">
        <f>IF(G35="","",ABS(O35-Components!$C$4))</f>
        <v>1.0133333333333325</v>
      </c>
      <c r="S35" s="89">
        <f>IF(G35="","",ABS(O35-Components!$C$5))</f>
        <v>4.58266666666667</v>
      </c>
      <c r="T35" s="89">
        <f>IF(G35="","",ABS(O35-Components!$C$6))</f>
        <v>1.1756666666666695</v>
      </c>
      <c r="U35" s="89">
        <f>IF(G35="","",ABS(O35-Components!$C$7))</f>
        <v>1.3943333333333296</v>
      </c>
      <c r="V35" s="89" t="str">
        <f>IF(G35="","",IF(M35="OK","NONE",INDEX({"S1","S2","W1","W2","N1","N2"},MATCH(MIN(P35:U35),P35:U35,0))))</f>
        <v>NONE</v>
      </c>
      <c r="W35" s="139">
        <f t="shared" si="7"/>
        <v>1</v>
      </c>
      <c r="X35" s="125"/>
    </row>
    <row r="36" spans="1:24" ht="15.75">
      <c r="A36" s="115">
        <v>22</v>
      </c>
      <c r="B36" s="135">
        <f>'Runs Z-Score'!B24</f>
        <v>1</v>
      </c>
      <c r="C36" s="89" t="str">
        <f>'Runs Z-Score'!C24</f>
        <v>R3</v>
      </c>
      <c r="D36" s="89" t="str">
        <f>'Runs Z-Score'!D24</f>
        <v>OK</v>
      </c>
      <c r="E36" s="89" t="str">
        <f>'Runs Z-Score'!E24</f>
        <v>NONE</v>
      </c>
      <c r="F36" s="89">
        <f>'Runs Z-Score'!F24</f>
        <v>9.9</v>
      </c>
      <c r="G36" s="89">
        <f t="shared" si="0"/>
        <v>10.870000000000001</v>
      </c>
      <c r="H36" s="89">
        <f>VLOOKUP(C36,Recipes!$A$2:$N$4,10,FALSE())</f>
        <v>10.940000000000001</v>
      </c>
      <c r="I36" s="89">
        <f>VLOOKUP(C36,Recipes!$A$2:$N$4,12,FALSE())</f>
        <v>5.2703573566378441E-2</v>
      </c>
      <c r="J36" s="89">
        <f t="shared" si="2"/>
        <v>1.7640705628225284</v>
      </c>
      <c r="K36" s="89">
        <f t="shared" si="3"/>
        <v>1.6974038961558617</v>
      </c>
      <c r="L36" s="89">
        <f t="shared" si="4"/>
        <v>1.3028445402870834</v>
      </c>
      <c r="M36" s="89" t="str">
        <f t="shared" si="5"/>
        <v>OK</v>
      </c>
      <c r="N36" s="117">
        <f t="shared" si="6"/>
        <v>1</v>
      </c>
      <c r="O36" s="89">
        <f t="shared" si="1"/>
        <v>7.0000000000000284E-2</v>
      </c>
      <c r="P36" s="89">
        <f>IF(G36="","",ABS(O36-Components!$C$2))</f>
        <v>2.6833333333333296</v>
      </c>
      <c r="Q36" s="89">
        <f>IF(G36="","",ABS(O36-Components!$C$3))</f>
        <v>3.9659999999999993</v>
      </c>
      <c r="R36" s="89">
        <f>IF(G36="","",ABS(O36-Components!$C$4))</f>
        <v>0.92333333333333267</v>
      </c>
      <c r="S36" s="89">
        <f>IF(G36="","",ABS(O36-Components!$C$5))</f>
        <v>4.4926666666666701</v>
      </c>
      <c r="T36" s="89">
        <f>IF(G36="","",ABS(O36-Components!$C$6))</f>
        <v>1.0856666666666697</v>
      </c>
      <c r="U36" s="89">
        <f>IF(G36="","",ABS(O36-Components!$C$7))</f>
        <v>1.3043333333333298</v>
      </c>
      <c r="V36" s="89" t="str">
        <f>IF(G36="","",IF(M36="OK","NONE",INDEX({"S1","S2","W1","W2","N1","N2"},MATCH(MIN(P36:U36),P36:U36,0))))</f>
        <v>NONE</v>
      </c>
      <c r="W36" s="139">
        <f t="shared" si="7"/>
        <v>1</v>
      </c>
      <c r="X36" s="125"/>
    </row>
    <row r="37" spans="1:24" ht="15.75">
      <c r="A37" s="115">
        <v>23</v>
      </c>
      <c r="B37" s="135">
        <f>'Runs Z-Score'!B25</f>
        <v>1</v>
      </c>
      <c r="C37" s="89" t="str">
        <f>'Runs Z-Score'!C25</f>
        <v>R3</v>
      </c>
      <c r="D37" s="89" t="str">
        <f>'Runs Z-Score'!D25</f>
        <v>OK</v>
      </c>
      <c r="E37" s="89" t="str">
        <f>'Runs Z-Score'!E25</f>
        <v>NONE</v>
      </c>
      <c r="F37" s="89">
        <f>'Runs Z-Score'!F25</f>
        <v>9.9700000000000006</v>
      </c>
      <c r="G37" s="89">
        <f t="shared" si="0"/>
        <v>10.940000000000001</v>
      </c>
      <c r="H37" s="89">
        <f>VLOOKUP(C37,Recipes!$A$2:$N$4,10,FALSE())</f>
        <v>10.940000000000001</v>
      </c>
      <c r="I37" s="89">
        <f>VLOOKUP(C37,Recipes!$A$2:$N$4,12,FALSE())</f>
        <v>5.2703573566378441E-2</v>
      </c>
      <c r="J37" s="89">
        <f t="shared" si="2"/>
        <v>0</v>
      </c>
      <c r="K37" s="89">
        <f t="shared" si="3"/>
        <v>0</v>
      </c>
      <c r="L37" s="89">
        <f t="shared" si="4"/>
        <v>0</v>
      </c>
      <c r="M37" s="89" t="str">
        <f t="shared" si="5"/>
        <v>OK</v>
      </c>
      <c r="N37" s="117">
        <f t="shared" si="6"/>
        <v>1</v>
      </c>
      <c r="O37" s="89">
        <f t="shared" si="1"/>
        <v>0</v>
      </c>
      <c r="P37" s="89">
        <f>IF(G37="","",ABS(O37-Components!$C$2))</f>
        <v>2.7533333333333299</v>
      </c>
      <c r="Q37" s="89">
        <f>IF(G37="","",ABS(O37-Components!$C$3))</f>
        <v>4.0359999999999996</v>
      </c>
      <c r="R37" s="89">
        <f>IF(G37="","",ABS(O37-Components!$C$4))</f>
        <v>0.99333333333333296</v>
      </c>
      <c r="S37" s="89">
        <f>IF(G37="","",ABS(O37-Components!$C$5))</f>
        <v>4.5626666666666704</v>
      </c>
      <c r="T37" s="89">
        <f>IF(G37="","",ABS(O37-Components!$C$6))</f>
        <v>1.15566666666667</v>
      </c>
      <c r="U37" s="89">
        <f>IF(G37="","",ABS(O37-Components!$C$7))</f>
        <v>1.3743333333333301</v>
      </c>
      <c r="V37" s="89" t="str">
        <f>IF(G37="","",IF(M37="OK","NONE",INDEX({"S1","S2","W1","W2","N1","N2"},MATCH(MIN(P37:U37),P37:U37,0))))</f>
        <v>NONE</v>
      </c>
      <c r="W37" s="139">
        <f t="shared" si="7"/>
        <v>1</v>
      </c>
      <c r="X37" s="125"/>
    </row>
    <row r="38" spans="1:24" ht="15.75">
      <c r="A38" s="115">
        <v>24</v>
      </c>
      <c r="B38" s="135">
        <f>'Runs Z-Score'!B26</f>
        <v>1</v>
      </c>
      <c r="C38" s="89" t="str">
        <f>'Runs Z-Score'!C26</f>
        <v>R3</v>
      </c>
      <c r="D38" s="89" t="str">
        <f>'Runs Z-Score'!D26</f>
        <v>OK</v>
      </c>
      <c r="E38" s="89" t="str">
        <f>'Runs Z-Score'!E26</f>
        <v>NONE</v>
      </c>
      <c r="F38" s="89">
        <f>'Runs Z-Score'!F26</f>
        <v>10.02</v>
      </c>
      <c r="G38" s="89">
        <f t="shared" si="0"/>
        <v>10.99</v>
      </c>
      <c r="H38" s="89">
        <f>VLOOKUP(C38,Recipes!$A$2:$N$4,10,FALSE())</f>
        <v>10.940000000000001</v>
      </c>
      <c r="I38" s="89">
        <f>VLOOKUP(C38,Recipes!$A$2:$N$4,12,FALSE())</f>
        <v>5.2703573566378441E-2</v>
      </c>
      <c r="J38" s="89">
        <f t="shared" si="2"/>
        <v>0.90003600144001994</v>
      </c>
      <c r="K38" s="89">
        <f t="shared" si="3"/>
        <v>0.83336933477335329</v>
      </c>
      <c r="L38" s="89">
        <f t="shared" si="4"/>
        <v>0.91289064776311146</v>
      </c>
      <c r="M38" s="89" t="str">
        <f t="shared" si="5"/>
        <v>OK</v>
      </c>
      <c r="N38" s="117">
        <f t="shared" si="6"/>
        <v>1</v>
      </c>
      <c r="O38" s="89">
        <f t="shared" si="1"/>
        <v>-4.9999999999998934E-2</v>
      </c>
      <c r="P38" s="89">
        <f>IF(G38="","",ABS(O38-Components!$C$2))</f>
        <v>2.8033333333333288</v>
      </c>
      <c r="Q38" s="89">
        <f>IF(G38="","",ABS(O38-Components!$C$3))</f>
        <v>4.0859999999999985</v>
      </c>
      <c r="R38" s="89">
        <f>IF(G38="","",ABS(O38-Components!$C$4))</f>
        <v>1.0433333333333319</v>
      </c>
      <c r="S38" s="89">
        <f>IF(G38="","",ABS(O38-Components!$C$5))</f>
        <v>4.6126666666666694</v>
      </c>
      <c r="T38" s="89">
        <f>IF(G38="","",ABS(O38-Components!$C$6))</f>
        <v>1.2056666666666689</v>
      </c>
      <c r="U38" s="89">
        <f>IF(G38="","",ABS(O38-Components!$C$7))</f>
        <v>1.424333333333329</v>
      </c>
      <c r="V38" s="89" t="str">
        <f>IF(G38="","",IF(M38="OK","NONE",INDEX({"S1","S2","W1","W2","N1","N2"},MATCH(MIN(P38:U38),P38:U38,0))))</f>
        <v>NONE</v>
      </c>
      <c r="W38" s="139">
        <f t="shared" si="7"/>
        <v>1</v>
      </c>
      <c r="X38" s="125"/>
    </row>
    <row r="39" spans="1:24" ht="15.75">
      <c r="A39" s="115">
        <v>25</v>
      </c>
      <c r="B39" s="135">
        <f>'Runs Z-Score'!B27</f>
        <v>1</v>
      </c>
      <c r="C39" s="89" t="str">
        <f>'Runs Z-Score'!C27</f>
        <v>R3</v>
      </c>
      <c r="D39" s="89" t="str">
        <f>'Runs Z-Score'!D27</f>
        <v>OK</v>
      </c>
      <c r="E39" s="89" t="str">
        <f>'Runs Z-Score'!E27</f>
        <v>NONE</v>
      </c>
      <c r="F39" s="89">
        <f>'Runs Z-Score'!F27</f>
        <v>10</v>
      </c>
      <c r="G39" s="89">
        <f t="shared" si="0"/>
        <v>10.97</v>
      </c>
      <c r="H39" s="89">
        <f>VLOOKUP(C39,Recipes!$A$2:$N$4,10,FALSE())</f>
        <v>10.940000000000001</v>
      </c>
      <c r="I39" s="89">
        <f>VLOOKUP(C39,Recipes!$A$2:$N$4,12,FALSE())</f>
        <v>5.2703573566378441E-2</v>
      </c>
      <c r="J39" s="89">
        <f t="shared" si="2"/>
        <v>0.32401296051840722</v>
      </c>
      <c r="K39" s="89">
        <f t="shared" si="3"/>
        <v>0.25734629385174057</v>
      </c>
      <c r="L39" s="89">
        <f t="shared" si="4"/>
        <v>0.50729310447880183</v>
      </c>
      <c r="M39" s="89" t="str">
        <f t="shared" si="5"/>
        <v>OK</v>
      </c>
      <c r="N39" s="117">
        <f t="shared" si="6"/>
        <v>1</v>
      </c>
      <c r="O39" s="89">
        <f t="shared" si="1"/>
        <v>-2.9999999999999361E-2</v>
      </c>
      <c r="P39" s="89">
        <f>IF(G39="","",ABS(O39-Components!$C$2))</f>
        <v>2.7833333333333292</v>
      </c>
      <c r="Q39" s="89">
        <f>IF(G39="","",ABS(O39-Components!$C$3))</f>
        <v>4.0659999999999989</v>
      </c>
      <c r="R39" s="89">
        <f>IF(G39="","",ABS(O39-Components!$C$4))</f>
        <v>1.0233333333333323</v>
      </c>
      <c r="S39" s="89">
        <f>IF(G39="","",ABS(O39-Components!$C$5))</f>
        <v>4.5926666666666698</v>
      </c>
      <c r="T39" s="89">
        <f>IF(G39="","",ABS(O39-Components!$C$6))</f>
        <v>1.1856666666666693</v>
      </c>
      <c r="U39" s="89">
        <f>IF(G39="","",ABS(O39-Components!$C$7))</f>
        <v>1.4043333333333294</v>
      </c>
      <c r="V39" s="89" t="str">
        <f>IF(G39="","",IF(M39="OK","NONE",INDEX({"S1","S2","W1","W2","N1","N2"},MATCH(MIN(P39:U39),P39:U39,0))))</f>
        <v>NONE</v>
      </c>
      <c r="W39" s="139">
        <f t="shared" si="7"/>
        <v>1</v>
      </c>
      <c r="X39" s="125"/>
    </row>
    <row r="40" spans="1:24" ht="15.75">
      <c r="A40" s="115">
        <v>26</v>
      </c>
      <c r="B40" s="135">
        <f>'Runs Z-Score'!B28</f>
        <v>1</v>
      </c>
      <c r="C40" s="89" t="str">
        <f>'Runs Z-Score'!C28</f>
        <v>R3</v>
      </c>
      <c r="D40" s="89" t="str">
        <f>'Runs Z-Score'!D28</f>
        <v>OK</v>
      </c>
      <c r="E40" s="89" t="str">
        <f>'Runs Z-Score'!E28</f>
        <v>NONE</v>
      </c>
      <c r="F40" s="89">
        <f>'Runs Z-Score'!F28</f>
        <v>9.93</v>
      </c>
      <c r="G40" s="89">
        <f t="shared" si="0"/>
        <v>10.9</v>
      </c>
      <c r="H40" s="89">
        <f>VLOOKUP(C40,Recipes!$A$2:$N$4,10,FALSE())</f>
        <v>10.940000000000001</v>
      </c>
      <c r="I40" s="89">
        <f>VLOOKUP(C40,Recipes!$A$2:$N$4,12,FALSE())</f>
        <v>5.2703573566378441E-2</v>
      </c>
      <c r="J40" s="89">
        <f t="shared" si="2"/>
        <v>0.5760230409216639</v>
      </c>
      <c r="K40" s="89">
        <f t="shared" si="3"/>
        <v>0.50935637425499725</v>
      </c>
      <c r="L40" s="89">
        <f t="shared" si="4"/>
        <v>0.71369207243390143</v>
      </c>
      <c r="M40" s="89" t="str">
        <f t="shared" si="5"/>
        <v>OK</v>
      </c>
      <c r="N40" s="117">
        <f t="shared" si="6"/>
        <v>1</v>
      </c>
      <c r="O40" s="89">
        <f t="shared" si="1"/>
        <v>4.0000000000000924E-2</v>
      </c>
      <c r="P40" s="89">
        <f>IF(G40="","",ABS(O40-Components!$C$2))</f>
        <v>2.7133333333333289</v>
      </c>
      <c r="Q40" s="89">
        <f>IF(G40="","",ABS(O40-Components!$C$3))</f>
        <v>3.9959999999999987</v>
      </c>
      <c r="R40" s="89">
        <f>IF(G40="","",ABS(O40-Components!$C$4))</f>
        <v>0.95333333333333203</v>
      </c>
      <c r="S40" s="89">
        <f>IF(G40="","",ABS(O40-Components!$C$5))</f>
        <v>4.5226666666666695</v>
      </c>
      <c r="T40" s="89">
        <f>IF(G40="","",ABS(O40-Components!$C$6))</f>
        <v>1.115666666666669</v>
      </c>
      <c r="U40" s="89">
        <f>IF(G40="","",ABS(O40-Components!$C$7))</f>
        <v>1.3343333333333292</v>
      </c>
      <c r="V40" s="89" t="str">
        <f>IF(G40="","",IF(M40="OK","NONE",INDEX({"S1","S2","W1","W2","N1","N2"},MATCH(MIN(P40:U40),P40:U40,0))))</f>
        <v>NONE</v>
      </c>
      <c r="W40" s="139">
        <f t="shared" si="7"/>
        <v>1</v>
      </c>
      <c r="X40" s="125"/>
    </row>
    <row r="41" spans="1:24" ht="15.75">
      <c r="A41" s="115">
        <v>27</v>
      </c>
      <c r="B41" s="135">
        <f>'Runs Z-Score'!B29</f>
        <v>1</v>
      </c>
      <c r="C41" s="89" t="str">
        <f>'Runs Z-Score'!C29</f>
        <v>R3</v>
      </c>
      <c r="D41" s="89" t="str">
        <f>'Runs Z-Score'!D29</f>
        <v>OK</v>
      </c>
      <c r="E41" s="89" t="str">
        <f>'Runs Z-Score'!E29</f>
        <v>NONE</v>
      </c>
      <c r="F41" s="89">
        <f>'Runs Z-Score'!F29</f>
        <v>9.9700000000000006</v>
      </c>
      <c r="G41" s="89">
        <f t="shared" si="0"/>
        <v>10.940000000000001</v>
      </c>
      <c r="H41" s="89">
        <f>VLOOKUP(C41,Recipes!$A$2:$N$4,10,FALSE())</f>
        <v>10.940000000000001</v>
      </c>
      <c r="I41" s="89">
        <f>VLOOKUP(C41,Recipes!$A$2:$N$4,12,FALSE())</f>
        <v>5.2703573566378441E-2</v>
      </c>
      <c r="J41" s="89">
        <f t="shared" si="2"/>
        <v>0</v>
      </c>
      <c r="K41" s="89">
        <f t="shared" si="3"/>
        <v>0</v>
      </c>
      <c r="L41" s="89">
        <f t="shared" si="4"/>
        <v>0</v>
      </c>
      <c r="M41" s="89" t="str">
        <f t="shared" si="5"/>
        <v>OK</v>
      </c>
      <c r="N41" s="117">
        <f t="shared" si="6"/>
        <v>1</v>
      </c>
      <c r="O41" s="89">
        <f t="shared" si="1"/>
        <v>0</v>
      </c>
      <c r="P41" s="89">
        <f>IF(G41="","",ABS(O41-Components!$C$2))</f>
        <v>2.7533333333333299</v>
      </c>
      <c r="Q41" s="89">
        <f>IF(G41="","",ABS(O41-Components!$C$3))</f>
        <v>4.0359999999999996</v>
      </c>
      <c r="R41" s="89">
        <f>IF(G41="","",ABS(O41-Components!$C$4))</f>
        <v>0.99333333333333296</v>
      </c>
      <c r="S41" s="89">
        <f>IF(G41="","",ABS(O41-Components!$C$5))</f>
        <v>4.5626666666666704</v>
      </c>
      <c r="T41" s="89">
        <f>IF(G41="","",ABS(O41-Components!$C$6))</f>
        <v>1.15566666666667</v>
      </c>
      <c r="U41" s="89">
        <f>IF(G41="","",ABS(O41-Components!$C$7))</f>
        <v>1.3743333333333301</v>
      </c>
      <c r="V41" s="89" t="str">
        <f>IF(G41="","",IF(M41="OK","NONE",INDEX({"S1","S2","W1","W2","N1","N2"},MATCH(MIN(P41:U41),P41:U41,0))))</f>
        <v>NONE</v>
      </c>
      <c r="W41" s="139">
        <f t="shared" si="7"/>
        <v>1</v>
      </c>
      <c r="X41" s="125"/>
    </row>
    <row r="42" spans="1:24" ht="15.75">
      <c r="A42" s="115">
        <v>28</v>
      </c>
      <c r="B42" s="135">
        <f>'Runs Z-Score'!B30</f>
        <v>1</v>
      </c>
      <c r="C42" s="89" t="str">
        <f>'Runs Z-Score'!C30</f>
        <v>R3</v>
      </c>
      <c r="D42" s="89" t="str">
        <f>'Runs Z-Score'!D30</f>
        <v>OK</v>
      </c>
      <c r="E42" s="89" t="str">
        <f>'Runs Z-Score'!E30</f>
        <v>NONE</v>
      </c>
      <c r="F42" s="89">
        <f>'Runs Z-Score'!F30</f>
        <v>9.94</v>
      </c>
      <c r="G42" s="89">
        <f t="shared" si="0"/>
        <v>10.91</v>
      </c>
      <c r="H42" s="89">
        <f>VLOOKUP(C42,Recipes!$A$2:$N$4,10,FALSE())</f>
        <v>10.940000000000001</v>
      </c>
      <c r="I42" s="89">
        <f>VLOOKUP(C42,Recipes!$A$2:$N$4,12,FALSE())</f>
        <v>5.2703573566378441E-2</v>
      </c>
      <c r="J42" s="89">
        <f t="shared" si="2"/>
        <v>0.32401296051844553</v>
      </c>
      <c r="K42" s="89">
        <f t="shared" si="3"/>
        <v>0.25734629385177887</v>
      </c>
      <c r="L42" s="89">
        <f t="shared" si="4"/>
        <v>0.50729310447883957</v>
      </c>
      <c r="M42" s="89" t="str">
        <f t="shared" si="5"/>
        <v>OK</v>
      </c>
      <c r="N42" s="117">
        <f t="shared" si="6"/>
        <v>1</v>
      </c>
      <c r="O42" s="89">
        <f t="shared" si="1"/>
        <v>3.0000000000001137E-2</v>
      </c>
      <c r="P42" s="89">
        <f>IF(G42="","",ABS(O42-Components!$C$2))</f>
        <v>2.7233333333333287</v>
      </c>
      <c r="Q42" s="89">
        <f>IF(G42="","",ABS(O42-Components!$C$3))</f>
        <v>4.0059999999999985</v>
      </c>
      <c r="R42" s="89">
        <f>IF(G42="","",ABS(O42-Components!$C$4))</f>
        <v>0.96333333333333182</v>
      </c>
      <c r="S42" s="89">
        <f>IF(G42="","",ABS(O42-Components!$C$5))</f>
        <v>4.5326666666666693</v>
      </c>
      <c r="T42" s="89">
        <f>IF(G42="","",ABS(O42-Components!$C$6))</f>
        <v>1.1256666666666688</v>
      </c>
      <c r="U42" s="89">
        <f>IF(G42="","",ABS(O42-Components!$C$7))</f>
        <v>1.3443333333333289</v>
      </c>
      <c r="V42" s="89" t="str">
        <f>IF(G42="","",IF(M42="OK","NONE",INDEX({"S1","S2","W1","W2","N1","N2"},MATCH(MIN(P42:U42),P42:U42,0))))</f>
        <v>NONE</v>
      </c>
      <c r="W42" s="139">
        <f t="shared" si="7"/>
        <v>1</v>
      </c>
      <c r="X42" s="125"/>
    </row>
    <row r="43" spans="1:24" ht="15.75">
      <c r="A43" s="115">
        <v>29</v>
      </c>
      <c r="B43" s="135">
        <f>'Runs Z-Score'!B31</f>
        <v>1</v>
      </c>
      <c r="C43" s="89" t="str">
        <f>'Runs Z-Score'!C31</f>
        <v>R3</v>
      </c>
      <c r="D43" s="89" t="str">
        <f>'Runs Z-Score'!D31</f>
        <v>OK</v>
      </c>
      <c r="E43" s="89" t="str">
        <f>'Runs Z-Score'!E31</f>
        <v>NONE</v>
      </c>
      <c r="F43" s="89">
        <f>'Runs Z-Score'!F31</f>
        <v>9.99</v>
      </c>
      <c r="G43" s="89">
        <f t="shared" si="0"/>
        <v>10.96</v>
      </c>
      <c r="H43" s="89">
        <f>VLOOKUP(C43,Recipes!$A$2:$N$4,10,FALSE())</f>
        <v>10.940000000000001</v>
      </c>
      <c r="I43" s="89">
        <f>VLOOKUP(C43,Recipes!$A$2:$N$4,12,FALSE())</f>
        <v>5.2703573566378441E-2</v>
      </c>
      <c r="J43" s="89">
        <f t="shared" si="2"/>
        <v>0.14400576023040318</v>
      </c>
      <c r="K43" s="89">
        <f t="shared" si="3"/>
        <v>7.7339093563736513E-2</v>
      </c>
      <c r="L43" s="89">
        <f t="shared" si="4"/>
        <v>0.27809907149024521</v>
      </c>
      <c r="M43" s="89" t="str">
        <f t="shared" si="5"/>
        <v>OK</v>
      </c>
      <c r="N43" s="117">
        <f t="shared" si="6"/>
        <v>1</v>
      </c>
      <c r="O43" s="89">
        <f t="shared" si="1"/>
        <v>-1.9999999999999574E-2</v>
      </c>
      <c r="P43" s="89">
        <f>IF(G43="","",ABS(O43-Components!$C$2))</f>
        <v>2.7733333333333294</v>
      </c>
      <c r="Q43" s="89">
        <f>IF(G43="","",ABS(O43-Components!$C$3))</f>
        <v>4.0559999999999992</v>
      </c>
      <c r="R43" s="89">
        <f>IF(G43="","",ABS(O43-Components!$C$4))</f>
        <v>1.0133333333333325</v>
      </c>
      <c r="S43" s="89">
        <f>IF(G43="","",ABS(O43-Components!$C$5))</f>
        <v>4.58266666666667</v>
      </c>
      <c r="T43" s="89">
        <f>IF(G43="","",ABS(O43-Components!$C$6))</f>
        <v>1.1756666666666695</v>
      </c>
      <c r="U43" s="89">
        <f>IF(G43="","",ABS(O43-Components!$C$7))</f>
        <v>1.3943333333333296</v>
      </c>
      <c r="V43" s="89" t="str">
        <f>IF(G43="","",IF(M43="OK","NONE",INDEX({"S1","S2","W1","W2","N1","N2"},MATCH(MIN(P43:U43),P43:U43,0))))</f>
        <v>NONE</v>
      </c>
      <c r="W43" s="139">
        <f t="shared" si="7"/>
        <v>1</v>
      </c>
      <c r="X43" s="125"/>
    </row>
    <row r="44" spans="1:24" ht="15.75">
      <c r="A44" s="115">
        <v>30</v>
      </c>
      <c r="B44" s="135">
        <f>'Runs Z-Score'!B32</f>
        <v>1</v>
      </c>
      <c r="C44" s="89" t="str">
        <f>'Runs Z-Score'!C32</f>
        <v>R3</v>
      </c>
      <c r="D44" s="89" t="str">
        <f>'Runs Z-Score'!D32</f>
        <v>OK</v>
      </c>
      <c r="E44" s="89" t="str">
        <f>'Runs Z-Score'!E32</f>
        <v>NONE</v>
      </c>
      <c r="F44" s="89">
        <f>'Runs Z-Score'!F32</f>
        <v>9.48</v>
      </c>
      <c r="G44" s="89">
        <f t="shared" si="0"/>
        <v>10.450000000000001</v>
      </c>
      <c r="H44" s="89">
        <f>VLOOKUP(C44,Recipes!$A$2:$N$4,10,FALSE())</f>
        <v>10.940000000000001</v>
      </c>
      <c r="I44" s="89">
        <f>VLOOKUP(C44,Recipes!$A$2:$N$4,12,FALSE())</f>
        <v>5.2703573566378441E-2</v>
      </c>
      <c r="J44" s="89">
        <f t="shared" si="2"/>
        <v>86.439457578303262</v>
      </c>
      <c r="K44" s="89">
        <f t="shared" si="3"/>
        <v>86.372790911636599</v>
      </c>
      <c r="L44" s="89">
        <f t="shared" si="4"/>
        <v>9.2936962997311579</v>
      </c>
      <c r="M44" s="89" t="str">
        <f t="shared" si="5"/>
        <v>NG</v>
      </c>
      <c r="N44" s="117">
        <f t="shared" si="6"/>
        <v>0</v>
      </c>
      <c r="O44" s="89">
        <f t="shared" si="1"/>
        <v>0.49000000000000021</v>
      </c>
      <c r="P44" s="89">
        <f>IF(G44="","",ABS(O44-Components!$C$2))</f>
        <v>2.2633333333333296</v>
      </c>
      <c r="Q44" s="89">
        <f>IF(G44="","",ABS(O44-Components!$C$3))</f>
        <v>3.5459999999999994</v>
      </c>
      <c r="R44" s="89">
        <f>IF(G44="","",ABS(O44-Components!$C$4))</f>
        <v>0.50333333333333274</v>
      </c>
      <c r="S44" s="89">
        <f>IF(G44="","",ABS(O44-Components!$C$5))</f>
        <v>4.0726666666666702</v>
      </c>
      <c r="T44" s="89">
        <f>IF(G44="","",ABS(O44-Components!$C$6))</f>
        <v>0.66566666666666974</v>
      </c>
      <c r="U44" s="89">
        <f>IF(G44="","",ABS(O44-Components!$C$7))</f>
        <v>0.88433333333332986</v>
      </c>
      <c r="V44" s="89" t="str">
        <f>IF(G44="","",IF(M44="OK","NONE",INDEX({"S1","S2","W1","W2","N1","N2"},MATCH(MIN(P44:U44),P44:U44,0))))</f>
        <v>W1</v>
      </c>
      <c r="W44" s="140">
        <f t="shared" si="7"/>
        <v>0</v>
      </c>
      <c r="X44" s="125"/>
    </row>
    <row r="45" spans="1:24" ht="15.75">
      <c r="A45" s="115">
        <v>31</v>
      </c>
      <c r="B45" s="135">
        <f>'Runs Z-Score'!B33</f>
        <v>2</v>
      </c>
      <c r="C45" s="89" t="str">
        <f>'Runs Z-Score'!C33</f>
        <v>R3</v>
      </c>
      <c r="D45" s="89" t="str">
        <f>'Runs Z-Score'!D33</f>
        <v>NG</v>
      </c>
      <c r="E45" s="89" t="str">
        <f>'Runs Z-Score'!E33</f>
        <v>S2</v>
      </c>
      <c r="F45" s="89">
        <f>'Runs Z-Score'!F33</f>
        <v>5.91</v>
      </c>
      <c r="G45" s="89">
        <f t="shared" si="0"/>
        <v>6.88</v>
      </c>
      <c r="H45" s="89">
        <f>VLOOKUP(C45,Recipes!$A$2:$N$4,10,FALSE())</f>
        <v>10.940000000000001</v>
      </c>
      <c r="I45" s="89">
        <f>VLOOKUP(C45,Recipes!$A$2:$N$4,12,FALSE())</f>
        <v>5.2703573566378441E-2</v>
      </c>
      <c r="J45" s="89">
        <f t="shared" si="2"/>
        <v>5934.3333733349418</v>
      </c>
      <c r="K45" s="89">
        <f t="shared" si="3"/>
        <v>5934.2667066682752</v>
      </c>
      <c r="L45" s="89">
        <f t="shared" si="4"/>
        <v>77.034191802525427</v>
      </c>
      <c r="M45" s="89" t="str">
        <f t="shared" si="5"/>
        <v>NG</v>
      </c>
      <c r="N45" s="117">
        <f t="shared" si="6"/>
        <v>1</v>
      </c>
      <c r="O45" s="89">
        <f t="shared" si="1"/>
        <v>4.0600000000000014</v>
      </c>
      <c r="P45" s="89">
        <f>IF(G45="","",ABS(O45-Components!$C$2))</f>
        <v>1.3066666666666715</v>
      </c>
      <c r="Q45" s="89">
        <f>IF(G45="","",ABS(O45-Components!$C$3))</f>
        <v>2.4000000000001798E-2</v>
      </c>
      <c r="R45" s="89">
        <f>IF(G45="","",ABS(O45-Components!$C$4))</f>
        <v>3.0666666666666682</v>
      </c>
      <c r="S45" s="89">
        <f>IF(G45="","",ABS(O45-Components!$C$5))</f>
        <v>0.50266666666666904</v>
      </c>
      <c r="T45" s="89">
        <f>IF(G45="","",ABS(O45-Components!$C$6))</f>
        <v>2.9043333333333314</v>
      </c>
      <c r="U45" s="89">
        <f>IF(G45="","",ABS(O45-Components!$C$7))</f>
        <v>2.6856666666666715</v>
      </c>
      <c r="V45" s="89" t="str">
        <f>IF(G45="","",IF(M45="OK","NONE",INDEX({"S1","S2","W1","W2","N1","N2"},MATCH(MIN(P45:U45),P45:U45,0))))</f>
        <v>S2</v>
      </c>
      <c r="W45" s="139">
        <f t="shared" si="7"/>
        <v>1</v>
      </c>
      <c r="X45" s="125"/>
    </row>
    <row r="46" spans="1:24" ht="15.75">
      <c r="A46" s="115">
        <v>32</v>
      </c>
      <c r="B46" s="135">
        <f>'Runs Z-Score'!B34</f>
        <v>2</v>
      </c>
      <c r="C46" s="89" t="str">
        <f>'Runs Z-Score'!C34</f>
        <v>R3</v>
      </c>
      <c r="D46" s="89" t="str">
        <f>'Runs Z-Score'!D34</f>
        <v>NG</v>
      </c>
      <c r="E46" s="89" t="str">
        <f>'Runs Z-Score'!E34</f>
        <v>S2</v>
      </c>
      <c r="F46" s="89">
        <f>'Runs Z-Score'!F34</f>
        <v>5.93</v>
      </c>
      <c r="G46" s="89">
        <f t="shared" si="0"/>
        <v>6.8999999999999995</v>
      </c>
      <c r="H46" s="89">
        <f>VLOOKUP(C46,Recipes!$A$2:$N$4,10,FALSE())</f>
        <v>10.940000000000001</v>
      </c>
      <c r="I46" s="89">
        <f>VLOOKUP(C46,Recipes!$A$2:$N$4,12,FALSE())</f>
        <v>5.2703573566378441E-2</v>
      </c>
      <c r="J46" s="89">
        <f t="shared" si="2"/>
        <v>5876.0110404416291</v>
      </c>
      <c r="K46" s="89">
        <f t="shared" si="3"/>
        <v>5875.9443737749625</v>
      </c>
      <c r="L46" s="89">
        <f t="shared" si="4"/>
        <v>76.654708751484819</v>
      </c>
      <c r="M46" s="89" t="str">
        <f t="shared" si="5"/>
        <v>NG</v>
      </c>
      <c r="N46" s="117">
        <f t="shared" si="6"/>
        <v>1</v>
      </c>
      <c r="O46" s="89">
        <f t="shared" si="1"/>
        <v>4.0400000000000018</v>
      </c>
      <c r="P46" s="89">
        <f>IF(G46="","",ABS(O46-Components!$C$2))</f>
        <v>1.286666666666672</v>
      </c>
      <c r="Q46" s="89">
        <f>IF(G46="","",ABS(O46-Components!$C$3))</f>
        <v>4.000000000002224E-3</v>
      </c>
      <c r="R46" s="89">
        <f>IF(G46="","",ABS(O46-Components!$C$4))</f>
        <v>3.0466666666666686</v>
      </c>
      <c r="S46" s="89">
        <f>IF(G46="","",ABS(O46-Components!$C$5))</f>
        <v>0.52266666666666861</v>
      </c>
      <c r="T46" s="89">
        <f>IF(G46="","",ABS(O46-Components!$C$6))</f>
        <v>2.8843333333333319</v>
      </c>
      <c r="U46" s="89">
        <f>IF(G46="","",ABS(O46-Components!$C$7))</f>
        <v>2.665666666666672</v>
      </c>
      <c r="V46" s="89" t="str">
        <f>IF(G46="","",IF(M46="OK","NONE",INDEX({"S1","S2","W1","W2","N1","N2"},MATCH(MIN(P46:U46),P46:U46,0))))</f>
        <v>S2</v>
      </c>
      <c r="W46" s="139">
        <f t="shared" si="7"/>
        <v>1</v>
      </c>
      <c r="X46" s="125"/>
    </row>
    <row r="47" spans="1:24" ht="15.75">
      <c r="A47" s="115">
        <v>33</v>
      </c>
      <c r="B47" s="135">
        <f>'Runs Z-Score'!B35</f>
        <v>2</v>
      </c>
      <c r="C47" s="89" t="str">
        <f>'Runs Z-Score'!C35</f>
        <v>R3</v>
      </c>
      <c r="D47" s="89" t="str">
        <f>'Runs Z-Score'!D35</f>
        <v>NG</v>
      </c>
      <c r="E47" s="89" t="str">
        <f>'Runs Z-Score'!E35</f>
        <v>S2</v>
      </c>
      <c r="F47" s="89">
        <f>'Runs Z-Score'!F35</f>
        <v>5.86</v>
      </c>
      <c r="G47" s="89">
        <f t="shared" si="0"/>
        <v>6.83</v>
      </c>
      <c r="H47" s="89">
        <f>VLOOKUP(C47,Recipes!$A$2:$N$4,10,FALSE())</f>
        <v>10.940000000000001</v>
      </c>
      <c r="I47" s="89">
        <f>VLOOKUP(C47,Recipes!$A$2:$N$4,12,FALSE())</f>
        <v>5.2703573566378441E-2</v>
      </c>
      <c r="J47" s="89">
        <f t="shared" si="2"/>
        <v>6081.3992559702483</v>
      </c>
      <c r="K47" s="89">
        <f t="shared" si="3"/>
        <v>6081.3325893035817</v>
      </c>
      <c r="L47" s="89">
        <f t="shared" si="4"/>
        <v>77.982899338916482</v>
      </c>
      <c r="M47" s="89" t="str">
        <f t="shared" si="5"/>
        <v>NG</v>
      </c>
      <c r="N47" s="117">
        <f t="shared" si="6"/>
        <v>1</v>
      </c>
      <c r="O47" s="89">
        <f t="shared" si="1"/>
        <v>4.1100000000000012</v>
      </c>
      <c r="P47" s="89">
        <f>IF(G47="","",ABS(O47-Components!$C$2))</f>
        <v>1.3566666666666714</v>
      </c>
      <c r="Q47" s="89">
        <f>IF(G47="","",ABS(O47-Components!$C$3))</f>
        <v>7.400000000000162E-2</v>
      </c>
      <c r="R47" s="89">
        <f>IF(G47="","",ABS(O47-Components!$C$4))</f>
        <v>3.116666666666668</v>
      </c>
      <c r="S47" s="89">
        <f>IF(G47="","",ABS(O47-Components!$C$5))</f>
        <v>0.45266666666666922</v>
      </c>
      <c r="T47" s="89">
        <f>IF(G47="","",ABS(O47-Components!$C$6))</f>
        <v>2.9543333333333313</v>
      </c>
      <c r="U47" s="89">
        <f>IF(G47="","",ABS(O47-Components!$C$7))</f>
        <v>2.7356666666666714</v>
      </c>
      <c r="V47" s="89" t="str">
        <f>IF(G47="","",IF(M47="OK","NONE",INDEX({"S1","S2","W1","W2","N1","N2"},MATCH(MIN(P47:U47),P47:U47,0))))</f>
        <v>S2</v>
      </c>
      <c r="W47" s="139">
        <f t="shared" si="7"/>
        <v>1</v>
      </c>
      <c r="X47" s="125"/>
    </row>
    <row r="48" spans="1:24" ht="15.75">
      <c r="A48" s="115">
        <v>34</v>
      </c>
      <c r="B48" s="135">
        <f>'Runs Z-Score'!B36</f>
        <v>2</v>
      </c>
      <c r="C48" s="89" t="str">
        <f>'Runs Z-Score'!C36</f>
        <v>R3</v>
      </c>
      <c r="D48" s="89" t="str">
        <f>'Runs Z-Score'!D36</f>
        <v>NG</v>
      </c>
      <c r="E48" s="89" t="str">
        <f>'Runs Z-Score'!E36</f>
        <v>S2</v>
      </c>
      <c r="F48" s="89">
        <f>'Runs Z-Score'!F36</f>
        <v>5.94</v>
      </c>
      <c r="G48" s="89">
        <f t="shared" si="0"/>
        <v>6.91</v>
      </c>
      <c r="H48" s="89">
        <f>VLOOKUP(C48,Recipes!$A$2:$N$4,10,FALSE())</f>
        <v>10.940000000000001</v>
      </c>
      <c r="I48" s="89">
        <f>VLOOKUP(C48,Recipes!$A$2:$N$4,12,FALSE())</f>
        <v>5.2703573566378441E-2</v>
      </c>
      <c r="J48" s="89">
        <f t="shared" si="2"/>
        <v>5846.9578783151401</v>
      </c>
      <c r="K48" s="89">
        <f t="shared" si="3"/>
        <v>5846.8912116484735</v>
      </c>
      <c r="L48" s="89">
        <f t="shared" si="4"/>
        <v>76.46496721799123</v>
      </c>
      <c r="M48" s="89" t="str">
        <f t="shared" si="5"/>
        <v>NG</v>
      </c>
      <c r="N48" s="117">
        <f t="shared" si="6"/>
        <v>1</v>
      </c>
      <c r="O48" s="89">
        <f t="shared" si="1"/>
        <v>4.0300000000000011</v>
      </c>
      <c r="P48" s="89">
        <f>IF(G48="","",ABS(O48-Components!$C$2))</f>
        <v>1.2766666666666713</v>
      </c>
      <c r="Q48" s="89">
        <f>IF(G48="","",ABS(O48-Components!$C$3))</f>
        <v>5.999999999998451E-3</v>
      </c>
      <c r="R48" s="89">
        <f>IF(G48="","",ABS(O48-Components!$C$4))</f>
        <v>3.036666666666668</v>
      </c>
      <c r="S48" s="89">
        <f>IF(G48="","",ABS(O48-Components!$C$5))</f>
        <v>0.53266666666666929</v>
      </c>
      <c r="T48" s="89">
        <f>IF(G48="","",ABS(O48-Components!$C$6))</f>
        <v>2.8743333333333312</v>
      </c>
      <c r="U48" s="89">
        <f>IF(G48="","",ABS(O48-Components!$C$7))</f>
        <v>2.6556666666666713</v>
      </c>
      <c r="V48" s="89" t="str">
        <f>IF(G48="","",IF(M48="OK","NONE",INDEX({"S1","S2","W1","W2","N1","N2"},MATCH(MIN(P48:U48),P48:U48,0))))</f>
        <v>S2</v>
      </c>
      <c r="W48" s="139">
        <f t="shared" si="7"/>
        <v>1</v>
      </c>
      <c r="X48" s="125"/>
    </row>
    <row r="49" spans="1:24" ht="15.75">
      <c r="A49" s="115">
        <v>35</v>
      </c>
      <c r="B49" s="135">
        <f>'Runs Z-Score'!B37</f>
        <v>2</v>
      </c>
      <c r="C49" s="89" t="str">
        <f>'Runs Z-Score'!C37</f>
        <v>R3</v>
      </c>
      <c r="D49" s="89" t="str">
        <f>'Runs Z-Score'!D37</f>
        <v>NG</v>
      </c>
      <c r="E49" s="89" t="str">
        <f>'Runs Z-Score'!E37</f>
        <v>S2</v>
      </c>
      <c r="F49" s="89">
        <f>'Runs Z-Score'!F37</f>
        <v>5.9</v>
      </c>
      <c r="G49" s="89">
        <f t="shared" si="0"/>
        <v>6.87</v>
      </c>
      <c r="H49" s="89">
        <f>VLOOKUP(C49,Recipes!$A$2:$N$4,10,FALSE())</f>
        <v>10.940000000000001</v>
      </c>
      <c r="I49" s="89">
        <f>VLOOKUP(C49,Recipes!$A$2:$N$4,12,FALSE())</f>
        <v>5.2703573566378441E-2</v>
      </c>
      <c r="J49" s="89">
        <f t="shared" si="2"/>
        <v>5963.6025441017719</v>
      </c>
      <c r="K49" s="89">
        <f t="shared" si="3"/>
        <v>5963.5358774351052</v>
      </c>
      <c r="L49" s="89">
        <f t="shared" si="4"/>
        <v>77.223933320150849</v>
      </c>
      <c r="M49" s="89" t="str">
        <f t="shared" si="5"/>
        <v>NG</v>
      </c>
      <c r="N49" s="117">
        <f t="shared" si="6"/>
        <v>1</v>
      </c>
      <c r="O49" s="89">
        <f t="shared" si="1"/>
        <v>4.0700000000000012</v>
      </c>
      <c r="P49" s="89">
        <f>IF(G49="","",ABS(O49-Components!$C$2))</f>
        <v>1.3166666666666713</v>
      </c>
      <c r="Q49" s="89">
        <f>IF(G49="","",ABS(O49-Components!$C$3))</f>
        <v>3.4000000000001585E-2</v>
      </c>
      <c r="R49" s="89">
        <f>IF(G49="","",ABS(O49-Components!$C$4))</f>
        <v>3.076666666666668</v>
      </c>
      <c r="S49" s="89">
        <f>IF(G49="","",ABS(O49-Components!$C$5))</f>
        <v>0.49266666666666925</v>
      </c>
      <c r="T49" s="89">
        <f>IF(G49="","",ABS(O49-Components!$C$6))</f>
        <v>2.9143333333333312</v>
      </c>
      <c r="U49" s="89">
        <f>IF(G49="","",ABS(O49-Components!$C$7))</f>
        <v>2.6956666666666713</v>
      </c>
      <c r="V49" s="89" t="str">
        <f>IF(G49="","",IF(M49="OK","NONE",INDEX({"S1","S2","W1","W2","N1","N2"},MATCH(MIN(P49:U49),P49:U49,0))))</f>
        <v>S2</v>
      </c>
      <c r="W49" s="139">
        <f t="shared" si="7"/>
        <v>1</v>
      </c>
      <c r="X49" s="125"/>
    </row>
    <row r="50" spans="1:24" ht="15.75">
      <c r="A50" s="115">
        <v>36</v>
      </c>
      <c r="B50" s="135">
        <f>'Runs Z-Score'!B38</f>
        <v>2</v>
      </c>
      <c r="C50" s="89" t="str">
        <f>'Runs Z-Score'!C38</f>
        <v>R3</v>
      </c>
      <c r="D50" s="89" t="str">
        <f>'Runs Z-Score'!D38</f>
        <v>NG</v>
      </c>
      <c r="E50" s="89" t="str">
        <f>'Runs Z-Score'!E38</f>
        <v>S2</v>
      </c>
      <c r="F50" s="89">
        <f>'Runs Z-Score'!F38</f>
        <v>5.82</v>
      </c>
      <c r="G50" s="89">
        <f t="shared" si="0"/>
        <v>6.79</v>
      </c>
      <c r="H50" s="89">
        <f>VLOOKUP(C50,Recipes!$A$2:$N$4,10,FALSE())</f>
        <v>10.940000000000001</v>
      </c>
      <c r="I50" s="89">
        <f>VLOOKUP(C50,Recipes!$A$2:$N$4,12,FALSE())</f>
        <v>5.2703573566378441E-2</v>
      </c>
      <c r="J50" s="89">
        <f t="shared" si="2"/>
        <v>6200.3480139205667</v>
      </c>
      <c r="K50" s="89">
        <f t="shared" si="3"/>
        <v>6200.2813472539001</v>
      </c>
      <c r="L50" s="89">
        <f t="shared" si="4"/>
        <v>78.741865276699542</v>
      </c>
      <c r="M50" s="89" t="str">
        <f t="shared" si="5"/>
        <v>NG</v>
      </c>
      <c r="N50" s="117">
        <f t="shared" si="6"/>
        <v>1</v>
      </c>
      <c r="O50" s="89">
        <f t="shared" si="1"/>
        <v>4.1500000000000012</v>
      </c>
      <c r="P50" s="89">
        <f>IF(G50="","",ABS(O50-Components!$C$2))</f>
        <v>1.3966666666666714</v>
      </c>
      <c r="Q50" s="89">
        <f>IF(G50="","",ABS(O50-Components!$C$3))</f>
        <v>0.11400000000000166</v>
      </c>
      <c r="R50" s="89">
        <f>IF(G50="","",ABS(O50-Components!$C$4))</f>
        <v>3.1566666666666681</v>
      </c>
      <c r="S50" s="89">
        <f>IF(G50="","",ABS(O50-Components!$C$5))</f>
        <v>0.41266666666666918</v>
      </c>
      <c r="T50" s="89">
        <f>IF(G50="","",ABS(O50-Components!$C$6))</f>
        <v>2.9943333333333313</v>
      </c>
      <c r="U50" s="89">
        <f>IF(G50="","",ABS(O50-Components!$C$7))</f>
        <v>2.7756666666666714</v>
      </c>
      <c r="V50" s="89" t="str">
        <f>IF(G50="","",IF(M50="OK","NONE",INDEX({"S1","S2","W1","W2","N1","N2"},MATCH(MIN(P50:U50),P50:U50,0))))</f>
        <v>S2</v>
      </c>
      <c r="W50" s="139">
        <f t="shared" si="7"/>
        <v>1</v>
      </c>
      <c r="X50" s="125"/>
    </row>
    <row r="51" spans="1:24" ht="15.75">
      <c r="A51" s="115">
        <v>37</v>
      </c>
      <c r="B51" s="135">
        <f>'Runs Z-Score'!B39</f>
        <v>2</v>
      </c>
      <c r="C51" s="89" t="str">
        <f>'Runs Z-Score'!C39</f>
        <v>R3</v>
      </c>
      <c r="D51" s="89" t="str">
        <f>'Runs Z-Score'!D39</f>
        <v>NG</v>
      </c>
      <c r="E51" s="89" t="str">
        <f>'Runs Z-Score'!E39</f>
        <v>S2</v>
      </c>
      <c r="F51" s="89">
        <f>'Runs Z-Score'!F39</f>
        <v>5.87</v>
      </c>
      <c r="G51" s="89">
        <f t="shared" si="0"/>
        <v>6.84</v>
      </c>
      <c r="H51" s="89">
        <f>VLOOKUP(C51,Recipes!$A$2:$N$4,10,FALSE())</f>
        <v>10.940000000000001</v>
      </c>
      <c r="I51" s="89">
        <f>VLOOKUP(C51,Recipes!$A$2:$N$4,12,FALSE())</f>
        <v>5.2703573566378441E-2</v>
      </c>
      <c r="J51" s="89">
        <f t="shared" si="2"/>
        <v>6051.8420736829576</v>
      </c>
      <c r="K51" s="89">
        <f t="shared" si="3"/>
        <v>6051.775407016291</v>
      </c>
      <c r="L51" s="89">
        <f t="shared" si="4"/>
        <v>77.793157841909789</v>
      </c>
      <c r="M51" s="89" t="str">
        <f t="shared" si="5"/>
        <v>NG</v>
      </c>
      <c r="N51" s="117">
        <f t="shared" si="6"/>
        <v>1</v>
      </c>
      <c r="O51" s="89">
        <f t="shared" si="1"/>
        <v>4.1000000000000014</v>
      </c>
      <c r="P51" s="89">
        <f>IF(G51="","",ABS(O51-Components!$C$2))</f>
        <v>1.3466666666666716</v>
      </c>
      <c r="Q51" s="89">
        <f>IF(G51="","",ABS(O51-Components!$C$3))</f>
        <v>6.4000000000001833E-2</v>
      </c>
      <c r="R51" s="89">
        <f>IF(G51="","",ABS(O51-Components!$C$4))</f>
        <v>3.1066666666666682</v>
      </c>
      <c r="S51" s="89">
        <f>IF(G51="","",ABS(O51-Components!$C$5))</f>
        <v>0.462666666666669</v>
      </c>
      <c r="T51" s="89">
        <f>IF(G51="","",ABS(O51-Components!$C$6))</f>
        <v>2.9443333333333315</v>
      </c>
      <c r="U51" s="89">
        <f>IF(G51="","",ABS(O51-Components!$C$7))</f>
        <v>2.7256666666666716</v>
      </c>
      <c r="V51" s="89" t="str">
        <f>IF(G51="","",IF(M51="OK","NONE",INDEX({"S1","S2","W1","W2","N1","N2"},MATCH(MIN(P51:U51),P51:U51,0))))</f>
        <v>S2</v>
      </c>
      <c r="W51" s="139">
        <f t="shared" si="7"/>
        <v>1</v>
      </c>
      <c r="X51" s="125"/>
    </row>
    <row r="52" spans="1:24" ht="15.75">
      <c r="A52" s="115">
        <v>38</v>
      </c>
      <c r="B52" s="135">
        <f>'Runs Z-Score'!B40</f>
        <v>2</v>
      </c>
      <c r="C52" s="89" t="str">
        <f>'Runs Z-Score'!C40</f>
        <v>R3</v>
      </c>
      <c r="D52" s="89" t="str">
        <f>'Runs Z-Score'!D40</f>
        <v>NG</v>
      </c>
      <c r="E52" s="89" t="str">
        <f>'Runs Z-Score'!E40</f>
        <v>S2</v>
      </c>
      <c r="F52" s="89">
        <f>'Runs Z-Score'!F40</f>
        <v>5.89</v>
      </c>
      <c r="G52" s="89">
        <f t="shared" si="0"/>
        <v>6.8599999999999994</v>
      </c>
      <c r="H52" s="89">
        <f>VLOOKUP(C52,Recipes!$A$2:$N$4,10,FALSE())</f>
        <v>10.940000000000001</v>
      </c>
      <c r="I52" s="89">
        <f>VLOOKUP(C52,Recipes!$A$2:$N$4,12,FALSE())</f>
        <v>5.2703573566378441E-2</v>
      </c>
      <c r="J52" s="89">
        <f t="shared" si="2"/>
        <v>5992.9437177487216</v>
      </c>
      <c r="K52" s="89">
        <f t="shared" si="3"/>
        <v>5992.877051082055</v>
      </c>
      <c r="L52" s="89">
        <f t="shared" si="4"/>
        <v>77.413674832564666</v>
      </c>
      <c r="M52" s="89" t="str">
        <f t="shared" si="5"/>
        <v>NG</v>
      </c>
      <c r="N52" s="117">
        <f t="shared" si="6"/>
        <v>1</v>
      </c>
      <c r="O52" s="89">
        <f t="shared" si="1"/>
        <v>4.0800000000000018</v>
      </c>
      <c r="P52" s="89">
        <f>IF(G52="","",ABS(O52-Components!$C$2))</f>
        <v>1.326666666666672</v>
      </c>
      <c r="Q52" s="89">
        <f>IF(G52="","",ABS(O52-Components!$C$3))</f>
        <v>4.400000000000226E-2</v>
      </c>
      <c r="R52" s="89">
        <f>IF(G52="","",ABS(O52-Components!$C$4))</f>
        <v>3.0866666666666687</v>
      </c>
      <c r="S52" s="89">
        <f>IF(G52="","",ABS(O52-Components!$C$5))</f>
        <v>0.48266666666666858</v>
      </c>
      <c r="T52" s="89">
        <f>IF(G52="","",ABS(O52-Components!$C$6))</f>
        <v>2.9243333333333319</v>
      </c>
      <c r="U52" s="89">
        <f>IF(G52="","",ABS(O52-Components!$C$7))</f>
        <v>2.705666666666672</v>
      </c>
      <c r="V52" s="89" t="str">
        <f>IF(G52="","",IF(M52="OK","NONE",INDEX({"S1","S2","W1","W2","N1","N2"},MATCH(MIN(P52:U52),P52:U52,0))))</f>
        <v>S2</v>
      </c>
      <c r="W52" s="139">
        <f t="shared" si="7"/>
        <v>1</v>
      </c>
      <c r="X52" s="125"/>
    </row>
    <row r="53" spans="1:24" ht="15.75">
      <c r="A53" s="115">
        <v>39</v>
      </c>
      <c r="B53" s="135">
        <f>'Runs Z-Score'!B41</f>
        <v>2</v>
      </c>
      <c r="C53" s="89" t="str">
        <f>'Runs Z-Score'!C41</f>
        <v>R3</v>
      </c>
      <c r="D53" s="89" t="str">
        <f>'Runs Z-Score'!D41</f>
        <v>NG</v>
      </c>
      <c r="E53" s="89" t="str">
        <f>'Runs Z-Score'!E41</f>
        <v>S2</v>
      </c>
      <c r="F53" s="89">
        <f>'Runs Z-Score'!F41</f>
        <v>5.91</v>
      </c>
      <c r="G53" s="89">
        <f t="shared" si="0"/>
        <v>6.88</v>
      </c>
      <c r="H53" s="89">
        <f>VLOOKUP(C53,Recipes!$A$2:$N$4,10,FALSE())</f>
        <v>10.940000000000001</v>
      </c>
      <c r="I53" s="89">
        <f>VLOOKUP(C53,Recipes!$A$2:$N$4,12,FALSE())</f>
        <v>5.2703573566378441E-2</v>
      </c>
      <c r="J53" s="89">
        <f t="shared" si="2"/>
        <v>5934.3333733349418</v>
      </c>
      <c r="K53" s="89">
        <f t="shared" si="3"/>
        <v>5934.2667066682752</v>
      </c>
      <c r="L53" s="89">
        <f t="shared" si="4"/>
        <v>77.034191802525427</v>
      </c>
      <c r="M53" s="89" t="str">
        <f t="shared" si="5"/>
        <v>NG</v>
      </c>
      <c r="N53" s="117">
        <f t="shared" si="6"/>
        <v>1</v>
      </c>
      <c r="O53" s="89">
        <f t="shared" si="1"/>
        <v>4.0600000000000014</v>
      </c>
      <c r="P53" s="89">
        <f>IF(G53="","",ABS(O53-Components!$C$2))</f>
        <v>1.3066666666666715</v>
      </c>
      <c r="Q53" s="89">
        <f>IF(G53="","",ABS(O53-Components!$C$3))</f>
        <v>2.4000000000001798E-2</v>
      </c>
      <c r="R53" s="89">
        <f>IF(G53="","",ABS(O53-Components!$C$4))</f>
        <v>3.0666666666666682</v>
      </c>
      <c r="S53" s="89">
        <f>IF(G53="","",ABS(O53-Components!$C$5))</f>
        <v>0.50266666666666904</v>
      </c>
      <c r="T53" s="89">
        <f>IF(G53="","",ABS(O53-Components!$C$6))</f>
        <v>2.9043333333333314</v>
      </c>
      <c r="U53" s="89">
        <f>IF(G53="","",ABS(O53-Components!$C$7))</f>
        <v>2.6856666666666715</v>
      </c>
      <c r="V53" s="89" t="str">
        <f>IF(G53="","",IF(M53="OK","NONE",INDEX({"S1","S2","W1","W2","N1","N2"},MATCH(MIN(P53:U53),P53:U53,0))))</f>
        <v>S2</v>
      </c>
      <c r="W53" s="139">
        <f t="shared" si="7"/>
        <v>1</v>
      </c>
      <c r="X53" s="125"/>
    </row>
    <row r="54" spans="1:24" ht="15.75">
      <c r="A54" s="115">
        <v>40</v>
      </c>
      <c r="B54" s="135">
        <f>'Runs Z-Score'!B42</f>
        <v>2</v>
      </c>
      <c r="C54" s="89" t="str">
        <f>'Runs Z-Score'!C42</f>
        <v>R3</v>
      </c>
      <c r="D54" s="89" t="str">
        <f>'Runs Z-Score'!D42</f>
        <v>NG</v>
      </c>
      <c r="E54" s="89" t="str">
        <f>'Runs Z-Score'!E42</f>
        <v>S2</v>
      </c>
      <c r="F54" s="89">
        <f>'Runs Z-Score'!F42</f>
        <v>5.94</v>
      </c>
      <c r="G54" s="89">
        <f t="shared" si="0"/>
        <v>6.91</v>
      </c>
      <c r="H54" s="89">
        <f>VLOOKUP(C54,Recipes!$A$2:$N$4,10,FALSE())</f>
        <v>10.940000000000001</v>
      </c>
      <c r="I54" s="89">
        <f>VLOOKUP(C54,Recipes!$A$2:$N$4,12,FALSE())</f>
        <v>5.2703573566378441E-2</v>
      </c>
      <c r="J54" s="89">
        <f t="shared" si="2"/>
        <v>5846.9578783151401</v>
      </c>
      <c r="K54" s="89">
        <f t="shared" si="3"/>
        <v>5846.8912116484735</v>
      </c>
      <c r="L54" s="89">
        <f t="shared" si="4"/>
        <v>76.46496721799123</v>
      </c>
      <c r="M54" s="89" t="str">
        <f t="shared" si="5"/>
        <v>NG</v>
      </c>
      <c r="N54" s="117">
        <f t="shared" si="6"/>
        <v>1</v>
      </c>
      <c r="O54" s="89">
        <f t="shared" si="1"/>
        <v>4.0300000000000011</v>
      </c>
      <c r="P54" s="89">
        <f>IF(G54="","",ABS(O54-Components!$C$2))</f>
        <v>1.2766666666666713</v>
      </c>
      <c r="Q54" s="89">
        <f>IF(G54="","",ABS(O54-Components!$C$3))</f>
        <v>5.999999999998451E-3</v>
      </c>
      <c r="R54" s="89">
        <f>IF(G54="","",ABS(O54-Components!$C$4))</f>
        <v>3.036666666666668</v>
      </c>
      <c r="S54" s="89">
        <f>IF(G54="","",ABS(O54-Components!$C$5))</f>
        <v>0.53266666666666929</v>
      </c>
      <c r="T54" s="89">
        <f>IF(G54="","",ABS(O54-Components!$C$6))</f>
        <v>2.8743333333333312</v>
      </c>
      <c r="U54" s="89">
        <f>IF(G54="","",ABS(O54-Components!$C$7))</f>
        <v>2.6556666666666713</v>
      </c>
      <c r="V54" s="89" t="str">
        <f>IF(G54="","",IF(M54="OK","NONE",INDEX({"S1","S2","W1","W2","N1","N2"},MATCH(MIN(P54:U54),P54:U54,0))))</f>
        <v>S2</v>
      </c>
      <c r="W54" s="139">
        <f t="shared" si="7"/>
        <v>1</v>
      </c>
      <c r="X54" s="125"/>
    </row>
    <row r="55" spans="1:24" ht="15.75">
      <c r="A55" s="115">
        <v>41</v>
      </c>
      <c r="B55" s="135">
        <f>'Runs Z-Score'!B43</f>
        <v>2</v>
      </c>
      <c r="C55" s="89" t="str">
        <f>'Runs Z-Score'!C43</f>
        <v>R3</v>
      </c>
      <c r="D55" s="89" t="str">
        <f>'Runs Z-Score'!D43</f>
        <v>NG</v>
      </c>
      <c r="E55" s="89" t="str">
        <f>'Runs Z-Score'!E43</f>
        <v>S2</v>
      </c>
      <c r="F55" s="89">
        <f>'Runs Z-Score'!F43</f>
        <v>5.91</v>
      </c>
      <c r="G55" s="89">
        <f t="shared" si="0"/>
        <v>6.88</v>
      </c>
      <c r="H55" s="89">
        <f>VLOOKUP(C55,Recipes!$A$2:$N$4,10,FALSE())</f>
        <v>10.940000000000001</v>
      </c>
      <c r="I55" s="89">
        <f>VLOOKUP(C55,Recipes!$A$2:$N$4,12,FALSE())</f>
        <v>5.2703573566378441E-2</v>
      </c>
      <c r="J55" s="89">
        <f t="shared" si="2"/>
        <v>5934.3333733349418</v>
      </c>
      <c r="K55" s="89">
        <f t="shared" si="3"/>
        <v>5934.2667066682752</v>
      </c>
      <c r="L55" s="89">
        <f t="shared" si="4"/>
        <v>77.034191802525427</v>
      </c>
      <c r="M55" s="89" t="str">
        <f t="shared" si="5"/>
        <v>NG</v>
      </c>
      <c r="N55" s="117">
        <f t="shared" si="6"/>
        <v>1</v>
      </c>
      <c r="O55" s="89">
        <f t="shared" si="1"/>
        <v>4.0600000000000014</v>
      </c>
      <c r="P55" s="89">
        <f>IF(G55="","",ABS(O55-Components!$C$2))</f>
        <v>1.3066666666666715</v>
      </c>
      <c r="Q55" s="89">
        <f>IF(G55="","",ABS(O55-Components!$C$3))</f>
        <v>2.4000000000001798E-2</v>
      </c>
      <c r="R55" s="89">
        <f>IF(G55="","",ABS(O55-Components!$C$4))</f>
        <v>3.0666666666666682</v>
      </c>
      <c r="S55" s="89">
        <f>IF(G55="","",ABS(O55-Components!$C$5))</f>
        <v>0.50266666666666904</v>
      </c>
      <c r="T55" s="89">
        <f>IF(G55="","",ABS(O55-Components!$C$6))</f>
        <v>2.9043333333333314</v>
      </c>
      <c r="U55" s="89">
        <f>IF(G55="","",ABS(O55-Components!$C$7))</f>
        <v>2.6856666666666715</v>
      </c>
      <c r="V55" s="89" t="str">
        <f>IF(G55="","",IF(M55="OK","NONE",INDEX({"S1","S2","W1","W2","N1","N2"},MATCH(MIN(P55:U55),P55:U55,0))))</f>
        <v>S2</v>
      </c>
      <c r="W55" s="139">
        <f t="shared" si="7"/>
        <v>1</v>
      </c>
      <c r="X55" s="125"/>
    </row>
    <row r="56" spans="1:24" ht="15.75">
      <c r="A56" s="115">
        <v>42</v>
      </c>
      <c r="B56" s="135">
        <f>'Runs Z-Score'!B44</f>
        <v>2</v>
      </c>
      <c r="C56" s="89" t="str">
        <f>'Runs Z-Score'!C44</f>
        <v>R3</v>
      </c>
      <c r="D56" s="89" t="str">
        <f>'Runs Z-Score'!D44</f>
        <v>NG</v>
      </c>
      <c r="E56" s="89" t="str">
        <f>'Runs Z-Score'!E44</f>
        <v>S2</v>
      </c>
      <c r="F56" s="89">
        <f>'Runs Z-Score'!F44</f>
        <v>5.96</v>
      </c>
      <c r="G56" s="89">
        <f t="shared" si="0"/>
        <v>6.93</v>
      </c>
      <c r="H56" s="89">
        <f>VLOOKUP(C56,Recipes!$A$2:$N$4,10,FALSE())</f>
        <v>10.940000000000001</v>
      </c>
      <c r="I56" s="89">
        <f>VLOOKUP(C56,Recipes!$A$2:$N$4,12,FALSE())</f>
        <v>5.2703573566378441E-2</v>
      </c>
      <c r="J56" s="89">
        <f t="shared" si="2"/>
        <v>5789.0675627025166</v>
      </c>
      <c r="K56" s="89">
        <f t="shared" si="3"/>
        <v>5789.00089603585</v>
      </c>
      <c r="L56" s="89">
        <f t="shared" si="4"/>
        <v>76.085484134858802</v>
      </c>
      <c r="M56" s="89" t="str">
        <f t="shared" si="5"/>
        <v>NG</v>
      </c>
      <c r="N56" s="117">
        <f t="shared" si="6"/>
        <v>1</v>
      </c>
      <c r="O56" s="89">
        <f t="shared" si="1"/>
        <v>4.0100000000000016</v>
      </c>
      <c r="P56" s="89">
        <f>IF(G56="","",ABS(O56-Components!$C$2))</f>
        <v>1.2566666666666717</v>
      </c>
      <c r="Q56" s="89">
        <f>IF(G56="","",ABS(O56-Components!$C$3))</f>
        <v>2.5999999999998025E-2</v>
      </c>
      <c r="R56" s="89">
        <f>IF(G56="","",ABS(O56-Components!$C$4))</f>
        <v>3.0166666666666684</v>
      </c>
      <c r="S56" s="89">
        <f>IF(G56="","",ABS(O56-Components!$C$5))</f>
        <v>0.55266666666666886</v>
      </c>
      <c r="T56" s="89">
        <f>IF(G56="","",ABS(O56-Components!$C$6))</f>
        <v>2.8543333333333316</v>
      </c>
      <c r="U56" s="89">
        <f>IF(G56="","",ABS(O56-Components!$C$7))</f>
        <v>2.6356666666666717</v>
      </c>
      <c r="V56" s="89" t="str">
        <f>IF(G56="","",IF(M56="OK","NONE",INDEX({"S1","S2","W1","W2","N1","N2"},MATCH(MIN(P56:U56),P56:U56,0))))</f>
        <v>S2</v>
      </c>
      <c r="W56" s="139">
        <f t="shared" si="7"/>
        <v>1</v>
      </c>
      <c r="X56" s="125"/>
    </row>
    <row r="57" spans="1:24" ht="15.75">
      <c r="A57" s="115">
        <v>43</v>
      </c>
      <c r="B57" s="135">
        <f>'Runs Z-Score'!B45</f>
        <v>2</v>
      </c>
      <c r="C57" s="89" t="str">
        <f>'Runs Z-Score'!C45</f>
        <v>R3</v>
      </c>
      <c r="D57" s="89" t="str">
        <f>'Runs Z-Score'!D45</f>
        <v>NG</v>
      </c>
      <c r="E57" s="89" t="str">
        <f>'Runs Z-Score'!E45</f>
        <v>S2</v>
      </c>
      <c r="F57" s="89">
        <f>'Runs Z-Score'!F45</f>
        <v>5.98</v>
      </c>
      <c r="G57" s="89">
        <f t="shared" si="0"/>
        <v>6.95</v>
      </c>
      <c r="H57" s="89">
        <f>VLOOKUP(C57,Recipes!$A$2:$N$4,10,FALSE())</f>
        <v>10.940000000000001</v>
      </c>
      <c r="I57" s="89">
        <f>VLOOKUP(C57,Recipes!$A$2:$N$4,12,FALSE())</f>
        <v>5.2703573566378441E-2</v>
      </c>
      <c r="J57" s="89">
        <f t="shared" si="2"/>
        <v>5731.4652586103521</v>
      </c>
      <c r="K57" s="89">
        <f t="shared" si="3"/>
        <v>5731.3985919436855</v>
      </c>
      <c r="L57" s="89">
        <f t="shared" si="4"/>
        <v>75.706001029929496</v>
      </c>
      <c r="M57" s="89" t="str">
        <f t="shared" si="5"/>
        <v>NG</v>
      </c>
      <c r="N57" s="117">
        <f t="shared" si="6"/>
        <v>1</v>
      </c>
      <c r="O57" s="89">
        <f t="shared" si="1"/>
        <v>3.9900000000000011</v>
      </c>
      <c r="P57" s="89">
        <f>IF(G57="","",ABS(O57-Components!$C$2))</f>
        <v>1.2366666666666712</v>
      </c>
      <c r="Q57" s="89">
        <f>IF(G57="","",ABS(O57-Components!$C$3))</f>
        <v>4.5999999999998487E-2</v>
      </c>
      <c r="R57" s="89">
        <f>IF(G57="","",ABS(O57-Components!$C$4))</f>
        <v>2.9966666666666679</v>
      </c>
      <c r="S57" s="89">
        <f>IF(G57="","",ABS(O57-Components!$C$5))</f>
        <v>0.57266666666666932</v>
      </c>
      <c r="T57" s="89">
        <f>IF(G57="","",ABS(O57-Components!$C$6))</f>
        <v>2.8343333333333312</v>
      </c>
      <c r="U57" s="89">
        <f>IF(G57="","",ABS(O57-Components!$C$7))</f>
        <v>2.6156666666666712</v>
      </c>
      <c r="V57" s="89" t="str">
        <f>IF(G57="","",IF(M57="OK","NONE",INDEX({"S1","S2","W1","W2","N1","N2"},MATCH(MIN(P57:U57),P57:U57,0))))</f>
        <v>S2</v>
      </c>
      <c r="W57" s="139">
        <f t="shared" si="7"/>
        <v>1</v>
      </c>
      <c r="X57" s="125"/>
    </row>
    <row r="58" spans="1:24" ht="15.75">
      <c r="A58" s="115">
        <v>44</v>
      </c>
      <c r="B58" s="135">
        <f>'Runs Z-Score'!B46</f>
        <v>2</v>
      </c>
      <c r="C58" s="89" t="str">
        <f>'Runs Z-Score'!C46</f>
        <v>R3</v>
      </c>
      <c r="D58" s="89" t="str">
        <f>'Runs Z-Score'!D46</f>
        <v>NG</v>
      </c>
      <c r="E58" s="89" t="str">
        <f>'Runs Z-Score'!E46</f>
        <v>S2</v>
      </c>
      <c r="F58" s="89">
        <f>'Runs Z-Score'!F46</f>
        <v>5.94</v>
      </c>
      <c r="G58" s="89">
        <f t="shared" si="0"/>
        <v>6.91</v>
      </c>
      <c r="H58" s="89">
        <f>VLOOKUP(C58,Recipes!$A$2:$N$4,10,FALSE())</f>
        <v>10.940000000000001</v>
      </c>
      <c r="I58" s="89">
        <f>VLOOKUP(C58,Recipes!$A$2:$N$4,12,FALSE())</f>
        <v>5.2703573566378441E-2</v>
      </c>
      <c r="J58" s="89">
        <f t="shared" si="2"/>
        <v>5846.9578783151401</v>
      </c>
      <c r="K58" s="89">
        <f t="shared" si="3"/>
        <v>5846.8912116484735</v>
      </c>
      <c r="L58" s="89">
        <f t="shared" si="4"/>
        <v>76.46496721799123</v>
      </c>
      <c r="M58" s="89" t="str">
        <f t="shared" si="5"/>
        <v>NG</v>
      </c>
      <c r="N58" s="117">
        <f t="shared" si="6"/>
        <v>1</v>
      </c>
      <c r="O58" s="89">
        <f t="shared" si="1"/>
        <v>4.0300000000000011</v>
      </c>
      <c r="P58" s="89">
        <f>IF(G58="","",ABS(O58-Components!$C$2))</f>
        <v>1.2766666666666713</v>
      </c>
      <c r="Q58" s="89">
        <f>IF(G58="","",ABS(O58-Components!$C$3))</f>
        <v>5.999999999998451E-3</v>
      </c>
      <c r="R58" s="89">
        <f>IF(G58="","",ABS(O58-Components!$C$4))</f>
        <v>3.036666666666668</v>
      </c>
      <c r="S58" s="89">
        <f>IF(G58="","",ABS(O58-Components!$C$5))</f>
        <v>0.53266666666666929</v>
      </c>
      <c r="T58" s="89">
        <f>IF(G58="","",ABS(O58-Components!$C$6))</f>
        <v>2.8743333333333312</v>
      </c>
      <c r="U58" s="89">
        <f>IF(G58="","",ABS(O58-Components!$C$7))</f>
        <v>2.6556666666666713</v>
      </c>
      <c r="V58" s="89" t="str">
        <f>IF(G58="","",IF(M58="OK","NONE",INDEX({"S1","S2","W1","W2","N1","N2"},MATCH(MIN(P58:U58),P58:U58,0))))</f>
        <v>S2</v>
      </c>
      <c r="W58" s="139">
        <f t="shared" si="7"/>
        <v>1</v>
      </c>
      <c r="X58" s="125"/>
    </row>
    <row r="59" spans="1:24" ht="15.75">
      <c r="A59" s="115">
        <v>45</v>
      </c>
      <c r="B59" s="135">
        <f>'Runs Z-Score'!B47</f>
        <v>2</v>
      </c>
      <c r="C59" s="89" t="str">
        <f>'Runs Z-Score'!C47</f>
        <v>R3</v>
      </c>
      <c r="D59" s="89" t="str">
        <f>'Runs Z-Score'!D47</f>
        <v>NG</v>
      </c>
      <c r="E59" s="89" t="str">
        <f>'Runs Z-Score'!E47</f>
        <v>S2</v>
      </c>
      <c r="F59" s="89">
        <f>'Runs Z-Score'!F47</f>
        <v>5.87</v>
      </c>
      <c r="G59" s="89">
        <f t="shared" si="0"/>
        <v>6.84</v>
      </c>
      <c r="H59" s="89">
        <f>VLOOKUP(C59,Recipes!$A$2:$N$4,10,FALSE())</f>
        <v>10.940000000000001</v>
      </c>
      <c r="I59" s="89">
        <f>VLOOKUP(C59,Recipes!$A$2:$N$4,12,FALSE())</f>
        <v>5.2703573566378441E-2</v>
      </c>
      <c r="J59" s="89">
        <f t="shared" si="2"/>
        <v>6051.8420736829576</v>
      </c>
      <c r="K59" s="89">
        <f t="shared" si="3"/>
        <v>6051.775407016291</v>
      </c>
      <c r="L59" s="89">
        <f t="shared" si="4"/>
        <v>77.793157841909789</v>
      </c>
      <c r="M59" s="89" t="str">
        <f t="shared" si="5"/>
        <v>NG</v>
      </c>
      <c r="N59" s="117">
        <f t="shared" si="6"/>
        <v>1</v>
      </c>
      <c r="O59" s="89">
        <f t="shared" si="1"/>
        <v>4.1000000000000014</v>
      </c>
      <c r="P59" s="89">
        <f>IF(G59="","",ABS(O59-Components!$C$2))</f>
        <v>1.3466666666666716</v>
      </c>
      <c r="Q59" s="89">
        <f>IF(G59="","",ABS(O59-Components!$C$3))</f>
        <v>6.4000000000001833E-2</v>
      </c>
      <c r="R59" s="89">
        <f>IF(G59="","",ABS(O59-Components!$C$4))</f>
        <v>3.1066666666666682</v>
      </c>
      <c r="S59" s="89">
        <f>IF(G59="","",ABS(O59-Components!$C$5))</f>
        <v>0.462666666666669</v>
      </c>
      <c r="T59" s="89">
        <f>IF(G59="","",ABS(O59-Components!$C$6))</f>
        <v>2.9443333333333315</v>
      </c>
      <c r="U59" s="89">
        <f>IF(G59="","",ABS(O59-Components!$C$7))</f>
        <v>2.7256666666666716</v>
      </c>
      <c r="V59" s="89" t="str">
        <f>IF(G59="","",IF(M59="OK","NONE",INDEX({"S1","S2","W1","W2","N1","N2"},MATCH(MIN(P59:U59),P59:U59,0))))</f>
        <v>S2</v>
      </c>
      <c r="W59" s="139">
        <f t="shared" si="7"/>
        <v>1</v>
      </c>
      <c r="X59" s="125"/>
    </row>
    <row r="60" spans="1:24" ht="15.75">
      <c r="A60" s="115">
        <v>46</v>
      </c>
      <c r="B60" s="135">
        <f>'Runs Z-Score'!B48</f>
        <v>2</v>
      </c>
      <c r="C60" s="89" t="str">
        <f>'Runs Z-Score'!C48</f>
        <v>R3</v>
      </c>
      <c r="D60" s="89" t="str">
        <f>'Runs Z-Score'!D48</f>
        <v>NG</v>
      </c>
      <c r="E60" s="89" t="str">
        <f>'Runs Z-Score'!E48</f>
        <v>S2</v>
      </c>
      <c r="F60" s="89">
        <f>'Runs Z-Score'!F48</f>
        <v>5.95</v>
      </c>
      <c r="G60" s="89">
        <f t="shared" si="0"/>
        <v>6.92</v>
      </c>
      <c r="H60" s="89">
        <f>VLOOKUP(C60,Recipes!$A$2:$N$4,10,FALSE())</f>
        <v>10.940000000000001</v>
      </c>
      <c r="I60" s="89">
        <f>VLOOKUP(C60,Recipes!$A$2:$N$4,12,FALSE())</f>
        <v>5.2703573566378441E-2</v>
      </c>
      <c r="J60" s="89">
        <f t="shared" si="2"/>
        <v>5817.9767190687708</v>
      </c>
      <c r="K60" s="89">
        <f t="shared" si="3"/>
        <v>5817.9100524021042</v>
      </c>
      <c r="L60" s="89">
        <f t="shared" si="4"/>
        <v>76.275225679129292</v>
      </c>
      <c r="M60" s="89" t="str">
        <f t="shared" si="5"/>
        <v>NG</v>
      </c>
      <c r="N60" s="117">
        <f t="shared" si="6"/>
        <v>1</v>
      </c>
      <c r="O60" s="89">
        <f t="shared" si="1"/>
        <v>4.0200000000000014</v>
      </c>
      <c r="P60" s="89">
        <f>IF(G60="","",ABS(O60-Components!$C$2))</f>
        <v>1.2666666666666715</v>
      </c>
      <c r="Q60" s="89">
        <f>IF(G60="","",ABS(O60-Components!$C$3))</f>
        <v>1.5999999999998238E-2</v>
      </c>
      <c r="R60" s="89">
        <f>IF(G60="","",ABS(O60-Components!$C$4))</f>
        <v>3.0266666666666682</v>
      </c>
      <c r="S60" s="89">
        <f>IF(G60="","",ABS(O60-Components!$C$5))</f>
        <v>0.54266666666666907</v>
      </c>
      <c r="T60" s="89">
        <f>IF(G60="","",ABS(O60-Components!$C$6))</f>
        <v>2.8643333333333314</v>
      </c>
      <c r="U60" s="89">
        <f>IF(G60="","",ABS(O60-Components!$C$7))</f>
        <v>2.6456666666666715</v>
      </c>
      <c r="V60" s="89" t="str">
        <f>IF(G60="","",IF(M60="OK","NONE",INDEX({"S1","S2","W1","W2","N1","N2"},MATCH(MIN(P60:U60),P60:U60,0))))</f>
        <v>S2</v>
      </c>
      <c r="W60" s="139">
        <f t="shared" si="7"/>
        <v>1</v>
      </c>
      <c r="X60" s="125"/>
    </row>
    <row r="61" spans="1:24" ht="15.75">
      <c r="A61" s="115">
        <v>47</v>
      </c>
      <c r="B61" s="135">
        <f>'Runs Z-Score'!B49</f>
        <v>2</v>
      </c>
      <c r="C61" s="89" t="str">
        <f>'Runs Z-Score'!C49</f>
        <v>R3</v>
      </c>
      <c r="D61" s="89" t="str">
        <f>'Runs Z-Score'!D49</f>
        <v>NG</v>
      </c>
      <c r="E61" s="89" t="str">
        <f>'Runs Z-Score'!E49</f>
        <v>S2</v>
      </c>
      <c r="F61" s="89">
        <f>'Runs Z-Score'!F49</f>
        <v>5.89</v>
      </c>
      <c r="G61" s="89">
        <f t="shared" si="0"/>
        <v>6.8599999999999994</v>
      </c>
      <c r="H61" s="89">
        <f>VLOOKUP(C61,Recipes!$A$2:$N$4,10,FALSE())</f>
        <v>10.940000000000001</v>
      </c>
      <c r="I61" s="89">
        <f>VLOOKUP(C61,Recipes!$A$2:$N$4,12,FALSE())</f>
        <v>5.2703573566378441E-2</v>
      </c>
      <c r="J61" s="89">
        <f t="shared" si="2"/>
        <v>5992.9437177487216</v>
      </c>
      <c r="K61" s="89">
        <f t="shared" si="3"/>
        <v>5992.877051082055</v>
      </c>
      <c r="L61" s="89">
        <f t="shared" si="4"/>
        <v>77.413674832564666</v>
      </c>
      <c r="M61" s="89" t="str">
        <f t="shared" si="5"/>
        <v>NG</v>
      </c>
      <c r="N61" s="117">
        <f t="shared" si="6"/>
        <v>1</v>
      </c>
      <c r="O61" s="89">
        <f t="shared" si="1"/>
        <v>4.0800000000000018</v>
      </c>
      <c r="P61" s="89">
        <f>IF(G61="","",ABS(O61-Components!$C$2))</f>
        <v>1.326666666666672</v>
      </c>
      <c r="Q61" s="89">
        <f>IF(G61="","",ABS(O61-Components!$C$3))</f>
        <v>4.400000000000226E-2</v>
      </c>
      <c r="R61" s="89">
        <f>IF(G61="","",ABS(O61-Components!$C$4))</f>
        <v>3.0866666666666687</v>
      </c>
      <c r="S61" s="89">
        <f>IF(G61="","",ABS(O61-Components!$C$5))</f>
        <v>0.48266666666666858</v>
      </c>
      <c r="T61" s="89">
        <f>IF(G61="","",ABS(O61-Components!$C$6))</f>
        <v>2.9243333333333319</v>
      </c>
      <c r="U61" s="89">
        <f>IF(G61="","",ABS(O61-Components!$C$7))</f>
        <v>2.705666666666672</v>
      </c>
      <c r="V61" s="89" t="str">
        <f>IF(G61="","",IF(M61="OK","NONE",INDEX({"S1","S2","W1","W2","N1","N2"},MATCH(MIN(P61:U61),P61:U61,0))))</f>
        <v>S2</v>
      </c>
      <c r="W61" s="139">
        <f t="shared" si="7"/>
        <v>1</v>
      </c>
      <c r="X61" s="125"/>
    </row>
    <row r="62" spans="1:24" ht="15.75">
      <c r="A62" s="115">
        <v>48</v>
      </c>
      <c r="B62" s="135">
        <f>'Runs Z-Score'!B50</f>
        <v>2</v>
      </c>
      <c r="C62" s="89" t="str">
        <f>'Runs Z-Score'!C50</f>
        <v>R3</v>
      </c>
      <c r="D62" s="89" t="str">
        <f>'Runs Z-Score'!D50</f>
        <v>NG</v>
      </c>
      <c r="E62" s="89" t="str">
        <f>'Runs Z-Score'!E50</f>
        <v>S2</v>
      </c>
      <c r="F62" s="89">
        <f>'Runs Z-Score'!F50</f>
        <v>5.88</v>
      </c>
      <c r="G62" s="89">
        <f t="shared" si="0"/>
        <v>6.85</v>
      </c>
      <c r="H62" s="89">
        <f>VLOOKUP(C62,Recipes!$A$2:$N$4,10,FALSE())</f>
        <v>10.940000000000001</v>
      </c>
      <c r="I62" s="89">
        <f>VLOOKUP(C62,Recipes!$A$2:$N$4,12,FALSE())</f>
        <v>5.2703573566378441E-2</v>
      </c>
      <c r="J62" s="89">
        <f t="shared" si="2"/>
        <v>6022.356894275782</v>
      </c>
      <c r="K62" s="89">
        <f t="shared" si="3"/>
        <v>6022.2902276091154</v>
      </c>
      <c r="L62" s="89">
        <f t="shared" si="4"/>
        <v>77.603416339805008</v>
      </c>
      <c r="M62" s="89" t="str">
        <f t="shared" si="5"/>
        <v>NG</v>
      </c>
      <c r="N62" s="117">
        <f t="shared" si="6"/>
        <v>1</v>
      </c>
      <c r="O62" s="89">
        <f t="shared" si="1"/>
        <v>4.0900000000000016</v>
      </c>
      <c r="P62" s="89">
        <f>IF(G62="","",ABS(O62-Components!$C$2))</f>
        <v>1.3366666666666718</v>
      </c>
      <c r="Q62" s="89">
        <f>IF(G62="","",ABS(O62-Components!$C$3))</f>
        <v>5.4000000000002046E-2</v>
      </c>
      <c r="R62" s="89">
        <f>IF(G62="","",ABS(O62-Components!$C$4))</f>
        <v>3.0966666666666685</v>
      </c>
      <c r="S62" s="89">
        <f>IF(G62="","",ABS(O62-Components!$C$5))</f>
        <v>0.47266666666666879</v>
      </c>
      <c r="T62" s="89">
        <f>IF(G62="","",ABS(O62-Components!$C$6))</f>
        <v>2.9343333333333317</v>
      </c>
      <c r="U62" s="89">
        <f>IF(G62="","",ABS(O62-Components!$C$7))</f>
        <v>2.7156666666666718</v>
      </c>
      <c r="V62" s="89" t="str">
        <f>IF(G62="","",IF(M62="OK","NONE",INDEX({"S1","S2","W1","W2","N1","N2"},MATCH(MIN(P62:U62),P62:U62,0))))</f>
        <v>S2</v>
      </c>
      <c r="W62" s="139">
        <f t="shared" si="7"/>
        <v>1</v>
      </c>
      <c r="X62" s="125"/>
    </row>
    <row r="63" spans="1:24" ht="15.75">
      <c r="A63" s="115">
        <v>49</v>
      </c>
      <c r="B63" s="135">
        <f>'Runs Z-Score'!B51</f>
        <v>2</v>
      </c>
      <c r="C63" s="89" t="str">
        <f>'Runs Z-Score'!C51</f>
        <v>R3</v>
      </c>
      <c r="D63" s="89" t="str">
        <f>'Runs Z-Score'!D51</f>
        <v>NG</v>
      </c>
      <c r="E63" s="89" t="str">
        <f>'Runs Z-Score'!E51</f>
        <v>S2</v>
      </c>
      <c r="F63" s="89">
        <f>'Runs Z-Score'!F51</f>
        <v>5.94</v>
      </c>
      <c r="G63" s="89">
        <f t="shared" si="0"/>
        <v>6.91</v>
      </c>
      <c r="H63" s="89">
        <f>VLOOKUP(C63,Recipes!$A$2:$N$4,10,FALSE())</f>
        <v>10.940000000000001</v>
      </c>
      <c r="I63" s="89">
        <f>VLOOKUP(C63,Recipes!$A$2:$N$4,12,FALSE())</f>
        <v>5.2703573566378441E-2</v>
      </c>
      <c r="J63" s="89">
        <f t="shared" si="2"/>
        <v>5846.9578783151401</v>
      </c>
      <c r="K63" s="89">
        <f t="shared" si="3"/>
        <v>5846.8912116484735</v>
      </c>
      <c r="L63" s="89">
        <f t="shared" si="4"/>
        <v>76.46496721799123</v>
      </c>
      <c r="M63" s="89" t="str">
        <f t="shared" si="5"/>
        <v>NG</v>
      </c>
      <c r="N63" s="117">
        <f t="shared" si="6"/>
        <v>1</v>
      </c>
      <c r="O63" s="89">
        <f t="shared" si="1"/>
        <v>4.0300000000000011</v>
      </c>
      <c r="P63" s="89">
        <f>IF(G63="","",ABS(O63-Components!$C$2))</f>
        <v>1.2766666666666713</v>
      </c>
      <c r="Q63" s="89">
        <f>IF(G63="","",ABS(O63-Components!$C$3))</f>
        <v>5.999999999998451E-3</v>
      </c>
      <c r="R63" s="89">
        <f>IF(G63="","",ABS(O63-Components!$C$4))</f>
        <v>3.036666666666668</v>
      </c>
      <c r="S63" s="89">
        <f>IF(G63="","",ABS(O63-Components!$C$5))</f>
        <v>0.53266666666666929</v>
      </c>
      <c r="T63" s="89">
        <f>IF(G63="","",ABS(O63-Components!$C$6))</f>
        <v>2.8743333333333312</v>
      </c>
      <c r="U63" s="89">
        <f>IF(G63="","",ABS(O63-Components!$C$7))</f>
        <v>2.6556666666666713</v>
      </c>
      <c r="V63" s="89" t="str">
        <f>IF(G63="","",IF(M63="OK","NONE",INDEX({"S1","S2","W1","W2","N1","N2"},MATCH(MIN(P63:U63),P63:U63,0))))</f>
        <v>S2</v>
      </c>
      <c r="W63" s="139">
        <f t="shared" si="7"/>
        <v>1</v>
      </c>
      <c r="X63" s="125"/>
    </row>
    <row r="64" spans="1:24" ht="15.75">
      <c r="A64" s="115">
        <v>50</v>
      </c>
      <c r="B64" s="135">
        <f>'Runs Z-Score'!B52</f>
        <v>2</v>
      </c>
      <c r="C64" s="89" t="str">
        <f>'Runs Z-Score'!C52</f>
        <v>R3</v>
      </c>
      <c r="D64" s="89" t="str">
        <f>'Runs Z-Score'!D52</f>
        <v>NG</v>
      </c>
      <c r="E64" s="89" t="str">
        <f>'Runs Z-Score'!E52</f>
        <v>S2</v>
      </c>
      <c r="F64" s="89">
        <f>'Runs Z-Score'!F52</f>
        <v>5.93</v>
      </c>
      <c r="G64" s="89">
        <f t="shared" si="0"/>
        <v>6.8999999999999995</v>
      </c>
      <c r="H64" s="89">
        <f>VLOOKUP(C64,Recipes!$A$2:$N$4,10,FALSE())</f>
        <v>10.940000000000001</v>
      </c>
      <c r="I64" s="89">
        <f>VLOOKUP(C64,Recipes!$A$2:$N$4,12,FALSE())</f>
        <v>5.2703573566378441E-2</v>
      </c>
      <c r="J64" s="89">
        <f t="shared" si="2"/>
        <v>5876.0110404416291</v>
      </c>
      <c r="K64" s="89">
        <f t="shared" si="3"/>
        <v>5875.9443737749625</v>
      </c>
      <c r="L64" s="89">
        <f t="shared" si="4"/>
        <v>76.654708751484819</v>
      </c>
      <c r="M64" s="89" t="str">
        <f t="shared" si="5"/>
        <v>NG</v>
      </c>
      <c r="N64" s="117">
        <f t="shared" si="6"/>
        <v>1</v>
      </c>
      <c r="O64" s="89">
        <f t="shared" si="1"/>
        <v>4.0400000000000018</v>
      </c>
      <c r="P64" s="89">
        <f>IF(G64="","",ABS(O64-Components!$C$2))</f>
        <v>1.286666666666672</v>
      </c>
      <c r="Q64" s="89">
        <f>IF(G64="","",ABS(O64-Components!$C$3))</f>
        <v>4.000000000002224E-3</v>
      </c>
      <c r="R64" s="89">
        <f>IF(G64="","",ABS(O64-Components!$C$4))</f>
        <v>3.0466666666666686</v>
      </c>
      <c r="S64" s="89">
        <f>IF(G64="","",ABS(O64-Components!$C$5))</f>
        <v>0.52266666666666861</v>
      </c>
      <c r="T64" s="89">
        <f>IF(G64="","",ABS(O64-Components!$C$6))</f>
        <v>2.8843333333333319</v>
      </c>
      <c r="U64" s="89">
        <f>IF(G64="","",ABS(O64-Components!$C$7))</f>
        <v>2.665666666666672</v>
      </c>
      <c r="V64" s="89" t="str">
        <f>IF(G64="","",IF(M64="OK","NONE",INDEX({"S1","S2","W1","W2","N1","N2"},MATCH(MIN(P64:U64),P64:U64,0))))</f>
        <v>S2</v>
      </c>
      <c r="W64" s="139">
        <f t="shared" si="7"/>
        <v>1</v>
      </c>
      <c r="X64" s="125"/>
    </row>
    <row r="65" spans="1:24" ht="15.75">
      <c r="A65" s="115">
        <v>51</v>
      </c>
      <c r="B65" s="135">
        <f>'Runs Z-Score'!B53</f>
        <v>2</v>
      </c>
      <c r="C65" s="89" t="str">
        <f>'Runs Z-Score'!C53</f>
        <v>R3</v>
      </c>
      <c r="D65" s="89" t="str">
        <f>'Runs Z-Score'!D53</f>
        <v>NG</v>
      </c>
      <c r="E65" s="89" t="str">
        <f>'Runs Z-Score'!E53</f>
        <v>S2</v>
      </c>
      <c r="F65" s="89">
        <f>'Runs Z-Score'!F53</f>
        <v>5.99</v>
      </c>
      <c r="G65" s="89">
        <f t="shared" si="0"/>
        <v>6.96</v>
      </c>
      <c r="H65" s="89">
        <f>VLOOKUP(C65,Recipes!$A$2:$N$4,10,FALSE())</f>
        <v>10.940000000000001</v>
      </c>
      <c r="I65" s="89">
        <f>VLOOKUP(C65,Recipes!$A$2:$N$4,12,FALSE())</f>
        <v>5.2703573566378441E-2</v>
      </c>
      <c r="J65" s="89">
        <f t="shared" si="2"/>
        <v>5702.7721108844435</v>
      </c>
      <c r="K65" s="89">
        <f t="shared" si="3"/>
        <v>5702.7054442177769</v>
      </c>
      <c r="L65" s="89">
        <f t="shared" si="4"/>
        <v>75.516259469188341</v>
      </c>
      <c r="M65" s="89" t="str">
        <f t="shared" si="5"/>
        <v>NG</v>
      </c>
      <c r="N65" s="117">
        <f t="shared" si="6"/>
        <v>1</v>
      </c>
      <c r="O65" s="89">
        <f t="shared" si="1"/>
        <v>3.9800000000000013</v>
      </c>
      <c r="P65" s="89">
        <f>IF(G65="","",ABS(O65-Components!$C$2))</f>
        <v>1.2266666666666715</v>
      </c>
      <c r="Q65" s="89">
        <f>IF(G65="","",ABS(O65-Components!$C$3))</f>
        <v>5.5999999999998273E-2</v>
      </c>
      <c r="R65" s="89">
        <f>IF(G65="","",ABS(O65-Components!$C$4))</f>
        <v>2.9866666666666681</v>
      </c>
      <c r="S65" s="89">
        <f>IF(G65="","",ABS(O65-Components!$C$5))</f>
        <v>0.58266666666666911</v>
      </c>
      <c r="T65" s="89">
        <f>IF(G65="","",ABS(O65-Components!$C$6))</f>
        <v>2.8243333333333314</v>
      </c>
      <c r="U65" s="89">
        <f>IF(G65="","",ABS(O65-Components!$C$7))</f>
        <v>2.6056666666666715</v>
      </c>
      <c r="V65" s="89" t="str">
        <f>IF(G65="","",IF(M65="OK","NONE",INDEX({"S1","S2","W1","W2","N1","N2"},MATCH(MIN(P65:U65),P65:U65,0))))</f>
        <v>S2</v>
      </c>
      <c r="W65" s="139">
        <f t="shared" si="7"/>
        <v>1</v>
      </c>
      <c r="X65" s="125"/>
    </row>
    <row r="66" spans="1:24" ht="15.75">
      <c r="A66" s="115">
        <v>52</v>
      </c>
      <c r="B66" s="135">
        <f>'Runs Z-Score'!B54</f>
        <v>2</v>
      </c>
      <c r="C66" s="89" t="str">
        <f>'Runs Z-Score'!C54</f>
        <v>R3</v>
      </c>
      <c r="D66" s="89" t="str">
        <f>'Runs Z-Score'!D54</f>
        <v>NG</v>
      </c>
      <c r="E66" s="89" t="str">
        <f>'Runs Z-Score'!E54</f>
        <v>S2</v>
      </c>
      <c r="F66" s="89">
        <f>'Runs Z-Score'!F54</f>
        <v>5.92</v>
      </c>
      <c r="G66" s="89">
        <f t="shared" si="0"/>
        <v>6.89</v>
      </c>
      <c r="H66" s="89">
        <f>VLOOKUP(C66,Recipes!$A$2:$N$4,10,FALSE())</f>
        <v>10.940000000000001</v>
      </c>
      <c r="I66" s="89">
        <f>VLOOKUP(C66,Recipes!$A$2:$N$4,12,FALSE())</f>
        <v>5.2703573566378441E-2</v>
      </c>
      <c r="J66" s="89">
        <f t="shared" si="2"/>
        <v>5905.1362054482288</v>
      </c>
      <c r="K66" s="89">
        <f t="shared" si="3"/>
        <v>5905.0695387815622</v>
      </c>
      <c r="L66" s="89">
        <f t="shared" si="4"/>
        <v>76.844450279649749</v>
      </c>
      <c r="M66" s="89" t="str">
        <f t="shared" si="5"/>
        <v>NG</v>
      </c>
      <c r="N66" s="117">
        <f t="shared" si="6"/>
        <v>1</v>
      </c>
      <c r="O66" s="89">
        <f t="shared" si="1"/>
        <v>4.0500000000000016</v>
      </c>
      <c r="P66" s="89">
        <f>IF(G66="","",ABS(O66-Components!$C$2))</f>
        <v>1.2966666666666717</v>
      </c>
      <c r="Q66" s="89">
        <f>IF(G66="","",ABS(O66-Components!$C$3))</f>
        <v>1.4000000000002011E-2</v>
      </c>
      <c r="R66" s="89">
        <f>IF(G66="","",ABS(O66-Components!$C$4))</f>
        <v>3.0566666666666684</v>
      </c>
      <c r="S66" s="89">
        <f>IF(G66="","",ABS(O66-Components!$C$5))</f>
        <v>0.51266666666666882</v>
      </c>
      <c r="T66" s="89">
        <f>IF(G66="","",ABS(O66-Components!$C$6))</f>
        <v>2.8943333333333316</v>
      </c>
      <c r="U66" s="89">
        <f>IF(G66="","",ABS(O66-Components!$C$7))</f>
        <v>2.6756666666666717</v>
      </c>
      <c r="V66" s="89" t="str">
        <f>IF(G66="","",IF(M66="OK","NONE",INDEX({"S1","S2","W1","W2","N1","N2"},MATCH(MIN(P66:U66),P66:U66,0))))</f>
        <v>S2</v>
      </c>
      <c r="W66" s="139">
        <f t="shared" si="7"/>
        <v>1</v>
      </c>
      <c r="X66" s="125"/>
    </row>
    <row r="67" spans="1:24" ht="15.75">
      <c r="A67" s="115">
        <v>53</v>
      </c>
      <c r="B67" s="135">
        <f>'Runs Z-Score'!B55</f>
        <v>2</v>
      </c>
      <c r="C67" s="89" t="str">
        <f>'Runs Z-Score'!C55</f>
        <v>R3</v>
      </c>
      <c r="D67" s="89" t="str">
        <f>'Runs Z-Score'!D55</f>
        <v>NG</v>
      </c>
      <c r="E67" s="89" t="str">
        <f>'Runs Z-Score'!E55</f>
        <v>S2</v>
      </c>
      <c r="F67" s="89">
        <f>'Runs Z-Score'!F55</f>
        <v>5.78</v>
      </c>
      <c r="G67" s="89">
        <f t="shared" si="0"/>
        <v>6.75</v>
      </c>
      <c r="H67" s="89">
        <f>VLOOKUP(C67,Recipes!$A$2:$N$4,10,FALSE())</f>
        <v>10.940000000000001</v>
      </c>
      <c r="I67" s="89">
        <f>VLOOKUP(C67,Recipes!$A$2:$N$4,12,FALSE())</f>
        <v>5.2703573566378441E-2</v>
      </c>
      <c r="J67" s="89">
        <f t="shared" si="2"/>
        <v>6320.4488179527279</v>
      </c>
      <c r="K67" s="89">
        <f t="shared" si="3"/>
        <v>6320.3821512860613</v>
      </c>
      <c r="L67" s="89">
        <f t="shared" si="4"/>
        <v>79.50083113581934</v>
      </c>
      <c r="M67" s="89" t="str">
        <f t="shared" si="5"/>
        <v>NG</v>
      </c>
      <c r="N67" s="117">
        <f t="shared" si="6"/>
        <v>1</v>
      </c>
      <c r="O67" s="89">
        <f t="shared" si="1"/>
        <v>4.1900000000000013</v>
      </c>
      <c r="P67" s="89">
        <f>IF(G67="","",ABS(O67-Components!$C$2))</f>
        <v>1.4366666666666714</v>
      </c>
      <c r="Q67" s="89">
        <f>IF(G67="","",ABS(O67-Components!$C$3))</f>
        <v>0.15400000000000169</v>
      </c>
      <c r="R67" s="89">
        <f>IF(G67="","",ABS(O67-Components!$C$4))</f>
        <v>3.1966666666666681</v>
      </c>
      <c r="S67" s="89">
        <f>IF(G67="","",ABS(O67-Components!$C$5))</f>
        <v>0.37266666666666914</v>
      </c>
      <c r="T67" s="89">
        <f>IF(G67="","",ABS(O67-Components!$C$6))</f>
        <v>3.0343333333333313</v>
      </c>
      <c r="U67" s="89">
        <f>IF(G67="","",ABS(O67-Components!$C$7))</f>
        <v>2.8156666666666714</v>
      </c>
      <c r="V67" s="89" t="str">
        <f>IF(G67="","",IF(M67="OK","NONE",INDEX({"S1","S2","W1","W2","N1","N2"},MATCH(MIN(P67:U67),P67:U67,0))))</f>
        <v>S2</v>
      </c>
      <c r="W67" s="139">
        <f t="shared" si="7"/>
        <v>1</v>
      </c>
      <c r="X67" s="125"/>
    </row>
    <row r="68" spans="1:24" ht="15.75">
      <c r="A68" s="115">
        <v>54</v>
      </c>
      <c r="B68" s="135">
        <f>'Runs Z-Score'!B56</f>
        <v>2</v>
      </c>
      <c r="C68" s="89" t="str">
        <f>'Runs Z-Score'!C56</f>
        <v>R3</v>
      </c>
      <c r="D68" s="89" t="str">
        <f>'Runs Z-Score'!D56</f>
        <v>NG</v>
      </c>
      <c r="E68" s="89" t="str">
        <f>'Runs Z-Score'!E56</f>
        <v>S2</v>
      </c>
      <c r="F68" s="89">
        <f>'Runs Z-Score'!F56</f>
        <v>5.95</v>
      </c>
      <c r="G68" s="89">
        <f t="shared" si="0"/>
        <v>6.92</v>
      </c>
      <c r="H68" s="89">
        <f>VLOOKUP(C68,Recipes!$A$2:$N$4,10,FALSE())</f>
        <v>10.940000000000001</v>
      </c>
      <c r="I68" s="89">
        <f>VLOOKUP(C68,Recipes!$A$2:$N$4,12,FALSE())</f>
        <v>5.2703573566378441E-2</v>
      </c>
      <c r="J68" s="89">
        <f t="shared" si="2"/>
        <v>5817.9767190687708</v>
      </c>
      <c r="K68" s="89">
        <f t="shared" si="3"/>
        <v>5817.9100524021042</v>
      </c>
      <c r="L68" s="89">
        <f t="shared" si="4"/>
        <v>76.275225679129292</v>
      </c>
      <c r="M68" s="89" t="str">
        <f t="shared" si="5"/>
        <v>NG</v>
      </c>
      <c r="N68" s="117">
        <f t="shared" si="6"/>
        <v>1</v>
      </c>
      <c r="O68" s="89">
        <f t="shared" si="1"/>
        <v>4.0200000000000014</v>
      </c>
      <c r="P68" s="89">
        <f>IF(G68="","",ABS(O68-Components!$C$2))</f>
        <v>1.2666666666666715</v>
      </c>
      <c r="Q68" s="89">
        <f>IF(G68="","",ABS(O68-Components!$C$3))</f>
        <v>1.5999999999998238E-2</v>
      </c>
      <c r="R68" s="89">
        <f>IF(G68="","",ABS(O68-Components!$C$4))</f>
        <v>3.0266666666666682</v>
      </c>
      <c r="S68" s="89">
        <f>IF(G68="","",ABS(O68-Components!$C$5))</f>
        <v>0.54266666666666907</v>
      </c>
      <c r="T68" s="89">
        <f>IF(G68="","",ABS(O68-Components!$C$6))</f>
        <v>2.8643333333333314</v>
      </c>
      <c r="U68" s="89">
        <f>IF(G68="","",ABS(O68-Components!$C$7))</f>
        <v>2.6456666666666715</v>
      </c>
      <c r="V68" s="89" t="str">
        <f>IF(G68="","",IF(M68="OK","NONE",INDEX({"S1","S2","W1","W2","N1","N2"},MATCH(MIN(P68:U68),P68:U68,0))))</f>
        <v>S2</v>
      </c>
      <c r="W68" s="139">
        <f t="shared" si="7"/>
        <v>1</v>
      </c>
      <c r="X68" s="125"/>
    </row>
    <row r="69" spans="1:24" ht="15.75">
      <c r="A69" s="115">
        <v>55</v>
      </c>
      <c r="B69" s="135">
        <f>'Runs Z-Score'!B57</f>
        <v>2</v>
      </c>
      <c r="C69" s="89" t="str">
        <f>'Runs Z-Score'!C57</f>
        <v>R3</v>
      </c>
      <c r="D69" s="89" t="str">
        <f>'Runs Z-Score'!D57</f>
        <v>NG</v>
      </c>
      <c r="E69" s="89" t="str">
        <f>'Runs Z-Score'!E57</f>
        <v>S2</v>
      </c>
      <c r="F69" s="89">
        <f>'Runs Z-Score'!F57</f>
        <v>5.92</v>
      </c>
      <c r="G69" s="89">
        <f t="shared" si="0"/>
        <v>6.89</v>
      </c>
      <c r="H69" s="89">
        <f>VLOOKUP(C69,Recipes!$A$2:$N$4,10,FALSE())</f>
        <v>10.940000000000001</v>
      </c>
      <c r="I69" s="89">
        <f>VLOOKUP(C69,Recipes!$A$2:$N$4,12,FALSE())</f>
        <v>5.2703573566378441E-2</v>
      </c>
      <c r="J69" s="89">
        <f t="shared" si="2"/>
        <v>5905.1362054482288</v>
      </c>
      <c r="K69" s="89">
        <f t="shared" si="3"/>
        <v>5905.0695387815622</v>
      </c>
      <c r="L69" s="89">
        <f t="shared" si="4"/>
        <v>76.844450279649749</v>
      </c>
      <c r="M69" s="89" t="str">
        <f t="shared" si="5"/>
        <v>NG</v>
      </c>
      <c r="N69" s="117">
        <f t="shared" si="6"/>
        <v>1</v>
      </c>
      <c r="O69" s="89">
        <f t="shared" si="1"/>
        <v>4.0500000000000016</v>
      </c>
      <c r="P69" s="89">
        <f>IF(G69="","",ABS(O69-Components!$C$2))</f>
        <v>1.2966666666666717</v>
      </c>
      <c r="Q69" s="89">
        <f>IF(G69="","",ABS(O69-Components!$C$3))</f>
        <v>1.4000000000002011E-2</v>
      </c>
      <c r="R69" s="89">
        <f>IF(G69="","",ABS(O69-Components!$C$4))</f>
        <v>3.0566666666666684</v>
      </c>
      <c r="S69" s="89">
        <f>IF(G69="","",ABS(O69-Components!$C$5))</f>
        <v>0.51266666666666882</v>
      </c>
      <c r="T69" s="89">
        <f>IF(G69="","",ABS(O69-Components!$C$6))</f>
        <v>2.8943333333333316</v>
      </c>
      <c r="U69" s="89">
        <f>IF(G69="","",ABS(O69-Components!$C$7))</f>
        <v>2.6756666666666717</v>
      </c>
      <c r="V69" s="89" t="str">
        <f>IF(G69="","",IF(M69="OK","NONE",INDEX({"S1","S2","W1","W2","N1","N2"},MATCH(MIN(P69:U69),P69:U69,0))))</f>
        <v>S2</v>
      </c>
      <c r="W69" s="139">
        <f t="shared" si="7"/>
        <v>1</v>
      </c>
      <c r="X69" s="125"/>
    </row>
    <row r="70" spans="1:24" ht="15.75">
      <c r="A70" s="115">
        <v>56</v>
      </c>
      <c r="B70" s="135">
        <f>'Runs Z-Score'!B58</f>
        <v>2</v>
      </c>
      <c r="C70" s="89" t="str">
        <f>'Runs Z-Score'!C58</f>
        <v>R3</v>
      </c>
      <c r="D70" s="89" t="str">
        <f>'Runs Z-Score'!D58</f>
        <v>NG</v>
      </c>
      <c r="E70" s="89" t="str">
        <f>'Runs Z-Score'!E58</f>
        <v>S2</v>
      </c>
      <c r="F70" s="89">
        <f>'Runs Z-Score'!F58</f>
        <v>5.94</v>
      </c>
      <c r="G70" s="89">
        <f t="shared" si="0"/>
        <v>6.91</v>
      </c>
      <c r="H70" s="89">
        <f>VLOOKUP(C70,Recipes!$A$2:$N$4,10,FALSE())</f>
        <v>10.940000000000001</v>
      </c>
      <c r="I70" s="89">
        <f>VLOOKUP(C70,Recipes!$A$2:$N$4,12,FALSE())</f>
        <v>5.2703573566378441E-2</v>
      </c>
      <c r="J70" s="89">
        <f t="shared" si="2"/>
        <v>5846.9578783151401</v>
      </c>
      <c r="K70" s="89">
        <f t="shared" si="3"/>
        <v>5846.8912116484735</v>
      </c>
      <c r="L70" s="89">
        <f t="shared" si="4"/>
        <v>76.46496721799123</v>
      </c>
      <c r="M70" s="89" t="str">
        <f t="shared" si="5"/>
        <v>NG</v>
      </c>
      <c r="N70" s="117">
        <f t="shared" si="6"/>
        <v>1</v>
      </c>
      <c r="O70" s="89">
        <f t="shared" si="1"/>
        <v>4.0300000000000011</v>
      </c>
      <c r="P70" s="89">
        <f>IF(G70="","",ABS(O70-Components!$C$2))</f>
        <v>1.2766666666666713</v>
      </c>
      <c r="Q70" s="89">
        <f>IF(G70="","",ABS(O70-Components!$C$3))</f>
        <v>5.999999999998451E-3</v>
      </c>
      <c r="R70" s="89">
        <f>IF(G70="","",ABS(O70-Components!$C$4))</f>
        <v>3.036666666666668</v>
      </c>
      <c r="S70" s="89">
        <f>IF(G70="","",ABS(O70-Components!$C$5))</f>
        <v>0.53266666666666929</v>
      </c>
      <c r="T70" s="89">
        <f>IF(G70="","",ABS(O70-Components!$C$6))</f>
        <v>2.8743333333333312</v>
      </c>
      <c r="U70" s="89">
        <f>IF(G70="","",ABS(O70-Components!$C$7))</f>
        <v>2.6556666666666713</v>
      </c>
      <c r="V70" s="89" t="str">
        <f>IF(G70="","",IF(M70="OK","NONE",INDEX({"S1","S2","W1","W2","N1","N2"},MATCH(MIN(P70:U70),P70:U70,0))))</f>
        <v>S2</v>
      </c>
      <c r="W70" s="139">
        <f t="shared" si="7"/>
        <v>1</v>
      </c>
      <c r="X70" s="125"/>
    </row>
    <row r="71" spans="1:24" ht="15.75">
      <c r="A71" s="115">
        <v>57</v>
      </c>
      <c r="B71" s="135">
        <f>'Runs Z-Score'!B59</f>
        <v>2</v>
      </c>
      <c r="C71" s="89" t="str">
        <f>'Runs Z-Score'!C59</f>
        <v>R3</v>
      </c>
      <c r="D71" s="89" t="str">
        <f>'Runs Z-Score'!D59</f>
        <v>NG</v>
      </c>
      <c r="E71" s="89" t="str">
        <f>'Runs Z-Score'!E59</f>
        <v>S2</v>
      </c>
      <c r="F71" s="89">
        <f>'Runs Z-Score'!F59</f>
        <v>5.9</v>
      </c>
      <c r="G71" s="89">
        <f t="shared" si="0"/>
        <v>6.87</v>
      </c>
      <c r="H71" s="89">
        <f>VLOOKUP(C71,Recipes!$A$2:$N$4,10,FALSE())</f>
        <v>10.940000000000001</v>
      </c>
      <c r="I71" s="89">
        <f>VLOOKUP(C71,Recipes!$A$2:$N$4,12,FALSE())</f>
        <v>5.2703573566378441E-2</v>
      </c>
      <c r="J71" s="89">
        <f t="shared" si="2"/>
        <v>5963.6025441017719</v>
      </c>
      <c r="K71" s="89">
        <f t="shared" si="3"/>
        <v>5963.5358774351052</v>
      </c>
      <c r="L71" s="89">
        <f t="shared" si="4"/>
        <v>77.223933320150849</v>
      </c>
      <c r="M71" s="89" t="str">
        <f t="shared" si="5"/>
        <v>NG</v>
      </c>
      <c r="N71" s="117">
        <f t="shared" si="6"/>
        <v>1</v>
      </c>
      <c r="O71" s="89">
        <f t="shared" si="1"/>
        <v>4.0700000000000012</v>
      </c>
      <c r="P71" s="89">
        <f>IF(G71="","",ABS(O71-Components!$C$2))</f>
        <v>1.3166666666666713</v>
      </c>
      <c r="Q71" s="89">
        <f>IF(G71="","",ABS(O71-Components!$C$3))</f>
        <v>3.4000000000001585E-2</v>
      </c>
      <c r="R71" s="89">
        <f>IF(G71="","",ABS(O71-Components!$C$4))</f>
        <v>3.076666666666668</v>
      </c>
      <c r="S71" s="89">
        <f>IF(G71="","",ABS(O71-Components!$C$5))</f>
        <v>0.49266666666666925</v>
      </c>
      <c r="T71" s="89">
        <f>IF(G71="","",ABS(O71-Components!$C$6))</f>
        <v>2.9143333333333312</v>
      </c>
      <c r="U71" s="89">
        <f>IF(G71="","",ABS(O71-Components!$C$7))</f>
        <v>2.6956666666666713</v>
      </c>
      <c r="V71" s="89" t="str">
        <f>IF(G71="","",IF(M71="OK","NONE",INDEX({"S1","S2","W1","W2","N1","N2"},MATCH(MIN(P71:U71),P71:U71,0))))</f>
        <v>S2</v>
      </c>
      <c r="W71" s="139">
        <f t="shared" si="7"/>
        <v>1</v>
      </c>
      <c r="X71" s="125"/>
    </row>
    <row r="72" spans="1:24" ht="15.75">
      <c r="A72" s="115">
        <v>58</v>
      </c>
      <c r="B72" s="135">
        <f>'Runs Z-Score'!B60</f>
        <v>2</v>
      </c>
      <c r="C72" s="89" t="str">
        <f>'Runs Z-Score'!C60</f>
        <v>R3</v>
      </c>
      <c r="D72" s="89" t="str">
        <f>'Runs Z-Score'!D60</f>
        <v>NG</v>
      </c>
      <c r="E72" s="89" t="str">
        <f>'Runs Z-Score'!E60</f>
        <v>S2</v>
      </c>
      <c r="F72" s="89">
        <f>'Runs Z-Score'!F60</f>
        <v>5.92</v>
      </c>
      <c r="G72" s="89">
        <f t="shared" si="0"/>
        <v>6.89</v>
      </c>
      <c r="H72" s="89">
        <f>VLOOKUP(C72,Recipes!$A$2:$N$4,10,FALSE())</f>
        <v>10.940000000000001</v>
      </c>
      <c r="I72" s="89">
        <f>VLOOKUP(C72,Recipes!$A$2:$N$4,12,FALSE())</f>
        <v>5.2703573566378441E-2</v>
      </c>
      <c r="J72" s="89">
        <f t="shared" si="2"/>
        <v>5905.1362054482288</v>
      </c>
      <c r="K72" s="89">
        <f t="shared" si="3"/>
        <v>5905.0695387815622</v>
      </c>
      <c r="L72" s="89">
        <f t="shared" si="4"/>
        <v>76.844450279649749</v>
      </c>
      <c r="M72" s="89" t="str">
        <f t="shared" si="5"/>
        <v>NG</v>
      </c>
      <c r="N72" s="117">
        <f t="shared" si="6"/>
        <v>1</v>
      </c>
      <c r="O72" s="89">
        <f t="shared" si="1"/>
        <v>4.0500000000000016</v>
      </c>
      <c r="P72" s="89">
        <f>IF(G72="","",ABS(O72-Components!$C$2))</f>
        <v>1.2966666666666717</v>
      </c>
      <c r="Q72" s="89">
        <f>IF(G72="","",ABS(O72-Components!$C$3))</f>
        <v>1.4000000000002011E-2</v>
      </c>
      <c r="R72" s="89">
        <f>IF(G72="","",ABS(O72-Components!$C$4))</f>
        <v>3.0566666666666684</v>
      </c>
      <c r="S72" s="89">
        <f>IF(G72="","",ABS(O72-Components!$C$5))</f>
        <v>0.51266666666666882</v>
      </c>
      <c r="T72" s="89">
        <f>IF(G72="","",ABS(O72-Components!$C$6))</f>
        <v>2.8943333333333316</v>
      </c>
      <c r="U72" s="89">
        <f>IF(G72="","",ABS(O72-Components!$C$7))</f>
        <v>2.6756666666666717</v>
      </c>
      <c r="V72" s="89" t="str">
        <f>IF(G72="","",IF(M72="OK","NONE",INDEX({"S1","S2","W1","W2","N1","N2"},MATCH(MIN(P72:U72),P72:U72,0))))</f>
        <v>S2</v>
      </c>
      <c r="W72" s="139">
        <f t="shared" si="7"/>
        <v>1</v>
      </c>
      <c r="X72" s="125"/>
    </row>
    <row r="73" spans="1:24" ht="15.75">
      <c r="A73" s="115">
        <v>59</v>
      </c>
      <c r="B73" s="135">
        <f>'Runs Z-Score'!B61</f>
        <v>2</v>
      </c>
      <c r="C73" s="89" t="str">
        <f>'Runs Z-Score'!C61</f>
        <v>R3</v>
      </c>
      <c r="D73" s="89" t="str">
        <f>'Runs Z-Score'!D61</f>
        <v>NG</v>
      </c>
      <c r="E73" s="89" t="str">
        <f>'Runs Z-Score'!E61</f>
        <v>S2</v>
      </c>
      <c r="F73" s="89">
        <f>'Runs Z-Score'!F61</f>
        <v>5.4</v>
      </c>
      <c r="G73" s="89">
        <f t="shared" si="0"/>
        <v>6.37</v>
      </c>
      <c r="H73" s="89">
        <f>VLOOKUP(C73,Recipes!$A$2:$N$4,10,FALSE())</f>
        <v>10.940000000000001</v>
      </c>
      <c r="I73" s="89">
        <f>VLOOKUP(C73,Recipes!$A$2:$N$4,12,FALSE())</f>
        <v>5.2703573566378441E-2</v>
      </c>
      <c r="J73" s="89">
        <f t="shared" si="2"/>
        <v>7518.864754590194</v>
      </c>
      <c r="K73" s="89">
        <f t="shared" si="3"/>
        <v>7518.7980879235274</v>
      </c>
      <c r="L73" s="89">
        <f t="shared" si="4"/>
        <v>86.711003269040361</v>
      </c>
      <c r="M73" s="89" t="str">
        <f t="shared" si="5"/>
        <v>NG</v>
      </c>
      <c r="N73" s="117">
        <f t="shared" si="6"/>
        <v>1</v>
      </c>
      <c r="O73" s="89">
        <f t="shared" si="1"/>
        <v>4.5700000000000012</v>
      </c>
      <c r="P73" s="89">
        <f>IF(G73="","",ABS(O73-Components!$C$2))</f>
        <v>1.8166666666666713</v>
      </c>
      <c r="Q73" s="89">
        <f>IF(G73="","",ABS(O73-Components!$C$3))</f>
        <v>0.53400000000000158</v>
      </c>
      <c r="R73" s="89">
        <f>IF(G73="","",ABS(O73-Components!$C$4))</f>
        <v>3.576666666666668</v>
      </c>
      <c r="S73" s="89">
        <f>IF(G73="","",ABS(O73-Components!$C$5))</f>
        <v>7.3333333333307493E-3</v>
      </c>
      <c r="T73" s="89">
        <f>IF(G73="","",ABS(O73-Components!$C$6))</f>
        <v>3.4143333333333312</v>
      </c>
      <c r="U73" s="89">
        <f>IF(G73="","",ABS(O73-Components!$C$7))</f>
        <v>3.1956666666666713</v>
      </c>
      <c r="V73" s="89" t="str">
        <f>IF(G73="","",IF(M73="OK","NONE",INDEX({"S1","S2","W1","W2","N1","N2"},MATCH(MIN(P73:U73),P73:U73,0))))</f>
        <v>W2</v>
      </c>
      <c r="W73" s="140">
        <f t="shared" si="7"/>
        <v>0</v>
      </c>
      <c r="X73" s="125"/>
    </row>
    <row r="74" spans="1:24" ht="15.75">
      <c r="A74" s="115">
        <v>60</v>
      </c>
      <c r="B74" s="135">
        <f>'Runs Z-Score'!B62</f>
        <v>2</v>
      </c>
      <c r="C74" s="89" t="str">
        <f>'Runs Z-Score'!C62</f>
        <v>R3</v>
      </c>
      <c r="D74" s="89" t="str">
        <f>'Runs Z-Score'!D62</f>
        <v>NG</v>
      </c>
      <c r="E74" s="89" t="str">
        <f>'Runs Z-Score'!E62</f>
        <v>S2</v>
      </c>
      <c r="F74" s="89">
        <f>'Runs Z-Score'!F62</f>
        <v>5.8</v>
      </c>
      <c r="G74" s="89">
        <f t="shared" si="0"/>
        <v>6.77</v>
      </c>
      <c r="H74" s="89">
        <f>VLOOKUP(C74,Recipes!$A$2:$N$4,10,FALSE())</f>
        <v>10.940000000000001</v>
      </c>
      <c r="I74" s="89">
        <f>VLOOKUP(C74,Recipes!$A$2:$N$4,12,FALSE())</f>
        <v>5.2703573566378441E-2</v>
      </c>
      <c r="J74" s="89">
        <f t="shared" si="2"/>
        <v>6260.2544101764179</v>
      </c>
      <c r="K74" s="89">
        <f t="shared" si="3"/>
        <v>6260.1877435097513</v>
      </c>
      <c r="L74" s="89">
        <f t="shared" si="4"/>
        <v>79.12134821595086</v>
      </c>
      <c r="M74" s="89" t="str">
        <f t="shared" si="5"/>
        <v>NG</v>
      </c>
      <c r="N74" s="117">
        <f t="shared" si="6"/>
        <v>1</v>
      </c>
      <c r="O74" s="89">
        <f t="shared" si="1"/>
        <v>4.1700000000000017</v>
      </c>
      <c r="P74" s="89">
        <f>IF(G74="","",ABS(O74-Components!$C$2))</f>
        <v>1.4166666666666718</v>
      </c>
      <c r="Q74" s="89">
        <f>IF(G74="","",ABS(O74-Components!$C$3))</f>
        <v>0.13400000000000212</v>
      </c>
      <c r="R74" s="89">
        <f>IF(G74="","",ABS(O74-Components!$C$4))</f>
        <v>3.1766666666666685</v>
      </c>
      <c r="S74" s="89">
        <f>IF(G74="","",ABS(O74-Components!$C$5))</f>
        <v>0.39266666666666872</v>
      </c>
      <c r="T74" s="89">
        <f>IF(G74="","",ABS(O74-Components!$C$6))</f>
        <v>3.0143333333333318</v>
      </c>
      <c r="U74" s="89">
        <f>IF(G74="","",ABS(O74-Components!$C$7))</f>
        <v>2.7956666666666719</v>
      </c>
      <c r="V74" s="89" t="str">
        <f>IF(G74="","",IF(M74="OK","NONE",INDEX({"S1","S2","W1","W2","N1","N2"},MATCH(MIN(P74:U74),P74:U74,0))))</f>
        <v>S2</v>
      </c>
      <c r="W74" s="139">
        <f t="shared" si="7"/>
        <v>1</v>
      </c>
      <c r="X74" s="125"/>
    </row>
    <row r="75" spans="1:24" ht="15.75">
      <c r="A75" s="115">
        <v>61</v>
      </c>
      <c r="B75" s="135">
        <f>'Runs Z-Score'!B63</f>
        <v>3</v>
      </c>
      <c r="C75" s="89" t="str">
        <f>'Runs Z-Score'!C63</f>
        <v>R3</v>
      </c>
      <c r="D75" s="89" t="str">
        <f>'Runs Z-Score'!D63</f>
        <v>NG</v>
      </c>
      <c r="E75" s="89" t="str">
        <f>'Runs Z-Score'!E63</f>
        <v>W2</v>
      </c>
      <c r="F75" s="89">
        <f>'Runs Z-Score'!F63</f>
        <v>5.4</v>
      </c>
      <c r="G75" s="89">
        <f t="shared" si="0"/>
        <v>6.37</v>
      </c>
      <c r="H75" s="89">
        <f>VLOOKUP(C75,Recipes!$A$2:$N$4,10,FALSE())</f>
        <v>10.940000000000001</v>
      </c>
      <c r="I75" s="89">
        <f>VLOOKUP(C75,Recipes!$A$2:$N$4,12,FALSE())</f>
        <v>5.2703573566378441E-2</v>
      </c>
      <c r="J75" s="89">
        <f t="shared" si="2"/>
        <v>7518.864754590194</v>
      </c>
      <c r="K75" s="89">
        <f t="shared" si="3"/>
        <v>7518.7980879235274</v>
      </c>
      <c r="L75" s="89">
        <f t="shared" si="4"/>
        <v>86.711003269040361</v>
      </c>
      <c r="M75" s="89" t="str">
        <f t="shared" si="5"/>
        <v>NG</v>
      </c>
      <c r="N75" s="117">
        <f t="shared" si="6"/>
        <v>1</v>
      </c>
      <c r="O75" s="89">
        <f t="shared" si="1"/>
        <v>4.5700000000000012</v>
      </c>
      <c r="P75" s="89">
        <f>IF(G75="","",ABS(O75-Components!$C$2))</f>
        <v>1.8166666666666713</v>
      </c>
      <c r="Q75" s="89">
        <f>IF(G75="","",ABS(O75-Components!$C$3))</f>
        <v>0.53400000000000158</v>
      </c>
      <c r="R75" s="89">
        <f>IF(G75="","",ABS(O75-Components!$C$4))</f>
        <v>3.576666666666668</v>
      </c>
      <c r="S75" s="89">
        <f>IF(G75="","",ABS(O75-Components!$C$5))</f>
        <v>7.3333333333307493E-3</v>
      </c>
      <c r="T75" s="89">
        <f>IF(G75="","",ABS(O75-Components!$C$6))</f>
        <v>3.4143333333333312</v>
      </c>
      <c r="U75" s="89">
        <f>IF(G75="","",ABS(O75-Components!$C$7))</f>
        <v>3.1956666666666713</v>
      </c>
      <c r="V75" s="89" t="str">
        <f>IF(G75="","",IF(M75="OK","NONE",INDEX({"S1","S2","W1","W2","N1","N2"},MATCH(MIN(P75:U75),P75:U75,0))))</f>
        <v>W2</v>
      </c>
      <c r="W75" s="139">
        <f t="shared" si="7"/>
        <v>1</v>
      </c>
      <c r="X75" s="125"/>
    </row>
    <row r="76" spans="1:24" ht="15.75">
      <c r="A76" s="115">
        <v>62</v>
      </c>
      <c r="B76" s="135">
        <f>'Runs Z-Score'!B64</f>
        <v>3</v>
      </c>
      <c r="C76" s="89" t="str">
        <f>'Runs Z-Score'!C64</f>
        <v>R3</v>
      </c>
      <c r="D76" s="89" t="str">
        <f>'Runs Z-Score'!D64</f>
        <v>NG</v>
      </c>
      <c r="E76" s="89" t="str">
        <f>'Runs Z-Score'!E64</f>
        <v>W2</v>
      </c>
      <c r="F76" s="89">
        <f>'Runs Z-Score'!F64</f>
        <v>5.45</v>
      </c>
      <c r="G76" s="89">
        <f t="shared" si="0"/>
        <v>6.42</v>
      </c>
      <c r="H76" s="89">
        <f>VLOOKUP(C76,Recipes!$A$2:$N$4,10,FALSE())</f>
        <v>10.940000000000001</v>
      </c>
      <c r="I76" s="89">
        <f>VLOOKUP(C76,Recipes!$A$2:$N$4,12,FALSE())</f>
        <v>5.2703573566378441E-2</v>
      </c>
      <c r="J76" s="89">
        <f t="shared" si="2"/>
        <v>7355.238209528392</v>
      </c>
      <c r="K76" s="89">
        <f t="shared" si="3"/>
        <v>7355.1715428617254</v>
      </c>
      <c r="L76" s="89">
        <f t="shared" si="4"/>
        <v>85.762296744325383</v>
      </c>
      <c r="M76" s="89" t="str">
        <f t="shared" si="5"/>
        <v>NG</v>
      </c>
      <c r="N76" s="117">
        <f t="shared" si="6"/>
        <v>1</v>
      </c>
      <c r="O76" s="89">
        <f t="shared" si="1"/>
        <v>4.5200000000000014</v>
      </c>
      <c r="P76" s="89">
        <f>IF(G76="","",ABS(O76-Components!$C$2))</f>
        <v>1.7666666666666715</v>
      </c>
      <c r="Q76" s="89">
        <f>IF(G76="","",ABS(O76-Components!$C$3))</f>
        <v>0.48400000000000176</v>
      </c>
      <c r="R76" s="89">
        <f>IF(G76="","",ABS(O76-Components!$C$4))</f>
        <v>3.5266666666666682</v>
      </c>
      <c r="S76" s="89">
        <f>IF(G76="","",ABS(O76-Components!$C$5))</f>
        <v>4.2666666666669073E-2</v>
      </c>
      <c r="T76" s="89">
        <f>IF(G76="","",ABS(O76-Components!$C$6))</f>
        <v>3.3643333333333314</v>
      </c>
      <c r="U76" s="89">
        <f>IF(G76="","",ABS(O76-Components!$C$7))</f>
        <v>3.1456666666666715</v>
      </c>
      <c r="V76" s="89" t="str">
        <f>IF(G76="","",IF(M76="OK","NONE",INDEX({"S1","S2","W1","W2","N1","N2"},MATCH(MIN(P76:U76),P76:U76,0))))</f>
        <v>W2</v>
      </c>
      <c r="W76" s="139">
        <f t="shared" si="7"/>
        <v>1</v>
      </c>
      <c r="X76" s="125"/>
    </row>
    <row r="77" spans="1:24" ht="15.75">
      <c r="A77" s="115">
        <v>63</v>
      </c>
      <c r="B77" s="135">
        <f>'Runs Z-Score'!B65</f>
        <v>3</v>
      </c>
      <c r="C77" s="89" t="str">
        <f>'Runs Z-Score'!C65</f>
        <v>R3</v>
      </c>
      <c r="D77" s="89" t="str">
        <f>'Runs Z-Score'!D65</f>
        <v>NG</v>
      </c>
      <c r="E77" s="89" t="str">
        <f>'Runs Z-Score'!E65</f>
        <v>W2</v>
      </c>
      <c r="F77" s="89">
        <f>'Runs Z-Score'!F65</f>
        <v>5.42</v>
      </c>
      <c r="G77" s="89">
        <f t="shared" si="0"/>
        <v>6.39</v>
      </c>
      <c r="H77" s="89">
        <f>VLOOKUP(C77,Recipes!$A$2:$N$4,10,FALSE())</f>
        <v>10.940000000000001</v>
      </c>
      <c r="I77" s="89">
        <f>VLOOKUP(C77,Recipes!$A$2:$N$4,12,FALSE())</f>
        <v>5.2703573566378441E-2</v>
      </c>
      <c r="J77" s="89">
        <f t="shared" si="2"/>
        <v>7453.1981279251286</v>
      </c>
      <c r="K77" s="89">
        <f t="shared" si="3"/>
        <v>7453.131461258462</v>
      </c>
      <c r="L77" s="89">
        <f t="shared" si="4"/>
        <v>86.331520670369656</v>
      </c>
      <c r="M77" s="89" t="str">
        <f t="shared" si="5"/>
        <v>NG</v>
      </c>
      <c r="N77" s="117">
        <f t="shared" si="6"/>
        <v>1</v>
      </c>
      <c r="O77" s="89">
        <f t="shared" si="1"/>
        <v>4.5500000000000016</v>
      </c>
      <c r="P77" s="89">
        <f>IF(G77="","",ABS(O77-Components!$C$2))</f>
        <v>1.7966666666666717</v>
      </c>
      <c r="Q77" s="89">
        <f>IF(G77="","",ABS(O77-Components!$C$3))</f>
        <v>0.51400000000000201</v>
      </c>
      <c r="R77" s="89">
        <f>IF(G77="","",ABS(O77-Components!$C$4))</f>
        <v>3.5566666666666684</v>
      </c>
      <c r="S77" s="89">
        <f>IF(G77="","",ABS(O77-Components!$C$5))</f>
        <v>1.2666666666668824E-2</v>
      </c>
      <c r="T77" s="89">
        <f>IF(G77="","",ABS(O77-Components!$C$6))</f>
        <v>3.3943333333333316</v>
      </c>
      <c r="U77" s="89">
        <f>IF(G77="","",ABS(O77-Components!$C$7))</f>
        <v>3.1756666666666717</v>
      </c>
      <c r="V77" s="89" t="str">
        <f>IF(G77="","",IF(M77="OK","NONE",INDEX({"S1","S2","W1","W2","N1","N2"},MATCH(MIN(P77:U77),P77:U77,0))))</f>
        <v>W2</v>
      </c>
      <c r="W77" s="139">
        <f t="shared" si="7"/>
        <v>1</v>
      </c>
      <c r="X77" s="125"/>
    </row>
    <row r="78" spans="1:24" ht="15.75">
      <c r="A78" s="115">
        <v>64</v>
      </c>
      <c r="B78" s="135">
        <f>'Runs Z-Score'!B66</f>
        <v>3</v>
      </c>
      <c r="C78" s="89" t="str">
        <f>'Runs Z-Score'!C66</f>
        <v>R3</v>
      </c>
      <c r="D78" s="89" t="str">
        <f>'Runs Z-Score'!D66</f>
        <v>NG</v>
      </c>
      <c r="E78" s="89" t="str">
        <f>'Runs Z-Score'!E66</f>
        <v>W2</v>
      </c>
      <c r="F78" s="89">
        <f>'Runs Z-Score'!F66</f>
        <v>5.42</v>
      </c>
      <c r="G78" s="89">
        <f t="shared" si="0"/>
        <v>6.39</v>
      </c>
      <c r="H78" s="89">
        <f>VLOOKUP(C78,Recipes!$A$2:$N$4,10,FALSE())</f>
        <v>10.940000000000001</v>
      </c>
      <c r="I78" s="89">
        <f>VLOOKUP(C78,Recipes!$A$2:$N$4,12,FALSE())</f>
        <v>5.2703573566378441E-2</v>
      </c>
      <c r="J78" s="89">
        <f t="shared" si="2"/>
        <v>7453.1981279251286</v>
      </c>
      <c r="K78" s="89">
        <f t="shared" si="3"/>
        <v>7453.131461258462</v>
      </c>
      <c r="L78" s="89">
        <f t="shared" si="4"/>
        <v>86.331520670369656</v>
      </c>
      <c r="M78" s="89" t="str">
        <f t="shared" si="5"/>
        <v>NG</v>
      </c>
      <c r="N78" s="117">
        <f t="shared" si="6"/>
        <v>1</v>
      </c>
      <c r="O78" s="89">
        <f t="shared" si="1"/>
        <v>4.5500000000000016</v>
      </c>
      <c r="P78" s="89">
        <f>IF(G78="","",ABS(O78-Components!$C$2))</f>
        <v>1.7966666666666717</v>
      </c>
      <c r="Q78" s="89">
        <f>IF(G78="","",ABS(O78-Components!$C$3))</f>
        <v>0.51400000000000201</v>
      </c>
      <c r="R78" s="89">
        <f>IF(G78="","",ABS(O78-Components!$C$4))</f>
        <v>3.5566666666666684</v>
      </c>
      <c r="S78" s="89">
        <f>IF(G78="","",ABS(O78-Components!$C$5))</f>
        <v>1.2666666666668824E-2</v>
      </c>
      <c r="T78" s="89">
        <f>IF(G78="","",ABS(O78-Components!$C$6))</f>
        <v>3.3943333333333316</v>
      </c>
      <c r="U78" s="89">
        <f>IF(G78="","",ABS(O78-Components!$C$7))</f>
        <v>3.1756666666666717</v>
      </c>
      <c r="V78" s="89" t="str">
        <f>IF(G78="","",IF(M78="OK","NONE",INDEX({"S1","S2","W1","W2","N1","N2"},MATCH(MIN(P78:U78),P78:U78,0))))</f>
        <v>W2</v>
      </c>
      <c r="W78" s="139">
        <f t="shared" si="7"/>
        <v>1</v>
      </c>
      <c r="X78" s="125"/>
    </row>
    <row r="79" spans="1:24" ht="15.75">
      <c r="A79" s="115">
        <v>65</v>
      </c>
      <c r="B79" s="135">
        <f>'Runs Z-Score'!B67</f>
        <v>3</v>
      </c>
      <c r="C79" s="89" t="str">
        <f>'Runs Z-Score'!C67</f>
        <v>R3</v>
      </c>
      <c r="D79" s="89" t="str">
        <f>'Runs Z-Score'!D67</f>
        <v>NG</v>
      </c>
      <c r="E79" s="89" t="str">
        <f>'Runs Z-Score'!E67</f>
        <v>W2</v>
      </c>
      <c r="F79" s="89">
        <f>'Runs Z-Score'!F67</f>
        <v>5.42</v>
      </c>
      <c r="G79" s="89">
        <f t="shared" ref="G79:G142" si="8">0.97+F79</f>
        <v>6.39</v>
      </c>
      <c r="H79" s="89">
        <f>VLOOKUP(C79,Recipes!$A$2:$N$4,10,FALSE())</f>
        <v>10.940000000000001</v>
      </c>
      <c r="I79" s="89">
        <f>VLOOKUP(C79,Recipes!$A$2:$N$4,12,FALSE())</f>
        <v>5.2703573566378441E-2</v>
      </c>
      <c r="J79" s="89">
        <f t="shared" si="2"/>
        <v>7453.1981279251286</v>
      </c>
      <c r="K79" s="89">
        <f t="shared" si="3"/>
        <v>7453.131461258462</v>
      </c>
      <c r="L79" s="89">
        <f t="shared" si="4"/>
        <v>86.331520670369656</v>
      </c>
      <c r="M79" s="89" t="str">
        <f t="shared" si="5"/>
        <v>NG</v>
      </c>
      <c r="N79" s="117">
        <f t="shared" si="6"/>
        <v>1</v>
      </c>
      <c r="O79" s="89">
        <f t="shared" ref="O79:O142" si="9">IF(G79="","",H79-G79)</f>
        <v>4.5500000000000016</v>
      </c>
      <c r="P79" s="89">
        <f>IF(G79="","",ABS(O79-Components!$C$2))</f>
        <v>1.7966666666666717</v>
      </c>
      <c r="Q79" s="89">
        <f>IF(G79="","",ABS(O79-Components!$C$3))</f>
        <v>0.51400000000000201</v>
      </c>
      <c r="R79" s="89">
        <f>IF(G79="","",ABS(O79-Components!$C$4))</f>
        <v>3.5566666666666684</v>
      </c>
      <c r="S79" s="89">
        <f>IF(G79="","",ABS(O79-Components!$C$5))</f>
        <v>1.2666666666668824E-2</v>
      </c>
      <c r="T79" s="89">
        <f>IF(G79="","",ABS(O79-Components!$C$6))</f>
        <v>3.3943333333333316</v>
      </c>
      <c r="U79" s="89">
        <f>IF(G79="","",ABS(O79-Components!$C$7))</f>
        <v>3.1756666666666717</v>
      </c>
      <c r="V79" s="89" t="str">
        <f>IF(G79="","",IF(M79="OK","NONE",INDEX({"S1","S2","W1","W2","N1","N2"},MATCH(MIN(P79:U79),P79:U79,0))))</f>
        <v>W2</v>
      </c>
      <c r="W79" s="139">
        <f t="shared" si="7"/>
        <v>1</v>
      </c>
      <c r="X79" s="125"/>
    </row>
    <row r="80" spans="1:24" ht="15.75">
      <c r="A80" s="115">
        <v>66</v>
      </c>
      <c r="B80" s="135">
        <f>'Runs Z-Score'!B68</f>
        <v>3</v>
      </c>
      <c r="C80" s="89" t="str">
        <f>'Runs Z-Score'!C68</f>
        <v>R3</v>
      </c>
      <c r="D80" s="89" t="str">
        <f>'Runs Z-Score'!D68</f>
        <v>NG</v>
      </c>
      <c r="E80" s="89" t="str">
        <f>'Runs Z-Score'!E68</f>
        <v>W2</v>
      </c>
      <c r="F80" s="89">
        <f>'Runs Z-Score'!F68</f>
        <v>5.42</v>
      </c>
      <c r="G80" s="89">
        <f t="shared" si="8"/>
        <v>6.39</v>
      </c>
      <c r="H80" s="89">
        <f>VLOOKUP(C80,Recipes!$A$2:$N$4,10,FALSE())</f>
        <v>10.940000000000001</v>
      </c>
      <c r="I80" s="89">
        <f>VLOOKUP(C80,Recipes!$A$2:$N$4,12,FALSE())</f>
        <v>5.2703573566378441E-2</v>
      </c>
      <c r="J80" s="89">
        <f t="shared" ref="J80:J143" si="10">IF(G80="","",((G80-H80)/I80)^2)</f>
        <v>7453.1981279251286</v>
      </c>
      <c r="K80" s="89">
        <f t="shared" ref="K80:K143" si="11">IF(G80="","",MAX(0, J80-$B$12))</f>
        <v>7453.131461258462</v>
      </c>
      <c r="L80" s="89">
        <f t="shared" ref="L80:L143" si="12">IF(G80="","",SQRT(K80))</f>
        <v>86.331520670369656</v>
      </c>
      <c r="M80" s="89" t="str">
        <f t="shared" ref="M80:M143" si="13">IF(G80="","",IF(K80&lt;=$B$10,"OK","NG"))</f>
        <v>NG</v>
      </c>
      <c r="N80" s="117">
        <f t="shared" ref="N80:N143" si="14">IF(M80="","",IF(M80=D80,1,0))</f>
        <v>1</v>
      </c>
      <c r="O80" s="89">
        <f t="shared" si="9"/>
        <v>4.5500000000000016</v>
      </c>
      <c r="P80" s="89">
        <f>IF(G80="","",ABS(O80-Components!$C$2))</f>
        <v>1.7966666666666717</v>
      </c>
      <c r="Q80" s="89">
        <f>IF(G80="","",ABS(O80-Components!$C$3))</f>
        <v>0.51400000000000201</v>
      </c>
      <c r="R80" s="89">
        <f>IF(G80="","",ABS(O80-Components!$C$4))</f>
        <v>3.5566666666666684</v>
      </c>
      <c r="S80" s="89">
        <f>IF(G80="","",ABS(O80-Components!$C$5))</f>
        <v>1.2666666666668824E-2</v>
      </c>
      <c r="T80" s="89">
        <f>IF(G80="","",ABS(O80-Components!$C$6))</f>
        <v>3.3943333333333316</v>
      </c>
      <c r="U80" s="89">
        <f>IF(G80="","",ABS(O80-Components!$C$7))</f>
        <v>3.1756666666666717</v>
      </c>
      <c r="V80" s="89" t="str">
        <f>IF(G80="","",IF(M80="OK","NONE",INDEX({"S1","S2","W1","W2","N1","N2"},MATCH(MIN(P80:U80),P80:U80,0))))</f>
        <v>W2</v>
      </c>
      <c r="W80" s="139">
        <f t="shared" ref="W80:W143" si="15">IF(G80="","",IF(V80=E80,1,0))</f>
        <v>1</v>
      </c>
      <c r="X80" s="125"/>
    </row>
    <row r="81" spans="1:24" ht="15.75">
      <c r="A81" s="115">
        <v>67</v>
      </c>
      <c r="B81" s="135">
        <f>'Runs Z-Score'!B69</f>
        <v>3</v>
      </c>
      <c r="C81" s="89" t="str">
        <f>'Runs Z-Score'!C69</f>
        <v>R3</v>
      </c>
      <c r="D81" s="89" t="str">
        <f>'Runs Z-Score'!D69</f>
        <v>NG</v>
      </c>
      <c r="E81" s="89" t="str">
        <f>'Runs Z-Score'!E69</f>
        <v>W2</v>
      </c>
      <c r="F81" s="89">
        <f>'Runs Z-Score'!F69</f>
        <v>5.45</v>
      </c>
      <c r="G81" s="89">
        <f t="shared" si="8"/>
        <v>6.42</v>
      </c>
      <c r="H81" s="89">
        <f>VLOOKUP(C81,Recipes!$A$2:$N$4,10,FALSE())</f>
        <v>10.940000000000001</v>
      </c>
      <c r="I81" s="89">
        <f>VLOOKUP(C81,Recipes!$A$2:$N$4,12,FALSE())</f>
        <v>5.2703573566378441E-2</v>
      </c>
      <c r="J81" s="89">
        <f t="shared" si="10"/>
        <v>7355.238209528392</v>
      </c>
      <c r="K81" s="89">
        <f t="shared" si="11"/>
        <v>7355.1715428617254</v>
      </c>
      <c r="L81" s="89">
        <f t="shared" si="12"/>
        <v>85.762296744325383</v>
      </c>
      <c r="M81" s="89" t="str">
        <f t="shared" si="13"/>
        <v>NG</v>
      </c>
      <c r="N81" s="117">
        <f t="shared" si="14"/>
        <v>1</v>
      </c>
      <c r="O81" s="89">
        <f t="shared" si="9"/>
        <v>4.5200000000000014</v>
      </c>
      <c r="P81" s="89">
        <f>IF(G81="","",ABS(O81-Components!$C$2))</f>
        <v>1.7666666666666715</v>
      </c>
      <c r="Q81" s="89">
        <f>IF(G81="","",ABS(O81-Components!$C$3))</f>
        <v>0.48400000000000176</v>
      </c>
      <c r="R81" s="89">
        <f>IF(G81="","",ABS(O81-Components!$C$4))</f>
        <v>3.5266666666666682</v>
      </c>
      <c r="S81" s="89">
        <f>IF(G81="","",ABS(O81-Components!$C$5))</f>
        <v>4.2666666666669073E-2</v>
      </c>
      <c r="T81" s="89">
        <f>IF(G81="","",ABS(O81-Components!$C$6))</f>
        <v>3.3643333333333314</v>
      </c>
      <c r="U81" s="89">
        <f>IF(G81="","",ABS(O81-Components!$C$7))</f>
        <v>3.1456666666666715</v>
      </c>
      <c r="V81" s="89" t="str">
        <f>IF(G81="","",IF(M81="OK","NONE",INDEX({"S1","S2","W1","W2","N1","N2"},MATCH(MIN(P81:U81),P81:U81,0))))</f>
        <v>W2</v>
      </c>
      <c r="W81" s="139">
        <f t="shared" si="15"/>
        <v>1</v>
      </c>
      <c r="X81" s="125"/>
    </row>
    <row r="82" spans="1:24" ht="15.75">
      <c r="A82" s="115">
        <v>68</v>
      </c>
      <c r="B82" s="135">
        <f>'Runs Z-Score'!B70</f>
        <v>3</v>
      </c>
      <c r="C82" s="89" t="str">
        <f>'Runs Z-Score'!C70</f>
        <v>R3</v>
      </c>
      <c r="D82" s="89" t="str">
        <f>'Runs Z-Score'!D70</f>
        <v>NG</v>
      </c>
      <c r="E82" s="89" t="str">
        <f>'Runs Z-Score'!E70</f>
        <v>W2</v>
      </c>
      <c r="F82" s="89">
        <f>'Runs Z-Score'!F70</f>
        <v>5.41</v>
      </c>
      <c r="G82" s="89">
        <f t="shared" si="8"/>
        <v>6.38</v>
      </c>
      <c r="H82" s="89">
        <f>VLOOKUP(C82,Recipes!$A$2:$N$4,10,FALSE())</f>
        <v>10.940000000000001</v>
      </c>
      <c r="I82" s="89">
        <f>VLOOKUP(C82,Recipes!$A$2:$N$4,12,FALSE())</f>
        <v>5.2703573566378441E-2</v>
      </c>
      <c r="J82" s="89">
        <f t="shared" si="10"/>
        <v>7485.9954398176033</v>
      </c>
      <c r="K82" s="89">
        <f t="shared" si="11"/>
        <v>7485.9287731509366</v>
      </c>
      <c r="L82" s="89">
        <f t="shared" si="12"/>
        <v>86.52126197155782</v>
      </c>
      <c r="M82" s="89" t="str">
        <f t="shared" si="13"/>
        <v>NG</v>
      </c>
      <c r="N82" s="117">
        <f t="shared" si="14"/>
        <v>1</v>
      </c>
      <c r="O82" s="89">
        <f t="shared" si="9"/>
        <v>4.5600000000000014</v>
      </c>
      <c r="P82" s="89">
        <f>IF(G82="","",ABS(O82-Components!$C$2))</f>
        <v>1.8066666666666715</v>
      </c>
      <c r="Q82" s="89">
        <f>IF(G82="","",ABS(O82-Components!$C$3))</f>
        <v>0.5240000000000018</v>
      </c>
      <c r="R82" s="89">
        <f>IF(G82="","",ABS(O82-Components!$C$4))</f>
        <v>3.5666666666666682</v>
      </c>
      <c r="S82" s="89">
        <f>IF(G82="","",ABS(O82-Components!$C$5))</f>
        <v>2.6666666666690375E-3</v>
      </c>
      <c r="T82" s="89">
        <f>IF(G82="","",ABS(O82-Components!$C$6))</f>
        <v>3.4043333333333314</v>
      </c>
      <c r="U82" s="89">
        <f>IF(G82="","",ABS(O82-Components!$C$7))</f>
        <v>3.1856666666666715</v>
      </c>
      <c r="V82" s="89" t="str">
        <f>IF(G82="","",IF(M82="OK","NONE",INDEX({"S1","S2","W1","W2","N1","N2"},MATCH(MIN(P82:U82),P82:U82,0))))</f>
        <v>W2</v>
      </c>
      <c r="W82" s="139">
        <f t="shared" si="15"/>
        <v>1</v>
      </c>
      <c r="X82" s="125"/>
    </row>
    <row r="83" spans="1:24" ht="15.75">
      <c r="A83" s="115">
        <v>69</v>
      </c>
      <c r="B83" s="135">
        <f>'Runs Z-Score'!B71</f>
        <v>3</v>
      </c>
      <c r="C83" s="89" t="str">
        <f>'Runs Z-Score'!C71</f>
        <v>R3</v>
      </c>
      <c r="D83" s="89" t="str">
        <f>'Runs Z-Score'!D71</f>
        <v>NG</v>
      </c>
      <c r="E83" s="89" t="str">
        <f>'Runs Z-Score'!E71</f>
        <v>W2</v>
      </c>
      <c r="F83" s="89">
        <f>'Runs Z-Score'!F71</f>
        <v>5.38</v>
      </c>
      <c r="G83" s="89">
        <f t="shared" si="8"/>
        <v>6.35</v>
      </c>
      <c r="H83" s="89">
        <f>VLOOKUP(C83,Recipes!$A$2:$N$4,10,FALSE())</f>
        <v>10.940000000000001</v>
      </c>
      <c r="I83" s="89">
        <f>VLOOKUP(C83,Recipes!$A$2:$N$4,12,FALSE())</f>
        <v>5.2703573566378441E-2</v>
      </c>
      <c r="J83" s="89">
        <f t="shared" si="10"/>
        <v>7584.8193927757229</v>
      </c>
      <c r="K83" s="89">
        <f t="shared" si="11"/>
        <v>7584.7527261090563</v>
      </c>
      <c r="L83" s="89">
        <f t="shared" si="12"/>
        <v>87.090485852985438</v>
      </c>
      <c r="M83" s="89" t="str">
        <f t="shared" si="13"/>
        <v>NG</v>
      </c>
      <c r="N83" s="117">
        <f t="shared" si="14"/>
        <v>1</v>
      </c>
      <c r="O83" s="89">
        <f t="shared" si="9"/>
        <v>4.5900000000000016</v>
      </c>
      <c r="P83" s="89">
        <f>IF(G83="","",ABS(O83-Components!$C$2))</f>
        <v>1.8366666666666718</v>
      </c>
      <c r="Q83" s="89">
        <f>IF(G83="","",ABS(O83-Components!$C$3))</f>
        <v>0.55400000000000205</v>
      </c>
      <c r="R83" s="89">
        <f>IF(G83="","",ABS(O83-Components!$C$4))</f>
        <v>3.5966666666666685</v>
      </c>
      <c r="S83" s="89">
        <f>IF(G83="","",ABS(O83-Components!$C$5))</f>
        <v>2.7333333333331211E-2</v>
      </c>
      <c r="T83" s="89">
        <f>IF(G83="","",ABS(O83-Components!$C$6))</f>
        <v>3.4343333333333317</v>
      </c>
      <c r="U83" s="89">
        <f>IF(G83="","",ABS(O83-Components!$C$7))</f>
        <v>3.2156666666666718</v>
      </c>
      <c r="V83" s="89" t="str">
        <f>IF(G83="","",IF(M83="OK","NONE",INDEX({"S1","S2","W1","W2","N1","N2"},MATCH(MIN(P83:U83),P83:U83,0))))</f>
        <v>W2</v>
      </c>
      <c r="W83" s="139">
        <f t="shared" si="15"/>
        <v>1</v>
      </c>
      <c r="X83" s="125"/>
    </row>
    <row r="84" spans="1:24" ht="15.75">
      <c r="A84" s="115">
        <v>70</v>
      </c>
      <c r="B84" s="135">
        <f>'Runs Z-Score'!B72</f>
        <v>3</v>
      </c>
      <c r="C84" s="89" t="str">
        <f>'Runs Z-Score'!C72</f>
        <v>R3</v>
      </c>
      <c r="D84" s="89" t="str">
        <f>'Runs Z-Score'!D72</f>
        <v>NG</v>
      </c>
      <c r="E84" s="89" t="str">
        <f>'Runs Z-Score'!E72</f>
        <v>W2</v>
      </c>
      <c r="F84" s="89">
        <f>'Runs Z-Score'!F72</f>
        <v>5.37</v>
      </c>
      <c r="G84" s="89">
        <f t="shared" si="8"/>
        <v>6.34</v>
      </c>
      <c r="H84" s="89">
        <f>VLOOKUP(C84,Recipes!$A$2:$N$4,10,FALSE())</f>
        <v>10.940000000000001</v>
      </c>
      <c r="I84" s="89">
        <f>VLOOKUP(C84,Recipes!$A$2:$N$4,12,FALSE())</f>
        <v>5.2703573566378441E-2</v>
      </c>
      <c r="J84" s="89">
        <f t="shared" si="10"/>
        <v>7617.9047161886583</v>
      </c>
      <c r="K84" s="89">
        <f t="shared" si="11"/>
        <v>7617.8380495219917</v>
      </c>
      <c r="L84" s="89">
        <f t="shared" si="12"/>
        <v>87.280227139495878</v>
      </c>
      <c r="M84" s="89" t="str">
        <f t="shared" si="13"/>
        <v>NG</v>
      </c>
      <c r="N84" s="117">
        <f t="shared" si="14"/>
        <v>1</v>
      </c>
      <c r="O84" s="89">
        <f t="shared" si="9"/>
        <v>4.6000000000000014</v>
      </c>
      <c r="P84" s="89">
        <f>IF(G84="","",ABS(O84-Components!$C$2))</f>
        <v>1.8466666666666716</v>
      </c>
      <c r="Q84" s="89">
        <f>IF(G84="","",ABS(O84-Components!$C$3))</f>
        <v>0.56400000000000183</v>
      </c>
      <c r="R84" s="89">
        <f>IF(G84="","",ABS(O84-Components!$C$4))</f>
        <v>3.6066666666666682</v>
      </c>
      <c r="S84" s="89">
        <f>IF(G84="","",ABS(O84-Components!$C$5))</f>
        <v>3.7333333333330998E-2</v>
      </c>
      <c r="T84" s="89">
        <f>IF(G84="","",ABS(O84-Components!$C$6))</f>
        <v>3.4443333333333315</v>
      </c>
      <c r="U84" s="89">
        <f>IF(G84="","",ABS(O84-Components!$C$7))</f>
        <v>3.2256666666666716</v>
      </c>
      <c r="V84" s="89" t="str">
        <f>IF(G84="","",IF(M84="OK","NONE",INDEX({"S1","S2","W1","W2","N1","N2"},MATCH(MIN(P84:U84),P84:U84,0))))</f>
        <v>W2</v>
      </c>
      <c r="W84" s="139">
        <f t="shared" si="15"/>
        <v>1</v>
      </c>
      <c r="X84" s="125"/>
    </row>
    <row r="85" spans="1:24" ht="15.75">
      <c r="A85" s="115">
        <v>71</v>
      </c>
      <c r="B85" s="135">
        <f>'Runs Z-Score'!B73</f>
        <v>3</v>
      </c>
      <c r="C85" s="89" t="str">
        <f>'Runs Z-Score'!C73</f>
        <v>R3</v>
      </c>
      <c r="D85" s="89" t="str">
        <f>'Runs Z-Score'!D73</f>
        <v>NG</v>
      </c>
      <c r="E85" s="89" t="str">
        <f>'Runs Z-Score'!E73</f>
        <v>W2</v>
      </c>
      <c r="F85" s="89">
        <f>'Runs Z-Score'!F73</f>
        <v>5.36</v>
      </c>
      <c r="G85" s="89">
        <f t="shared" si="8"/>
        <v>6.33</v>
      </c>
      <c r="H85" s="89">
        <f>VLOOKUP(C85,Recipes!$A$2:$N$4,10,FALSE())</f>
        <v>10.940000000000001</v>
      </c>
      <c r="I85" s="89">
        <f>VLOOKUP(C85,Recipes!$A$2:$N$4,12,FALSE())</f>
        <v>5.2703573566378441E-2</v>
      </c>
      <c r="J85" s="89">
        <f t="shared" si="10"/>
        <v>7651.0620424817098</v>
      </c>
      <c r="K85" s="89">
        <f t="shared" si="11"/>
        <v>7650.9953758150432</v>
      </c>
      <c r="L85" s="89">
        <f t="shared" si="12"/>
        <v>87.469968422396519</v>
      </c>
      <c r="M85" s="89" t="str">
        <f t="shared" si="13"/>
        <v>NG</v>
      </c>
      <c r="N85" s="117">
        <f t="shared" si="14"/>
        <v>1</v>
      </c>
      <c r="O85" s="89">
        <f t="shared" si="9"/>
        <v>4.6100000000000012</v>
      </c>
      <c r="P85" s="89">
        <f>IF(G85="","",ABS(O85-Components!$C$2))</f>
        <v>1.8566666666666714</v>
      </c>
      <c r="Q85" s="89">
        <f>IF(G85="","",ABS(O85-Components!$C$3))</f>
        <v>0.57400000000000162</v>
      </c>
      <c r="R85" s="89">
        <f>IF(G85="","",ABS(O85-Components!$C$4))</f>
        <v>3.616666666666668</v>
      </c>
      <c r="S85" s="89">
        <f>IF(G85="","",ABS(O85-Components!$C$5))</f>
        <v>4.7333333333330785E-2</v>
      </c>
      <c r="T85" s="89">
        <f>IF(G85="","",ABS(O85-Components!$C$6))</f>
        <v>3.4543333333333313</v>
      </c>
      <c r="U85" s="89">
        <f>IF(G85="","",ABS(O85-Components!$C$7))</f>
        <v>3.2356666666666714</v>
      </c>
      <c r="V85" s="89" t="str">
        <f>IF(G85="","",IF(M85="OK","NONE",INDEX({"S1","S2","W1","W2","N1","N2"},MATCH(MIN(P85:U85),P85:U85,0))))</f>
        <v>W2</v>
      </c>
      <c r="W85" s="139">
        <f t="shared" si="15"/>
        <v>1</v>
      </c>
      <c r="X85" s="125"/>
    </row>
    <row r="86" spans="1:24" ht="15.75">
      <c r="A86" s="115">
        <v>72</v>
      </c>
      <c r="B86" s="135">
        <f>'Runs Z-Score'!B74</f>
        <v>3</v>
      </c>
      <c r="C86" s="89" t="str">
        <f>'Runs Z-Score'!C74</f>
        <v>R3</v>
      </c>
      <c r="D86" s="89" t="str">
        <f>'Runs Z-Score'!D74</f>
        <v>NG</v>
      </c>
      <c r="E86" s="89" t="str">
        <f>'Runs Z-Score'!E74</f>
        <v>W2</v>
      </c>
      <c r="F86" s="89">
        <f>'Runs Z-Score'!F74</f>
        <v>5.41</v>
      </c>
      <c r="G86" s="89">
        <f t="shared" si="8"/>
        <v>6.38</v>
      </c>
      <c r="H86" s="89">
        <f>VLOOKUP(C86,Recipes!$A$2:$N$4,10,FALSE())</f>
        <v>10.940000000000001</v>
      </c>
      <c r="I86" s="89">
        <f>VLOOKUP(C86,Recipes!$A$2:$N$4,12,FALSE())</f>
        <v>5.2703573566378441E-2</v>
      </c>
      <c r="J86" s="89">
        <f t="shared" si="10"/>
        <v>7485.9954398176033</v>
      </c>
      <c r="K86" s="89">
        <f t="shared" si="11"/>
        <v>7485.9287731509366</v>
      </c>
      <c r="L86" s="89">
        <f t="shared" si="12"/>
        <v>86.52126197155782</v>
      </c>
      <c r="M86" s="89" t="str">
        <f t="shared" si="13"/>
        <v>NG</v>
      </c>
      <c r="N86" s="117">
        <f t="shared" si="14"/>
        <v>1</v>
      </c>
      <c r="O86" s="89">
        <f t="shared" si="9"/>
        <v>4.5600000000000014</v>
      </c>
      <c r="P86" s="89">
        <f>IF(G86="","",ABS(O86-Components!$C$2))</f>
        <v>1.8066666666666715</v>
      </c>
      <c r="Q86" s="89">
        <f>IF(G86="","",ABS(O86-Components!$C$3))</f>
        <v>0.5240000000000018</v>
      </c>
      <c r="R86" s="89">
        <f>IF(G86="","",ABS(O86-Components!$C$4))</f>
        <v>3.5666666666666682</v>
      </c>
      <c r="S86" s="89">
        <f>IF(G86="","",ABS(O86-Components!$C$5))</f>
        <v>2.6666666666690375E-3</v>
      </c>
      <c r="T86" s="89">
        <f>IF(G86="","",ABS(O86-Components!$C$6))</f>
        <v>3.4043333333333314</v>
      </c>
      <c r="U86" s="89">
        <f>IF(G86="","",ABS(O86-Components!$C$7))</f>
        <v>3.1856666666666715</v>
      </c>
      <c r="V86" s="89" t="str">
        <f>IF(G86="","",IF(M86="OK","NONE",INDEX({"S1","S2","W1","W2","N1","N2"},MATCH(MIN(P86:U86),P86:U86,0))))</f>
        <v>W2</v>
      </c>
      <c r="W86" s="139">
        <f t="shared" si="15"/>
        <v>1</v>
      </c>
      <c r="X86" s="125"/>
    </row>
    <row r="87" spans="1:24" ht="15.75">
      <c r="A87" s="115">
        <v>73</v>
      </c>
      <c r="B87" s="135">
        <f>'Runs Z-Score'!B75</f>
        <v>3</v>
      </c>
      <c r="C87" s="89" t="str">
        <f>'Runs Z-Score'!C75</f>
        <v>R3</v>
      </c>
      <c r="D87" s="89" t="str">
        <f>'Runs Z-Score'!D75</f>
        <v>NG</v>
      </c>
      <c r="E87" s="89" t="str">
        <f>'Runs Z-Score'!E75</f>
        <v>W2</v>
      </c>
      <c r="F87" s="89">
        <f>'Runs Z-Score'!F75</f>
        <v>5.37</v>
      </c>
      <c r="G87" s="89">
        <f t="shared" si="8"/>
        <v>6.34</v>
      </c>
      <c r="H87" s="89">
        <f>VLOOKUP(C87,Recipes!$A$2:$N$4,10,FALSE())</f>
        <v>10.940000000000001</v>
      </c>
      <c r="I87" s="89">
        <f>VLOOKUP(C87,Recipes!$A$2:$N$4,12,FALSE())</f>
        <v>5.2703573566378441E-2</v>
      </c>
      <c r="J87" s="89">
        <f t="shared" si="10"/>
        <v>7617.9047161886583</v>
      </c>
      <c r="K87" s="89">
        <f t="shared" si="11"/>
        <v>7617.8380495219917</v>
      </c>
      <c r="L87" s="89">
        <f t="shared" si="12"/>
        <v>87.280227139495878</v>
      </c>
      <c r="M87" s="89" t="str">
        <f t="shared" si="13"/>
        <v>NG</v>
      </c>
      <c r="N87" s="117">
        <f t="shared" si="14"/>
        <v>1</v>
      </c>
      <c r="O87" s="89">
        <f t="shared" si="9"/>
        <v>4.6000000000000014</v>
      </c>
      <c r="P87" s="89">
        <f>IF(G87="","",ABS(O87-Components!$C$2))</f>
        <v>1.8466666666666716</v>
      </c>
      <c r="Q87" s="89">
        <f>IF(G87="","",ABS(O87-Components!$C$3))</f>
        <v>0.56400000000000183</v>
      </c>
      <c r="R87" s="89">
        <f>IF(G87="","",ABS(O87-Components!$C$4))</f>
        <v>3.6066666666666682</v>
      </c>
      <c r="S87" s="89">
        <f>IF(G87="","",ABS(O87-Components!$C$5))</f>
        <v>3.7333333333330998E-2</v>
      </c>
      <c r="T87" s="89">
        <f>IF(G87="","",ABS(O87-Components!$C$6))</f>
        <v>3.4443333333333315</v>
      </c>
      <c r="U87" s="89">
        <f>IF(G87="","",ABS(O87-Components!$C$7))</f>
        <v>3.2256666666666716</v>
      </c>
      <c r="V87" s="89" t="str">
        <f>IF(G87="","",IF(M87="OK","NONE",INDEX({"S1","S2","W1","W2","N1","N2"},MATCH(MIN(P87:U87),P87:U87,0))))</f>
        <v>W2</v>
      </c>
      <c r="W87" s="139">
        <f t="shared" si="15"/>
        <v>1</v>
      </c>
      <c r="X87" s="125"/>
    </row>
    <row r="88" spans="1:24" ht="15.75">
      <c r="A88" s="115">
        <v>74</v>
      </c>
      <c r="B88" s="135">
        <f>'Runs Z-Score'!B76</f>
        <v>3</v>
      </c>
      <c r="C88" s="89" t="str">
        <f>'Runs Z-Score'!C76</f>
        <v>R3</v>
      </c>
      <c r="D88" s="89" t="str">
        <f>'Runs Z-Score'!D76</f>
        <v>NG</v>
      </c>
      <c r="E88" s="89" t="str">
        <f>'Runs Z-Score'!E76</f>
        <v>W2</v>
      </c>
      <c r="F88" s="89">
        <f>'Runs Z-Score'!F76</f>
        <v>5.36</v>
      </c>
      <c r="G88" s="89">
        <f t="shared" si="8"/>
        <v>6.33</v>
      </c>
      <c r="H88" s="89">
        <f>VLOOKUP(C88,Recipes!$A$2:$N$4,10,FALSE())</f>
        <v>10.940000000000001</v>
      </c>
      <c r="I88" s="89">
        <f>VLOOKUP(C88,Recipes!$A$2:$N$4,12,FALSE())</f>
        <v>5.2703573566378441E-2</v>
      </c>
      <c r="J88" s="89">
        <f t="shared" si="10"/>
        <v>7651.0620424817098</v>
      </c>
      <c r="K88" s="89">
        <f t="shared" si="11"/>
        <v>7650.9953758150432</v>
      </c>
      <c r="L88" s="89">
        <f t="shared" si="12"/>
        <v>87.469968422396519</v>
      </c>
      <c r="M88" s="89" t="str">
        <f t="shared" si="13"/>
        <v>NG</v>
      </c>
      <c r="N88" s="117">
        <f t="shared" si="14"/>
        <v>1</v>
      </c>
      <c r="O88" s="89">
        <f t="shared" si="9"/>
        <v>4.6100000000000012</v>
      </c>
      <c r="P88" s="89">
        <f>IF(G88="","",ABS(O88-Components!$C$2))</f>
        <v>1.8566666666666714</v>
      </c>
      <c r="Q88" s="89">
        <f>IF(G88="","",ABS(O88-Components!$C$3))</f>
        <v>0.57400000000000162</v>
      </c>
      <c r="R88" s="89">
        <f>IF(G88="","",ABS(O88-Components!$C$4))</f>
        <v>3.616666666666668</v>
      </c>
      <c r="S88" s="89">
        <f>IF(G88="","",ABS(O88-Components!$C$5))</f>
        <v>4.7333333333330785E-2</v>
      </c>
      <c r="T88" s="89">
        <f>IF(G88="","",ABS(O88-Components!$C$6))</f>
        <v>3.4543333333333313</v>
      </c>
      <c r="U88" s="89">
        <f>IF(G88="","",ABS(O88-Components!$C$7))</f>
        <v>3.2356666666666714</v>
      </c>
      <c r="V88" s="89" t="str">
        <f>IF(G88="","",IF(M88="OK","NONE",INDEX({"S1","S2","W1","W2","N1","N2"},MATCH(MIN(P88:U88),P88:U88,0))))</f>
        <v>W2</v>
      </c>
      <c r="W88" s="139">
        <f t="shared" si="15"/>
        <v>1</v>
      </c>
      <c r="X88" s="125"/>
    </row>
    <row r="89" spans="1:24" ht="15.75">
      <c r="A89" s="115">
        <v>75</v>
      </c>
      <c r="B89" s="135">
        <f>'Runs Z-Score'!B77</f>
        <v>3</v>
      </c>
      <c r="C89" s="89" t="str">
        <f>'Runs Z-Score'!C77</f>
        <v>R3</v>
      </c>
      <c r="D89" s="89" t="str">
        <f>'Runs Z-Score'!D77</f>
        <v>NG</v>
      </c>
      <c r="E89" s="89" t="str">
        <f>'Runs Z-Score'!E77</f>
        <v>W2</v>
      </c>
      <c r="F89" s="89">
        <f>'Runs Z-Score'!F77</f>
        <v>5.38</v>
      </c>
      <c r="G89" s="89">
        <f t="shared" si="8"/>
        <v>6.35</v>
      </c>
      <c r="H89" s="89">
        <f>VLOOKUP(C89,Recipes!$A$2:$N$4,10,FALSE())</f>
        <v>10.940000000000001</v>
      </c>
      <c r="I89" s="89">
        <f>VLOOKUP(C89,Recipes!$A$2:$N$4,12,FALSE())</f>
        <v>5.2703573566378441E-2</v>
      </c>
      <c r="J89" s="89">
        <f t="shared" si="10"/>
        <v>7584.8193927757229</v>
      </c>
      <c r="K89" s="89">
        <f t="shared" si="11"/>
        <v>7584.7527261090563</v>
      </c>
      <c r="L89" s="89">
        <f t="shared" si="12"/>
        <v>87.090485852985438</v>
      </c>
      <c r="M89" s="89" t="str">
        <f t="shared" si="13"/>
        <v>NG</v>
      </c>
      <c r="N89" s="117">
        <f t="shared" si="14"/>
        <v>1</v>
      </c>
      <c r="O89" s="89">
        <f t="shared" si="9"/>
        <v>4.5900000000000016</v>
      </c>
      <c r="P89" s="89">
        <f>IF(G89="","",ABS(O89-Components!$C$2))</f>
        <v>1.8366666666666718</v>
      </c>
      <c r="Q89" s="89">
        <f>IF(G89="","",ABS(O89-Components!$C$3))</f>
        <v>0.55400000000000205</v>
      </c>
      <c r="R89" s="89">
        <f>IF(G89="","",ABS(O89-Components!$C$4))</f>
        <v>3.5966666666666685</v>
      </c>
      <c r="S89" s="89">
        <f>IF(G89="","",ABS(O89-Components!$C$5))</f>
        <v>2.7333333333331211E-2</v>
      </c>
      <c r="T89" s="89">
        <f>IF(G89="","",ABS(O89-Components!$C$6))</f>
        <v>3.4343333333333317</v>
      </c>
      <c r="U89" s="89">
        <f>IF(G89="","",ABS(O89-Components!$C$7))</f>
        <v>3.2156666666666718</v>
      </c>
      <c r="V89" s="89" t="str">
        <f>IF(G89="","",IF(M89="OK","NONE",INDEX({"S1","S2","W1","W2","N1","N2"},MATCH(MIN(P89:U89),P89:U89,0))))</f>
        <v>W2</v>
      </c>
      <c r="W89" s="139">
        <f t="shared" si="15"/>
        <v>1</v>
      </c>
      <c r="X89" s="125"/>
    </row>
    <row r="90" spans="1:24" ht="15.75">
      <c r="A90" s="115">
        <v>76</v>
      </c>
      <c r="B90" s="135">
        <f>'Runs Z-Score'!B78</f>
        <v>3</v>
      </c>
      <c r="C90" s="89" t="str">
        <f>'Runs Z-Score'!C78</f>
        <v>R3</v>
      </c>
      <c r="D90" s="89" t="str">
        <f>'Runs Z-Score'!D78</f>
        <v>NG</v>
      </c>
      <c r="E90" s="89" t="str">
        <f>'Runs Z-Score'!E78</f>
        <v>W2</v>
      </c>
      <c r="F90" s="89">
        <f>'Runs Z-Score'!F78</f>
        <v>5.38</v>
      </c>
      <c r="G90" s="89">
        <f t="shared" si="8"/>
        <v>6.35</v>
      </c>
      <c r="H90" s="89">
        <f>VLOOKUP(C90,Recipes!$A$2:$N$4,10,FALSE())</f>
        <v>10.940000000000001</v>
      </c>
      <c r="I90" s="89">
        <f>VLOOKUP(C90,Recipes!$A$2:$N$4,12,FALSE())</f>
        <v>5.2703573566378441E-2</v>
      </c>
      <c r="J90" s="89">
        <f t="shared" si="10"/>
        <v>7584.8193927757229</v>
      </c>
      <c r="K90" s="89">
        <f t="shared" si="11"/>
        <v>7584.7527261090563</v>
      </c>
      <c r="L90" s="89">
        <f t="shared" si="12"/>
        <v>87.090485852985438</v>
      </c>
      <c r="M90" s="89" t="str">
        <f t="shared" si="13"/>
        <v>NG</v>
      </c>
      <c r="N90" s="117">
        <f t="shared" si="14"/>
        <v>1</v>
      </c>
      <c r="O90" s="89">
        <f t="shared" si="9"/>
        <v>4.5900000000000016</v>
      </c>
      <c r="P90" s="89">
        <f>IF(G90="","",ABS(O90-Components!$C$2))</f>
        <v>1.8366666666666718</v>
      </c>
      <c r="Q90" s="89">
        <f>IF(G90="","",ABS(O90-Components!$C$3))</f>
        <v>0.55400000000000205</v>
      </c>
      <c r="R90" s="89">
        <f>IF(G90="","",ABS(O90-Components!$C$4))</f>
        <v>3.5966666666666685</v>
      </c>
      <c r="S90" s="89">
        <f>IF(G90="","",ABS(O90-Components!$C$5))</f>
        <v>2.7333333333331211E-2</v>
      </c>
      <c r="T90" s="89">
        <f>IF(G90="","",ABS(O90-Components!$C$6))</f>
        <v>3.4343333333333317</v>
      </c>
      <c r="U90" s="89">
        <f>IF(G90="","",ABS(O90-Components!$C$7))</f>
        <v>3.2156666666666718</v>
      </c>
      <c r="V90" s="89" t="str">
        <f>IF(G90="","",IF(M90="OK","NONE",INDEX({"S1","S2","W1","W2","N1","N2"},MATCH(MIN(P90:U90),P90:U90,0))))</f>
        <v>W2</v>
      </c>
      <c r="W90" s="139">
        <f t="shared" si="15"/>
        <v>1</v>
      </c>
      <c r="X90" s="125"/>
    </row>
    <row r="91" spans="1:24" ht="15.75">
      <c r="A91" s="115">
        <v>77</v>
      </c>
      <c r="B91" s="135">
        <f>'Runs Z-Score'!B79</f>
        <v>3</v>
      </c>
      <c r="C91" s="89" t="str">
        <f>'Runs Z-Score'!C79</f>
        <v>R3</v>
      </c>
      <c r="D91" s="89" t="str">
        <f>'Runs Z-Score'!D79</f>
        <v>NG</v>
      </c>
      <c r="E91" s="89" t="str">
        <f>'Runs Z-Score'!E79</f>
        <v>W2</v>
      </c>
      <c r="F91" s="89">
        <f>'Runs Z-Score'!F79</f>
        <v>5.42</v>
      </c>
      <c r="G91" s="89">
        <f t="shared" si="8"/>
        <v>6.39</v>
      </c>
      <c r="H91" s="89">
        <f>VLOOKUP(C91,Recipes!$A$2:$N$4,10,FALSE())</f>
        <v>10.940000000000001</v>
      </c>
      <c r="I91" s="89">
        <f>VLOOKUP(C91,Recipes!$A$2:$N$4,12,FALSE())</f>
        <v>5.2703573566378441E-2</v>
      </c>
      <c r="J91" s="89">
        <f t="shared" si="10"/>
        <v>7453.1981279251286</v>
      </c>
      <c r="K91" s="89">
        <f t="shared" si="11"/>
        <v>7453.131461258462</v>
      </c>
      <c r="L91" s="89">
        <f t="shared" si="12"/>
        <v>86.331520670369656</v>
      </c>
      <c r="M91" s="89" t="str">
        <f t="shared" si="13"/>
        <v>NG</v>
      </c>
      <c r="N91" s="117">
        <f t="shared" si="14"/>
        <v>1</v>
      </c>
      <c r="O91" s="89">
        <f t="shared" si="9"/>
        <v>4.5500000000000016</v>
      </c>
      <c r="P91" s="89">
        <f>IF(G91="","",ABS(O91-Components!$C$2))</f>
        <v>1.7966666666666717</v>
      </c>
      <c r="Q91" s="89">
        <f>IF(G91="","",ABS(O91-Components!$C$3))</f>
        <v>0.51400000000000201</v>
      </c>
      <c r="R91" s="89">
        <f>IF(G91="","",ABS(O91-Components!$C$4))</f>
        <v>3.5566666666666684</v>
      </c>
      <c r="S91" s="89">
        <f>IF(G91="","",ABS(O91-Components!$C$5))</f>
        <v>1.2666666666668824E-2</v>
      </c>
      <c r="T91" s="89">
        <f>IF(G91="","",ABS(O91-Components!$C$6))</f>
        <v>3.3943333333333316</v>
      </c>
      <c r="U91" s="89">
        <f>IF(G91="","",ABS(O91-Components!$C$7))</f>
        <v>3.1756666666666717</v>
      </c>
      <c r="V91" s="89" t="str">
        <f>IF(G91="","",IF(M91="OK","NONE",INDEX({"S1","S2","W1","W2","N1","N2"},MATCH(MIN(P91:U91),P91:U91,0))))</f>
        <v>W2</v>
      </c>
      <c r="W91" s="139">
        <f t="shared" si="15"/>
        <v>1</v>
      </c>
      <c r="X91" s="125"/>
    </row>
    <row r="92" spans="1:24" ht="15.75">
      <c r="A92" s="115">
        <v>78</v>
      </c>
      <c r="B92" s="135">
        <f>'Runs Z-Score'!B80</f>
        <v>3</v>
      </c>
      <c r="C92" s="89" t="str">
        <f>'Runs Z-Score'!C80</f>
        <v>R3</v>
      </c>
      <c r="D92" s="89" t="str">
        <f>'Runs Z-Score'!D80</f>
        <v>NG</v>
      </c>
      <c r="E92" s="89" t="str">
        <f>'Runs Z-Score'!E80</f>
        <v>W2</v>
      </c>
      <c r="F92" s="89">
        <f>'Runs Z-Score'!F80</f>
        <v>5.39</v>
      </c>
      <c r="G92" s="89">
        <f t="shared" si="8"/>
        <v>6.3599999999999994</v>
      </c>
      <c r="H92" s="89">
        <f>VLOOKUP(C92,Recipes!$A$2:$N$4,10,FALSE())</f>
        <v>10.940000000000001</v>
      </c>
      <c r="I92" s="89">
        <f>VLOOKUP(C92,Recipes!$A$2:$N$4,12,FALSE())</f>
        <v>5.2703573566378441E-2</v>
      </c>
      <c r="J92" s="89">
        <f t="shared" si="10"/>
        <v>7551.8060722429018</v>
      </c>
      <c r="K92" s="89">
        <f t="shared" si="11"/>
        <v>7551.7394055762352</v>
      </c>
      <c r="L92" s="89">
        <f t="shared" si="12"/>
        <v>86.900744562841552</v>
      </c>
      <c r="M92" s="89" t="str">
        <f t="shared" si="13"/>
        <v>NG</v>
      </c>
      <c r="N92" s="117">
        <f t="shared" si="14"/>
        <v>1</v>
      </c>
      <c r="O92" s="89">
        <f t="shared" si="9"/>
        <v>4.5800000000000018</v>
      </c>
      <c r="P92" s="89">
        <f>IF(G92="","",ABS(O92-Components!$C$2))</f>
        <v>1.826666666666672</v>
      </c>
      <c r="Q92" s="89">
        <f>IF(G92="","",ABS(O92-Components!$C$3))</f>
        <v>0.54400000000000226</v>
      </c>
      <c r="R92" s="89">
        <f>IF(G92="","",ABS(O92-Components!$C$4))</f>
        <v>3.5866666666666687</v>
      </c>
      <c r="S92" s="89">
        <f>IF(G92="","",ABS(O92-Components!$C$5))</f>
        <v>1.7333333333331424E-2</v>
      </c>
      <c r="T92" s="89">
        <f>IF(G92="","",ABS(O92-Components!$C$6))</f>
        <v>3.4243333333333319</v>
      </c>
      <c r="U92" s="89">
        <f>IF(G92="","",ABS(O92-Components!$C$7))</f>
        <v>3.205666666666672</v>
      </c>
      <c r="V92" s="89" t="str">
        <f>IF(G92="","",IF(M92="OK","NONE",INDEX({"S1","S2","W1","W2","N1","N2"},MATCH(MIN(P92:U92),P92:U92,0))))</f>
        <v>W2</v>
      </c>
      <c r="W92" s="139">
        <f t="shared" si="15"/>
        <v>1</v>
      </c>
      <c r="X92" s="125"/>
    </row>
    <row r="93" spans="1:24" ht="15.75">
      <c r="A93" s="115">
        <v>79</v>
      </c>
      <c r="B93" s="135">
        <f>'Runs Z-Score'!B81</f>
        <v>3</v>
      </c>
      <c r="C93" s="89" t="str">
        <f>'Runs Z-Score'!C81</f>
        <v>R3</v>
      </c>
      <c r="D93" s="89" t="str">
        <f>'Runs Z-Score'!D81</f>
        <v>NG</v>
      </c>
      <c r="E93" s="89" t="str">
        <f>'Runs Z-Score'!E81</f>
        <v>W2</v>
      </c>
      <c r="F93" s="89">
        <f>'Runs Z-Score'!F81</f>
        <v>5.41</v>
      </c>
      <c r="G93" s="89">
        <f t="shared" si="8"/>
        <v>6.38</v>
      </c>
      <c r="H93" s="89">
        <f>VLOOKUP(C93,Recipes!$A$2:$N$4,10,FALSE())</f>
        <v>10.940000000000001</v>
      </c>
      <c r="I93" s="89">
        <f>VLOOKUP(C93,Recipes!$A$2:$N$4,12,FALSE())</f>
        <v>5.2703573566378441E-2</v>
      </c>
      <c r="J93" s="89">
        <f t="shared" si="10"/>
        <v>7485.9954398176033</v>
      </c>
      <c r="K93" s="89">
        <f t="shared" si="11"/>
        <v>7485.9287731509366</v>
      </c>
      <c r="L93" s="89">
        <f t="shared" si="12"/>
        <v>86.52126197155782</v>
      </c>
      <c r="M93" s="89" t="str">
        <f t="shared" si="13"/>
        <v>NG</v>
      </c>
      <c r="N93" s="117">
        <f t="shared" si="14"/>
        <v>1</v>
      </c>
      <c r="O93" s="89">
        <f t="shared" si="9"/>
        <v>4.5600000000000014</v>
      </c>
      <c r="P93" s="89">
        <f>IF(G93="","",ABS(O93-Components!$C$2))</f>
        <v>1.8066666666666715</v>
      </c>
      <c r="Q93" s="89">
        <f>IF(G93="","",ABS(O93-Components!$C$3))</f>
        <v>0.5240000000000018</v>
      </c>
      <c r="R93" s="89">
        <f>IF(G93="","",ABS(O93-Components!$C$4))</f>
        <v>3.5666666666666682</v>
      </c>
      <c r="S93" s="89">
        <f>IF(G93="","",ABS(O93-Components!$C$5))</f>
        <v>2.6666666666690375E-3</v>
      </c>
      <c r="T93" s="89">
        <f>IF(G93="","",ABS(O93-Components!$C$6))</f>
        <v>3.4043333333333314</v>
      </c>
      <c r="U93" s="89">
        <f>IF(G93="","",ABS(O93-Components!$C$7))</f>
        <v>3.1856666666666715</v>
      </c>
      <c r="V93" s="89" t="str">
        <f>IF(G93="","",IF(M93="OK","NONE",INDEX({"S1","S2","W1","W2","N1","N2"},MATCH(MIN(P93:U93),P93:U93,0))))</f>
        <v>W2</v>
      </c>
      <c r="W93" s="139">
        <f t="shared" si="15"/>
        <v>1</v>
      </c>
      <c r="X93" s="125"/>
    </row>
    <row r="94" spans="1:24" ht="15.75">
      <c r="A94" s="115">
        <v>80</v>
      </c>
      <c r="B94" s="135">
        <f>'Runs Z-Score'!B82</f>
        <v>3</v>
      </c>
      <c r="C94" s="89" t="str">
        <f>'Runs Z-Score'!C82</f>
        <v>R3</v>
      </c>
      <c r="D94" s="89" t="str">
        <f>'Runs Z-Score'!D82</f>
        <v>NG</v>
      </c>
      <c r="E94" s="89" t="str">
        <f>'Runs Z-Score'!E82</f>
        <v>W2</v>
      </c>
      <c r="F94" s="89">
        <f>'Runs Z-Score'!F82</f>
        <v>5.32</v>
      </c>
      <c r="G94" s="89">
        <f t="shared" si="8"/>
        <v>6.29</v>
      </c>
      <c r="H94" s="89">
        <f>VLOOKUP(C94,Recipes!$A$2:$N$4,10,FALSE())</f>
        <v>10.940000000000001</v>
      </c>
      <c r="I94" s="89">
        <f>VLOOKUP(C94,Recipes!$A$2:$N$4,12,FALSE())</f>
        <v>5.2703573566378441E-2</v>
      </c>
      <c r="J94" s="89">
        <f t="shared" si="10"/>
        <v>7784.4113764550684</v>
      </c>
      <c r="K94" s="89">
        <f t="shared" si="11"/>
        <v>7784.3447097884018</v>
      </c>
      <c r="L94" s="89">
        <f t="shared" si="12"/>
        <v>88.228933518366873</v>
      </c>
      <c r="M94" s="89" t="str">
        <f t="shared" si="13"/>
        <v>NG</v>
      </c>
      <c r="N94" s="117">
        <f t="shared" si="14"/>
        <v>1</v>
      </c>
      <c r="O94" s="89">
        <f t="shared" si="9"/>
        <v>4.6500000000000012</v>
      </c>
      <c r="P94" s="89">
        <f>IF(G94="","",ABS(O94-Components!$C$2))</f>
        <v>1.8966666666666714</v>
      </c>
      <c r="Q94" s="89">
        <f>IF(G94="","",ABS(O94-Components!$C$3))</f>
        <v>0.61400000000000166</v>
      </c>
      <c r="R94" s="89">
        <f>IF(G94="","",ABS(O94-Components!$C$4))</f>
        <v>3.6566666666666681</v>
      </c>
      <c r="S94" s="89">
        <f>IF(G94="","",ABS(O94-Components!$C$5))</f>
        <v>8.733333333333082E-2</v>
      </c>
      <c r="T94" s="89">
        <f>IF(G94="","",ABS(O94-Components!$C$6))</f>
        <v>3.4943333333333313</v>
      </c>
      <c r="U94" s="89">
        <f>IF(G94="","",ABS(O94-Components!$C$7))</f>
        <v>3.2756666666666714</v>
      </c>
      <c r="V94" s="89" t="str">
        <f>IF(G94="","",IF(M94="OK","NONE",INDEX({"S1","S2","W1","W2","N1","N2"},MATCH(MIN(P94:U94),P94:U94,0))))</f>
        <v>W2</v>
      </c>
      <c r="W94" s="139">
        <f t="shared" si="15"/>
        <v>1</v>
      </c>
      <c r="X94" s="125"/>
    </row>
    <row r="95" spans="1:24" ht="15.75">
      <c r="A95" s="115">
        <v>81</v>
      </c>
      <c r="B95" s="135">
        <f>'Runs Z-Score'!B83</f>
        <v>3</v>
      </c>
      <c r="C95" s="89" t="str">
        <f>'Runs Z-Score'!C83</f>
        <v>R3</v>
      </c>
      <c r="D95" s="89" t="str">
        <f>'Runs Z-Score'!D83</f>
        <v>NG</v>
      </c>
      <c r="E95" s="89" t="str">
        <f>'Runs Z-Score'!E83</f>
        <v>W2</v>
      </c>
      <c r="F95" s="89">
        <f>'Runs Z-Score'!F83</f>
        <v>5.36</v>
      </c>
      <c r="G95" s="89">
        <f t="shared" si="8"/>
        <v>6.33</v>
      </c>
      <c r="H95" s="89">
        <f>VLOOKUP(C95,Recipes!$A$2:$N$4,10,FALSE())</f>
        <v>10.940000000000001</v>
      </c>
      <c r="I95" s="89">
        <f>VLOOKUP(C95,Recipes!$A$2:$N$4,12,FALSE())</f>
        <v>5.2703573566378441E-2</v>
      </c>
      <c r="J95" s="89">
        <f t="shared" si="10"/>
        <v>7651.0620424817098</v>
      </c>
      <c r="K95" s="89">
        <f t="shared" si="11"/>
        <v>7650.9953758150432</v>
      </c>
      <c r="L95" s="89">
        <f t="shared" si="12"/>
        <v>87.469968422396519</v>
      </c>
      <c r="M95" s="89" t="str">
        <f t="shared" si="13"/>
        <v>NG</v>
      </c>
      <c r="N95" s="117">
        <f t="shared" si="14"/>
        <v>1</v>
      </c>
      <c r="O95" s="89">
        <f t="shared" si="9"/>
        <v>4.6100000000000012</v>
      </c>
      <c r="P95" s="89">
        <f>IF(G95="","",ABS(O95-Components!$C$2))</f>
        <v>1.8566666666666714</v>
      </c>
      <c r="Q95" s="89">
        <f>IF(G95="","",ABS(O95-Components!$C$3))</f>
        <v>0.57400000000000162</v>
      </c>
      <c r="R95" s="89">
        <f>IF(G95="","",ABS(O95-Components!$C$4))</f>
        <v>3.616666666666668</v>
      </c>
      <c r="S95" s="89">
        <f>IF(G95="","",ABS(O95-Components!$C$5))</f>
        <v>4.7333333333330785E-2</v>
      </c>
      <c r="T95" s="89">
        <f>IF(G95="","",ABS(O95-Components!$C$6))</f>
        <v>3.4543333333333313</v>
      </c>
      <c r="U95" s="89">
        <f>IF(G95="","",ABS(O95-Components!$C$7))</f>
        <v>3.2356666666666714</v>
      </c>
      <c r="V95" s="89" t="str">
        <f>IF(G95="","",IF(M95="OK","NONE",INDEX({"S1","S2","W1","W2","N1","N2"},MATCH(MIN(P95:U95),P95:U95,0))))</f>
        <v>W2</v>
      </c>
      <c r="W95" s="139">
        <f t="shared" si="15"/>
        <v>1</v>
      </c>
      <c r="X95" s="125"/>
    </row>
    <row r="96" spans="1:24" ht="15.75">
      <c r="A96" s="115">
        <v>82</v>
      </c>
      <c r="B96" s="135">
        <f>'Runs Z-Score'!B84</f>
        <v>3</v>
      </c>
      <c r="C96" s="89" t="str">
        <f>'Runs Z-Score'!C84</f>
        <v>R3</v>
      </c>
      <c r="D96" s="89" t="str">
        <f>'Runs Z-Score'!D84</f>
        <v>NG</v>
      </c>
      <c r="E96" s="89" t="str">
        <f>'Runs Z-Score'!E84</f>
        <v>W2</v>
      </c>
      <c r="F96" s="89">
        <f>'Runs Z-Score'!F84</f>
        <v>5.42</v>
      </c>
      <c r="G96" s="89">
        <f t="shared" si="8"/>
        <v>6.39</v>
      </c>
      <c r="H96" s="89">
        <f>VLOOKUP(C96,Recipes!$A$2:$N$4,10,FALSE())</f>
        <v>10.940000000000001</v>
      </c>
      <c r="I96" s="89">
        <f>VLOOKUP(C96,Recipes!$A$2:$N$4,12,FALSE())</f>
        <v>5.2703573566378441E-2</v>
      </c>
      <c r="J96" s="89">
        <f t="shared" si="10"/>
        <v>7453.1981279251286</v>
      </c>
      <c r="K96" s="89">
        <f t="shared" si="11"/>
        <v>7453.131461258462</v>
      </c>
      <c r="L96" s="89">
        <f t="shared" si="12"/>
        <v>86.331520670369656</v>
      </c>
      <c r="M96" s="89" t="str">
        <f t="shared" si="13"/>
        <v>NG</v>
      </c>
      <c r="N96" s="117">
        <f t="shared" si="14"/>
        <v>1</v>
      </c>
      <c r="O96" s="89">
        <f t="shared" si="9"/>
        <v>4.5500000000000016</v>
      </c>
      <c r="P96" s="89">
        <f>IF(G96="","",ABS(O96-Components!$C$2))</f>
        <v>1.7966666666666717</v>
      </c>
      <c r="Q96" s="89">
        <f>IF(G96="","",ABS(O96-Components!$C$3))</f>
        <v>0.51400000000000201</v>
      </c>
      <c r="R96" s="89">
        <f>IF(G96="","",ABS(O96-Components!$C$4))</f>
        <v>3.5566666666666684</v>
      </c>
      <c r="S96" s="89">
        <f>IF(G96="","",ABS(O96-Components!$C$5))</f>
        <v>1.2666666666668824E-2</v>
      </c>
      <c r="T96" s="89">
        <f>IF(G96="","",ABS(O96-Components!$C$6))</f>
        <v>3.3943333333333316</v>
      </c>
      <c r="U96" s="89">
        <f>IF(G96="","",ABS(O96-Components!$C$7))</f>
        <v>3.1756666666666717</v>
      </c>
      <c r="V96" s="89" t="str">
        <f>IF(G96="","",IF(M96="OK","NONE",INDEX({"S1","S2","W1","W2","N1","N2"},MATCH(MIN(P96:U96),P96:U96,0))))</f>
        <v>W2</v>
      </c>
      <c r="W96" s="139">
        <f t="shared" si="15"/>
        <v>1</v>
      </c>
      <c r="X96" s="125"/>
    </row>
    <row r="97" spans="1:24" ht="15.75">
      <c r="A97" s="115">
        <v>83</v>
      </c>
      <c r="B97" s="135">
        <f>'Runs Z-Score'!B85</f>
        <v>3</v>
      </c>
      <c r="C97" s="89" t="str">
        <f>'Runs Z-Score'!C85</f>
        <v>R3</v>
      </c>
      <c r="D97" s="89" t="str">
        <f>'Runs Z-Score'!D85</f>
        <v>NG</v>
      </c>
      <c r="E97" s="89" t="str">
        <f>'Runs Z-Score'!E85</f>
        <v>W2</v>
      </c>
      <c r="F97" s="89">
        <f>'Runs Z-Score'!F85</f>
        <v>5.37</v>
      </c>
      <c r="G97" s="89">
        <f t="shared" si="8"/>
        <v>6.34</v>
      </c>
      <c r="H97" s="89">
        <f>VLOOKUP(C97,Recipes!$A$2:$N$4,10,FALSE())</f>
        <v>10.940000000000001</v>
      </c>
      <c r="I97" s="89">
        <f>VLOOKUP(C97,Recipes!$A$2:$N$4,12,FALSE())</f>
        <v>5.2703573566378441E-2</v>
      </c>
      <c r="J97" s="89">
        <f t="shared" si="10"/>
        <v>7617.9047161886583</v>
      </c>
      <c r="K97" s="89">
        <f t="shared" si="11"/>
        <v>7617.8380495219917</v>
      </c>
      <c r="L97" s="89">
        <f t="shared" si="12"/>
        <v>87.280227139495878</v>
      </c>
      <c r="M97" s="89" t="str">
        <f t="shared" si="13"/>
        <v>NG</v>
      </c>
      <c r="N97" s="117">
        <f t="shared" si="14"/>
        <v>1</v>
      </c>
      <c r="O97" s="89">
        <f t="shared" si="9"/>
        <v>4.6000000000000014</v>
      </c>
      <c r="P97" s="89">
        <f>IF(G97="","",ABS(O97-Components!$C$2))</f>
        <v>1.8466666666666716</v>
      </c>
      <c r="Q97" s="89">
        <f>IF(G97="","",ABS(O97-Components!$C$3))</f>
        <v>0.56400000000000183</v>
      </c>
      <c r="R97" s="89">
        <f>IF(G97="","",ABS(O97-Components!$C$4))</f>
        <v>3.6066666666666682</v>
      </c>
      <c r="S97" s="89">
        <f>IF(G97="","",ABS(O97-Components!$C$5))</f>
        <v>3.7333333333330998E-2</v>
      </c>
      <c r="T97" s="89">
        <f>IF(G97="","",ABS(O97-Components!$C$6))</f>
        <v>3.4443333333333315</v>
      </c>
      <c r="U97" s="89">
        <f>IF(G97="","",ABS(O97-Components!$C$7))</f>
        <v>3.2256666666666716</v>
      </c>
      <c r="V97" s="89" t="str">
        <f>IF(G97="","",IF(M97="OK","NONE",INDEX({"S1","S2","W1","W2","N1","N2"},MATCH(MIN(P97:U97),P97:U97,0))))</f>
        <v>W2</v>
      </c>
      <c r="W97" s="139">
        <f t="shared" si="15"/>
        <v>1</v>
      </c>
      <c r="X97" s="125"/>
    </row>
    <row r="98" spans="1:24" ht="15.75">
      <c r="A98" s="115">
        <v>84</v>
      </c>
      <c r="B98" s="135">
        <f>'Runs Z-Score'!B86</f>
        <v>3</v>
      </c>
      <c r="C98" s="89" t="str">
        <f>'Runs Z-Score'!C86</f>
        <v>R3</v>
      </c>
      <c r="D98" s="89" t="str">
        <f>'Runs Z-Score'!D86</f>
        <v>NG</v>
      </c>
      <c r="E98" s="89" t="str">
        <f>'Runs Z-Score'!E86</f>
        <v>W2</v>
      </c>
      <c r="F98" s="89">
        <f>'Runs Z-Score'!F86</f>
        <v>5.4</v>
      </c>
      <c r="G98" s="89">
        <f t="shared" si="8"/>
        <v>6.37</v>
      </c>
      <c r="H98" s="89">
        <f>VLOOKUP(C98,Recipes!$A$2:$N$4,10,FALSE())</f>
        <v>10.940000000000001</v>
      </c>
      <c r="I98" s="89">
        <f>VLOOKUP(C98,Recipes!$A$2:$N$4,12,FALSE())</f>
        <v>5.2703573566378441E-2</v>
      </c>
      <c r="J98" s="89">
        <f t="shared" si="10"/>
        <v>7518.864754590194</v>
      </c>
      <c r="K98" s="89">
        <f t="shared" si="11"/>
        <v>7518.7980879235274</v>
      </c>
      <c r="L98" s="89">
        <f t="shared" si="12"/>
        <v>86.711003269040361</v>
      </c>
      <c r="M98" s="89" t="str">
        <f t="shared" si="13"/>
        <v>NG</v>
      </c>
      <c r="N98" s="117">
        <f t="shared" si="14"/>
        <v>1</v>
      </c>
      <c r="O98" s="89">
        <f t="shared" si="9"/>
        <v>4.5700000000000012</v>
      </c>
      <c r="P98" s="89">
        <f>IF(G98="","",ABS(O98-Components!$C$2))</f>
        <v>1.8166666666666713</v>
      </c>
      <c r="Q98" s="89">
        <f>IF(G98="","",ABS(O98-Components!$C$3))</f>
        <v>0.53400000000000158</v>
      </c>
      <c r="R98" s="89">
        <f>IF(G98="","",ABS(O98-Components!$C$4))</f>
        <v>3.576666666666668</v>
      </c>
      <c r="S98" s="89">
        <f>IF(G98="","",ABS(O98-Components!$C$5))</f>
        <v>7.3333333333307493E-3</v>
      </c>
      <c r="T98" s="89">
        <f>IF(G98="","",ABS(O98-Components!$C$6))</f>
        <v>3.4143333333333312</v>
      </c>
      <c r="U98" s="89">
        <f>IF(G98="","",ABS(O98-Components!$C$7))</f>
        <v>3.1956666666666713</v>
      </c>
      <c r="V98" s="89" t="str">
        <f>IF(G98="","",IF(M98="OK","NONE",INDEX({"S1","S2","W1","W2","N1","N2"},MATCH(MIN(P98:U98),P98:U98,0))))</f>
        <v>W2</v>
      </c>
      <c r="W98" s="139">
        <f t="shared" si="15"/>
        <v>1</v>
      </c>
      <c r="X98" s="125"/>
    </row>
    <row r="99" spans="1:24" ht="15.75">
      <c r="A99" s="115">
        <v>85</v>
      </c>
      <c r="B99" s="135">
        <f>'Runs Z-Score'!B87</f>
        <v>3</v>
      </c>
      <c r="C99" s="89" t="str">
        <f>'Runs Z-Score'!C87</f>
        <v>R3</v>
      </c>
      <c r="D99" s="89" t="str">
        <f>'Runs Z-Score'!D87</f>
        <v>NG</v>
      </c>
      <c r="E99" s="89" t="str">
        <f>'Runs Z-Score'!E87</f>
        <v>W2</v>
      </c>
      <c r="F99" s="89">
        <f>'Runs Z-Score'!F87</f>
        <v>5.35</v>
      </c>
      <c r="G99" s="89">
        <f t="shared" si="8"/>
        <v>6.3199999999999994</v>
      </c>
      <c r="H99" s="89">
        <f>VLOOKUP(C99,Recipes!$A$2:$N$4,10,FALSE())</f>
        <v>10.940000000000001</v>
      </c>
      <c r="I99" s="89">
        <f>VLOOKUP(C99,Recipes!$A$2:$N$4,12,FALSE())</f>
        <v>5.2703573566378441E-2</v>
      </c>
      <c r="J99" s="89">
        <f t="shared" si="10"/>
        <v>7684.2913716548783</v>
      </c>
      <c r="K99" s="89">
        <f t="shared" si="11"/>
        <v>7684.2247049882117</v>
      </c>
      <c r="L99" s="89">
        <f t="shared" si="12"/>
        <v>87.65970970171081</v>
      </c>
      <c r="M99" s="89" t="str">
        <f t="shared" si="13"/>
        <v>NG</v>
      </c>
      <c r="N99" s="117">
        <f t="shared" si="14"/>
        <v>1</v>
      </c>
      <c r="O99" s="89">
        <f t="shared" si="9"/>
        <v>4.6200000000000019</v>
      </c>
      <c r="P99" s="89">
        <f>IF(G99="","",ABS(O99-Components!$C$2))</f>
        <v>1.866666666666672</v>
      </c>
      <c r="Q99" s="89">
        <f>IF(G99="","",ABS(O99-Components!$C$3))</f>
        <v>0.5840000000000023</v>
      </c>
      <c r="R99" s="89">
        <f>IF(G99="","",ABS(O99-Components!$C$4))</f>
        <v>3.6266666666666687</v>
      </c>
      <c r="S99" s="89">
        <f>IF(G99="","",ABS(O99-Components!$C$5))</f>
        <v>5.733333333333146E-2</v>
      </c>
      <c r="T99" s="89">
        <f>IF(G99="","",ABS(O99-Components!$C$6))</f>
        <v>3.4643333333333319</v>
      </c>
      <c r="U99" s="89">
        <f>IF(G99="","",ABS(O99-Components!$C$7))</f>
        <v>3.245666666666672</v>
      </c>
      <c r="V99" s="89" t="str">
        <f>IF(G99="","",IF(M99="OK","NONE",INDEX({"S1","S2","W1","W2","N1","N2"},MATCH(MIN(P99:U99),P99:U99,0))))</f>
        <v>W2</v>
      </c>
      <c r="W99" s="139">
        <f t="shared" si="15"/>
        <v>1</v>
      </c>
      <c r="X99" s="125"/>
    </row>
    <row r="100" spans="1:24" ht="15.75">
      <c r="A100" s="115">
        <v>86</v>
      </c>
      <c r="B100" s="135">
        <f>'Runs Z-Score'!B88</f>
        <v>3</v>
      </c>
      <c r="C100" s="89" t="str">
        <f>'Runs Z-Score'!C88</f>
        <v>R3</v>
      </c>
      <c r="D100" s="89" t="str">
        <f>'Runs Z-Score'!D88</f>
        <v>NG</v>
      </c>
      <c r="E100" s="89" t="str">
        <f>'Runs Z-Score'!E88</f>
        <v>W2</v>
      </c>
      <c r="F100" s="89">
        <f>'Runs Z-Score'!F88</f>
        <v>5.38</v>
      </c>
      <c r="G100" s="89">
        <f t="shared" si="8"/>
        <v>6.35</v>
      </c>
      <c r="H100" s="89">
        <f>VLOOKUP(C100,Recipes!$A$2:$N$4,10,FALSE())</f>
        <v>10.940000000000001</v>
      </c>
      <c r="I100" s="89">
        <f>VLOOKUP(C100,Recipes!$A$2:$N$4,12,FALSE())</f>
        <v>5.2703573566378441E-2</v>
      </c>
      <c r="J100" s="89">
        <f t="shared" si="10"/>
        <v>7584.8193927757229</v>
      </c>
      <c r="K100" s="89">
        <f t="shared" si="11"/>
        <v>7584.7527261090563</v>
      </c>
      <c r="L100" s="89">
        <f t="shared" si="12"/>
        <v>87.090485852985438</v>
      </c>
      <c r="M100" s="89" t="str">
        <f t="shared" si="13"/>
        <v>NG</v>
      </c>
      <c r="N100" s="117">
        <f t="shared" si="14"/>
        <v>1</v>
      </c>
      <c r="O100" s="89">
        <f t="shared" si="9"/>
        <v>4.5900000000000016</v>
      </c>
      <c r="P100" s="89">
        <f>IF(G100="","",ABS(O100-Components!$C$2))</f>
        <v>1.8366666666666718</v>
      </c>
      <c r="Q100" s="89">
        <f>IF(G100="","",ABS(O100-Components!$C$3))</f>
        <v>0.55400000000000205</v>
      </c>
      <c r="R100" s="89">
        <f>IF(G100="","",ABS(O100-Components!$C$4))</f>
        <v>3.5966666666666685</v>
      </c>
      <c r="S100" s="89">
        <f>IF(G100="","",ABS(O100-Components!$C$5))</f>
        <v>2.7333333333331211E-2</v>
      </c>
      <c r="T100" s="89">
        <f>IF(G100="","",ABS(O100-Components!$C$6))</f>
        <v>3.4343333333333317</v>
      </c>
      <c r="U100" s="89">
        <f>IF(G100="","",ABS(O100-Components!$C$7))</f>
        <v>3.2156666666666718</v>
      </c>
      <c r="V100" s="89" t="str">
        <f>IF(G100="","",IF(M100="OK","NONE",INDEX({"S1","S2","W1","W2","N1","N2"},MATCH(MIN(P100:U100),P100:U100,0))))</f>
        <v>W2</v>
      </c>
      <c r="W100" s="139">
        <f t="shared" si="15"/>
        <v>1</v>
      </c>
      <c r="X100" s="125"/>
    </row>
    <row r="101" spans="1:24" ht="15.75">
      <c r="A101" s="115">
        <v>87</v>
      </c>
      <c r="B101" s="135">
        <f>'Runs Z-Score'!B89</f>
        <v>3</v>
      </c>
      <c r="C101" s="89" t="str">
        <f>'Runs Z-Score'!C89</f>
        <v>R3</v>
      </c>
      <c r="D101" s="89" t="str">
        <f>'Runs Z-Score'!D89</f>
        <v>NG</v>
      </c>
      <c r="E101" s="89" t="str">
        <f>'Runs Z-Score'!E89</f>
        <v>W2</v>
      </c>
      <c r="F101" s="89">
        <f>'Runs Z-Score'!F89</f>
        <v>5.34</v>
      </c>
      <c r="G101" s="89">
        <f t="shared" si="8"/>
        <v>6.31</v>
      </c>
      <c r="H101" s="89">
        <f>VLOOKUP(C101,Recipes!$A$2:$N$4,10,FALSE())</f>
        <v>10.940000000000001</v>
      </c>
      <c r="I101" s="89">
        <f>VLOOKUP(C101,Recipes!$A$2:$N$4,12,FALSE())</f>
        <v>5.2703573566378441E-2</v>
      </c>
      <c r="J101" s="89">
        <f t="shared" si="10"/>
        <v>7717.5927037081601</v>
      </c>
      <c r="K101" s="89">
        <f t="shared" si="11"/>
        <v>7717.5260370414935</v>
      </c>
      <c r="L101" s="89">
        <f t="shared" si="12"/>
        <v>87.84945097746197</v>
      </c>
      <c r="M101" s="89" t="str">
        <f t="shared" si="13"/>
        <v>NG</v>
      </c>
      <c r="N101" s="117">
        <f t="shared" si="14"/>
        <v>1</v>
      </c>
      <c r="O101" s="89">
        <f t="shared" si="9"/>
        <v>4.6300000000000017</v>
      </c>
      <c r="P101" s="89">
        <f>IF(G101="","",ABS(O101-Components!$C$2))</f>
        <v>1.8766666666666718</v>
      </c>
      <c r="Q101" s="89">
        <f>IF(G101="","",ABS(O101-Components!$C$3))</f>
        <v>0.59400000000000208</v>
      </c>
      <c r="R101" s="89">
        <f>IF(G101="","",ABS(O101-Components!$C$4))</f>
        <v>3.6366666666666685</v>
      </c>
      <c r="S101" s="89">
        <f>IF(G101="","",ABS(O101-Components!$C$5))</f>
        <v>6.7333333333331247E-2</v>
      </c>
      <c r="T101" s="89">
        <f>IF(G101="","",ABS(O101-Components!$C$6))</f>
        <v>3.4743333333333317</v>
      </c>
      <c r="U101" s="89">
        <f>IF(G101="","",ABS(O101-Components!$C$7))</f>
        <v>3.2556666666666718</v>
      </c>
      <c r="V101" s="89" t="str">
        <f>IF(G101="","",IF(M101="OK","NONE",INDEX({"S1","S2","W1","W2","N1","N2"},MATCH(MIN(P101:U101),P101:U101,0))))</f>
        <v>W2</v>
      </c>
      <c r="W101" s="139">
        <f t="shared" si="15"/>
        <v>1</v>
      </c>
      <c r="X101" s="125"/>
    </row>
    <row r="102" spans="1:24" ht="15.75">
      <c r="A102" s="115">
        <v>88</v>
      </c>
      <c r="B102" s="135">
        <f>'Runs Z-Score'!B90</f>
        <v>3</v>
      </c>
      <c r="C102" s="89" t="str">
        <f>'Runs Z-Score'!C90</f>
        <v>R3</v>
      </c>
      <c r="D102" s="89" t="str">
        <f>'Runs Z-Score'!D90</f>
        <v>NG</v>
      </c>
      <c r="E102" s="89" t="str">
        <f>'Runs Z-Score'!E90</f>
        <v>W2</v>
      </c>
      <c r="F102" s="89">
        <f>'Runs Z-Score'!F90</f>
        <v>5.42</v>
      </c>
      <c r="G102" s="89">
        <f t="shared" si="8"/>
        <v>6.39</v>
      </c>
      <c r="H102" s="89">
        <f>VLOOKUP(C102,Recipes!$A$2:$N$4,10,FALSE())</f>
        <v>10.940000000000001</v>
      </c>
      <c r="I102" s="89">
        <f>VLOOKUP(C102,Recipes!$A$2:$N$4,12,FALSE())</f>
        <v>5.2703573566378441E-2</v>
      </c>
      <c r="J102" s="89">
        <f t="shared" si="10"/>
        <v>7453.1981279251286</v>
      </c>
      <c r="K102" s="89">
        <f t="shared" si="11"/>
        <v>7453.131461258462</v>
      </c>
      <c r="L102" s="89">
        <f t="shared" si="12"/>
        <v>86.331520670369656</v>
      </c>
      <c r="M102" s="89" t="str">
        <f t="shared" si="13"/>
        <v>NG</v>
      </c>
      <c r="N102" s="117">
        <f t="shared" si="14"/>
        <v>1</v>
      </c>
      <c r="O102" s="89">
        <f t="shared" si="9"/>
        <v>4.5500000000000016</v>
      </c>
      <c r="P102" s="89">
        <f>IF(G102="","",ABS(O102-Components!$C$2))</f>
        <v>1.7966666666666717</v>
      </c>
      <c r="Q102" s="89">
        <f>IF(G102="","",ABS(O102-Components!$C$3))</f>
        <v>0.51400000000000201</v>
      </c>
      <c r="R102" s="89">
        <f>IF(G102="","",ABS(O102-Components!$C$4))</f>
        <v>3.5566666666666684</v>
      </c>
      <c r="S102" s="89">
        <f>IF(G102="","",ABS(O102-Components!$C$5))</f>
        <v>1.2666666666668824E-2</v>
      </c>
      <c r="T102" s="89">
        <f>IF(G102="","",ABS(O102-Components!$C$6))</f>
        <v>3.3943333333333316</v>
      </c>
      <c r="U102" s="89">
        <f>IF(G102="","",ABS(O102-Components!$C$7))</f>
        <v>3.1756666666666717</v>
      </c>
      <c r="V102" s="89" t="str">
        <f>IF(G102="","",IF(M102="OK","NONE",INDEX({"S1","S2","W1","W2","N1","N2"},MATCH(MIN(P102:U102),P102:U102,0))))</f>
        <v>W2</v>
      </c>
      <c r="W102" s="139">
        <f t="shared" si="15"/>
        <v>1</v>
      </c>
      <c r="X102" s="125"/>
    </row>
    <row r="103" spans="1:24" ht="15.75">
      <c r="A103" s="115">
        <v>89</v>
      </c>
      <c r="B103" s="135">
        <f>'Runs Z-Score'!B91</f>
        <v>3</v>
      </c>
      <c r="C103" s="89" t="str">
        <f>'Runs Z-Score'!C91</f>
        <v>R3</v>
      </c>
      <c r="D103" s="89" t="str">
        <f>'Runs Z-Score'!D91</f>
        <v>NG</v>
      </c>
      <c r="E103" s="89" t="str">
        <f>'Runs Z-Score'!E91</f>
        <v>W2</v>
      </c>
      <c r="F103" s="89">
        <f>'Runs Z-Score'!F91</f>
        <v>5.4</v>
      </c>
      <c r="G103" s="89">
        <f t="shared" si="8"/>
        <v>6.37</v>
      </c>
      <c r="H103" s="89">
        <f>VLOOKUP(C103,Recipes!$A$2:$N$4,10,FALSE())</f>
        <v>10.940000000000001</v>
      </c>
      <c r="I103" s="89">
        <f>VLOOKUP(C103,Recipes!$A$2:$N$4,12,FALSE())</f>
        <v>5.2703573566378441E-2</v>
      </c>
      <c r="J103" s="89">
        <f t="shared" si="10"/>
        <v>7518.864754590194</v>
      </c>
      <c r="K103" s="89">
        <f t="shared" si="11"/>
        <v>7518.7980879235274</v>
      </c>
      <c r="L103" s="89">
        <f t="shared" si="12"/>
        <v>86.711003269040361</v>
      </c>
      <c r="M103" s="89" t="str">
        <f t="shared" si="13"/>
        <v>NG</v>
      </c>
      <c r="N103" s="117">
        <f t="shared" si="14"/>
        <v>1</v>
      </c>
      <c r="O103" s="89">
        <f t="shared" si="9"/>
        <v>4.5700000000000012</v>
      </c>
      <c r="P103" s="89">
        <f>IF(G103="","",ABS(O103-Components!$C$2))</f>
        <v>1.8166666666666713</v>
      </c>
      <c r="Q103" s="89">
        <f>IF(G103="","",ABS(O103-Components!$C$3))</f>
        <v>0.53400000000000158</v>
      </c>
      <c r="R103" s="89">
        <f>IF(G103="","",ABS(O103-Components!$C$4))</f>
        <v>3.576666666666668</v>
      </c>
      <c r="S103" s="89">
        <f>IF(G103="","",ABS(O103-Components!$C$5))</f>
        <v>7.3333333333307493E-3</v>
      </c>
      <c r="T103" s="89">
        <f>IF(G103="","",ABS(O103-Components!$C$6))</f>
        <v>3.4143333333333312</v>
      </c>
      <c r="U103" s="89">
        <f>IF(G103="","",ABS(O103-Components!$C$7))</f>
        <v>3.1956666666666713</v>
      </c>
      <c r="V103" s="89" t="str">
        <f>IF(G103="","",IF(M103="OK","NONE",INDEX({"S1","S2","W1","W2","N1","N2"},MATCH(MIN(P103:U103),P103:U103,0))))</f>
        <v>W2</v>
      </c>
      <c r="W103" s="139">
        <f t="shared" si="15"/>
        <v>1</v>
      </c>
      <c r="X103" s="125"/>
    </row>
    <row r="104" spans="1:24" ht="15.75">
      <c r="A104" s="115">
        <v>90</v>
      </c>
      <c r="B104" s="135">
        <f>'Runs Z-Score'!B92</f>
        <v>3</v>
      </c>
      <c r="C104" s="89" t="str">
        <f>'Runs Z-Score'!C92</f>
        <v>R3</v>
      </c>
      <c r="D104" s="89" t="str">
        <f>'Runs Z-Score'!D92</f>
        <v>NG</v>
      </c>
      <c r="E104" s="89" t="str">
        <f>'Runs Z-Score'!E92</f>
        <v>W2</v>
      </c>
      <c r="F104" s="89">
        <f>'Runs Z-Score'!F92</f>
        <v>5.42</v>
      </c>
      <c r="G104" s="89">
        <f t="shared" si="8"/>
        <v>6.39</v>
      </c>
      <c r="H104" s="89">
        <f>VLOOKUP(C104,Recipes!$A$2:$N$4,10,FALSE())</f>
        <v>10.940000000000001</v>
      </c>
      <c r="I104" s="89">
        <f>VLOOKUP(C104,Recipes!$A$2:$N$4,12,FALSE())</f>
        <v>5.2703573566378441E-2</v>
      </c>
      <c r="J104" s="89">
        <f t="shared" si="10"/>
        <v>7453.1981279251286</v>
      </c>
      <c r="K104" s="89">
        <f t="shared" si="11"/>
        <v>7453.131461258462</v>
      </c>
      <c r="L104" s="89">
        <f t="shared" si="12"/>
        <v>86.331520670369656</v>
      </c>
      <c r="M104" s="89" t="str">
        <f t="shared" si="13"/>
        <v>NG</v>
      </c>
      <c r="N104" s="117">
        <f t="shared" si="14"/>
        <v>1</v>
      </c>
      <c r="O104" s="89">
        <f t="shared" si="9"/>
        <v>4.5500000000000016</v>
      </c>
      <c r="P104" s="89">
        <f>IF(G104="","",ABS(O104-Components!$C$2))</f>
        <v>1.7966666666666717</v>
      </c>
      <c r="Q104" s="89">
        <f>IF(G104="","",ABS(O104-Components!$C$3))</f>
        <v>0.51400000000000201</v>
      </c>
      <c r="R104" s="89">
        <f>IF(G104="","",ABS(O104-Components!$C$4))</f>
        <v>3.5566666666666684</v>
      </c>
      <c r="S104" s="89">
        <f>IF(G104="","",ABS(O104-Components!$C$5))</f>
        <v>1.2666666666668824E-2</v>
      </c>
      <c r="T104" s="89">
        <f>IF(G104="","",ABS(O104-Components!$C$6))</f>
        <v>3.3943333333333316</v>
      </c>
      <c r="U104" s="89">
        <f>IF(G104="","",ABS(O104-Components!$C$7))</f>
        <v>3.1756666666666717</v>
      </c>
      <c r="V104" s="89" t="str">
        <f>IF(G104="","",IF(M104="OK","NONE",INDEX({"S1","S2","W1","W2","N1","N2"},MATCH(MIN(P104:U104),P104:U104,0))))</f>
        <v>W2</v>
      </c>
      <c r="W104" s="139">
        <f t="shared" si="15"/>
        <v>1</v>
      </c>
      <c r="X104" s="125"/>
    </row>
    <row r="105" spans="1:24" ht="15.75">
      <c r="A105" s="115">
        <v>91</v>
      </c>
      <c r="B105" s="135">
        <f>'Runs Z-Score'!B93</f>
        <v>4</v>
      </c>
      <c r="C105" s="89" t="str">
        <f>'Runs Z-Score'!C93</f>
        <v>R3</v>
      </c>
      <c r="D105" s="89" t="str">
        <f>'Runs Z-Score'!D93</f>
        <v>NG</v>
      </c>
      <c r="E105" s="89" t="str">
        <f>'Runs Z-Score'!E93</f>
        <v>N2</v>
      </c>
      <c r="F105" s="89">
        <f>'Runs Z-Score'!F93</f>
        <v>8.61</v>
      </c>
      <c r="G105" s="89">
        <f t="shared" si="8"/>
        <v>9.58</v>
      </c>
      <c r="H105" s="89">
        <f>VLOOKUP(C105,Recipes!$A$2:$N$4,10,FALSE())</f>
        <v>10.940000000000001</v>
      </c>
      <c r="I105" s="89">
        <f>VLOOKUP(C105,Recipes!$A$2:$N$4,12,FALSE())</f>
        <v>5.2703573566378441E-2</v>
      </c>
      <c r="J105" s="89">
        <f t="shared" si="10"/>
        <v>665.88263530541406</v>
      </c>
      <c r="K105" s="89">
        <f t="shared" si="11"/>
        <v>665.81596863874734</v>
      </c>
      <c r="L105" s="89">
        <f t="shared" si="12"/>
        <v>25.803410019583602</v>
      </c>
      <c r="M105" s="89" t="str">
        <f t="shared" si="13"/>
        <v>NG</v>
      </c>
      <c r="N105" s="117">
        <f t="shared" si="14"/>
        <v>1</v>
      </c>
      <c r="O105" s="89">
        <f t="shared" si="9"/>
        <v>1.3600000000000012</v>
      </c>
      <c r="P105" s="89">
        <f>IF(G105="","",ABS(O105-Components!$C$2))</f>
        <v>1.3933333333333286</v>
      </c>
      <c r="Q105" s="89">
        <f>IF(G105="","",ABS(O105-Components!$C$3))</f>
        <v>2.6759999999999984</v>
      </c>
      <c r="R105" s="89">
        <f>IF(G105="","",ABS(O105-Components!$C$4))</f>
        <v>0.36666666666666825</v>
      </c>
      <c r="S105" s="89">
        <f>IF(G105="","",ABS(O105-Components!$C$5))</f>
        <v>3.2026666666666692</v>
      </c>
      <c r="T105" s="89">
        <f>IF(G105="","",ABS(O105-Components!$C$6))</f>
        <v>0.20433333333333126</v>
      </c>
      <c r="U105" s="89">
        <f>IF(G105="","",ABS(O105-Components!$C$7))</f>
        <v>1.4333333333328868E-2</v>
      </c>
      <c r="V105" s="89" t="str">
        <f>IF(G105="","",IF(M105="OK","NONE",INDEX({"S1","S2","W1","W2","N1","N2"},MATCH(MIN(P105:U105),P105:U105,0))))</f>
        <v>N2</v>
      </c>
      <c r="W105" s="139">
        <f t="shared" si="15"/>
        <v>1</v>
      </c>
      <c r="X105" s="125"/>
    </row>
    <row r="106" spans="1:24" ht="15.75">
      <c r="A106" s="115">
        <v>92</v>
      </c>
      <c r="B106" s="135">
        <f>'Runs Z-Score'!B94</f>
        <v>4</v>
      </c>
      <c r="C106" s="89" t="str">
        <f>'Runs Z-Score'!C94</f>
        <v>R3</v>
      </c>
      <c r="D106" s="89" t="str">
        <f>'Runs Z-Score'!D94</f>
        <v>NG</v>
      </c>
      <c r="E106" s="89" t="str">
        <f>'Runs Z-Score'!E94</f>
        <v>N2</v>
      </c>
      <c r="F106" s="89">
        <f>'Runs Z-Score'!F94</f>
        <v>8.6199999999999992</v>
      </c>
      <c r="G106" s="89">
        <f t="shared" si="8"/>
        <v>9.59</v>
      </c>
      <c r="H106" s="89">
        <f>VLOOKUP(C106,Recipes!$A$2:$N$4,10,FALSE())</f>
        <v>10.940000000000001</v>
      </c>
      <c r="I106" s="89">
        <f>VLOOKUP(C106,Recipes!$A$2:$N$4,12,FALSE())</f>
        <v>5.2703573566378441E-2</v>
      </c>
      <c r="J106" s="89">
        <f t="shared" si="10"/>
        <v>656.12624504980397</v>
      </c>
      <c r="K106" s="89">
        <f t="shared" si="11"/>
        <v>656.05957838313725</v>
      </c>
      <c r="L106" s="89">
        <f t="shared" si="12"/>
        <v>25.613659995852551</v>
      </c>
      <c r="M106" s="89" t="str">
        <f t="shared" si="13"/>
        <v>NG</v>
      </c>
      <c r="N106" s="117">
        <f t="shared" si="14"/>
        <v>1</v>
      </c>
      <c r="O106" s="89">
        <f t="shared" si="9"/>
        <v>1.3500000000000014</v>
      </c>
      <c r="P106" s="89">
        <f>IF(G106="","",ABS(O106-Components!$C$2))</f>
        <v>1.4033333333333284</v>
      </c>
      <c r="Q106" s="89">
        <f>IF(G106="","",ABS(O106-Components!$C$3))</f>
        <v>2.6859999999999982</v>
      </c>
      <c r="R106" s="89">
        <f>IF(G106="","",ABS(O106-Components!$C$4))</f>
        <v>0.35666666666666846</v>
      </c>
      <c r="S106" s="89">
        <f>IF(G106="","",ABS(O106-Components!$C$5))</f>
        <v>3.212666666666669</v>
      </c>
      <c r="T106" s="89">
        <f>IF(G106="","",ABS(O106-Components!$C$6))</f>
        <v>0.19433333333333147</v>
      </c>
      <c r="U106" s="89">
        <f>IF(G106="","",ABS(O106-Components!$C$7))</f>
        <v>2.4333333333328655E-2</v>
      </c>
      <c r="V106" s="89" t="str">
        <f>IF(G106="","",IF(M106="OK","NONE",INDEX({"S1","S2","W1","W2","N1","N2"},MATCH(MIN(P106:U106),P106:U106,0))))</f>
        <v>N2</v>
      </c>
      <c r="W106" s="139">
        <f t="shared" si="15"/>
        <v>1</v>
      </c>
      <c r="X106" s="125"/>
    </row>
    <row r="107" spans="1:24" ht="15.75">
      <c r="A107" s="115">
        <v>93</v>
      </c>
      <c r="B107" s="135">
        <f>'Runs Z-Score'!B95</f>
        <v>4</v>
      </c>
      <c r="C107" s="89" t="str">
        <f>'Runs Z-Score'!C95</f>
        <v>R3</v>
      </c>
      <c r="D107" s="89" t="str">
        <f>'Runs Z-Score'!D95</f>
        <v>NG</v>
      </c>
      <c r="E107" s="89" t="str">
        <f>'Runs Z-Score'!E95</f>
        <v>N2</v>
      </c>
      <c r="F107" s="89">
        <f>'Runs Z-Score'!F95</f>
        <v>8.6300000000000008</v>
      </c>
      <c r="G107" s="89">
        <f t="shared" si="8"/>
        <v>9.6000000000000014</v>
      </c>
      <c r="H107" s="89">
        <f>VLOOKUP(C107,Recipes!$A$2:$N$4,10,FALSE())</f>
        <v>10.940000000000001</v>
      </c>
      <c r="I107" s="89">
        <f>VLOOKUP(C107,Recipes!$A$2:$N$4,12,FALSE())</f>
        <v>5.2703573566378441E-2</v>
      </c>
      <c r="J107" s="89">
        <f t="shared" si="10"/>
        <v>646.44185767430736</v>
      </c>
      <c r="K107" s="89">
        <f t="shared" si="11"/>
        <v>646.37519100764064</v>
      </c>
      <c r="L107" s="89">
        <f t="shared" si="12"/>
        <v>25.423909829285517</v>
      </c>
      <c r="M107" s="89" t="str">
        <f t="shared" si="13"/>
        <v>NG</v>
      </c>
      <c r="N107" s="117">
        <f t="shared" si="14"/>
        <v>1</v>
      </c>
      <c r="O107" s="89">
        <f t="shared" si="9"/>
        <v>1.3399999999999999</v>
      </c>
      <c r="P107" s="89">
        <f>IF(G107="","",ABS(O107-Components!$C$2))</f>
        <v>1.41333333333333</v>
      </c>
      <c r="Q107" s="89">
        <f>IF(G107="","",ABS(O107-Components!$C$3))</f>
        <v>2.6959999999999997</v>
      </c>
      <c r="R107" s="89">
        <f>IF(G107="","",ABS(O107-Components!$C$4))</f>
        <v>0.3466666666666669</v>
      </c>
      <c r="S107" s="89">
        <f>IF(G107="","",ABS(O107-Components!$C$5))</f>
        <v>3.2226666666666706</v>
      </c>
      <c r="T107" s="89">
        <f>IF(G107="","",ABS(O107-Components!$C$6))</f>
        <v>0.18433333333332991</v>
      </c>
      <c r="U107" s="89">
        <f>IF(G107="","",ABS(O107-Components!$C$7))</f>
        <v>3.4333333333330218E-2</v>
      </c>
      <c r="V107" s="89" t="str">
        <f>IF(G107="","",IF(M107="OK","NONE",INDEX({"S1","S2","W1","W2","N1","N2"},MATCH(MIN(P107:U107),P107:U107,0))))</f>
        <v>N2</v>
      </c>
      <c r="W107" s="139">
        <f t="shared" si="15"/>
        <v>1</v>
      </c>
      <c r="X107" s="125"/>
    </row>
    <row r="108" spans="1:24" ht="15.75">
      <c r="A108" s="115">
        <v>94</v>
      </c>
      <c r="B108" s="135">
        <f>'Runs Z-Score'!B96</f>
        <v>4</v>
      </c>
      <c r="C108" s="89" t="str">
        <f>'Runs Z-Score'!C96</f>
        <v>R3</v>
      </c>
      <c r="D108" s="89" t="str">
        <f>'Runs Z-Score'!D96</f>
        <v>NG</v>
      </c>
      <c r="E108" s="89" t="str">
        <f>'Runs Z-Score'!E96</f>
        <v>N2</v>
      </c>
      <c r="F108" s="89">
        <f>'Runs Z-Score'!F96</f>
        <v>8.6199999999999992</v>
      </c>
      <c r="G108" s="89">
        <f t="shared" si="8"/>
        <v>9.59</v>
      </c>
      <c r="H108" s="89">
        <f>VLOOKUP(C108,Recipes!$A$2:$N$4,10,FALSE())</f>
        <v>10.940000000000001</v>
      </c>
      <c r="I108" s="89">
        <f>VLOOKUP(C108,Recipes!$A$2:$N$4,12,FALSE())</f>
        <v>5.2703573566378441E-2</v>
      </c>
      <c r="J108" s="89">
        <f t="shared" si="10"/>
        <v>656.12624504980397</v>
      </c>
      <c r="K108" s="89">
        <f t="shared" si="11"/>
        <v>656.05957838313725</v>
      </c>
      <c r="L108" s="89">
        <f t="shared" si="12"/>
        <v>25.613659995852551</v>
      </c>
      <c r="M108" s="89" t="str">
        <f t="shared" si="13"/>
        <v>NG</v>
      </c>
      <c r="N108" s="117">
        <f t="shared" si="14"/>
        <v>1</v>
      </c>
      <c r="O108" s="89">
        <f t="shared" si="9"/>
        <v>1.3500000000000014</v>
      </c>
      <c r="P108" s="89">
        <f>IF(G108="","",ABS(O108-Components!$C$2))</f>
        <v>1.4033333333333284</v>
      </c>
      <c r="Q108" s="89">
        <f>IF(G108="","",ABS(O108-Components!$C$3))</f>
        <v>2.6859999999999982</v>
      </c>
      <c r="R108" s="89">
        <f>IF(G108="","",ABS(O108-Components!$C$4))</f>
        <v>0.35666666666666846</v>
      </c>
      <c r="S108" s="89">
        <f>IF(G108="","",ABS(O108-Components!$C$5))</f>
        <v>3.212666666666669</v>
      </c>
      <c r="T108" s="89">
        <f>IF(G108="","",ABS(O108-Components!$C$6))</f>
        <v>0.19433333333333147</v>
      </c>
      <c r="U108" s="89">
        <f>IF(G108="","",ABS(O108-Components!$C$7))</f>
        <v>2.4333333333328655E-2</v>
      </c>
      <c r="V108" s="89" t="str">
        <f>IF(G108="","",IF(M108="OK","NONE",INDEX({"S1","S2","W1","W2","N1","N2"},MATCH(MIN(P108:U108),P108:U108,0))))</f>
        <v>N2</v>
      </c>
      <c r="W108" s="139">
        <f t="shared" si="15"/>
        <v>1</v>
      </c>
      <c r="X108" s="125"/>
    </row>
    <row r="109" spans="1:24" ht="15.75">
      <c r="A109" s="115">
        <v>95</v>
      </c>
      <c r="B109" s="135">
        <f>'Runs Z-Score'!B97</f>
        <v>4</v>
      </c>
      <c r="C109" s="89" t="str">
        <f>'Runs Z-Score'!C97</f>
        <v>R3</v>
      </c>
      <c r="D109" s="89" t="str">
        <f>'Runs Z-Score'!D97</f>
        <v>NG</v>
      </c>
      <c r="E109" s="89" t="str">
        <f>'Runs Z-Score'!E97</f>
        <v>N2</v>
      </c>
      <c r="F109" s="89">
        <f>'Runs Z-Score'!F97</f>
        <v>8.5399999999999991</v>
      </c>
      <c r="G109" s="89">
        <f t="shared" si="8"/>
        <v>9.51</v>
      </c>
      <c r="H109" s="89">
        <f>VLOOKUP(C109,Recipes!$A$2:$N$4,10,FALSE())</f>
        <v>10.940000000000001</v>
      </c>
      <c r="I109" s="89">
        <f>VLOOKUP(C109,Recipes!$A$2:$N$4,12,FALSE())</f>
        <v>5.2703573566378441E-2</v>
      </c>
      <c r="J109" s="89">
        <f t="shared" si="10"/>
        <v>736.1934477379117</v>
      </c>
      <c r="K109" s="89">
        <f t="shared" si="11"/>
        <v>736.12678107124498</v>
      </c>
      <c r="L109" s="89">
        <f t="shared" si="12"/>
        <v>27.131656438029083</v>
      </c>
      <c r="M109" s="89" t="str">
        <f t="shared" si="13"/>
        <v>NG</v>
      </c>
      <c r="N109" s="117">
        <f t="shared" si="14"/>
        <v>1</v>
      </c>
      <c r="O109" s="89">
        <f t="shared" si="9"/>
        <v>1.4300000000000015</v>
      </c>
      <c r="P109" s="89">
        <f>IF(G109="","",ABS(O109-Components!$C$2))</f>
        <v>1.3233333333333284</v>
      </c>
      <c r="Q109" s="89">
        <f>IF(G109="","",ABS(O109-Components!$C$3))</f>
        <v>2.6059999999999981</v>
      </c>
      <c r="R109" s="89">
        <f>IF(G109="","",ABS(O109-Components!$C$4))</f>
        <v>0.43666666666666853</v>
      </c>
      <c r="S109" s="89">
        <f>IF(G109="","",ABS(O109-Components!$C$5))</f>
        <v>3.1326666666666689</v>
      </c>
      <c r="T109" s="89">
        <f>IF(G109="","",ABS(O109-Components!$C$6))</f>
        <v>0.27433333333333154</v>
      </c>
      <c r="U109" s="89">
        <f>IF(G109="","",ABS(O109-Components!$C$7))</f>
        <v>5.5666666666671416E-2</v>
      </c>
      <c r="V109" s="89" t="str">
        <f>IF(G109="","",IF(M109="OK","NONE",INDEX({"S1","S2","W1","W2","N1","N2"},MATCH(MIN(P109:U109),P109:U109,0))))</f>
        <v>N2</v>
      </c>
      <c r="W109" s="139">
        <f t="shared" si="15"/>
        <v>1</v>
      </c>
      <c r="X109" s="125"/>
    </row>
    <row r="110" spans="1:24" ht="15.75">
      <c r="A110" s="115">
        <v>96</v>
      </c>
      <c r="B110" s="135">
        <f>'Runs Z-Score'!B98</f>
        <v>4</v>
      </c>
      <c r="C110" s="89" t="str">
        <f>'Runs Z-Score'!C98</f>
        <v>R3</v>
      </c>
      <c r="D110" s="89" t="str">
        <f>'Runs Z-Score'!D98</f>
        <v>NG</v>
      </c>
      <c r="E110" s="89" t="str">
        <f>'Runs Z-Score'!E98</f>
        <v>N2</v>
      </c>
      <c r="F110" s="89">
        <f>'Runs Z-Score'!F98</f>
        <v>8.48</v>
      </c>
      <c r="G110" s="89">
        <f t="shared" si="8"/>
        <v>9.4500000000000011</v>
      </c>
      <c r="H110" s="89">
        <f>VLOOKUP(C110,Recipes!$A$2:$N$4,10,FALSE())</f>
        <v>10.940000000000001</v>
      </c>
      <c r="I110" s="89">
        <f>VLOOKUP(C110,Recipes!$A$2:$N$4,12,FALSE())</f>
        <v>5.2703573566378441E-2</v>
      </c>
      <c r="J110" s="89">
        <f t="shared" si="10"/>
        <v>799.26797071882959</v>
      </c>
      <c r="K110" s="89">
        <f t="shared" si="11"/>
        <v>799.20130405216287</v>
      </c>
      <c r="L110" s="89">
        <f t="shared" si="12"/>
        <v>28.270148638664121</v>
      </c>
      <c r="M110" s="89" t="str">
        <f t="shared" si="13"/>
        <v>NG</v>
      </c>
      <c r="N110" s="117">
        <f t="shared" si="14"/>
        <v>1</v>
      </c>
      <c r="O110" s="89">
        <f t="shared" si="9"/>
        <v>1.4900000000000002</v>
      </c>
      <c r="P110" s="89">
        <f>IF(G110="","",ABS(O110-Components!$C$2))</f>
        <v>1.2633333333333296</v>
      </c>
      <c r="Q110" s="89">
        <f>IF(G110="","",ABS(O110-Components!$C$3))</f>
        <v>2.5459999999999994</v>
      </c>
      <c r="R110" s="89">
        <f>IF(G110="","",ABS(O110-Components!$C$4))</f>
        <v>0.49666666666666726</v>
      </c>
      <c r="S110" s="89">
        <f>IF(G110="","",ABS(O110-Components!$C$5))</f>
        <v>3.0726666666666702</v>
      </c>
      <c r="T110" s="89">
        <f>IF(G110="","",ABS(O110-Components!$C$6))</f>
        <v>0.33433333333333026</v>
      </c>
      <c r="U110" s="89">
        <f>IF(G110="","",ABS(O110-Components!$C$7))</f>
        <v>0.11566666666667014</v>
      </c>
      <c r="V110" s="89" t="str">
        <f>IF(G110="","",IF(M110="OK","NONE",INDEX({"S1","S2","W1","W2","N1","N2"},MATCH(MIN(P110:U110),P110:U110,0))))</f>
        <v>N2</v>
      </c>
      <c r="W110" s="139">
        <f t="shared" si="15"/>
        <v>1</v>
      </c>
      <c r="X110" s="125"/>
    </row>
    <row r="111" spans="1:24" ht="15.75">
      <c r="A111" s="115">
        <v>97</v>
      </c>
      <c r="B111" s="135">
        <f>'Runs Z-Score'!B99</f>
        <v>4</v>
      </c>
      <c r="C111" s="89" t="str">
        <f>'Runs Z-Score'!C99</f>
        <v>R3</v>
      </c>
      <c r="D111" s="89" t="str">
        <f>'Runs Z-Score'!D99</f>
        <v>NG</v>
      </c>
      <c r="E111" s="89" t="str">
        <f>'Runs Z-Score'!E99</f>
        <v>N2</v>
      </c>
      <c r="F111" s="89">
        <f>'Runs Z-Score'!F99</f>
        <v>8.6</v>
      </c>
      <c r="G111" s="89">
        <f t="shared" si="8"/>
        <v>9.57</v>
      </c>
      <c r="H111" s="89">
        <f>VLOOKUP(C111,Recipes!$A$2:$N$4,10,FALSE())</f>
        <v>10.940000000000001</v>
      </c>
      <c r="I111" s="89">
        <f>VLOOKUP(C111,Recipes!$A$2:$N$4,12,FALSE())</f>
        <v>5.2703573566378441E-2</v>
      </c>
      <c r="J111" s="89">
        <f t="shared" si="10"/>
        <v>675.71102844113909</v>
      </c>
      <c r="K111" s="89">
        <f t="shared" si="11"/>
        <v>675.64436177447237</v>
      </c>
      <c r="L111" s="89">
        <f t="shared" si="12"/>
        <v>25.993159903606802</v>
      </c>
      <c r="M111" s="89" t="str">
        <f t="shared" si="13"/>
        <v>NG</v>
      </c>
      <c r="N111" s="117">
        <f t="shared" si="14"/>
        <v>1</v>
      </c>
      <c r="O111" s="89">
        <f t="shared" si="9"/>
        <v>1.370000000000001</v>
      </c>
      <c r="P111" s="89">
        <f>IF(G111="","",ABS(O111-Components!$C$2))</f>
        <v>1.3833333333333289</v>
      </c>
      <c r="Q111" s="89">
        <f>IF(G111="","",ABS(O111-Components!$C$3))</f>
        <v>2.6659999999999986</v>
      </c>
      <c r="R111" s="89">
        <f>IF(G111="","",ABS(O111-Components!$C$4))</f>
        <v>0.37666666666666804</v>
      </c>
      <c r="S111" s="89">
        <f>IF(G111="","",ABS(O111-Components!$C$5))</f>
        <v>3.1926666666666694</v>
      </c>
      <c r="T111" s="89">
        <f>IF(G111="","",ABS(O111-Components!$C$6))</f>
        <v>0.21433333333333104</v>
      </c>
      <c r="U111" s="89">
        <f>IF(G111="","",ABS(O111-Components!$C$7))</f>
        <v>4.3333333333290813E-3</v>
      </c>
      <c r="V111" s="89" t="str">
        <f>IF(G111="","",IF(M111="OK","NONE",INDEX({"S1","S2","W1","W2","N1","N2"},MATCH(MIN(P111:U111),P111:U111,0))))</f>
        <v>N2</v>
      </c>
      <c r="W111" s="139">
        <f t="shared" si="15"/>
        <v>1</v>
      </c>
      <c r="X111" s="125"/>
    </row>
    <row r="112" spans="1:24" ht="15.75">
      <c r="A112" s="115">
        <v>98</v>
      </c>
      <c r="B112" s="135">
        <f>'Runs Z-Score'!B100</f>
        <v>4</v>
      </c>
      <c r="C112" s="89" t="str">
        <f>'Runs Z-Score'!C100</f>
        <v>R3</v>
      </c>
      <c r="D112" s="89" t="str">
        <f>'Runs Z-Score'!D100</f>
        <v>NG</v>
      </c>
      <c r="E112" s="89" t="str">
        <f>'Runs Z-Score'!E100</f>
        <v>N2</v>
      </c>
      <c r="F112" s="89">
        <f>'Runs Z-Score'!F100</f>
        <v>8.6300000000000008</v>
      </c>
      <c r="G112" s="89">
        <f t="shared" si="8"/>
        <v>9.6000000000000014</v>
      </c>
      <c r="H112" s="89">
        <f>VLOOKUP(C112,Recipes!$A$2:$N$4,10,FALSE())</f>
        <v>10.940000000000001</v>
      </c>
      <c r="I112" s="89">
        <f>VLOOKUP(C112,Recipes!$A$2:$N$4,12,FALSE())</f>
        <v>5.2703573566378441E-2</v>
      </c>
      <c r="J112" s="89">
        <f t="shared" si="10"/>
        <v>646.44185767430736</v>
      </c>
      <c r="K112" s="89">
        <f t="shared" si="11"/>
        <v>646.37519100764064</v>
      </c>
      <c r="L112" s="89">
        <f t="shared" si="12"/>
        <v>25.423909829285517</v>
      </c>
      <c r="M112" s="89" t="str">
        <f t="shared" si="13"/>
        <v>NG</v>
      </c>
      <c r="N112" s="117">
        <f t="shared" si="14"/>
        <v>1</v>
      </c>
      <c r="O112" s="89">
        <f t="shared" si="9"/>
        <v>1.3399999999999999</v>
      </c>
      <c r="P112" s="89">
        <f>IF(G112="","",ABS(O112-Components!$C$2))</f>
        <v>1.41333333333333</v>
      </c>
      <c r="Q112" s="89">
        <f>IF(G112="","",ABS(O112-Components!$C$3))</f>
        <v>2.6959999999999997</v>
      </c>
      <c r="R112" s="89">
        <f>IF(G112="","",ABS(O112-Components!$C$4))</f>
        <v>0.3466666666666669</v>
      </c>
      <c r="S112" s="89">
        <f>IF(G112="","",ABS(O112-Components!$C$5))</f>
        <v>3.2226666666666706</v>
      </c>
      <c r="T112" s="89">
        <f>IF(G112="","",ABS(O112-Components!$C$6))</f>
        <v>0.18433333333332991</v>
      </c>
      <c r="U112" s="89">
        <f>IF(G112="","",ABS(O112-Components!$C$7))</f>
        <v>3.4333333333330218E-2</v>
      </c>
      <c r="V112" s="89" t="str">
        <f>IF(G112="","",IF(M112="OK","NONE",INDEX({"S1","S2","W1","W2","N1","N2"},MATCH(MIN(P112:U112),P112:U112,0))))</f>
        <v>N2</v>
      </c>
      <c r="W112" s="139">
        <f t="shared" si="15"/>
        <v>1</v>
      </c>
      <c r="X112" s="125"/>
    </row>
    <row r="113" spans="1:24" ht="15.75">
      <c r="A113" s="115">
        <v>99</v>
      </c>
      <c r="B113" s="135">
        <f>'Runs Z-Score'!B101</f>
        <v>4</v>
      </c>
      <c r="C113" s="89" t="str">
        <f>'Runs Z-Score'!C101</f>
        <v>R3</v>
      </c>
      <c r="D113" s="89" t="str">
        <f>'Runs Z-Score'!D101</f>
        <v>NG</v>
      </c>
      <c r="E113" s="89" t="str">
        <f>'Runs Z-Score'!E101</f>
        <v>N2</v>
      </c>
      <c r="F113" s="89">
        <f>'Runs Z-Score'!F101</f>
        <v>8.6</v>
      </c>
      <c r="G113" s="89">
        <f t="shared" si="8"/>
        <v>9.57</v>
      </c>
      <c r="H113" s="89">
        <f>VLOOKUP(C113,Recipes!$A$2:$N$4,10,FALSE())</f>
        <v>10.940000000000001</v>
      </c>
      <c r="I113" s="89">
        <f>VLOOKUP(C113,Recipes!$A$2:$N$4,12,FALSE())</f>
        <v>5.2703573566378441E-2</v>
      </c>
      <c r="J113" s="89">
        <f t="shared" si="10"/>
        <v>675.71102844113909</v>
      </c>
      <c r="K113" s="89">
        <f t="shared" si="11"/>
        <v>675.64436177447237</v>
      </c>
      <c r="L113" s="89">
        <f t="shared" si="12"/>
        <v>25.993159903606802</v>
      </c>
      <c r="M113" s="89" t="str">
        <f t="shared" si="13"/>
        <v>NG</v>
      </c>
      <c r="N113" s="117">
        <f t="shared" si="14"/>
        <v>1</v>
      </c>
      <c r="O113" s="89">
        <f t="shared" si="9"/>
        <v>1.370000000000001</v>
      </c>
      <c r="P113" s="89">
        <f>IF(G113="","",ABS(O113-Components!$C$2))</f>
        <v>1.3833333333333289</v>
      </c>
      <c r="Q113" s="89">
        <f>IF(G113="","",ABS(O113-Components!$C$3))</f>
        <v>2.6659999999999986</v>
      </c>
      <c r="R113" s="89">
        <f>IF(G113="","",ABS(O113-Components!$C$4))</f>
        <v>0.37666666666666804</v>
      </c>
      <c r="S113" s="89">
        <f>IF(G113="","",ABS(O113-Components!$C$5))</f>
        <v>3.1926666666666694</v>
      </c>
      <c r="T113" s="89">
        <f>IF(G113="","",ABS(O113-Components!$C$6))</f>
        <v>0.21433333333333104</v>
      </c>
      <c r="U113" s="89">
        <f>IF(G113="","",ABS(O113-Components!$C$7))</f>
        <v>4.3333333333290813E-3</v>
      </c>
      <c r="V113" s="89" t="str">
        <f>IF(G113="","",IF(M113="OK","NONE",INDEX({"S1","S2","W1","W2","N1","N2"},MATCH(MIN(P113:U113),P113:U113,0))))</f>
        <v>N2</v>
      </c>
      <c r="W113" s="139">
        <f t="shared" si="15"/>
        <v>1</v>
      </c>
      <c r="X113" s="125"/>
    </row>
    <row r="114" spans="1:24" ht="15.75">
      <c r="A114" s="115">
        <v>100</v>
      </c>
      <c r="B114" s="135">
        <f>'Runs Z-Score'!B102</f>
        <v>4</v>
      </c>
      <c r="C114" s="89" t="str">
        <f>'Runs Z-Score'!C102</f>
        <v>R3</v>
      </c>
      <c r="D114" s="89" t="str">
        <f>'Runs Z-Score'!D102</f>
        <v>NG</v>
      </c>
      <c r="E114" s="89" t="str">
        <f>'Runs Z-Score'!E102</f>
        <v>N2</v>
      </c>
      <c r="F114" s="89">
        <f>'Runs Z-Score'!F102</f>
        <v>8.6199999999999992</v>
      </c>
      <c r="G114" s="89">
        <f t="shared" si="8"/>
        <v>9.59</v>
      </c>
      <c r="H114" s="89">
        <f>VLOOKUP(C114,Recipes!$A$2:$N$4,10,FALSE())</f>
        <v>10.940000000000001</v>
      </c>
      <c r="I114" s="89">
        <f>VLOOKUP(C114,Recipes!$A$2:$N$4,12,FALSE())</f>
        <v>5.2703573566378441E-2</v>
      </c>
      <c r="J114" s="89">
        <f t="shared" si="10"/>
        <v>656.12624504980397</v>
      </c>
      <c r="K114" s="89">
        <f t="shared" si="11"/>
        <v>656.05957838313725</v>
      </c>
      <c r="L114" s="89">
        <f t="shared" si="12"/>
        <v>25.613659995852551</v>
      </c>
      <c r="M114" s="89" t="str">
        <f t="shared" si="13"/>
        <v>NG</v>
      </c>
      <c r="N114" s="117">
        <f t="shared" si="14"/>
        <v>1</v>
      </c>
      <c r="O114" s="89">
        <f t="shared" si="9"/>
        <v>1.3500000000000014</v>
      </c>
      <c r="P114" s="89">
        <f>IF(G114="","",ABS(O114-Components!$C$2))</f>
        <v>1.4033333333333284</v>
      </c>
      <c r="Q114" s="89">
        <f>IF(G114="","",ABS(O114-Components!$C$3))</f>
        <v>2.6859999999999982</v>
      </c>
      <c r="R114" s="89">
        <f>IF(G114="","",ABS(O114-Components!$C$4))</f>
        <v>0.35666666666666846</v>
      </c>
      <c r="S114" s="89">
        <f>IF(G114="","",ABS(O114-Components!$C$5))</f>
        <v>3.212666666666669</v>
      </c>
      <c r="T114" s="89">
        <f>IF(G114="","",ABS(O114-Components!$C$6))</f>
        <v>0.19433333333333147</v>
      </c>
      <c r="U114" s="89">
        <f>IF(G114="","",ABS(O114-Components!$C$7))</f>
        <v>2.4333333333328655E-2</v>
      </c>
      <c r="V114" s="89" t="str">
        <f>IF(G114="","",IF(M114="OK","NONE",INDEX({"S1","S2","W1","W2","N1","N2"},MATCH(MIN(P114:U114),P114:U114,0))))</f>
        <v>N2</v>
      </c>
      <c r="W114" s="139">
        <f t="shared" si="15"/>
        <v>1</v>
      </c>
      <c r="X114" s="125"/>
    </row>
    <row r="115" spans="1:24" ht="15.75">
      <c r="A115" s="115">
        <v>101</v>
      </c>
      <c r="B115" s="135">
        <f>'Runs Z-Score'!B103</f>
        <v>4</v>
      </c>
      <c r="C115" s="89" t="str">
        <f>'Runs Z-Score'!C103</f>
        <v>R3</v>
      </c>
      <c r="D115" s="89" t="str">
        <f>'Runs Z-Score'!D103</f>
        <v>NG</v>
      </c>
      <c r="E115" s="89" t="str">
        <f>'Runs Z-Score'!E103</f>
        <v>N2</v>
      </c>
      <c r="F115" s="89">
        <f>'Runs Z-Score'!F103</f>
        <v>8.6</v>
      </c>
      <c r="G115" s="89">
        <f t="shared" si="8"/>
        <v>9.57</v>
      </c>
      <c r="H115" s="89">
        <f>VLOOKUP(C115,Recipes!$A$2:$N$4,10,FALSE())</f>
        <v>10.940000000000001</v>
      </c>
      <c r="I115" s="89">
        <f>VLOOKUP(C115,Recipes!$A$2:$N$4,12,FALSE())</f>
        <v>5.2703573566378441E-2</v>
      </c>
      <c r="J115" s="89">
        <f t="shared" si="10"/>
        <v>675.71102844113909</v>
      </c>
      <c r="K115" s="89">
        <f t="shared" si="11"/>
        <v>675.64436177447237</v>
      </c>
      <c r="L115" s="89">
        <f t="shared" si="12"/>
        <v>25.993159903606802</v>
      </c>
      <c r="M115" s="89" t="str">
        <f t="shared" si="13"/>
        <v>NG</v>
      </c>
      <c r="N115" s="117">
        <f t="shared" si="14"/>
        <v>1</v>
      </c>
      <c r="O115" s="89">
        <f t="shared" si="9"/>
        <v>1.370000000000001</v>
      </c>
      <c r="P115" s="89">
        <f>IF(G115="","",ABS(O115-Components!$C$2))</f>
        <v>1.3833333333333289</v>
      </c>
      <c r="Q115" s="89">
        <f>IF(G115="","",ABS(O115-Components!$C$3))</f>
        <v>2.6659999999999986</v>
      </c>
      <c r="R115" s="89">
        <f>IF(G115="","",ABS(O115-Components!$C$4))</f>
        <v>0.37666666666666804</v>
      </c>
      <c r="S115" s="89">
        <f>IF(G115="","",ABS(O115-Components!$C$5))</f>
        <v>3.1926666666666694</v>
      </c>
      <c r="T115" s="89">
        <f>IF(G115="","",ABS(O115-Components!$C$6))</f>
        <v>0.21433333333333104</v>
      </c>
      <c r="U115" s="89">
        <f>IF(G115="","",ABS(O115-Components!$C$7))</f>
        <v>4.3333333333290813E-3</v>
      </c>
      <c r="V115" s="89" t="str">
        <f>IF(G115="","",IF(M115="OK","NONE",INDEX({"S1","S2","W1","W2","N1","N2"},MATCH(MIN(P115:U115),P115:U115,0))))</f>
        <v>N2</v>
      </c>
      <c r="W115" s="139">
        <f t="shared" si="15"/>
        <v>1</v>
      </c>
      <c r="X115" s="125"/>
    </row>
    <row r="116" spans="1:24" ht="15.75">
      <c r="A116" s="115">
        <v>102</v>
      </c>
      <c r="B116" s="135">
        <f>'Runs Z-Score'!B104</f>
        <v>4</v>
      </c>
      <c r="C116" s="89" t="str">
        <f>'Runs Z-Score'!C104</f>
        <v>R3</v>
      </c>
      <c r="D116" s="89" t="str">
        <f>'Runs Z-Score'!D104</f>
        <v>NG</v>
      </c>
      <c r="E116" s="89" t="str">
        <f>'Runs Z-Score'!E104</f>
        <v>N2</v>
      </c>
      <c r="F116" s="89">
        <f>'Runs Z-Score'!F104</f>
        <v>8.5399999999999991</v>
      </c>
      <c r="G116" s="89">
        <f t="shared" si="8"/>
        <v>9.51</v>
      </c>
      <c r="H116" s="89">
        <f>VLOOKUP(C116,Recipes!$A$2:$N$4,10,FALSE())</f>
        <v>10.940000000000001</v>
      </c>
      <c r="I116" s="89">
        <f>VLOOKUP(C116,Recipes!$A$2:$N$4,12,FALSE())</f>
        <v>5.2703573566378441E-2</v>
      </c>
      <c r="J116" s="89">
        <f t="shared" si="10"/>
        <v>736.1934477379117</v>
      </c>
      <c r="K116" s="89">
        <f t="shared" si="11"/>
        <v>736.12678107124498</v>
      </c>
      <c r="L116" s="89">
        <f t="shared" si="12"/>
        <v>27.131656438029083</v>
      </c>
      <c r="M116" s="89" t="str">
        <f t="shared" si="13"/>
        <v>NG</v>
      </c>
      <c r="N116" s="117">
        <f t="shared" si="14"/>
        <v>1</v>
      </c>
      <c r="O116" s="89">
        <f t="shared" si="9"/>
        <v>1.4300000000000015</v>
      </c>
      <c r="P116" s="89">
        <f>IF(G116="","",ABS(O116-Components!$C$2))</f>
        <v>1.3233333333333284</v>
      </c>
      <c r="Q116" s="89">
        <f>IF(G116="","",ABS(O116-Components!$C$3))</f>
        <v>2.6059999999999981</v>
      </c>
      <c r="R116" s="89">
        <f>IF(G116="","",ABS(O116-Components!$C$4))</f>
        <v>0.43666666666666853</v>
      </c>
      <c r="S116" s="89">
        <f>IF(G116="","",ABS(O116-Components!$C$5))</f>
        <v>3.1326666666666689</v>
      </c>
      <c r="T116" s="89">
        <f>IF(G116="","",ABS(O116-Components!$C$6))</f>
        <v>0.27433333333333154</v>
      </c>
      <c r="U116" s="89">
        <f>IF(G116="","",ABS(O116-Components!$C$7))</f>
        <v>5.5666666666671416E-2</v>
      </c>
      <c r="V116" s="89" t="str">
        <f>IF(G116="","",IF(M116="OK","NONE",INDEX({"S1","S2","W1","W2","N1","N2"},MATCH(MIN(P116:U116),P116:U116,0))))</f>
        <v>N2</v>
      </c>
      <c r="W116" s="139">
        <f t="shared" si="15"/>
        <v>1</v>
      </c>
      <c r="X116" s="125"/>
    </row>
    <row r="117" spans="1:24" ht="15.75">
      <c r="A117" s="115">
        <v>103</v>
      </c>
      <c r="B117" s="135">
        <f>'Runs Z-Score'!B105</f>
        <v>4</v>
      </c>
      <c r="C117" s="89" t="str">
        <f>'Runs Z-Score'!C105</f>
        <v>R3</v>
      </c>
      <c r="D117" s="89" t="str">
        <f>'Runs Z-Score'!D105</f>
        <v>NG</v>
      </c>
      <c r="E117" s="89" t="str">
        <f>'Runs Z-Score'!E105</f>
        <v>N2</v>
      </c>
      <c r="F117" s="89">
        <f>'Runs Z-Score'!F105</f>
        <v>8.64</v>
      </c>
      <c r="G117" s="89">
        <f t="shared" si="8"/>
        <v>9.6100000000000012</v>
      </c>
      <c r="H117" s="89">
        <f>VLOOKUP(C117,Recipes!$A$2:$N$4,10,FALSE())</f>
        <v>10.940000000000001</v>
      </c>
      <c r="I117" s="89">
        <f>VLOOKUP(C117,Recipes!$A$2:$N$4,12,FALSE())</f>
        <v>5.2703573566378441E-2</v>
      </c>
      <c r="J117" s="89">
        <f t="shared" si="10"/>
        <v>636.82947317892786</v>
      </c>
      <c r="K117" s="89">
        <f t="shared" si="11"/>
        <v>636.76280651226114</v>
      </c>
      <c r="L117" s="89">
        <f t="shared" si="12"/>
        <v>25.23415951666037</v>
      </c>
      <c r="M117" s="89" t="str">
        <f t="shared" si="13"/>
        <v>NG</v>
      </c>
      <c r="N117" s="117">
        <f t="shared" si="14"/>
        <v>1</v>
      </c>
      <c r="O117" s="89">
        <f t="shared" si="9"/>
        <v>1.33</v>
      </c>
      <c r="P117" s="89">
        <f>IF(G117="","",ABS(O117-Components!$C$2))</f>
        <v>1.4233333333333298</v>
      </c>
      <c r="Q117" s="89">
        <f>IF(G117="","",ABS(O117-Components!$C$3))</f>
        <v>2.7059999999999995</v>
      </c>
      <c r="R117" s="89">
        <f>IF(G117="","",ABS(O117-Components!$C$4))</f>
        <v>0.33666666666666711</v>
      </c>
      <c r="S117" s="89">
        <f>IF(G117="","",ABS(O117-Components!$C$5))</f>
        <v>3.2326666666666704</v>
      </c>
      <c r="T117" s="89">
        <f>IF(G117="","",ABS(O117-Components!$C$6))</f>
        <v>0.17433333333333012</v>
      </c>
      <c r="U117" s="89">
        <f>IF(G117="","",ABS(O117-Components!$C$7))</f>
        <v>4.4333333333330005E-2</v>
      </c>
      <c r="V117" s="89" t="str">
        <f>IF(G117="","",IF(M117="OK","NONE",INDEX({"S1","S2","W1","W2","N1","N2"},MATCH(MIN(P117:U117),P117:U117,0))))</f>
        <v>N2</v>
      </c>
      <c r="W117" s="139">
        <f t="shared" si="15"/>
        <v>1</v>
      </c>
      <c r="X117" s="125"/>
    </row>
    <row r="118" spans="1:24" ht="15.75">
      <c r="A118" s="115">
        <v>104</v>
      </c>
      <c r="B118" s="135">
        <f>'Runs Z-Score'!B106</f>
        <v>4</v>
      </c>
      <c r="C118" s="89" t="str">
        <f>'Runs Z-Score'!C106</f>
        <v>R3</v>
      </c>
      <c r="D118" s="89" t="str">
        <f>'Runs Z-Score'!D106</f>
        <v>NG</v>
      </c>
      <c r="E118" s="89" t="str">
        <f>'Runs Z-Score'!E106</f>
        <v>N2</v>
      </c>
      <c r="F118" s="89">
        <f>'Runs Z-Score'!F106</f>
        <v>8.6</v>
      </c>
      <c r="G118" s="89">
        <f t="shared" si="8"/>
        <v>9.57</v>
      </c>
      <c r="H118" s="89">
        <f>VLOOKUP(C118,Recipes!$A$2:$N$4,10,FALSE())</f>
        <v>10.940000000000001</v>
      </c>
      <c r="I118" s="89">
        <f>VLOOKUP(C118,Recipes!$A$2:$N$4,12,FALSE())</f>
        <v>5.2703573566378441E-2</v>
      </c>
      <c r="J118" s="89">
        <f t="shared" si="10"/>
        <v>675.71102844113909</v>
      </c>
      <c r="K118" s="89">
        <f t="shared" si="11"/>
        <v>675.64436177447237</v>
      </c>
      <c r="L118" s="89">
        <f t="shared" si="12"/>
        <v>25.993159903606802</v>
      </c>
      <c r="M118" s="89" t="str">
        <f t="shared" si="13"/>
        <v>NG</v>
      </c>
      <c r="N118" s="117">
        <f t="shared" si="14"/>
        <v>1</v>
      </c>
      <c r="O118" s="89">
        <f t="shared" si="9"/>
        <v>1.370000000000001</v>
      </c>
      <c r="P118" s="89">
        <f>IF(G118="","",ABS(O118-Components!$C$2))</f>
        <v>1.3833333333333289</v>
      </c>
      <c r="Q118" s="89">
        <f>IF(G118="","",ABS(O118-Components!$C$3))</f>
        <v>2.6659999999999986</v>
      </c>
      <c r="R118" s="89">
        <f>IF(G118="","",ABS(O118-Components!$C$4))</f>
        <v>0.37666666666666804</v>
      </c>
      <c r="S118" s="89">
        <f>IF(G118="","",ABS(O118-Components!$C$5))</f>
        <v>3.1926666666666694</v>
      </c>
      <c r="T118" s="89">
        <f>IF(G118="","",ABS(O118-Components!$C$6))</f>
        <v>0.21433333333333104</v>
      </c>
      <c r="U118" s="89">
        <f>IF(G118="","",ABS(O118-Components!$C$7))</f>
        <v>4.3333333333290813E-3</v>
      </c>
      <c r="V118" s="89" t="str">
        <f>IF(G118="","",IF(M118="OK","NONE",INDEX({"S1","S2","W1","W2","N1","N2"},MATCH(MIN(P118:U118),P118:U118,0))))</f>
        <v>N2</v>
      </c>
      <c r="W118" s="139">
        <f t="shared" si="15"/>
        <v>1</v>
      </c>
      <c r="X118" s="125"/>
    </row>
    <row r="119" spans="1:24" ht="15.75">
      <c r="A119" s="115">
        <v>105</v>
      </c>
      <c r="B119" s="135">
        <f>'Runs Z-Score'!B107</f>
        <v>4</v>
      </c>
      <c r="C119" s="89" t="str">
        <f>'Runs Z-Score'!C107</f>
        <v>R3</v>
      </c>
      <c r="D119" s="89" t="str">
        <f>'Runs Z-Score'!D107</f>
        <v>NG</v>
      </c>
      <c r="E119" s="89" t="str">
        <f>'Runs Z-Score'!E107</f>
        <v>N2</v>
      </c>
      <c r="F119" s="89">
        <f>'Runs Z-Score'!F107</f>
        <v>8.59</v>
      </c>
      <c r="G119" s="89">
        <f t="shared" si="8"/>
        <v>9.56</v>
      </c>
      <c r="H119" s="89">
        <f>VLOOKUP(C119,Recipes!$A$2:$N$4,10,FALSE())</f>
        <v>10.940000000000001</v>
      </c>
      <c r="I119" s="89">
        <f>VLOOKUP(C119,Recipes!$A$2:$N$4,12,FALSE())</f>
        <v>5.2703573566378441E-2</v>
      </c>
      <c r="J119" s="89">
        <f t="shared" si="10"/>
        <v>685.61142445697953</v>
      </c>
      <c r="K119" s="89">
        <f t="shared" si="11"/>
        <v>685.54475779031281</v>
      </c>
      <c r="L119" s="89">
        <f t="shared" si="12"/>
        <v>26.182909650959591</v>
      </c>
      <c r="M119" s="89" t="str">
        <f t="shared" si="13"/>
        <v>NG</v>
      </c>
      <c r="N119" s="117">
        <f t="shared" si="14"/>
        <v>1</v>
      </c>
      <c r="O119" s="89">
        <f t="shared" si="9"/>
        <v>1.3800000000000008</v>
      </c>
      <c r="P119" s="89">
        <f>IF(G119="","",ABS(O119-Components!$C$2))</f>
        <v>1.3733333333333291</v>
      </c>
      <c r="Q119" s="89">
        <f>IF(G119="","",ABS(O119-Components!$C$3))</f>
        <v>2.6559999999999988</v>
      </c>
      <c r="R119" s="89">
        <f>IF(G119="","",ABS(O119-Components!$C$4))</f>
        <v>0.38666666666666782</v>
      </c>
      <c r="S119" s="89">
        <f>IF(G119="","",ABS(O119-Components!$C$5))</f>
        <v>3.1826666666666696</v>
      </c>
      <c r="T119" s="89">
        <f>IF(G119="","",ABS(O119-Components!$C$6))</f>
        <v>0.22433333333333083</v>
      </c>
      <c r="U119" s="89">
        <f>IF(G119="","",ABS(O119-Components!$C$7))</f>
        <v>5.6666666666707055E-3</v>
      </c>
      <c r="V119" s="89" t="str">
        <f>IF(G119="","",IF(M119="OK","NONE",INDEX({"S1","S2","W1","W2","N1","N2"},MATCH(MIN(P119:U119),P119:U119,0))))</f>
        <v>N2</v>
      </c>
      <c r="W119" s="139">
        <f t="shared" si="15"/>
        <v>1</v>
      </c>
      <c r="X119" s="125"/>
    </row>
    <row r="120" spans="1:24" ht="15.75">
      <c r="A120" s="115">
        <v>106</v>
      </c>
      <c r="B120" s="135">
        <f>'Runs Z-Score'!B108</f>
        <v>4</v>
      </c>
      <c r="C120" s="89" t="str">
        <f>'Runs Z-Score'!C108</f>
        <v>R3</v>
      </c>
      <c r="D120" s="89" t="str">
        <f>'Runs Z-Score'!D108</f>
        <v>NG</v>
      </c>
      <c r="E120" s="89" t="str">
        <f>'Runs Z-Score'!E108</f>
        <v>N2</v>
      </c>
      <c r="F120" s="89">
        <f>'Runs Z-Score'!F108</f>
        <v>8.57</v>
      </c>
      <c r="G120" s="89">
        <f t="shared" si="8"/>
        <v>9.5400000000000009</v>
      </c>
      <c r="H120" s="89">
        <f>VLOOKUP(C120,Recipes!$A$2:$N$4,10,FALSE())</f>
        <v>10.940000000000001</v>
      </c>
      <c r="I120" s="89">
        <f>VLOOKUP(C120,Recipes!$A$2:$N$4,12,FALSE())</f>
        <v>5.2703573566378441E-2</v>
      </c>
      <c r="J120" s="89">
        <f t="shared" si="10"/>
        <v>705.62822512900607</v>
      </c>
      <c r="K120" s="89">
        <f t="shared" si="11"/>
        <v>705.56155846233935</v>
      </c>
      <c r="L120" s="89">
        <f t="shared" si="12"/>
        <v>26.562408747369645</v>
      </c>
      <c r="M120" s="89" t="str">
        <f t="shared" si="13"/>
        <v>NG</v>
      </c>
      <c r="N120" s="117">
        <f t="shared" si="14"/>
        <v>1</v>
      </c>
      <c r="O120" s="89">
        <f t="shared" si="9"/>
        <v>1.4000000000000004</v>
      </c>
      <c r="P120" s="89">
        <f>IF(G120="","",ABS(O120-Components!$C$2))</f>
        <v>1.3533333333333295</v>
      </c>
      <c r="Q120" s="89">
        <f>IF(G120="","",ABS(O120-Components!$C$3))</f>
        <v>2.6359999999999992</v>
      </c>
      <c r="R120" s="89">
        <f>IF(G120="","",ABS(O120-Components!$C$4))</f>
        <v>0.4066666666666674</v>
      </c>
      <c r="S120" s="89">
        <f>IF(G120="","",ABS(O120-Components!$C$5))</f>
        <v>3.1626666666666701</v>
      </c>
      <c r="T120" s="89">
        <f>IF(G120="","",ABS(O120-Components!$C$6))</f>
        <v>0.2443333333333304</v>
      </c>
      <c r="U120" s="89">
        <f>IF(G120="","",ABS(O120-Components!$C$7))</f>
        <v>2.5666666666670279E-2</v>
      </c>
      <c r="V120" s="89" t="str">
        <f>IF(G120="","",IF(M120="OK","NONE",INDEX({"S1","S2","W1","W2","N1","N2"},MATCH(MIN(P120:U120),P120:U120,0))))</f>
        <v>N2</v>
      </c>
      <c r="W120" s="139">
        <f t="shared" si="15"/>
        <v>1</v>
      </c>
      <c r="X120" s="125"/>
    </row>
    <row r="121" spans="1:24" ht="15.75">
      <c r="A121" s="115">
        <v>107</v>
      </c>
      <c r="B121" s="135">
        <f>'Runs Z-Score'!B109</f>
        <v>4</v>
      </c>
      <c r="C121" s="89" t="str">
        <f>'Runs Z-Score'!C109</f>
        <v>R3</v>
      </c>
      <c r="D121" s="89" t="str">
        <f>'Runs Z-Score'!D109</f>
        <v>NG</v>
      </c>
      <c r="E121" s="89" t="str">
        <f>'Runs Z-Score'!E109</f>
        <v>N2</v>
      </c>
      <c r="F121" s="89">
        <f>'Runs Z-Score'!F109</f>
        <v>8.61</v>
      </c>
      <c r="G121" s="89">
        <f t="shared" si="8"/>
        <v>9.58</v>
      </c>
      <c r="H121" s="89">
        <f>VLOOKUP(C121,Recipes!$A$2:$N$4,10,FALSE())</f>
        <v>10.940000000000001</v>
      </c>
      <c r="I121" s="89">
        <f>VLOOKUP(C121,Recipes!$A$2:$N$4,12,FALSE())</f>
        <v>5.2703573566378441E-2</v>
      </c>
      <c r="J121" s="89">
        <f t="shared" si="10"/>
        <v>665.88263530541406</v>
      </c>
      <c r="K121" s="89">
        <f t="shared" si="11"/>
        <v>665.81596863874734</v>
      </c>
      <c r="L121" s="89">
        <f t="shared" si="12"/>
        <v>25.803410019583602</v>
      </c>
      <c r="M121" s="89" t="str">
        <f t="shared" si="13"/>
        <v>NG</v>
      </c>
      <c r="N121" s="117">
        <f t="shared" si="14"/>
        <v>1</v>
      </c>
      <c r="O121" s="89">
        <f t="shared" si="9"/>
        <v>1.3600000000000012</v>
      </c>
      <c r="P121" s="89">
        <f>IF(G121="","",ABS(O121-Components!$C$2))</f>
        <v>1.3933333333333286</v>
      </c>
      <c r="Q121" s="89">
        <f>IF(G121="","",ABS(O121-Components!$C$3))</f>
        <v>2.6759999999999984</v>
      </c>
      <c r="R121" s="89">
        <f>IF(G121="","",ABS(O121-Components!$C$4))</f>
        <v>0.36666666666666825</v>
      </c>
      <c r="S121" s="89">
        <f>IF(G121="","",ABS(O121-Components!$C$5))</f>
        <v>3.2026666666666692</v>
      </c>
      <c r="T121" s="89">
        <f>IF(G121="","",ABS(O121-Components!$C$6))</f>
        <v>0.20433333333333126</v>
      </c>
      <c r="U121" s="89">
        <f>IF(G121="","",ABS(O121-Components!$C$7))</f>
        <v>1.4333333333328868E-2</v>
      </c>
      <c r="V121" s="89" t="str">
        <f>IF(G121="","",IF(M121="OK","NONE",INDEX({"S1","S2","W1","W2","N1","N2"},MATCH(MIN(P121:U121),P121:U121,0))))</f>
        <v>N2</v>
      </c>
      <c r="W121" s="139">
        <f t="shared" si="15"/>
        <v>1</v>
      </c>
      <c r="X121" s="125"/>
    </row>
    <row r="122" spans="1:24" ht="15.75">
      <c r="A122" s="115">
        <v>108</v>
      </c>
      <c r="B122" s="135">
        <f>'Runs Z-Score'!B110</f>
        <v>4</v>
      </c>
      <c r="C122" s="89" t="str">
        <f>'Runs Z-Score'!C110</f>
        <v>R3</v>
      </c>
      <c r="D122" s="89" t="str">
        <f>'Runs Z-Score'!D110</f>
        <v>NG</v>
      </c>
      <c r="E122" s="89" t="str">
        <f>'Runs Z-Score'!E110</f>
        <v>N2</v>
      </c>
      <c r="F122" s="89">
        <f>'Runs Z-Score'!F110</f>
        <v>8.59</v>
      </c>
      <c r="G122" s="89">
        <f t="shared" si="8"/>
        <v>9.56</v>
      </c>
      <c r="H122" s="89">
        <f>VLOOKUP(C122,Recipes!$A$2:$N$4,10,FALSE())</f>
        <v>10.940000000000001</v>
      </c>
      <c r="I122" s="89">
        <f>VLOOKUP(C122,Recipes!$A$2:$N$4,12,FALSE())</f>
        <v>5.2703573566378441E-2</v>
      </c>
      <c r="J122" s="89">
        <f t="shared" si="10"/>
        <v>685.61142445697953</v>
      </c>
      <c r="K122" s="89">
        <f t="shared" si="11"/>
        <v>685.54475779031281</v>
      </c>
      <c r="L122" s="89">
        <f t="shared" si="12"/>
        <v>26.182909650959591</v>
      </c>
      <c r="M122" s="89" t="str">
        <f t="shared" si="13"/>
        <v>NG</v>
      </c>
      <c r="N122" s="117">
        <f t="shared" si="14"/>
        <v>1</v>
      </c>
      <c r="O122" s="89">
        <f t="shared" si="9"/>
        <v>1.3800000000000008</v>
      </c>
      <c r="P122" s="89">
        <f>IF(G122="","",ABS(O122-Components!$C$2))</f>
        <v>1.3733333333333291</v>
      </c>
      <c r="Q122" s="89">
        <f>IF(G122="","",ABS(O122-Components!$C$3))</f>
        <v>2.6559999999999988</v>
      </c>
      <c r="R122" s="89">
        <f>IF(G122="","",ABS(O122-Components!$C$4))</f>
        <v>0.38666666666666782</v>
      </c>
      <c r="S122" s="89">
        <f>IF(G122="","",ABS(O122-Components!$C$5))</f>
        <v>3.1826666666666696</v>
      </c>
      <c r="T122" s="89">
        <f>IF(G122="","",ABS(O122-Components!$C$6))</f>
        <v>0.22433333333333083</v>
      </c>
      <c r="U122" s="89">
        <f>IF(G122="","",ABS(O122-Components!$C$7))</f>
        <v>5.6666666666707055E-3</v>
      </c>
      <c r="V122" s="89" t="str">
        <f>IF(G122="","",IF(M122="OK","NONE",INDEX({"S1","S2","W1","W2","N1","N2"},MATCH(MIN(P122:U122),P122:U122,0))))</f>
        <v>N2</v>
      </c>
      <c r="W122" s="139">
        <f t="shared" si="15"/>
        <v>1</v>
      </c>
      <c r="X122" s="125"/>
    </row>
    <row r="123" spans="1:24" ht="15.75">
      <c r="A123" s="115">
        <v>109</v>
      </c>
      <c r="B123" s="135">
        <f>'Runs Z-Score'!B111</f>
        <v>4</v>
      </c>
      <c r="C123" s="89" t="str">
        <f>'Runs Z-Score'!C111</f>
        <v>R3</v>
      </c>
      <c r="D123" s="89" t="str">
        <f>'Runs Z-Score'!D111</f>
        <v>NG</v>
      </c>
      <c r="E123" s="89" t="str">
        <f>'Runs Z-Score'!E111</f>
        <v>N2</v>
      </c>
      <c r="F123" s="89">
        <f>'Runs Z-Score'!F111</f>
        <v>8.5</v>
      </c>
      <c r="G123" s="89">
        <f t="shared" si="8"/>
        <v>9.4700000000000006</v>
      </c>
      <c r="H123" s="89">
        <f>VLOOKUP(C123,Recipes!$A$2:$N$4,10,FALSE())</f>
        <v>10.940000000000001</v>
      </c>
      <c r="I123" s="89">
        <f>VLOOKUP(C123,Recipes!$A$2:$N$4,12,FALSE())</f>
        <v>5.2703573566378441E-2</v>
      </c>
      <c r="J123" s="89">
        <f t="shared" si="10"/>
        <v>777.95511820472962</v>
      </c>
      <c r="K123" s="89">
        <f t="shared" si="11"/>
        <v>777.8884515380629</v>
      </c>
      <c r="L123" s="89">
        <f t="shared" si="12"/>
        <v>27.890651687224214</v>
      </c>
      <c r="M123" s="89" t="str">
        <f t="shared" si="13"/>
        <v>NG</v>
      </c>
      <c r="N123" s="117">
        <f t="shared" si="14"/>
        <v>1</v>
      </c>
      <c r="O123" s="89">
        <f t="shared" si="9"/>
        <v>1.4700000000000006</v>
      </c>
      <c r="P123" s="89">
        <f>IF(G123="","",ABS(O123-Components!$C$2))</f>
        <v>1.2833333333333292</v>
      </c>
      <c r="Q123" s="89">
        <f>IF(G123="","",ABS(O123-Components!$C$3))</f>
        <v>2.5659999999999989</v>
      </c>
      <c r="R123" s="89">
        <f>IF(G123="","",ABS(O123-Components!$C$4))</f>
        <v>0.47666666666666768</v>
      </c>
      <c r="S123" s="89">
        <f>IF(G123="","",ABS(O123-Components!$C$5))</f>
        <v>3.0926666666666698</v>
      </c>
      <c r="T123" s="89">
        <f>IF(G123="","",ABS(O123-Components!$C$6))</f>
        <v>0.31433333333333069</v>
      </c>
      <c r="U123" s="89">
        <f>IF(G123="","",ABS(O123-Components!$C$7))</f>
        <v>9.5666666666670563E-2</v>
      </c>
      <c r="V123" s="89" t="str">
        <f>IF(G123="","",IF(M123="OK","NONE",INDEX({"S1","S2","W1","W2","N1","N2"},MATCH(MIN(P123:U123),P123:U123,0))))</f>
        <v>N2</v>
      </c>
      <c r="W123" s="139">
        <f t="shared" si="15"/>
        <v>1</v>
      </c>
      <c r="X123" s="125"/>
    </row>
    <row r="124" spans="1:24" ht="15.75">
      <c r="A124" s="115">
        <v>110</v>
      </c>
      <c r="B124" s="135">
        <f>'Runs Z-Score'!B112</f>
        <v>4</v>
      </c>
      <c r="C124" s="89" t="str">
        <f>'Runs Z-Score'!C112</f>
        <v>R3</v>
      </c>
      <c r="D124" s="89" t="str">
        <f>'Runs Z-Score'!D112</f>
        <v>NG</v>
      </c>
      <c r="E124" s="89" t="str">
        <f>'Runs Z-Score'!E112</f>
        <v>N2</v>
      </c>
      <c r="F124" s="89">
        <f>'Runs Z-Score'!F112</f>
        <v>8.6199999999999992</v>
      </c>
      <c r="G124" s="89">
        <f t="shared" si="8"/>
        <v>9.59</v>
      </c>
      <c r="H124" s="89">
        <f>VLOOKUP(C124,Recipes!$A$2:$N$4,10,FALSE())</f>
        <v>10.940000000000001</v>
      </c>
      <c r="I124" s="89">
        <f>VLOOKUP(C124,Recipes!$A$2:$N$4,12,FALSE())</f>
        <v>5.2703573566378441E-2</v>
      </c>
      <c r="J124" s="89">
        <f t="shared" si="10"/>
        <v>656.12624504980397</v>
      </c>
      <c r="K124" s="89">
        <f t="shared" si="11"/>
        <v>656.05957838313725</v>
      </c>
      <c r="L124" s="89">
        <f t="shared" si="12"/>
        <v>25.613659995852551</v>
      </c>
      <c r="M124" s="89" t="str">
        <f t="shared" si="13"/>
        <v>NG</v>
      </c>
      <c r="N124" s="117">
        <f t="shared" si="14"/>
        <v>1</v>
      </c>
      <c r="O124" s="89">
        <f t="shared" si="9"/>
        <v>1.3500000000000014</v>
      </c>
      <c r="P124" s="89">
        <f>IF(G124="","",ABS(O124-Components!$C$2))</f>
        <v>1.4033333333333284</v>
      </c>
      <c r="Q124" s="89">
        <f>IF(G124="","",ABS(O124-Components!$C$3))</f>
        <v>2.6859999999999982</v>
      </c>
      <c r="R124" s="89">
        <f>IF(G124="","",ABS(O124-Components!$C$4))</f>
        <v>0.35666666666666846</v>
      </c>
      <c r="S124" s="89">
        <f>IF(G124="","",ABS(O124-Components!$C$5))</f>
        <v>3.212666666666669</v>
      </c>
      <c r="T124" s="89">
        <f>IF(G124="","",ABS(O124-Components!$C$6))</f>
        <v>0.19433333333333147</v>
      </c>
      <c r="U124" s="89">
        <f>IF(G124="","",ABS(O124-Components!$C$7))</f>
        <v>2.4333333333328655E-2</v>
      </c>
      <c r="V124" s="89" t="str">
        <f>IF(G124="","",IF(M124="OK","NONE",INDEX({"S1","S2","W1","W2","N1","N2"},MATCH(MIN(P124:U124),P124:U124,0))))</f>
        <v>N2</v>
      </c>
      <c r="W124" s="139">
        <f t="shared" si="15"/>
        <v>1</v>
      </c>
      <c r="X124" s="125"/>
    </row>
    <row r="125" spans="1:24" ht="15.75">
      <c r="A125" s="115">
        <v>111</v>
      </c>
      <c r="B125" s="135">
        <f>'Runs Z-Score'!B113</f>
        <v>4</v>
      </c>
      <c r="C125" s="89" t="str">
        <f>'Runs Z-Score'!C113</f>
        <v>R3</v>
      </c>
      <c r="D125" s="89" t="str">
        <f>'Runs Z-Score'!D113</f>
        <v>NG</v>
      </c>
      <c r="E125" s="89" t="str">
        <f>'Runs Z-Score'!E113</f>
        <v>N2</v>
      </c>
      <c r="F125" s="89">
        <f>'Runs Z-Score'!F113</f>
        <v>8.61</v>
      </c>
      <c r="G125" s="89">
        <f t="shared" si="8"/>
        <v>9.58</v>
      </c>
      <c r="H125" s="89">
        <f>VLOOKUP(C125,Recipes!$A$2:$N$4,10,FALSE())</f>
        <v>10.940000000000001</v>
      </c>
      <c r="I125" s="89">
        <f>VLOOKUP(C125,Recipes!$A$2:$N$4,12,FALSE())</f>
        <v>5.2703573566378441E-2</v>
      </c>
      <c r="J125" s="89">
        <f t="shared" si="10"/>
        <v>665.88263530541406</v>
      </c>
      <c r="K125" s="89">
        <f t="shared" si="11"/>
        <v>665.81596863874734</v>
      </c>
      <c r="L125" s="89">
        <f t="shared" si="12"/>
        <v>25.803410019583602</v>
      </c>
      <c r="M125" s="89" t="str">
        <f t="shared" si="13"/>
        <v>NG</v>
      </c>
      <c r="N125" s="117">
        <f t="shared" si="14"/>
        <v>1</v>
      </c>
      <c r="O125" s="89">
        <f t="shared" si="9"/>
        <v>1.3600000000000012</v>
      </c>
      <c r="P125" s="89">
        <f>IF(G125="","",ABS(O125-Components!$C$2))</f>
        <v>1.3933333333333286</v>
      </c>
      <c r="Q125" s="89">
        <f>IF(G125="","",ABS(O125-Components!$C$3))</f>
        <v>2.6759999999999984</v>
      </c>
      <c r="R125" s="89">
        <f>IF(G125="","",ABS(O125-Components!$C$4))</f>
        <v>0.36666666666666825</v>
      </c>
      <c r="S125" s="89">
        <f>IF(G125="","",ABS(O125-Components!$C$5))</f>
        <v>3.2026666666666692</v>
      </c>
      <c r="T125" s="89">
        <f>IF(G125="","",ABS(O125-Components!$C$6))</f>
        <v>0.20433333333333126</v>
      </c>
      <c r="U125" s="89">
        <f>IF(G125="","",ABS(O125-Components!$C$7))</f>
        <v>1.4333333333328868E-2</v>
      </c>
      <c r="V125" s="89" t="str">
        <f>IF(G125="","",IF(M125="OK","NONE",INDEX({"S1","S2","W1","W2","N1","N2"},MATCH(MIN(P125:U125),P125:U125,0))))</f>
        <v>N2</v>
      </c>
      <c r="W125" s="139">
        <f t="shared" si="15"/>
        <v>1</v>
      </c>
      <c r="X125" s="125"/>
    </row>
    <row r="126" spans="1:24" ht="15.75">
      <c r="A126" s="115">
        <v>112</v>
      </c>
      <c r="B126" s="135">
        <f>'Runs Z-Score'!B114</f>
        <v>4</v>
      </c>
      <c r="C126" s="89" t="str">
        <f>'Runs Z-Score'!C114</f>
        <v>R3</v>
      </c>
      <c r="D126" s="89" t="str">
        <f>'Runs Z-Score'!D114</f>
        <v>NG</v>
      </c>
      <c r="E126" s="89" t="str">
        <f>'Runs Z-Score'!E114</f>
        <v>N2</v>
      </c>
      <c r="F126" s="89">
        <f>'Runs Z-Score'!F114</f>
        <v>8.58</v>
      </c>
      <c r="G126" s="89">
        <f t="shared" si="8"/>
        <v>9.5500000000000007</v>
      </c>
      <c r="H126" s="89">
        <f>VLOOKUP(C126,Recipes!$A$2:$N$4,10,FALSE())</f>
        <v>10.940000000000001</v>
      </c>
      <c r="I126" s="89">
        <f>VLOOKUP(C126,Recipes!$A$2:$N$4,12,FALSE())</f>
        <v>5.2703573566378441E-2</v>
      </c>
      <c r="J126" s="89">
        <f t="shared" si="10"/>
        <v>695.58382335293527</v>
      </c>
      <c r="K126" s="89">
        <f t="shared" si="11"/>
        <v>695.51715668626855</v>
      </c>
      <c r="L126" s="89">
        <f t="shared" si="12"/>
        <v>26.372659264591967</v>
      </c>
      <c r="M126" s="89" t="str">
        <f t="shared" si="13"/>
        <v>NG</v>
      </c>
      <c r="N126" s="117">
        <f t="shared" si="14"/>
        <v>1</v>
      </c>
      <c r="O126" s="89">
        <f t="shared" si="9"/>
        <v>1.3900000000000006</v>
      </c>
      <c r="P126" s="89">
        <f>IF(G126="","",ABS(O126-Components!$C$2))</f>
        <v>1.3633333333333293</v>
      </c>
      <c r="Q126" s="89">
        <f>IF(G126="","",ABS(O126-Components!$C$3))</f>
        <v>2.645999999999999</v>
      </c>
      <c r="R126" s="89">
        <f>IF(G126="","",ABS(O126-Components!$C$4))</f>
        <v>0.39666666666666761</v>
      </c>
      <c r="S126" s="89">
        <f>IF(G126="","",ABS(O126-Components!$C$5))</f>
        <v>3.1726666666666699</v>
      </c>
      <c r="T126" s="89">
        <f>IF(G126="","",ABS(O126-Components!$C$6))</f>
        <v>0.23433333333333062</v>
      </c>
      <c r="U126" s="89">
        <f>IF(G126="","",ABS(O126-Components!$C$7))</f>
        <v>1.5666666666670492E-2</v>
      </c>
      <c r="V126" s="89" t="str">
        <f>IF(G126="","",IF(M126="OK","NONE",INDEX({"S1","S2","W1","W2","N1","N2"},MATCH(MIN(P126:U126),P126:U126,0))))</f>
        <v>N2</v>
      </c>
      <c r="W126" s="139">
        <f t="shared" si="15"/>
        <v>1</v>
      </c>
      <c r="X126" s="125"/>
    </row>
    <row r="127" spans="1:24" ht="15.75">
      <c r="A127" s="115">
        <v>113</v>
      </c>
      <c r="B127" s="135">
        <f>'Runs Z-Score'!B115</f>
        <v>4</v>
      </c>
      <c r="C127" s="89" t="str">
        <f>'Runs Z-Score'!C115</f>
        <v>R3</v>
      </c>
      <c r="D127" s="89" t="str">
        <f>'Runs Z-Score'!D115</f>
        <v>NG</v>
      </c>
      <c r="E127" s="89" t="str">
        <f>'Runs Z-Score'!E115</f>
        <v>N2</v>
      </c>
      <c r="F127" s="89">
        <f>'Runs Z-Score'!F115</f>
        <v>8.59</v>
      </c>
      <c r="G127" s="89">
        <f t="shared" si="8"/>
        <v>9.56</v>
      </c>
      <c r="H127" s="89">
        <f>VLOOKUP(C127,Recipes!$A$2:$N$4,10,FALSE())</f>
        <v>10.940000000000001</v>
      </c>
      <c r="I127" s="89">
        <f>VLOOKUP(C127,Recipes!$A$2:$N$4,12,FALSE())</f>
        <v>5.2703573566378441E-2</v>
      </c>
      <c r="J127" s="89">
        <f t="shared" si="10"/>
        <v>685.61142445697953</v>
      </c>
      <c r="K127" s="89">
        <f t="shared" si="11"/>
        <v>685.54475779031281</v>
      </c>
      <c r="L127" s="89">
        <f t="shared" si="12"/>
        <v>26.182909650959591</v>
      </c>
      <c r="M127" s="89" t="str">
        <f t="shared" si="13"/>
        <v>NG</v>
      </c>
      <c r="N127" s="117">
        <f t="shared" si="14"/>
        <v>1</v>
      </c>
      <c r="O127" s="89">
        <f t="shared" si="9"/>
        <v>1.3800000000000008</v>
      </c>
      <c r="P127" s="89">
        <f>IF(G127="","",ABS(O127-Components!$C$2))</f>
        <v>1.3733333333333291</v>
      </c>
      <c r="Q127" s="89">
        <f>IF(G127="","",ABS(O127-Components!$C$3))</f>
        <v>2.6559999999999988</v>
      </c>
      <c r="R127" s="89">
        <f>IF(G127="","",ABS(O127-Components!$C$4))</f>
        <v>0.38666666666666782</v>
      </c>
      <c r="S127" s="89">
        <f>IF(G127="","",ABS(O127-Components!$C$5))</f>
        <v>3.1826666666666696</v>
      </c>
      <c r="T127" s="89">
        <f>IF(G127="","",ABS(O127-Components!$C$6))</f>
        <v>0.22433333333333083</v>
      </c>
      <c r="U127" s="89">
        <f>IF(G127="","",ABS(O127-Components!$C$7))</f>
        <v>5.6666666666707055E-3</v>
      </c>
      <c r="V127" s="89" t="str">
        <f>IF(G127="","",IF(M127="OK","NONE",INDEX({"S1","S2","W1","W2","N1","N2"},MATCH(MIN(P127:U127),P127:U127,0))))</f>
        <v>N2</v>
      </c>
      <c r="W127" s="139">
        <f t="shared" si="15"/>
        <v>1</v>
      </c>
      <c r="X127" s="125"/>
    </row>
    <row r="128" spans="1:24" ht="15.75">
      <c r="A128" s="115">
        <v>114</v>
      </c>
      <c r="B128" s="135">
        <f>'Runs Z-Score'!B116</f>
        <v>4</v>
      </c>
      <c r="C128" s="89" t="str">
        <f>'Runs Z-Score'!C116</f>
        <v>R3</v>
      </c>
      <c r="D128" s="89" t="str">
        <f>'Runs Z-Score'!D116</f>
        <v>NG</v>
      </c>
      <c r="E128" s="89" t="str">
        <f>'Runs Z-Score'!E116</f>
        <v>N2</v>
      </c>
      <c r="F128" s="89">
        <f>'Runs Z-Score'!F116</f>
        <v>8.6300000000000008</v>
      </c>
      <c r="G128" s="89">
        <f t="shared" si="8"/>
        <v>9.6000000000000014</v>
      </c>
      <c r="H128" s="89">
        <f>VLOOKUP(C128,Recipes!$A$2:$N$4,10,FALSE())</f>
        <v>10.940000000000001</v>
      </c>
      <c r="I128" s="89">
        <f>VLOOKUP(C128,Recipes!$A$2:$N$4,12,FALSE())</f>
        <v>5.2703573566378441E-2</v>
      </c>
      <c r="J128" s="89">
        <f t="shared" si="10"/>
        <v>646.44185767430736</v>
      </c>
      <c r="K128" s="89">
        <f t="shared" si="11"/>
        <v>646.37519100764064</v>
      </c>
      <c r="L128" s="89">
        <f t="shared" si="12"/>
        <v>25.423909829285517</v>
      </c>
      <c r="M128" s="89" t="str">
        <f t="shared" si="13"/>
        <v>NG</v>
      </c>
      <c r="N128" s="117">
        <f t="shared" si="14"/>
        <v>1</v>
      </c>
      <c r="O128" s="89">
        <f t="shared" si="9"/>
        <v>1.3399999999999999</v>
      </c>
      <c r="P128" s="89">
        <f>IF(G128="","",ABS(O128-Components!$C$2))</f>
        <v>1.41333333333333</v>
      </c>
      <c r="Q128" s="89">
        <f>IF(G128="","",ABS(O128-Components!$C$3))</f>
        <v>2.6959999999999997</v>
      </c>
      <c r="R128" s="89">
        <f>IF(G128="","",ABS(O128-Components!$C$4))</f>
        <v>0.3466666666666669</v>
      </c>
      <c r="S128" s="89">
        <f>IF(G128="","",ABS(O128-Components!$C$5))</f>
        <v>3.2226666666666706</v>
      </c>
      <c r="T128" s="89">
        <f>IF(G128="","",ABS(O128-Components!$C$6))</f>
        <v>0.18433333333332991</v>
      </c>
      <c r="U128" s="89">
        <f>IF(G128="","",ABS(O128-Components!$C$7))</f>
        <v>3.4333333333330218E-2</v>
      </c>
      <c r="V128" s="89" t="str">
        <f>IF(G128="","",IF(M128="OK","NONE",INDEX({"S1","S2","W1","W2","N1","N2"},MATCH(MIN(P128:U128),P128:U128,0))))</f>
        <v>N2</v>
      </c>
      <c r="W128" s="139">
        <f t="shared" si="15"/>
        <v>1</v>
      </c>
      <c r="X128" s="125"/>
    </row>
    <row r="129" spans="1:24" ht="15.75">
      <c r="A129" s="115">
        <v>115</v>
      </c>
      <c r="B129" s="135">
        <f>'Runs Z-Score'!B117</f>
        <v>4</v>
      </c>
      <c r="C129" s="89" t="str">
        <f>'Runs Z-Score'!C117</f>
        <v>R3</v>
      </c>
      <c r="D129" s="89" t="str">
        <f>'Runs Z-Score'!D117</f>
        <v>NG</v>
      </c>
      <c r="E129" s="89" t="str">
        <f>'Runs Z-Score'!E117</f>
        <v>N2</v>
      </c>
      <c r="F129" s="89">
        <f>'Runs Z-Score'!F117</f>
        <v>8.6300000000000008</v>
      </c>
      <c r="G129" s="89">
        <f t="shared" si="8"/>
        <v>9.6000000000000014</v>
      </c>
      <c r="H129" s="89">
        <f>VLOOKUP(C129,Recipes!$A$2:$N$4,10,FALSE())</f>
        <v>10.940000000000001</v>
      </c>
      <c r="I129" s="89">
        <f>VLOOKUP(C129,Recipes!$A$2:$N$4,12,FALSE())</f>
        <v>5.2703573566378441E-2</v>
      </c>
      <c r="J129" s="89">
        <f t="shared" si="10"/>
        <v>646.44185767430736</v>
      </c>
      <c r="K129" s="89">
        <f t="shared" si="11"/>
        <v>646.37519100764064</v>
      </c>
      <c r="L129" s="89">
        <f t="shared" si="12"/>
        <v>25.423909829285517</v>
      </c>
      <c r="M129" s="89" t="str">
        <f t="shared" si="13"/>
        <v>NG</v>
      </c>
      <c r="N129" s="117">
        <f t="shared" si="14"/>
        <v>1</v>
      </c>
      <c r="O129" s="89">
        <f t="shared" si="9"/>
        <v>1.3399999999999999</v>
      </c>
      <c r="P129" s="89">
        <f>IF(G129="","",ABS(O129-Components!$C$2))</f>
        <v>1.41333333333333</v>
      </c>
      <c r="Q129" s="89">
        <f>IF(G129="","",ABS(O129-Components!$C$3))</f>
        <v>2.6959999999999997</v>
      </c>
      <c r="R129" s="89">
        <f>IF(G129="","",ABS(O129-Components!$C$4))</f>
        <v>0.3466666666666669</v>
      </c>
      <c r="S129" s="89">
        <f>IF(G129="","",ABS(O129-Components!$C$5))</f>
        <v>3.2226666666666706</v>
      </c>
      <c r="T129" s="89">
        <f>IF(G129="","",ABS(O129-Components!$C$6))</f>
        <v>0.18433333333332991</v>
      </c>
      <c r="U129" s="89">
        <f>IF(G129="","",ABS(O129-Components!$C$7))</f>
        <v>3.4333333333330218E-2</v>
      </c>
      <c r="V129" s="89" t="str">
        <f>IF(G129="","",IF(M129="OK","NONE",INDEX({"S1","S2","W1","W2","N1","N2"},MATCH(MIN(P129:U129),P129:U129,0))))</f>
        <v>N2</v>
      </c>
      <c r="W129" s="139">
        <f t="shared" si="15"/>
        <v>1</v>
      </c>
      <c r="X129" s="125"/>
    </row>
    <row r="130" spans="1:24" ht="15.75">
      <c r="A130" s="115">
        <v>116</v>
      </c>
      <c r="B130" s="135">
        <f>'Runs Z-Score'!B118</f>
        <v>4</v>
      </c>
      <c r="C130" s="89" t="str">
        <f>'Runs Z-Score'!C118</f>
        <v>R3</v>
      </c>
      <c r="D130" s="89" t="str">
        <f>'Runs Z-Score'!D118</f>
        <v>NG</v>
      </c>
      <c r="E130" s="89" t="str">
        <f>'Runs Z-Score'!E118</f>
        <v>N2</v>
      </c>
      <c r="F130" s="89">
        <f>'Runs Z-Score'!F118</f>
        <v>8.59</v>
      </c>
      <c r="G130" s="89">
        <f t="shared" si="8"/>
        <v>9.56</v>
      </c>
      <c r="H130" s="89">
        <f>VLOOKUP(C130,Recipes!$A$2:$N$4,10,FALSE())</f>
        <v>10.940000000000001</v>
      </c>
      <c r="I130" s="89">
        <f>VLOOKUP(C130,Recipes!$A$2:$N$4,12,FALSE())</f>
        <v>5.2703573566378441E-2</v>
      </c>
      <c r="J130" s="89">
        <f t="shared" si="10"/>
        <v>685.61142445697953</v>
      </c>
      <c r="K130" s="89">
        <f t="shared" si="11"/>
        <v>685.54475779031281</v>
      </c>
      <c r="L130" s="89">
        <f t="shared" si="12"/>
        <v>26.182909650959591</v>
      </c>
      <c r="M130" s="89" t="str">
        <f t="shared" si="13"/>
        <v>NG</v>
      </c>
      <c r="N130" s="117">
        <f t="shared" si="14"/>
        <v>1</v>
      </c>
      <c r="O130" s="89">
        <f t="shared" si="9"/>
        <v>1.3800000000000008</v>
      </c>
      <c r="P130" s="89">
        <f>IF(G130="","",ABS(O130-Components!$C$2))</f>
        <v>1.3733333333333291</v>
      </c>
      <c r="Q130" s="89">
        <f>IF(G130="","",ABS(O130-Components!$C$3))</f>
        <v>2.6559999999999988</v>
      </c>
      <c r="R130" s="89">
        <f>IF(G130="","",ABS(O130-Components!$C$4))</f>
        <v>0.38666666666666782</v>
      </c>
      <c r="S130" s="89">
        <f>IF(G130="","",ABS(O130-Components!$C$5))</f>
        <v>3.1826666666666696</v>
      </c>
      <c r="T130" s="89">
        <f>IF(G130="","",ABS(O130-Components!$C$6))</f>
        <v>0.22433333333333083</v>
      </c>
      <c r="U130" s="89">
        <f>IF(G130="","",ABS(O130-Components!$C$7))</f>
        <v>5.6666666666707055E-3</v>
      </c>
      <c r="V130" s="89" t="str">
        <f>IF(G130="","",IF(M130="OK","NONE",INDEX({"S1","S2","W1","W2","N1","N2"},MATCH(MIN(P130:U130),P130:U130,0))))</f>
        <v>N2</v>
      </c>
      <c r="W130" s="139">
        <f t="shared" si="15"/>
        <v>1</v>
      </c>
      <c r="X130" s="125"/>
    </row>
    <row r="131" spans="1:24" ht="15.75">
      <c r="A131" s="115">
        <v>117</v>
      </c>
      <c r="B131" s="135">
        <f>'Runs Z-Score'!B119</f>
        <v>4</v>
      </c>
      <c r="C131" s="89" t="str">
        <f>'Runs Z-Score'!C119</f>
        <v>R3</v>
      </c>
      <c r="D131" s="89" t="str">
        <f>'Runs Z-Score'!D119</f>
        <v>NG</v>
      </c>
      <c r="E131" s="89" t="str">
        <f>'Runs Z-Score'!E119</f>
        <v>N2</v>
      </c>
      <c r="F131" s="89">
        <f>'Runs Z-Score'!F119</f>
        <v>8.56</v>
      </c>
      <c r="G131" s="89">
        <f t="shared" si="8"/>
        <v>9.5300000000000011</v>
      </c>
      <c r="H131" s="89">
        <f>VLOOKUP(C131,Recipes!$A$2:$N$4,10,FALSE())</f>
        <v>10.940000000000001</v>
      </c>
      <c r="I131" s="89">
        <f>VLOOKUP(C131,Recipes!$A$2:$N$4,12,FALSE())</f>
        <v>5.2703573566378441E-2</v>
      </c>
      <c r="J131" s="89">
        <f t="shared" si="10"/>
        <v>715.74462978519216</v>
      </c>
      <c r="K131" s="89">
        <f t="shared" si="11"/>
        <v>715.67796311852544</v>
      </c>
      <c r="L131" s="89">
        <f t="shared" si="12"/>
        <v>26.752158102077026</v>
      </c>
      <c r="M131" s="89" t="str">
        <f t="shared" si="13"/>
        <v>NG</v>
      </c>
      <c r="N131" s="117">
        <f t="shared" si="14"/>
        <v>1</v>
      </c>
      <c r="O131" s="89">
        <f t="shared" si="9"/>
        <v>1.4100000000000001</v>
      </c>
      <c r="P131" s="89">
        <f>IF(G131="","",ABS(O131-Components!$C$2))</f>
        <v>1.3433333333333297</v>
      </c>
      <c r="Q131" s="89">
        <f>IF(G131="","",ABS(O131-Components!$C$3))</f>
        <v>2.6259999999999994</v>
      </c>
      <c r="R131" s="89">
        <f>IF(G131="","",ABS(O131-Components!$C$4))</f>
        <v>0.41666666666666718</v>
      </c>
      <c r="S131" s="89">
        <f>IF(G131="","",ABS(O131-Components!$C$5))</f>
        <v>3.1526666666666703</v>
      </c>
      <c r="T131" s="89">
        <f>IF(G131="","",ABS(O131-Components!$C$6))</f>
        <v>0.25433333333333019</v>
      </c>
      <c r="U131" s="89">
        <f>IF(G131="","",ABS(O131-Components!$C$7))</f>
        <v>3.5666666666670066E-2</v>
      </c>
      <c r="V131" s="89" t="str">
        <f>IF(G131="","",IF(M131="OK","NONE",INDEX({"S1","S2","W1","W2","N1","N2"},MATCH(MIN(P131:U131),P131:U131,0))))</f>
        <v>N2</v>
      </c>
      <c r="W131" s="139">
        <f t="shared" si="15"/>
        <v>1</v>
      </c>
      <c r="X131" s="125"/>
    </row>
    <row r="132" spans="1:24" ht="15.75">
      <c r="A132" s="115">
        <v>118</v>
      </c>
      <c r="B132" s="135">
        <f>'Runs Z-Score'!B120</f>
        <v>4</v>
      </c>
      <c r="C132" s="89" t="str">
        <f>'Runs Z-Score'!C120</f>
        <v>R3</v>
      </c>
      <c r="D132" s="89" t="str">
        <f>'Runs Z-Score'!D120</f>
        <v>NG</v>
      </c>
      <c r="E132" s="89" t="str">
        <f>'Runs Z-Score'!E120</f>
        <v>N2</v>
      </c>
      <c r="F132" s="89">
        <f>'Runs Z-Score'!F120</f>
        <v>8.58</v>
      </c>
      <c r="G132" s="89">
        <f t="shared" si="8"/>
        <v>9.5500000000000007</v>
      </c>
      <c r="H132" s="89">
        <f>VLOOKUP(C132,Recipes!$A$2:$N$4,10,FALSE())</f>
        <v>10.940000000000001</v>
      </c>
      <c r="I132" s="89">
        <f>VLOOKUP(C132,Recipes!$A$2:$N$4,12,FALSE())</f>
        <v>5.2703573566378441E-2</v>
      </c>
      <c r="J132" s="89">
        <f t="shared" si="10"/>
        <v>695.58382335293527</v>
      </c>
      <c r="K132" s="89">
        <f t="shared" si="11"/>
        <v>695.51715668626855</v>
      </c>
      <c r="L132" s="89">
        <f t="shared" si="12"/>
        <v>26.372659264591967</v>
      </c>
      <c r="M132" s="89" t="str">
        <f t="shared" si="13"/>
        <v>NG</v>
      </c>
      <c r="N132" s="117">
        <f t="shared" si="14"/>
        <v>1</v>
      </c>
      <c r="O132" s="89">
        <f t="shared" si="9"/>
        <v>1.3900000000000006</v>
      </c>
      <c r="P132" s="89">
        <f>IF(G132="","",ABS(O132-Components!$C$2))</f>
        <v>1.3633333333333293</v>
      </c>
      <c r="Q132" s="89">
        <f>IF(G132="","",ABS(O132-Components!$C$3))</f>
        <v>2.645999999999999</v>
      </c>
      <c r="R132" s="89">
        <f>IF(G132="","",ABS(O132-Components!$C$4))</f>
        <v>0.39666666666666761</v>
      </c>
      <c r="S132" s="89">
        <f>IF(G132="","",ABS(O132-Components!$C$5))</f>
        <v>3.1726666666666699</v>
      </c>
      <c r="T132" s="89">
        <f>IF(G132="","",ABS(O132-Components!$C$6))</f>
        <v>0.23433333333333062</v>
      </c>
      <c r="U132" s="89">
        <f>IF(G132="","",ABS(O132-Components!$C$7))</f>
        <v>1.5666666666670492E-2</v>
      </c>
      <c r="V132" s="89" t="str">
        <f>IF(G132="","",IF(M132="OK","NONE",INDEX({"S1","S2","W1","W2","N1","N2"},MATCH(MIN(P132:U132),P132:U132,0))))</f>
        <v>N2</v>
      </c>
      <c r="W132" s="139">
        <f t="shared" si="15"/>
        <v>1</v>
      </c>
      <c r="X132" s="125"/>
    </row>
    <row r="133" spans="1:24" ht="15.75">
      <c r="A133" s="115">
        <v>119</v>
      </c>
      <c r="B133" s="135">
        <f>'Runs Z-Score'!B121</f>
        <v>4</v>
      </c>
      <c r="C133" s="89" t="str">
        <f>'Runs Z-Score'!C121</f>
        <v>R3</v>
      </c>
      <c r="D133" s="89" t="str">
        <f>'Runs Z-Score'!D121</f>
        <v>NG</v>
      </c>
      <c r="E133" s="89" t="str">
        <f>'Runs Z-Score'!E121</f>
        <v>N2</v>
      </c>
      <c r="F133" s="89">
        <f>'Runs Z-Score'!F121</f>
        <v>8.6300000000000008</v>
      </c>
      <c r="G133" s="89">
        <f t="shared" si="8"/>
        <v>9.6000000000000014</v>
      </c>
      <c r="H133" s="89">
        <f>VLOOKUP(C133,Recipes!$A$2:$N$4,10,FALSE())</f>
        <v>10.940000000000001</v>
      </c>
      <c r="I133" s="89">
        <f>VLOOKUP(C133,Recipes!$A$2:$N$4,12,FALSE())</f>
        <v>5.2703573566378441E-2</v>
      </c>
      <c r="J133" s="89">
        <f t="shared" si="10"/>
        <v>646.44185767430736</v>
      </c>
      <c r="K133" s="89">
        <f t="shared" si="11"/>
        <v>646.37519100764064</v>
      </c>
      <c r="L133" s="89">
        <f t="shared" si="12"/>
        <v>25.423909829285517</v>
      </c>
      <c r="M133" s="89" t="str">
        <f t="shared" si="13"/>
        <v>NG</v>
      </c>
      <c r="N133" s="117">
        <f t="shared" si="14"/>
        <v>1</v>
      </c>
      <c r="O133" s="89">
        <f t="shared" si="9"/>
        <v>1.3399999999999999</v>
      </c>
      <c r="P133" s="89">
        <f>IF(G133="","",ABS(O133-Components!$C$2))</f>
        <v>1.41333333333333</v>
      </c>
      <c r="Q133" s="89">
        <f>IF(G133="","",ABS(O133-Components!$C$3))</f>
        <v>2.6959999999999997</v>
      </c>
      <c r="R133" s="89">
        <f>IF(G133="","",ABS(O133-Components!$C$4))</f>
        <v>0.3466666666666669</v>
      </c>
      <c r="S133" s="89">
        <f>IF(G133="","",ABS(O133-Components!$C$5))</f>
        <v>3.2226666666666706</v>
      </c>
      <c r="T133" s="89">
        <f>IF(G133="","",ABS(O133-Components!$C$6))</f>
        <v>0.18433333333332991</v>
      </c>
      <c r="U133" s="89">
        <f>IF(G133="","",ABS(O133-Components!$C$7))</f>
        <v>3.4333333333330218E-2</v>
      </c>
      <c r="V133" s="89" t="str">
        <f>IF(G133="","",IF(M133="OK","NONE",INDEX({"S1","S2","W1","W2","N1","N2"},MATCH(MIN(P133:U133),P133:U133,0))))</f>
        <v>N2</v>
      </c>
      <c r="W133" s="139">
        <f t="shared" si="15"/>
        <v>1</v>
      </c>
      <c r="X133" s="125"/>
    </row>
    <row r="134" spans="1:24" ht="15.75">
      <c r="A134" s="115">
        <v>120</v>
      </c>
      <c r="B134" s="135">
        <f>'Runs Z-Score'!B122</f>
        <v>4</v>
      </c>
      <c r="C134" s="89" t="str">
        <f>'Runs Z-Score'!C122</f>
        <v>R3</v>
      </c>
      <c r="D134" s="89" t="str">
        <f>'Runs Z-Score'!D122</f>
        <v>NG</v>
      </c>
      <c r="E134" s="89" t="str">
        <f>'Runs Z-Score'!E122</f>
        <v>N2</v>
      </c>
      <c r="F134" s="89">
        <f>'Runs Z-Score'!F122</f>
        <v>8.59</v>
      </c>
      <c r="G134" s="89">
        <f t="shared" si="8"/>
        <v>9.56</v>
      </c>
      <c r="H134" s="89">
        <f>VLOOKUP(C134,Recipes!$A$2:$N$4,10,FALSE())</f>
        <v>10.940000000000001</v>
      </c>
      <c r="I134" s="89">
        <f>VLOOKUP(C134,Recipes!$A$2:$N$4,12,FALSE())</f>
        <v>5.2703573566378441E-2</v>
      </c>
      <c r="J134" s="89">
        <f t="shared" si="10"/>
        <v>685.61142445697953</v>
      </c>
      <c r="K134" s="89">
        <f t="shared" si="11"/>
        <v>685.54475779031281</v>
      </c>
      <c r="L134" s="89">
        <f t="shared" si="12"/>
        <v>26.182909650959591</v>
      </c>
      <c r="M134" s="89" t="str">
        <f t="shared" si="13"/>
        <v>NG</v>
      </c>
      <c r="N134" s="117">
        <f t="shared" si="14"/>
        <v>1</v>
      </c>
      <c r="O134" s="89">
        <f t="shared" si="9"/>
        <v>1.3800000000000008</v>
      </c>
      <c r="P134" s="89">
        <f>IF(G134="","",ABS(O134-Components!$C$2))</f>
        <v>1.3733333333333291</v>
      </c>
      <c r="Q134" s="89">
        <f>IF(G134="","",ABS(O134-Components!$C$3))</f>
        <v>2.6559999999999988</v>
      </c>
      <c r="R134" s="89">
        <f>IF(G134="","",ABS(O134-Components!$C$4))</f>
        <v>0.38666666666666782</v>
      </c>
      <c r="S134" s="89">
        <f>IF(G134="","",ABS(O134-Components!$C$5))</f>
        <v>3.1826666666666696</v>
      </c>
      <c r="T134" s="89">
        <f>IF(G134="","",ABS(O134-Components!$C$6))</f>
        <v>0.22433333333333083</v>
      </c>
      <c r="U134" s="89">
        <f>IF(G134="","",ABS(O134-Components!$C$7))</f>
        <v>5.6666666666707055E-3</v>
      </c>
      <c r="V134" s="89" t="str">
        <f>IF(G134="","",IF(M134="OK","NONE",INDEX({"S1","S2","W1","W2","N1","N2"},MATCH(MIN(P134:U134),P134:U134,0))))</f>
        <v>N2</v>
      </c>
      <c r="W134" s="139">
        <f t="shared" si="15"/>
        <v>1</v>
      </c>
      <c r="X134" s="125"/>
    </row>
    <row r="135" spans="1:24" ht="15.75">
      <c r="A135" s="115">
        <v>121</v>
      </c>
      <c r="B135" s="135">
        <f>'Runs Z-Score'!B123</f>
        <v>5</v>
      </c>
      <c r="C135" s="89" t="str">
        <f>'Runs Z-Score'!C123</f>
        <v>R4</v>
      </c>
      <c r="D135" s="89" t="str">
        <f>'Runs Z-Score'!D123</f>
        <v>OK</v>
      </c>
      <c r="E135" s="89" t="str">
        <f>'Runs Z-Score'!E123</f>
        <v>NONE</v>
      </c>
      <c r="F135" s="89">
        <f>'Runs Z-Score'!F123</f>
        <v>8.9499999999999993</v>
      </c>
      <c r="G135" s="89">
        <f t="shared" si="8"/>
        <v>9.92</v>
      </c>
      <c r="H135" s="89">
        <v>9.91</v>
      </c>
      <c r="I135" s="89">
        <f>VLOOKUP(C135,Recipes!$A$2:$N$4,12,FALSE())</f>
        <v>5.0137397426368718E-2</v>
      </c>
      <c r="J135" s="89">
        <f t="shared" si="10"/>
        <v>3.9781066955649445E-2</v>
      </c>
      <c r="K135" s="89">
        <f t="shared" si="11"/>
        <v>0</v>
      </c>
      <c r="L135" s="89">
        <f t="shared" si="12"/>
        <v>0</v>
      </c>
      <c r="M135" s="89" t="str">
        <f t="shared" si="13"/>
        <v>OK</v>
      </c>
      <c r="N135" s="117">
        <f t="shared" si="14"/>
        <v>1</v>
      </c>
      <c r="O135" s="89">
        <f t="shared" si="9"/>
        <v>-9.9999999999997868E-3</v>
      </c>
      <c r="P135" s="89">
        <f>IF(G135="","",ABS(O135-Components!$C$2))</f>
        <v>2.7633333333333296</v>
      </c>
      <c r="Q135" s="89">
        <f>IF(G135="","",ABS(O135-Components!$C$3))</f>
        <v>4.0459999999999994</v>
      </c>
      <c r="R135" s="89">
        <f>IF(G135="","",ABS(O135-Components!$C$4))</f>
        <v>1.0033333333333327</v>
      </c>
      <c r="S135" s="89">
        <f>IF(G135="","",ABS(O135-Components!$C$5))</f>
        <v>4.5726666666666702</v>
      </c>
      <c r="T135" s="89">
        <f>IF(G135="","",ABS(O135-Components!$C$6))</f>
        <v>1.1656666666666697</v>
      </c>
      <c r="U135" s="89">
        <f>IF(G135="","",ABS(O135-Components!$C$7))</f>
        <v>1.3843333333333299</v>
      </c>
      <c r="V135" s="89" t="str">
        <f>IF(G135="","",IF(M135="OK","NONE",INDEX({"S1","S2","W1","W2","N1","N2"},MATCH(MIN(P135:U135),P135:U135,0))))</f>
        <v>NONE</v>
      </c>
      <c r="W135" s="139">
        <f t="shared" si="15"/>
        <v>1</v>
      </c>
      <c r="X135" s="125"/>
    </row>
    <row r="136" spans="1:24" ht="15.75">
      <c r="A136" s="115">
        <v>122</v>
      </c>
      <c r="B136" s="135">
        <f>'Runs Z-Score'!B124</f>
        <v>5</v>
      </c>
      <c r="C136" s="89" t="str">
        <f>'Runs Z-Score'!C124</f>
        <v>R4</v>
      </c>
      <c r="D136" s="89" t="str">
        <f>'Runs Z-Score'!D124</f>
        <v>OK</v>
      </c>
      <c r="E136" s="89" t="str">
        <f>'Runs Z-Score'!E124</f>
        <v>NONE</v>
      </c>
      <c r="F136" s="89">
        <f>'Runs Z-Score'!F124</f>
        <v>8.94</v>
      </c>
      <c r="G136" s="89">
        <f t="shared" si="8"/>
        <v>9.91</v>
      </c>
      <c r="H136" s="89">
        <v>9.91</v>
      </c>
      <c r="I136" s="89">
        <f>VLOOKUP(C136,Recipes!$A$2:$N$4,12,FALSE())</f>
        <v>5.0137397426368718E-2</v>
      </c>
      <c r="J136" s="89">
        <f t="shared" si="10"/>
        <v>0</v>
      </c>
      <c r="K136" s="89">
        <f t="shared" si="11"/>
        <v>0</v>
      </c>
      <c r="L136" s="89">
        <f t="shared" si="12"/>
        <v>0</v>
      </c>
      <c r="M136" s="89" t="str">
        <f t="shared" si="13"/>
        <v>OK</v>
      </c>
      <c r="N136" s="117">
        <f t="shared" si="14"/>
        <v>1</v>
      </c>
      <c r="O136" s="89">
        <f t="shared" si="9"/>
        <v>0</v>
      </c>
      <c r="P136" s="89">
        <f>IF(G136="","",ABS(O136-Components!$C$2))</f>
        <v>2.7533333333333299</v>
      </c>
      <c r="Q136" s="89">
        <f>IF(G136="","",ABS(O136-Components!$C$3))</f>
        <v>4.0359999999999996</v>
      </c>
      <c r="R136" s="89">
        <f>IF(G136="","",ABS(O136-Components!$C$4))</f>
        <v>0.99333333333333296</v>
      </c>
      <c r="S136" s="89">
        <f>IF(G136="","",ABS(O136-Components!$C$5))</f>
        <v>4.5626666666666704</v>
      </c>
      <c r="T136" s="89">
        <f>IF(G136="","",ABS(O136-Components!$C$6))</f>
        <v>1.15566666666667</v>
      </c>
      <c r="U136" s="89">
        <f>IF(G136="","",ABS(O136-Components!$C$7))</f>
        <v>1.3743333333333301</v>
      </c>
      <c r="V136" s="89" t="str">
        <f>IF(G136="","",IF(M136="OK","NONE",INDEX({"S1","S2","W1","W2","N1","N2"},MATCH(MIN(P136:U136),P136:U136,0))))</f>
        <v>NONE</v>
      </c>
      <c r="W136" s="139">
        <f t="shared" si="15"/>
        <v>1</v>
      </c>
      <c r="X136" s="125"/>
    </row>
    <row r="137" spans="1:24" ht="15.75">
      <c r="A137" s="115">
        <v>123</v>
      </c>
      <c r="B137" s="135">
        <f>'Runs Z-Score'!B125</f>
        <v>5</v>
      </c>
      <c r="C137" s="89" t="str">
        <f>'Runs Z-Score'!C125</f>
        <v>R4</v>
      </c>
      <c r="D137" s="89" t="str">
        <f>'Runs Z-Score'!D125</f>
        <v>OK</v>
      </c>
      <c r="E137" s="89" t="str">
        <f>'Runs Z-Score'!E125</f>
        <v>NONE</v>
      </c>
      <c r="F137" s="89">
        <f>'Runs Z-Score'!F125</f>
        <v>8.94</v>
      </c>
      <c r="G137" s="89">
        <f t="shared" si="8"/>
        <v>9.91</v>
      </c>
      <c r="H137" s="89">
        <v>9.91</v>
      </c>
      <c r="I137" s="89">
        <f>VLOOKUP(C137,Recipes!$A$2:$N$4,12,FALSE())</f>
        <v>5.0137397426368718E-2</v>
      </c>
      <c r="J137" s="89">
        <f t="shared" si="10"/>
        <v>0</v>
      </c>
      <c r="K137" s="89">
        <f t="shared" si="11"/>
        <v>0</v>
      </c>
      <c r="L137" s="89">
        <f t="shared" si="12"/>
        <v>0</v>
      </c>
      <c r="M137" s="89" t="str">
        <f t="shared" si="13"/>
        <v>OK</v>
      </c>
      <c r="N137" s="117">
        <f t="shared" si="14"/>
        <v>1</v>
      </c>
      <c r="O137" s="89">
        <f t="shared" si="9"/>
        <v>0</v>
      </c>
      <c r="P137" s="89">
        <f>IF(G137="","",ABS(O137-Components!$C$2))</f>
        <v>2.7533333333333299</v>
      </c>
      <c r="Q137" s="89">
        <f>IF(G137="","",ABS(O137-Components!$C$3))</f>
        <v>4.0359999999999996</v>
      </c>
      <c r="R137" s="89">
        <f>IF(G137="","",ABS(O137-Components!$C$4))</f>
        <v>0.99333333333333296</v>
      </c>
      <c r="S137" s="89">
        <f>IF(G137="","",ABS(O137-Components!$C$5))</f>
        <v>4.5626666666666704</v>
      </c>
      <c r="T137" s="89">
        <f>IF(G137="","",ABS(O137-Components!$C$6))</f>
        <v>1.15566666666667</v>
      </c>
      <c r="U137" s="89">
        <f>IF(G137="","",ABS(O137-Components!$C$7))</f>
        <v>1.3743333333333301</v>
      </c>
      <c r="V137" s="89" t="str">
        <f>IF(G137="","",IF(M137="OK","NONE",INDEX({"S1","S2","W1","W2","N1","N2"},MATCH(MIN(P137:U137),P137:U137,0))))</f>
        <v>NONE</v>
      </c>
      <c r="W137" s="139">
        <f t="shared" si="15"/>
        <v>1</v>
      </c>
      <c r="X137" s="125"/>
    </row>
    <row r="138" spans="1:24" ht="15.75">
      <c r="A138" s="115">
        <v>124</v>
      </c>
      <c r="B138" s="135">
        <f>'Runs Z-Score'!B126</f>
        <v>5</v>
      </c>
      <c r="C138" s="89" t="str">
        <f>'Runs Z-Score'!C126</f>
        <v>R4</v>
      </c>
      <c r="D138" s="89" t="str">
        <f>'Runs Z-Score'!D126</f>
        <v>OK</v>
      </c>
      <c r="E138" s="89" t="str">
        <f>'Runs Z-Score'!E126</f>
        <v>NONE</v>
      </c>
      <c r="F138" s="89">
        <f>'Runs Z-Score'!F126</f>
        <v>8.89</v>
      </c>
      <c r="G138" s="89">
        <f t="shared" si="8"/>
        <v>9.8600000000000012</v>
      </c>
      <c r="H138" s="89">
        <v>9.91</v>
      </c>
      <c r="I138" s="89">
        <f>VLOOKUP(C138,Recipes!$A$2:$N$4,12,FALSE())</f>
        <v>5.0137397426368718E-2</v>
      </c>
      <c r="J138" s="89">
        <f t="shared" si="10"/>
        <v>0.99452667389123606</v>
      </c>
      <c r="K138" s="89">
        <f t="shared" si="11"/>
        <v>0.92786000722456941</v>
      </c>
      <c r="L138" s="89">
        <f t="shared" si="12"/>
        <v>0.96325490251779633</v>
      </c>
      <c r="M138" s="89" t="str">
        <f t="shared" si="13"/>
        <v>OK</v>
      </c>
      <c r="N138" s="117">
        <f t="shared" si="14"/>
        <v>1</v>
      </c>
      <c r="O138" s="89">
        <f t="shared" si="9"/>
        <v>4.9999999999998934E-2</v>
      </c>
      <c r="P138" s="89">
        <f>IF(G138="","",ABS(O138-Components!$C$2))</f>
        <v>2.7033333333333309</v>
      </c>
      <c r="Q138" s="89">
        <f>IF(G138="","",ABS(O138-Components!$C$3))</f>
        <v>3.9860000000000007</v>
      </c>
      <c r="R138" s="89">
        <f>IF(G138="","",ABS(O138-Components!$C$4))</f>
        <v>0.94333333333333402</v>
      </c>
      <c r="S138" s="89">
        <f>IF(G138="","",ABS(O138-Components!$C$5))</f>
        <v>4.5126666666666715</v>
      </c>
      <c r="T138" s="89">
        <f>IF(G138="","",ABS(O138-Components!$C$6))</f>
        <v>1.105666666666671</v>
      </c>
      <c r="U138" s="89">
        <f>IF(G138="","",ABS(O138-Components!$C$7))</f>
        <v>1.3243333333333311</v>
      </c>
      <c r="V138" s="89" t="str">
        <f>IF(G138="","",IF(M138="OK","NONE",INDEX({"S1","S2","W1","W2","N1","N2"},MATCH(MIN(P138:U138),P138:U138,0))))</f>
        <v>NONE</v>
      </c>
      <c r="W138" s="139">
        <f t="shared" si="15"/>
        <v>1</v>
      </c>
      <c r="X138" s="125"/>
    </row>
    <row r="139" spans="1:24" ht="15.75">
      <c r="A139" s="115">
        <v>125</v>
      </c>
      <c r="B139" s="135">
        <f>'Runs Z-Score'!B127</f>
        <v>5</v>
      </c>
      <c r="C139" s="89" t="str">
        <f>'Runs Z-Score'!C127</f>
        <v>R4</v>
      </c>
      <c r="D139" s="89" t="str">
        <f>'Runs Z-Score'!D127</f>
        <v>OK</v>
      </c>
      <c r="E139" s="89" t="str">
        <f>'Runs Z-Score'!E127</f>
        <v>NONE</v>
      </c>
      <c r="F139" s="89">
        <f>'Runs Z-Score'!F127</f>
        <v>8.89</v>
      </c>
      <c r="G139" s="89">
        <f t="shared" si="8"/>
        <v>9.8600000000000012</v>
      </c>
      <c r="H139" s="89">
        <v>9.91</v>
      </c>
      <c r="I139" s="89">
        <f>VLOOKUP(C139,Recipes!$A$2:$N$4,12,FALSE())</f>
        <v>5.0137397426368718E-2</v>
      </c>
      <c r="J139" s="89">
        <f t="shared" si="10"/>
        <v>0.99452667389123606</v>
      </c>
      <c r="K139" s="89">
        <f t="shared" si="11"/>
        <v>0.92786000722456941</v>
      </c>
      <c r="L139" s="89">
        <f t="shared" si="12"/>
        <v>0.96325490251779633</v>
      </c>
      <c r="M139" s="89" t="str">
        <f t="shared" si="13"/>
        <v>OK</v>
      </c>
      <c r="N139" s="117">
        <f t="shared" si="14"/>
        <v>1</v>
      </c>
      <c r="O139" s="89">
        <f t="shared" si="9"/>
        <v>4.9999999999998934E-2</v>
      </c>
      <c r="P139" s="89">
        <f>IF(G139="","",ABS(O139-Components!$C$2))</f>
        <v>2.7033333333333309</v>
      </c>
      <c r="Q139" s="89">
        <f>IF(G139="","",ABS(O139-Components!$C$3))</f>
        <v>3.9860000000000007</v>
      </c>
      <c r="R139" s="89">
        <f>IF(G139="","",ABS(O139-Components!$C$4))</f>
        <v>0.94333333333333402</v>
      </c>
      <c r="S139" s="89">
        <f>IF(G139="","",ABS(O139-Components!$C$5))</f>
        <v>4.5126666666666715</v>
      </c>
      <c r="T139" s="89">
        <f>IF(G139="","",ABS(O139-Components!$C$6))</f>
        <v>1.105666666666671</v>
      </c>
      <c r="U139" s="89">
        <f>IF(G139="","",ABS(O139-Components!$C$7))</f>
        <v>1.3243333333333311</v>
      </c>
      <c r="V139" s="89" t="str">
        <f>IF(G139="","",IF(M139="OK","NONE",INDEX({"S1","S2","W1","W2","N1","N2"},MATCH(MIN(P139:U139),P139:U139,0))))</f>
        <v>NONE</v>
      </c>
      <c r="W139" s="139">
        <f t="shared" si="15"/>
        <v>1</v>
      </c>
      <c r="X139" s="125"/>
    </row>
    <row r="140" spans="1:24" ht="15.75">
      <c r="A140" s="115">
        <v>126</v>
      </c>
      <c r="B140" s="135">
        <f>'Runs Z-Score'!B128</f>
        <v>5</v>
      </c>
      <c r="C140" s="89" t="str">
        <f>'Runs Z-Score'!C128</f>
        <v>R4</v>
      </c>
      <c r="D140" s="89" t="str">
        <f>'Runs Z-Score'!D128</f>
        <v>OK</v>
      </c>
      <c r="E140" s="89" t="str">
        <f>'Runs Z-Score'!E128</f>
        <v>NONE</v>
      </c>
      <c r="F140" s="89">
        <f>'Runs Z-Score'!F128</f>
        <v>8.8800000000000008</v>
      </c>
      <c r="G140" s="89">
        <f t="shared" si="8"/>
        <v>9.8500000000000014</v>
      </c>
      <c r="H140" s="89">
        <v>9.91</v>
      </c>
      <c r="I140" s="89">
        <f>VLOOKUP(C140,Recipes!$A$2:$N$4,12,FALSE())</f>
        <v>5.0137397426368718E-2</v>
      </c>
      <c r="J140" s="89">
        <f t="shared" si="10"/>
        <v>1.4321184104033797</v>
      </c>
      <c r="K140" s="89">
        <f t="shared" si="11"/>
        <v>1.3654517437367131</v>
      </c>
      <c r="L140" s="89">
        <f t="shared" si="12"/>
        <v>1.1685254570340833</v>
      </c>
      <c r="M140" s="89" t="str">
        <f t="shared" si="13"/>
        <v>OK</v>
      </c>
      <c r="N140" s="117">
        <f t="shared" si="14"/>
        <v>1</v>
      </c>
      <c r="O140" s="89">
        <f t="shared" si="9"/>
        <v>5.9999999999998721E-2</v>
      </c>
      <c r="P140" s="89">
        <f>IF(G140="","",ABS(O140-Components!$C$2))</f>
        <v>2.6933333333333311</v>
      </c>
      <c r="Q140" s="89">
        <f>IF(G140="","",ABS(O140-Components!$C$3))</f>
        <v>3.9760000000000009</v>
      </c>
      <c r="R140" s="89">
        <f>IF(G140="","",ABS(O140-Components!$C$4))</f>
        <v>0.93333333333333424</v>
      </c>
      <c r="S140" s="89">
        <f>IF(G140="","",ABS(O140-Components!$C$5))</f>
        <v>4.5026666666666717</v>
      </c>
      <c r="T140" s="89">
        <f>IF(G140="","",ABS(O140-Components!$C$6))</f>
        <v>1.0956666666666712</v>
      </c>
      <c r="U140" s="89">
        <f>IF(G140="","",ABS(O140-Components!$C$7))</f>
        <v>1.3143333333333314</v>
      </c>
      <c r="V140" s="89" t="str">
        <f>IF(G140="","",IF(M140="OK","NONE",INDEX({"S1","S2","W1","W2","N1","N2"},MATCH(MIN(P140:U140),P140:U140,0))))</f>
        <v>NONE</v>
      </c>
      <c r="W140" s="139">
        <f t="shared" si="15"/>
        <v>1</v>
      </c>
      <c r="X140" s="125"/>
    </row>
    <row r="141" spans="1:24" ht="15.75">
      <c r="A141" s="115">
        <v>127</v>
      </c>
      <c r="B141" s="135">
        <f>'Runs Z-Score'!B129</f>
        <v>5</v>
      </c>
      <c r="C141" s="89" t="str">
        <f>'Runs Z-Score'!C129</f>
        <v>R4</v>
      </c>
      <c r="D141" s="89" t="str">
        <f>'Runs Z-Score'!D129</f>
        <v>OK</v>
      </c>
      <c r="E141" s="89" t="str">
        <f>'Runs Z-Score'!E129</f>
        <v>NONE</v>
      </c>
      <c r="F141" s="89">
        <f>'Runs Z-Score'!F129</f>
        <v>8.91</v>
      </c>
      <c r="G141" s="89">
        <f t="shared" si="8"/>
        <v>9.8800000000000008</v>
      </c>
      <c r="H141" s="89">
        <v>9.91</v>
      </c>
      <c r="I141" s="89">
        <f>VLOOKUP(C141,Recipes!$A$2:$N$4,12,FALSE())</f>
        <v>5.0137397426368718E-2</v>
      </c>
      <c r="J141" s="89">
        <f t="shared" si="10"/>
        <v>0.35802960260084493</v>
      </c>
      <c r="K141" s="89">
        <f t="shared" si="11"/>
        <v>0.29136293593417828</v>
      </c>
      <c r="L141" s="89">
        <f t="shared" si="12"/>
        <v>0.53978045160433352</v>
      </c>
      <c r="M141" s="89" t="str">
        <f t="shared" si="13"/>
        <v>OK</v>
      </c>
      <c r="N141" s="117">
        <f t="shared" si="14"/>
        <v>1</v>
      </c>
      <c r="O141" s="89">
        <f t="shared" si="9"/>
        <v>2.9999999999999361E-2</v>
      </c>
      <c r="P141" s="89">
        <f>IF(G141="","",ABS(O141-Components!$C$2))</f>
        <v>2.7233333333333305</v>
      </c>
      <c r="Q141" s="89">
        <f>IF(G141="","",ABS(O141-Components!$C$3))</f>
        <v>4.0060000000000002</v>
      </c>
      <c r="R141" s="89">
        <f>IF(G141="","",ABS(O141-Components!$C$4))</f>
        <v>0.9633333333333336</v>
      </c>
      <c r="S141" s="89">
        <f>IF(G141="","",ABS(O141-Components!$C$5))</f>
        <v>4.5326666666666711</v>
      </c>
      <c r="T141" s="89">
        <f>IF(G141="","",ABS(O141-Components!$C$6))</f>
        <v>1.1256666666666706</v>
      </c>
      <c r="U141" s="89">
        <f>IF(G141="","",ABS(O141-Components!$C$7))</f>
        <v>1.3443333333333307</v>
      </c>
      <c r="V141" s="89" t="str">
        <f>IF(G141="","",IF(M141="OK","NONE",INDEX({"S1","S2","W1","W2","N1","N2"},MATCH(MIN(P141:U141),P141:U141,0))))</f>
        <v>NONE</v>
      </c>
      <c r="W141" s="139">
        <f t="shared" si="15"/>
        <v>1</v>
      </c>
      <c r="X141" s="125"/>
    </row>
    <row r="142" spans="1:24" ht="15.75">
      <c r="A142" s="115">
        <v>128</v>
      </c>
      <c r="B142" s="135">
        <f>'Runs Z-Score'!B130</f>
        <v>5</v>
      </c>
      <c r="C142" s="89" t="str">
        <f>'Runs Z-Score'!C130</f>
        <v>R4</v>
      </c>
      <c r="D142" s="89" t="str">
        <f>'Runs Z-Score'!D130</f>
        <v>OK</v>
      </c>
      <c r="E142" s="89" t="str">
        <f>'Runs Z-Score'!E130</f>
        <v>NONE</v>
      </c>
      <c r="F142" s="89">
        <f>'Runs Z-Score'!F130</f>
        <v>8.85</v>
      </c>
      <c r="G142" s="89">
        <f t="shared" si="8"/>
        <v>9.82</v>
      </c>
      <c r="H142" s="89">
        <v>9.91</v>
      </c>
      <c r="I142" s="89">
        <f>VLOOKUP(C142,Recipes!$A$2:$N$4,12,FALSE())</f>
        <v>5.0137397426368718E-2</v>
      </c>
      <c r="J142" s="89">
        <f t="shared" si="10"/>
        <v>3.2222664234077323</v>
      </c>
      <c r="K142" s="89">
        <f t="shared" si="11"/>
        <v>3.1555997567410654</v>
      </c>
      <c r="L142" s="89">
        <f t="shared" si="12"/>
        <v>1.7764007871933252</v>
      </c>
      <c r="M142" s="89" t="str">
        <f t="shared" si="13"/>
        <v>OK</v>
      </c>
      <c r="N142" s="117">
        <f t="shared" si="14"/>
        <v>1</v>
      </c>
      <c r="O142" s="89">
        <f t="shared" si="9"/>
        <v>8.9999999999999858E-2</v>
      </c>
      <c r="P142" s="89">
        <f>IF(G142="","",ABS(O142-Components!$C$2))</f>
        <v>2.66333333333333</v>
      </c>
      <c r="Q142" s="89">
        <f>IF(G142="","",ABS(O142-Components!$C$3))</f>
        <v>3.9459999999999997</v>
      </c>
      <c r="R142" s="89">
        <f>IF(G142="","",ABS(O142-Components!$C$4))</f>
        <v>0.9033333333333331</v>
      </c>
      <c r="S142" s="89">
        <f>IF(G142="","",ABS(O142-Components!$C$5))</f>
        <v>4.4726666666666706</v>
      </c>
      <c r="T142" s="89">
        <f>IF(G142="","",ABS(O142-Components!$C$6))</f>
        <v>1.0656666666666701</v>
      </c>
      <c r="U142" s="89">
        <f>IF(G142="","",ABS(O142-Components!$C$7))</f>
        <v>1.2843333333333302</v>
      </c>
      <c r="V142" s="89" t="str">
        <f>IF(G142="","",IF(M142="OK","NONE",INDEX({"S1","S2","W1","W2","N1","N2"},MATCH(MIN(P142:U142),P142:U142,0))))</f>
        <v>NONE</v>
      </c>
      <c r="W142" s="139">
        <f t="shared" si="15"/>
        <v>1</v>
      </c>
      <c r="X142" s="125"/>
    </row>
    <row r="143" spans="1:24" ht="15.75">
      <c r="A143" s="115">
        <v>129</v>
      </c>
      <c r="B143" s="135">
        <f>'Runs Z-Score'!B131</f>
        <v>5</v>
      </c>
      <c r="C143" s="89" t="str">
        <f>'Runs Z-Score'!C131</f>
        <v>R4</v>
      </c>
      <c r="D143" s="89" t="str">
        <f>'Runs Z-Score'!D131</f>
        <v>OK</v>
      </c>
      <c r="E143" s="89" t="str">
        <f>'Runs Z-Score'!E131</f>
        <v>NONE</v>
      </c>
      <c r="F143" s="89">
        <f>'Runs Z-Score'!F131</f>
        <v>8.8800000000000008</v>
      </c>
      <c r="G143" s="89">
        <f t="shared" ref="G143:G206" si="16">0.97+F143</f>
        <v>9.8500000000000014</v>
      </c>
      <c r="H143" s="89">
        <v>9.91</v>
      </c>
      <c r="I143" s="89">
        <f>VLOOKUP(C143,Recipes!$A$2:$N$4,12,FALSE())</f>
        <v>5.0137397426368718E-2</v>
      </c>
      <c r="J143" s="89">
        <f t="shared" si="10"/>
        <v>1.4321184104033797</v>
      </c>
      <c r="K143" s="89">
        <f t="shared" si="11"/>
        <v>1.3654517437367131</v>
      </c>
      <c r="L143" s="89">
        <f t="shared" si="12"/>
        <v>1.1685254570340833</v>
      </c>
      <c r="M143" s="89" t="str">
        <f t="shared" si="13"/>
        <v>OK</v>
      </c>
      <c r="N143" s="117">
        <f t="shared" si="14"/>
        <v>1</v>
      </c>
      <c r="O143" s="89">
        <f t="shared" ref="O143:O206" si="17">IF(G143="","",H143-G143)</f>
        <v>5.9999999999998721E-2</v>
      </c>
      <c r="P143" s="89">
        <f>IF(G143="","",ABS(O143-Components!$C$2))</f>
        <v>2.6933333333333311</v>
      </c>
      <c r="Q143" s="89">
        <f>IF(G143="","",ABS(O143-Components!$C$3))</f>
        <v>3.9760000000000009</v>
      </c>
      <c r="R143" s="89">
        <f>IF(G143="","",ABS(O143-Components!$C$4))</f>
        <v>0.93333333333333424</v>
      </c>
      <c r="S143" s="89">
        <f>IF(G143="","",ABS(O143-Components!$C$5))</f>
        <v>4.5026666666666717</v>
      </c>
      <c r="T143" s="89">
        <f>IF(G143="","",ABS(O143-Components!$C$6))</f>
        <v>1.0956666666666712</v>
      </c>
      <c r="U143" s="89">
        <f>IF(G143="","",ABS(O143-Components!$C$7))</f>
        <v>1.3143333333333314</v>
      </c>
      <c r="V143" s="89" t="str">
        <f>IF(G143="","",IF(M143="OK","NONE",INDEX({"S1","S2","W1","W2","N1","N2"},MATCH(MIN(P143:U143),P143:U143,0))))</f>
        <v>NONE</v>
      </c>
      <c r="W143" s="139">
        <f t="shared" si="15"/>
        <v>1</v>
      </c>
      <c r="X143" s="125"/>
    </row>
    <row r="144" spans="1:24" ht="15.75">
      <c r="A144" s="115">
        <v>130</v>
      </c>
      <c r="B144" s="135">
        <f>'Runs Z-Score'!B132</f>
        <v>5</v>
      </c>
      <c r="C144" s="89" t="str">
        <f>'Runs Z-Score'!C132</f>
        <v>R4</v>
      </c>
      <c r="D144" s="89" t="str">
        <f>'Runs Z-Score'!D132</f>
        <v>OK</v>
      </c>
      <c r="E144" s="89" t="str">
        <f>'Runs Z-Score'!E132</f>
        <v>NONE</v>
      </c>
      <c r="F144" s="89">
        <f>'Runs Z-Score'!F132</f>
        <v>8.8699999999999992</v>
      </c>
      <c r="G144" s="89">
        <f t="shared" si="16"/>
        <v>9.84</v>
      </c>
      <c r="H144" s="89">
        <v>9.91</v>
      </c>
      <c r="I144" s="89">
        <f>VLOOKUP(C144,Recipes!$A$2:$N$4,12,FALSE())</f>
        <v>5.0137397426368718E-2</v>
      </c>
      <c r="J144" s="89">
        <f t="shared" ref="J144:J207" si="18">IF(G144="","",((G144-H144)/I144)^2)</f>
        <v>1.9492722808269218</v>
      </c>
      <c r="K144" s="89">
        <f t="shared" ref="K144:K207" si="19">IF(G144="","",MAX(0, J144-$B$12))</f>
        <v>1.8826056141602552</v>
      </c>
      <c r="L144" s="89">
        <f t="shared" ref="L144:L207" si="20">IF(G144="","",SQRT(K144))</f>
        <v>1.3720807608010015</v>
      </c>
      <c r="M144" s="89" t="str">
        <f t="shared" ref="M144:M207" si="21">IF(G144="","",IF(K144&lt;=$B$10,"OK","NG"))</f>
        <v>OK</v>
      </c>
      <c r="N144" s="117">
        <f t="shared" ref="N144:N207" si="22">IF(M144="","",IF(M144=D144,1,0))</f>
        <v>1</v>
      </c>
      <c r="O144" s="89">
        <f t="shared" si="17"/>
        <v>7.0000000000000284E-2</v>
      </c>
      <c r="P144" s="89">
        <f>IF(G144="","",ABS(O144-Components!$C$2))</f>
        <v>2.6833333333333296</v>
      </c>
      <c r="Q144" s="89">
        <f>IF(G144="","",ABS(O144-Components!$C$3))</f>
        <v>3.9659999999999993</v>
      </c>
      <c r="R144" s="89">
        <f>IF(G144="","",ABS(O144-Components!$C$4))</f>
        <v>0.92333333333333267</v>
      </c>
      <c r="S144" s="89">
        <f>IF(G144="","",ABS(O144-Components!$C$5))</f>
        <v>4.4926666666666701</v>
      </c>
      <c r="T144" s="89">
        <f>IF(G144="","",ABS(O144-Components!$C$6))</f>
        <v>1.0856666666666697</v>
      </c>
      <c r="U144" s="89">
        <f>IF(G144="","",ABS(O144-Components!$C$7))</f>
        <v>1.3043333333333298</v>
      </c>
      <c r="V144" s="89" t="str">
        <f>IF(G144="","",IF(M144="OK","NONE",INDEX({"S1","S2","W1","W2","N1","N2"},MATCH(MIN(P144:U144),P144:U144,0))))</f>
        <v>NONE</v>
      </c>
      <c r="W144" s="139">
        <f t="shared" ref="W144:W207" si="23">IF(G144="","",IF(V144=E144,1,0))</f>
        <v>1</v>
      </c>
      <c r="X144" s="125"/>
    </row>
    <row r="145" spans="1:24" ht="15.75">
      <c r="A145" s="115">
        <v>131</v>
      </c>
      <c r="B145" s="135">
        <f>'Runs Z-Score'!B133</f>
        <v>5</v>
      </c>
      <c r="C145" s="89" t="str">
        <f>'Runs Z-Score'!C133</f>
        <v>R4</v>
      </c>
      <c r="D145" s="89" t="str">
        <f>'Runs Z-Score'!D133</f>
        <v>OK</v>
      </c>
      <c r="E145" s="89" t="str">
        <f>'Runs Z-Score'!E133</f>
        <v>NONE</v>
      </c>
      <c r="F145" s="89">
        <f>'Runs Z-Score'!F133</f>
        <v>8.89</v>
      </c>
      <c r="G145" s="89">
        <f t="shared" si="16"/>
        <v>9.8600000000000012</v>
      </c>
      <c r="H145" s="89">
        <v>9.91</v>
      </c>
      <c r="I145" s="89">
        <f>VLOOKUP(C145,Recipes!$A$2:$N$4,12,FALSE())</f>
        <v>5.0137397426368718E-2</v>
      </c>
      <c r="J145" s="89">
        <f t="shared" si="18"/>
        <v>0.99452667389123606</v>
      </c>
      <c r="K145" s="89">
        <f t="shared" si="19"/>
        <v>0.92786000722456941</v>
      </c>
      <c r="L145" s="89">
        <f t="shared" si="20"/>
        <v>0.96325490251779633</v>
      </c>
      <c r="M145" s="89" t="str">
        <f t="shared" si="21"/>
        <v>OK</v>
      </c>
      <c r="N145" s="117">
        <f t="shared" si="22"/>
        <v>1</v>
      </c>
      <c r="O145" s="89">
        <f t="shared" si="17"/>
        <v>4.9999999999998934E-2</v>
      </c>
      <c r="P145" s="89">
        <f>IF(G145="","",ABS(O145-Components!$C$2))</f>
        <v>2.7033333333333309</v>
      </c>
      <c r="Q145" s="89">
        <f>IF(G145="","",ABS(O145-Components!$C$3))</f>
        <v>3.9860000000000007</v>
      </c>
      <c r="R145" s="89">
        <f>IF(G145="","",ABS(O145-Components!$C$4))</f>
        <v>0.94333333333333402</v>
      </c>
      <c r="S145" s="89">
        <f>IF(G145="","",ABS(O145-Components!$C$5))</f>
        <v>4.5126666666666715</v>
      </c>
      <c r="T145" s="89">
        <f>IF(G145="","",ABS(O145-Components!$C$6))</f>
        <v>1.105666666666671</v>
      </c>
      <c r="U145" s="89">
        <f>IF(G145="","",ABS(O145-Components!$C$7))</f>
        <v>1.3243333333333311</v>
      </c>
      <c r="V145" s="89" t="str">
        <f>IF(G145="","",IF(M145="OK","NONE",INDEX({"S1","S2","W1","W2","N1","N2"},MATCH(MIN(P145:U145),P145:U145,0))))</f>
        <v>NONE</v>
      </c>
      <c r="W145" s="139">
        <f t="shared" si="23"/>
        <v>1</v>
      </c>
      <c r="X145" s="125"/>
    </row>
    <row r="146" spans="1:24" ht="15.75">
      <c r="A146" s="115">
        <v>132</v>
      </c>
      <c r="B146" s="135">
        <f>'Runs Z-Score'!B134</f>
        <v>5</v>
      </c>
      <c r="C146" s="89" t="str">
        <f>'Runs Z-Score'!C134</f>
        <v>R4</v>
      </c>
      <c r="D146" s="89" t="str">
        <f>'Runs Z-Score'!D134</f>
        <v>OK</v>
      </c>
      <c r="E146" s="89" t="str">
        <f>'Runs Z-Score'!E134</f>
        <v>NONE</v>
      </c>
      <c r="F146" s="89">
        <f>'Runs Z-Score'!F134</f>
        <v>8.8699999999999992</v>
      </c>
      <c r="G146" s="89">
        <f t="shared" si="16"/>
        <v>9.84</v>
      </c>
      <c r="H146" s="89">
        <v>9.91</v>
      </c>
      <c r="I146" s="89">
        <f>VLOOKUP(C146,Recipes!$A$2:$N$4,12,FALSE())</f>
        <v>5.0137397426368718E-2</v>
      </c>
      <c r="J146" s="89">
        <f t="shared" si="18"/>
        <v>1.9492722808269218</v>
      </c>
      <c r="K146" s="89">
        <f t="shared" si="19"/>
        <v>1.8826056141602552</v>
      </c>
      <c r="L146" s="89">
        <f t="shared" si="20"/>
        <v>1.3720807608010015</v>
      </c>
      <c r="M146" s="89" t="str">
        <f t="shared" si="21"/>
        <v>OK</v>
      </c>
      <c r="N146" s="117">
        <f t="shared" si="22"/>
        <v>1</v>
      </c>
      <c r="O146" s="89">
        <f t="shared" si="17"/>
        <v>7.0000000000000284E-2</v>
      </c>
      <c r="P146" s="89">
        <f>IF(G146="","",ABS(O146-Components!$C$2))</f>
        <v>2.6833333333333296</v>
      </c>
      <c r="Q146" s="89">
        <f>IF(G146="","",ABS(O146-Components!$C$3))</f>
        <v>3.9659999999999993</v>
      </c>
      <c r="R146" s="89">
        <f>IF(G146="","",ABS(O146-Components!$C$4))</f>
        <v>0.92333333333333267</v>
      </c>
      <c r="S146" s="89">
        <f>IF(G146="","",ABS(O146-Components!$C$5))</f>
        <v>4.4926666666666701</v>
      </c>
      <c r="T146" s="89">
        <f>IF(G146="","",ABS(O146-Components!$C$6))</f>
        <v>1.0856666666666697</v>
      </c>
      <c r="U146" s="89">
        <f>IF(G146="","",ABS(O146-Components!$C$7))</f>
        <v>1.3043333333333298</v>
      </c>
      <c r="V146" s="89" t="str">
        <f>IF(G146="","",IF(M146="OK","NONE",INDEX({"S1","S2","W1","W2","N1","N2"},MATCH(MIN(P146:U146),P146:U146,0))))</f>
        <v>NONE</v>
      </c>
      <c r="W146" s="139">
        <f t="shared" si="23"/>
        <v>1</v>
      </c>
      <c r="X146" s="125"/>
    </row>
    <row r="147" spans="1:24" ht="15.75">
      <c r="A147" s="115">
        <v>133</v>
      </c>
      <c r="B147" s="135">
        <f>'Runs Z-Score'!B135</f>
        <v>5</v>
      </c>
      <c r="C147" s="89" t="str">
        <f>'Runs Z-Score'!C135</f>
        <v>R4</v>
      </c>
      <c r="D147" s="89" t="str">
        <f>'Runs Z-Score'!D135</f>
        <v>OK</v>
      </c>
      <c r="E147" s="89" t="str">
        <f>'Runs Z-Score'!E135</f>
        <v>NONE</v>
      </c>
      <c r="F147" s="89">
        <f>'Runs Z-Score'!F135</f>
        <v>8.9700000000000006</v>
      </c>
      <c r="G147" s="89">
        <f t="shared" si="16"/>
        <v>9.9400000000000013</v>
      </c>
      <c r="H147" s="89">
        <v>9.91</v>
      </c>
      <c r="I147" s="89">
        <f>VLOOKUP(C147,Recipes!$A$2:$N$4,12,FALSE())</f>
        <v>5.0137397426368718E-2</v>
      </c>
      <c r="J147" s="89">
        <f t="shared" si="18"/>
        <v>0.3580296026008874</v>
      </c>
      <c r="K147" s="89">
        <f t="shared" si="19"/>
        <v>0.29136293593422075</v>
      </c>
      <c r="L147" s="89">
        <f t="shared" si="20"/>
        <v>0.53978045160437294</v>
      </c>
      <c r="M147" s="89" t="str">
        <f t="shared" si="21"/>
        <v>OK</v>
      </c>
      <c r="N147" s="117">
        <f t="shared" si="22"/>
        <v>1</v>
      </c>
      <c r="O147" s="89">
        <f t="shared" si="17"/>
        <v>-3.0000000000001137E-2</v>
      </c>
      <c r="P147" s="89">
        <f>IF(G147="","",ABS(O147-Components!$C$2))</f>
        <v>2.783333333333331</v>
      </c>
      <c r="Q147" s="89">
        <f>IF(G147="","",ABS(O147-Components!$C$3))</f>
        <v>4.0660000000000007</v>
      </c>
      <c r="R147" s="89">
        <f>IF(G147="","",ABS(O147-Components!$C$4))</f>
        <v>1.0233333333333341</v>
      </c>
      <c r="S147" s="89">
        <f>IF(G147="","",ABS(O147-Components!$C$5))</f>
        <v>4.5926666666666716</v>
      </c>
      <c r="T147" s="89">
        <f>IF(G147="","",ABS(O147-Components!$C$6))</f>
        <v>1.1856666666666711</v>
      </c>
      <c r="U147" s="89">
        <f>IF(G147="","",ABS(O147-Components!$C$7))</f>
        <v>1.4043333333333312</v>
      </c>
      <c r="V147" s="89" t="str">
        <f>IF(G147="","",IF(M147="OK","NONE",INDEX({"S1","S2","W1","W2","N1","N2"},MATCH(MIN(P147:U147),P147:U147,0))))</f>
        <v>NONE</v>
      </c>
      <c r="W147" s="139">
        <f t="shared" si="23"/>
        <v>1</v>
      </c>
      <c r="X147" s="125"/>
    </row>
    <row r="148" spans="1:24" ht="15.75">
      <c r="A148" s="115">
        <v>134</v>
      </c>
      <c r="B148" s="135">
        <f>'Runs Z-Score'!B136</f>
        <v>5</v>
      </c>
      <c r="C148" s="89" t="str">
        <f>'Runs Z-Score'!C136</f>
        <v>R4</v>
      </c>
      <c r="D148" s="89" t="str">
        <f>'Runs Z-Score'!D136</f>
        <v>OK</v>
      </c>
      <c r="E148" s="89" t="str">
        <f>'Runs Z-Score'!E136</f>
        <v>NONE</v>
      </c>
      <c r="F148" s="89">
        <f>'Runs Z-Score'!F136</f>
        <v>8.94</v>
      </c>
      <c r="G148" s="89">
        <f t="shared" si="16"/>
        <v>9.91</v>
      </c>
      <c r="H148" s="89">
        <v>9.91</v>
      </c>
      <c r="I148" s="89">
        <f>VLOOKUP(C148,Recipes!$A$2:$N$4,12,FALSE())</f>
        <v>5.0137397426368718E-2</v>
      </c>
      <c r="J148" s="89">
        <f t="shared" si="18"/>
        <v>0</v>
      </c>
      <c r="K148" s="89">
        <f t="shared" si="19"/>
        <v>0</v>
      </c>
      <c r="L148" s="89">
        <f t="shared" si="20"/>
        <v>0</v>
      </c>
      <c r="M148" s="89" t="str">
        <f t="shared" si="21"/>
        <v>OK</v>
      </c>
      <c r="N148" s="117">
        <f t="shared" si="22"/>
        <v>1</v>
      </c>
      <c r="O148" s="89">
        <f t="shared" si="17"/>
        <v>0</v>
      </c>
      <c r="P148" s="89">
        <f>IF(G148="","",ABS(O148-Components!$C$2))</f>
        <v>2.7533333333333299</v>
      </c>
      <c r="Q148" s="89">
        <f>IF(G148="","",ABS(O148-Components!$C$3))</f>
        <v>4.0359999999999996</v>
      </c>
      <c r="R148" s="89">
        <f>IF(G148="","",ABS(O148-Components!$C$4))</f>
        <v>0.99333333333333296</v>
      </c>
      <c r="S148" s="89">
        <f>IF(G148="","",ABS(O148-Components!$C$5))</f>
        <v>4.5626666666666704</v>
      </c>
      <c r="T148" s="89">
        <f>IF(G148="","",ABS(O148-Components!$C$6))</f>
        <v>1.15566666666667</v>
      </c>
      <c r="U148" s="89">
        <f>IF(G148="","",ABS(O148-Components!$C$7))</f>
        <v>1.3743333333333301</v>
      </c>
      <c r="V148" s="89" t="str">
        <f>IF(G148="","",IF(M148="OK","NONE",INDEX({"S1","S2","W1","W2","N1","N2"},MATCH(MIN(P148:U148),P148:U148,0))))</f>
        <v>NONE</v>
      </c>
      <c r="W148" s="139">
        <f t="shared" si="23"/>
        <v>1</v>
      </c>
      <c r="X148" s="125"/>
    </row>
    <row r="149" spans="1:24" ht="15.75">
      <c r="A149" s="115">
        <v>135</v>
      </c>
      <c r="B149" s="135">
        <f>'Runs Z-Score'!B137</f>
        <v>5</v>
      </c>
      <c r="C149" s="89" t="str">
        <f>'Runs Z-Score'!C137</f>
        <v>R4</v>
      </c>
      <c r="D149" s="89" t="str">
        <f>'Runs Z-Score'!D137</f>
        <v>OK</v>
      </c>
      <c r="E149" s="89" t="str">
        <f>'Runs Z-Score'!E137</f>
        <v>NONE</v>
      </c>
      <c r="F149" s="89">
        <f>'Runs Z-Score'!F137</f>
        <v>8.89</v>
      </c>
      <c r="G149" s="89">
        <f t="shared" si="16"/>
        <v>9.8600000000000012</v>
      </c>
      <c r="H149" s="89">
        <v>9.91</v>
      </c>
      <c r="I149" s="89">
        <f>VLOOKUP(C149,Recipes!$A$2:$N$4,12,FALSE())</f>
        <v>5.0137397426368718E-2</v>
      </c>
      <c r="J149" s="89">
        <f t="shared" si="18"/>
        <v>0.99452667389123606</v>
      </c>
      <c r="K149" s="89">
        <f t="shared" si="19"/>
        <v>0.92786000722456941</v>
      </c>
      <c r="L149" s="89">
        <f t="shared" si="20"/>
        <v>0.96325490251779633</v>
      </c>
      <c r="M149" s="89" t="str">
        <f t="shared" si="21"/>
        <v>OK</v>
      </c>
      <c r="N149" s="117">
        <f t="shared" si="22"/>
        <v>1</v>
      </c>
      <c r="O149" s="89">
        <f t="shared" si="17"/>
        <v>4.9999999999998934E-2</v>
      </c>
      <c r="P149" s="89">
        <f>IF(G149="","",ABS(O149-Components!$C$2))</f>
        <v>2.7033333333333309</v>
      </c>
      <c r="Q149" s="89">
        <f>IF(G149="","",ABS(O149-Components!$C$3))</f>
        <v>3.9860000000000007</v>
      </c>
      <c r="R149" s="89">
        <f>IF(G149="","",ABS(O149-Components!$C$4))</f>
        <v>0.94333333333333402</v>
      </c>
      <c r="S149" s="89">
        <f>IF(G149="","",ABS(O149-Components!$C$5))</f>
        <v>4.5126666666666715</v>
      </c>
      <c r="T149" s="89">
        <f>IF(G149="","",ABS(O149-Components!$C$6))</f>
        <v>1.105666666666671</v>
      </c>
      <c r="U149" s="89">
        <f>IF(G149="","",ABS(O149-Components!$C$7))</f>
        <v>1.3243333333333311</v>
      </c>
      <c r="V149" s="89" t="str">
        <f>IF(G149="","",IF(M149="OK","NONE",INDEX({"S1","S2","W1","W2","N1","N2"},MATCH(MIN(P149:U149),P149:U149,0))))</f>
        <v>NONE</v>
      </c>
      <c r="W149" s="139">
        <f t="shared" si="23"/>
        <v>1</v>
      </c>
      <c r="X149" s="125"/>
    </row>
    <row r="150" spans="1:24" ht="15.75">
      <c r="A150" s="115">
        <v>136</v>
      </c>
      <c r="B150" s="135">
        <f>'Runs Z-Score'!B138</f>
        <v>5</v>
      </c>
      <c r="C150" s="89" t="str">
        <f>'Runs Z-Score'!C138</f>
        <v>R4</v>
      </c>
      <c r="D150" s="89" t="str">
        <f>'Runs Z-Score'!D138</f>
        <v>OK</v>
      </c>
      <c r="E150" s="89" t="str">
        <f>'Runs Z-Score'!E138</f>
        <v>NONE</v>
      </c>
      <c r="F150" s="89">
        <f>'Runs Z-Score'!F138</f>
        <v>8.8800000000000008</v>
      </c>
      <c r="G150" s="89">
        <f t="shared" si="16"/>
        <v>9.8500000000000014</v>
      </c>
      <c r="H150" s="89">
        <v>9.91</v>
      </c>
      <c r="I150" s="89">
        <f>VLOOKUP(C150,Recipes!$A$2:$N$4,12,FALSE())</f>
        <v>5.0137397426368718E-2</v>
      </c>
      <c r="J150" s="89">
        <f t="shared" si="18"/>
        <v>1.4321184104033797</v>
      </c>
      <c r="K150" s="89">
        <f t="shared" si="19"/>
        <v>1.3654517437367131</v>
      </c>
      <c r="L150" s="89">
        <f t="shared" si="20"/>
        <v>1.1685254570340833</v>
      </c>
      <c r="M150" s="89" t="str">
        <f t="shared" si="21"/>
        <v>OK</v>
      </c>
      <c r="N150" s="117">
        <f t="shared" si="22"/>
        <v>1</v>
      </c>
      <c r="O150" s="89">
        <f t="shared" si="17"/>
        <v>5.9999999999998721E-2</v>
      </c>
      <c r="P150" s="89">
        <f>IF(G150="","",ABS(O150-Components!$C$2))</f>
        <v>2.6933333333333311</v>
      </c>
      <c r="Q150" s="89">
        <f>IF(G150="","",ABS(O150-Components!$C$3))</f>
        <v>3.9760000000000009</v>
      </c>
      <c r="R150" s="89">
        <f>IF(G150="","",ABS(O150-Components!$C$4))</f>
        <v>0.93333333333333424</v>
      </c>
      <c r="S150" s="89">
        <f>IF(G150="","",ABS(O150-Components!$C$5))</f>
        <v>4.5026666666666717</v>
      </c>
      <c r="T150" s="89">
        <f>IF(G150="","",ABS(O150-Components!$C$6))</f>
        <v>1.0956666666666712</v>
      </c>
      <c r="U150" s="89">
        <f>IF(G150="","",ABS(O150-Components!$C$7))</f>
        <v>1.3143333333333314</v>
      </c>
      <c r="V150" s="89" t="str">
        <f>IF(G150="","",IF(M150="OK","NONE",INDEX({"S1","S2","W1","W2","N1","N2"},MATCH(MIN(P150:U150),P150:U150,0))))</f>
        <v>NONE</v>
      </c>
      <c r="W150" s="139">
        <f t="shared" si="23"/>
        <v>1</v>
      </c>
      <c r="X150" s="125"/>
    </row>
    <row r="151" spans="1:24" ht="15.75">
      <c r="A151" s="115">
        <v>137</v>
      </c>
      <c r="B151" s="135">
        <f>'Runs Z-Score'!B139</f>
        <v>5</v>
      </c>
      <c r="C151" s="89" t="str">
        <f>'Runs Z-Score'!C139</f>
        <v>R4</v>
      </c>
      <c r="D151" s="89" t="str">
        <f>'Runs Z-Score'!D139</f>
        <v>OK</v>
      </c>
      <c r="E151" s="89" t="str">
        <f>'Runs Z-Score'!E139</f>
        <v>NONE</v>
      </c>
      <c r="F151" s="89">
        <f>'Runs Z-Score'!F139</f>
        <v>8.93</v>
      </c>
      <c r="G151" s="89">
        <f t="shared" si="16"/>
        <v>9.9</v>
      </c>
      <c r="H151" s="89">
        <v>9.91</v>
      </c>
      <c r="I151" s="89">
        <f>VLOOKUP(C151,Recipes!$A$2:$N$4,12,FALSE())</f>
        <v>5.0137397426368718E-2</v>
      </c>
      <c r="J151" s="89">
        <f t="shared" si="18"/>
        <v>3.9781066955649445E-2</v>
      </c>
      <c r="K151" s="89">
        <f t="shared" si="19"/>
        <v>0</v>
      </c>
      <c r="L151" s="89">
        <f t="shared" si="20"/>
        <v>0</v>
      </c>
      <c r="M151" s="89" t="str">
        <f t="shared" si="21"/>
        <v>OK</v>
      </c>
      <c r="N151" s="117">
        <f t="shared" si="22"/>
        <v>1</v>
      </c>
      <c r="O151" s="89">
        <f t="shared" si="17"/>
        <v>9.9999999999997868E-3</v>
      </c>
      <c r="P151" s="89">
        <f>IF(G151="","",ABS(O151-Components!$C$2))</f>
        <v>2.7433333333333301</v>
      </c>
      <c r="Q151" s="89">
        <f>IF(G151="","",ABS(O151-Components!$C$3))</f>
        <v>4.0259999999999998</v>
      </c>
      <c r="R151" s="89">
        <f>IF(G151="","",ABS(O151-Components!$C$4))</f>
        <v>0.98333333333333317</v>
      </c>
      <c r="S151" s="89">
        <f>IF(G151="","",ABS(O151-Components!$C$5))</f>
        <v>4.5526666666666706</v>
      </c>
      <c r="T151" s="89">
        <f>IF(G151="","",ABS(O151-Components!$C$6))</f>
        <v>1.1456666666666702</v>
      </c>
      <c r="U151" s="89">
        <f>IF(G151="","",ABS(O151-Components!$C$7))</f>
        <v>1.3643333333333303</v>
      </c>
      <c r="V151" s="89" t="str">
        <f>IF(G151="","",IF(M151="OK","NONE",INDEX({"S1","S2","W1","W2","N1","N2"},MATCH(MIN(P151:U151),P151:U151,0))))</f>
        <v>NONE</v>
      </c>
      <c r="W151" s="139">
        <f t="shared" si="23"/>
        <v>1</v>
      </c>
      <c r="X151" s="125"/>
    </row>
    <row r="152" spans="1:24" ht="15.75">
      <c r="A152" s="115">
        <v>138</v>
      </c>
      <c r="B152" s="135">
        <f>'Runs Z-Score'!B140</f>
        <v>5</v>
      </c>
      <c r="C152" s="89" t="str">
        <f>'Runs Z-Score'!C140</f>
        <v>R4</v>
      </c>
      <c r="D152" s="89" t="str">
        <f>'Runs Z-Score'!D140</f>
        <v>OK</v>
      </c>
      <c r="E152" s="89" t="str">
        <f>'Runs Z-Score'!E140</f>
        <v>NONE</v>
      </c>
      <c r="F152" s="89">
        <f>'Runs Z-Score'!F140</f>
        <v>8.93</v>
      </c>
      <c r="G152" s="89">
        <f t="shared" si="16"/>
        <v>9.9</v>
      </c>
      <c r="H152" s="89">
        <v>9.91</v>
      </c>
      <c r="I152" s="89">
        <f>VLOOKUP(C152,Recipes!$A$2:$N$4,12,FALSE())</f>
        <v>5.0137397426368718E-2</v>
      </c>
      <c r="J152" s="89">
        <f t="shared" si="18"/>
        <v>3.9781066955649445E-2</v>
      </c>
      <c r="K152" s="89">
        <f t="shared" si="19"/>
        <v>0</v>
      </c>
      <c r="L152" s="89">
        <f t="shared" si="20"/>
        <v>0</v>
      </c>
      <c r="M152" s="89" t="str">
        <f t="shared" si="21"/>
        <v>OK</v>
      </c>
      <c r="N152" s="117">
        <f t="shared" si="22"/>
        <v>1</v>
      </c>
      <c r="O152" s="89">
        <f t="shared" si="17"/>
        <v>9.9999999999997868E-3</v>
      </c>
      <c r="P152" s="89">
        <f>IF(G152="","",ABS(O152-Components!$C$2))</f>
        <v>2.7433333333333301</v>
      </c>
      <c r="Q152" s="89">
        <f>IF(G152="","",ABS(O152-Components!$C$3))</f>
        <v>4.0259999999999998</v>
      </c>
      <c r="R152" s="89">
        <f>IF(G152="","",ABS(O152-Components!$C$4))</f>
        <v>0.98333333333333317</v>
      </c>
      <c r="S152" s="89">
        <f>IF(G152="","",ABS(O152-Components!$C$5))</f>
        <v>4.5526666666666706</v>
      </c>
      <c r="T152" s="89">
        <f>IF(G152="","",ABS(O152-Components!$C$6))</f>
        <v>1.1456666666666702</v>
      </c>
      <c r="U152" s="89">
        <f>IF(G152="","",ABS(O152-Components!$C$7))</f>
        <v>1.3643333333333303</v>
      </c>
      <c r="V152" s="89" t="str">
        <f>IF(G152="","",IF(M152="OK","NONE",INDEX({"S1","S2","W1","W2","N1","N2"},MATCH(MIN(P152:U152),P152:U152,0))))</f>
        <v>NONE</v>
      </c>
      <c r="W152" s="139">
        <f t="shared" si="23"/>
        <v>1</v>
      </c>
      <c r="X152" s="125"/>
    </row>
    <row r="153" spans="1:24" ht="15.75">
      <c r="A153" s="115">
        <v>139</v>
      </c>
      <c r="B153" s="135">
        <f>'Runs Z-Score'!B141</f>
        <v>5</v>
      </c>
      <c r="C153" s="89" t="str">
        <f>'Runs Z-Score'!C141</f>
        <v>R4</v>
      </c>
      <c r="D153" s="89" t="str">
        <f>'Runs Z-Score'!D141</f>
        <v>OK</v>
      </c>
      <c r="E153" s="89" t="str">
        <f>'Runs Z-Score'!E141</f>
        <v>NONE</v>
      </c>
      <c r="F153" s="89">
        <f>'Runs Z-Score'!F141</f>
        <v>8.92</v>
      </c>
      <c r="G153" s="89">
        <f t="shared" si="16"/>
        <v>9.89</v>
      </c>
      <c r="H153" s="89">
        <v>9.91</v>
      </c>
      <c r="I153" s="89">
        <f>VLOOKUP(C153,Recipes!$A$2:$N$4,12,FALSE())</f>
        <v>5.0137397426368718E-2</v>
      </c>
      <c r="J153" s="89">
        <f t="shared" si="18"/>
        <v>0.15912426782259778</v>
      </c>
      <c r="K153" s="89">
        <f t="shared" si="19"/>
        <v>9.2457601155931116E-2</v>
      </c>
      <c r="L153" s="89">
        <f t="shared" si="20"/>
        <v>0.30406841525540124</v>
      </c>
      <c r="M153" s="89" t="str">
        <f t="shared" si="21"/>
        <v>OK</v>
      </c>
      <c r="N153" s="117">
        <f t="shared" si="22"/>
        <v>1</v>
      </c>
      <c r="O153" s="89">
        <f t="shared" si="17"/>
        <v>1.9999999999999574E-2</v>
      </c>
      <c r="P153" s="89">
        <f>IF(G153="","",ABS(O153-Components!$C$2))</f>
        <v>2.7333333333333303</v>
      </c>
      <c r="Q153" s="89">
        <f>IF(G153="","",ABS(O153-Components!$C$3))</f>
        <v>4.016</v>
      </c>
      <c r="R153" s="89">
        <f>IF(G153="","",ABS(O153-Components!$C$4))</f>
        <v>0.97333333333333338</v>
      </c>
      <c r="S153" s="89">
        <f>IF(G153="","",ABS(O153-Components!$C$5))</f>
        <v>4.5426666666666708</v>
      </c>
      <c r="T153" s="89">
        <f>IF(G153="","",ABS(O153-Components!$C$6))</f>
        <v>1.1356666666666704</v>
      </c>
      <c r="U153" s="89">
        <f>IF(G153="","",ABS(O153-Components!$C$7))</f>
        <v>1.3543333333333305</v>
      </c>
      <c r="V153" s="89" t="str">
        <f>IF(G153="","",IF(M153="OK","NONE",INDEX({"S1","S2","W1","W2","N1","N2"},MATCH(MIN(P153:U153),P153:U153,0))))</f>
        <v>NONE</v>
      </c>
      <c r="W153" s="139">
        <f t="shared" si="23"/>
        <v>1</v>
      </c>
      <c r="X153" s="125"/>
    </row>
    <row r="154" spans="1:24" ht="15.75">
      <c r="A154" s="115">
        <v>140</v>
      </c>
      <c r="B154" s="135">
        <f>'Runs Z-Score'!B142</f>
        <v>5</v>
      </c>
      <c r="C154" s="89" t="str">
        <f>'Runs Z-Score'!C142</f>
        <v>R4</v>
      </c>
      <c r="D154" s="89" t="str">
        <f>'Runs Z-Score'!D142</f>
        <v>OK</v>
      </c>
      <c r="E154" s="89" t="str">
        <f>'Runs Z-Score'!E142</f>
        <v>NONE</v>
      </c>
      <c r="F154" s="89">
        <f>'Runs Z-Score'!F142</f>
        <v>8.8800000000000008</v>
      </c>
      <c r="G154" s="89">
        <f t="shared" si="16"/>
        <v>9.8500000000000014</v>
      </c>
      <c r="H154" s="89">
        <v>9.91</v>
      </c>
      <c r="I154" s="89">
        <f>VLOOKUP(C154,Recipes!$A$2:$N$4,12,FALSE())</f>
        <v>5.0137397426368718E-2</v>
      </c>
      <c r="J154" s="89">
        <f t="shared" si="18"/>
        <v>1.4321184104033797</v>
      </c>
      <c r="K154" s="89">
        <f t="shared" si="19"/>
        <v>1.3654517437367131</v>
      </c>
      <c r="L154" s="89">
        <f t="shared" si="20"/>
        <v>1.1685254570340833</v>
      </c>
      <c r="M154" s="89" t="str">
        <f t="shared" si="21"/>
        <v>OK</v>
      </c>
      <c r="N154" s="117">
        <f t="shared" si="22"/>
        <v>1</v>
      </c>
      <c r="O154" s="89">
        <f t="shared" si="17"/>
        <v>5.9999999999998721E-2</v>
      </c>
      <c r="P154" s="89">
        <f>IF(G154="","",ABS(O154-Components!$C$2))</f>
        <v>2.6933333333333311</v>
      </c>
      <c r="Q154" s="89">
        <f>IF(G154="","",ABS(O154-Components!$C$3))</f>
        <v>3.9760000000000009</v>
      </c>
      <c r="R154" s="89">
        <f>IF(G154="","",ABS(O154-Components!$C$4))</f>
        <v>0.93333333333333424</v>
      </c>
      <c r="S154" s="89">
        <f>IF(G154="","",ABS(O154-Components!$C$5))</f>
        <v>4.5026666666666717</v>
      </c>
      <c r="T154" s="89">
        <f>IF(G154="","",ABS(O154-Components!$C$6))</f>
        <v>1.0956666666666712</v>
      </c>
      <c r="U154" s="89">
        <f>IF(G154="","",ABS(O154-Components!$C$7))</f>
        <v>1.3143333333333314</v>
      </c>
      <c r="V154" s="89" t="str">
        <f>IF(G154="","",IF(M154="OK","NONE",INDEX({"S1","S2","W1","W2","N1","N2"},MATCH(MIN(P154:U154),P154:U154,0))))</f>
        <v>NONE</v>
      </c>
      <c r="W154" s="139">
        <f t="shared" si="23"/>
        <v>1</v>
      </c>
      <c r="X154" s="125"/>
    </row>
    <row r="155" spans="1:24" ht="15.75">
      <c r="A155" s="115">
        <v>141</v>
      </c>
      <c r="B155" s="135">
        <f>'Runs Z-Score'!B143</f>
        <v>5</v>
      </c>
      <c r="C155" s="89" t="str">
        <f>'Runs Z-Score'!C143</f>
        <v>R4</v>
      </c>
      <c r="D155" s="89" t="str">
        <f>'Runs Z-Score'!D143</f>
        <v>OK</v>
      </c>
      <c r="E155" s="89" t="str">
        <f>'Runs Z-Score'!E143</f>
        <v>NONE</v>
      </c>
      <c r="F155" s="89">
        <f>'Runs Z-Score'!F143</f>
        <v>8.9</v>
      </c>
      <c r="G155" s="89">
        <f t="shared" si="16"/>
        <v>9.870000000000001</v>
      </c>
      <c r="H155" s="89">
        <v>9.91</v>
      </c>
      <c r="I155" s="89">
        <f>VLOOKUP(C155,Recipes!$A$2:$N$4,12,FALSE())</f>
        <v>5.0137397426368718E-2</v>
      </c>
      <c r="J155" s="89">
        <f t="shared" si="18"/>
        <v>0.63649707129039113</v>
      </c>
      <c r="K155" s="89">
        <f t="shared" si="19"/>
        <v>0.56983040462372447</v>
      </c>
      <c r="L155" s="89">
        <f t="shared" si="20"/>
        <v>0.75487111788948746</v>
      </c>
      <c r="M155" s="89" t="str">
        <f t="shared" si="21"/>
        <v>OK</v>
      </c>
      <c r="N155" s="117">
        <f t="shared" si="22"/>
        <v>1</v>
      </c>
      <c r="O155" s="89">
        <f t="shared" si="17"/>
        <v>3.9999999999999147E-2</v>
      </c>
      <c r="P155" s="89">
        <f>IF(G155="","",ABS(O155-Components!$C$2))</f>
        <v>2.7133333333333307</v>
      </c>
      <c r="Q155" s="89">
        <f>IF(G155="","",ABS(O155-Components!$C$3))</f>
        <v>3.9960000000000004</v>
      </c>
      <c r="R155" s="89">
        <f>IF(G155="","",ABS(O155-Components!$C$4))</f>
        <v>0.95333333333333381</v>
      </c>
      <c r="S155" s="89">
        <f>IF(G155="","",ABS(O155-Components!$C$5))</f>
        <v>4.5226666666666713</v>
      </c>
      <c r="T155" s="89">
        <f>IF(G155="","",ABS(O155-Components!$C$6))</f>
        <v>1.1156666666666708</v>
      </c>
      <c r="U155" s="89">
        <f>IF(G155="","",ABS(O155-Components!$C$7))</f>
        <v>1.3343333333333309</v>
      </c>
      <c r="V155" s="89" t="str">
        <f>IF(G155="","",IF(M155="OK","NONE",INDEX({"S1","S2","W1","W2","N1","N2"},MATCH(MIN(P155:U155),P155:U155,0))))</f>
        <v>NONE</v>
      </c>
      <c r="W155" s="139">
        <f t="shared" si="23"/>
        <v>1</v>
      </c>
      <c r="X155" s="125"/>
    </row>
    <row r="156" spans="1:24" ht="15.75">
      <c r="A156" s="115">
        <v>142</v>
      </c>
      <c r="B156" s="135">
        <f>'Runs Z-Score'!B144</f>
        <v>5</v>
      </c>
      <c r="C156" s="89" t="str">
        <f>'Runs Z-Score'!C144</f>
        <v>R4</v>
      </c>
      <c r="D156" s="89" t="str">
        <f>'Runs Z-Score'!D144</f>
        <v>OK</v>
      </c>
      <c r="E156" s="89" t="str">
        <f>'Runs Z-Score'!E144</f>
        <v>NONE</v>
      </c>
      <c r="F156" s="89">
        <f>'Runs Z-Score'!F144</f>
        <v>8.8699999999999992</v>
      </c>
      <c r="G156" s="89">
        <f t="shared" si="16"/>
        <v>9.84</v>
      </c>
      <c r="H156" s="89">
        <v>9.91</v>
      </c>
      <c r="I156" s="89">
        <f>VLOOKUP(C156,Recipes!$A$2:$N$4,12,FALSE())</f>
        <v>5.0137397426368718E-2</v>
      </c>
      <c r="J156" s="89">
        <f t="shared" si="18"/>
        <v>1.9492722808269218</v>
      </c>
      <c r="K156" s="89">
        <f t="shared" si="19"/>
        <v>1.8826056141602552</v>
      </c>
      <c r="L156" s="89">
        <f t="shared" si="20"/>
        <v>1.3720807608010015</v>
      </c>
      <c r="M156" s="89" t="str">
        <f t="shared" si="21"/>
        <v>OK</v>
      </c>
      <c r="N156" s="117">
        <f t="shared" si="22"/>
        <v>1</v>
      </c>
      <c r="O156" s="89">
        <f t="shared" si="17"/>
        <v>7.0000000000000284E-2</v>
      </c>
      <c r="P156" s="89">
        <f>IF(G156="","",ABS(O156-Components!$C$2))</f>
        <v>2.6833333333333296</v>
      </c>
      <c r="Q156" s="89">
        <f>IF(G156="","",ABS(O156-Components!$C$3))</f>
        <v>3.9659999999999993</v>
      </c>
      <c r="R156" s="89">
        <f>IF(G156="","",ABS(O156-Components!$C$4))</f>
        <v>0.92333333333333267</v>
      </c>
      <c r="S156" s="89">
        <f>IF(G156="","",ABS(O156-Components!$C$5))</f>
        <v>4.4926666666666701</v>
      </c>
      <c r="T156" s="89">
        <f>IF(G156="","",ABS(O156-Components!$C$6))</f>
        <v>1.0856666666666697</v>
      </c>
      <c r="U156" s="89">
        <f>IF(G156="","",ABS(O156-Components!$C$7))</f>
        <v>1.3043333333333298</v>
      </c>
      <c r="V156" s="89" t="str">
        <f>IF(G156="","",IF(M156="OK","NONE",INDEX({"S1","S2","W1","W2","N1","N2"},MATCH(MIN(P156:U156),P156:U156,0))))</f>
        <v>NONE</v>
      </c>
      <c r="W156" s="139">
        <f t="shared" si="23"/>
        <v>1</v>
      </c>
      <c r="X156" s="125"/>
    </row>
    <row r="157" spans="1:24" ht="15.75">
      <c r="A157" s="115">
        <v>143</v>
      </c>
      <c r="B157" s="135">
        <f>'Runs Z-Score'!B145</f>
        <v>5</v>
      </c>
      <c r="C157" s="89" t="str">
        <f>'Runs Z-Score'!C145</f>
        <v>R4</v>
      </c>
      <c r="D157" s="89" t="str">
        <f>'Runs Z-Score'!D145</f>
        <v>OK</v>
      </c>
      <c r="E157" s="89" t="str">
        <f>'Runs Z-Score'!E145</f>
        <v>NONE</v>
      </c>
      <c r="F157" s="89">
        <f>'Runs Z-Score'!F145</f>
        <v>8.93</v>
      </c>
      <c r="G157" s="89">
        <f t="shared" si="16"/>
        <v>9.9</v>
      </c>
      <c r="H157" s="89">
        <v>9.91</v>
      </c>
      <c r="I157" s="89">
        <f>VLOOKUP(C157,Recipes!$A$2:$N$4,12,FALSE())</f>
        <v>5.0137397426368718E-2</v>
      </c>
      <c r="J157" s="89">
        <f t="shared" si="18"/>
        <v>3.9781066955649445E-2</v>
      </c>
      <c r="K157" s="89">
        <f t="shared" si="19"/>
        <v>0</v>
      </c>
      <c r="L157" s="89">
        <f t="shared" si="20"/>
        <v>0</v>
      </c>
      <c r="M157" s="89" t="str">
        <f t="shared" si="21"/>
        <v>OK</v>
      </c>
      <c r="N157" s="117">
        <f t="shared" si="22"/>
        <v>1</v>
      </c>
      <c r="O157" s="89">
        <f t="shared" si="17"/>
        <v>9.9999999999997868E-3</v>
      </c>
      <c r="P157" s="89">
        <f>IF(G157="","",ABS(O157-Components!$C$2))</f>
        <v>2.7433333333333301</v>
      </c>
      <c r="Q157" s="89">
        <f>IF(G157="","",ABS(O157-Components!$C$3))</f>
        <v>4.0259999999999998</v>
      </c>
      <c r="R157" s="89">
        <f>IF(G157="","",ABS(O157-Components!$C$4))</f>
        <v>0.98333333333333317</v>
      </c>
      <c r="S157" s="89">
        <f>IF(G157="","",ABS(O157-Components!$C$5))</f>
        <v>4.5526666666666706</v>
      </c>
      <c r="T157" s="89">
        <f>IF(G157="","",ABS(O157-Components!$C$6))</f>
        <v>1.1456666666666702</v>
      </c>
      <c r="U157" s="89">
        <f>IF(G157="","",ABS(O157-Components!$C$7))</f>
        <v>1.3643333333333303</v>
      </c>
      <c r="V157" s="89" t="str">
        <f>IF(G157="","",IF(M157="OK","NONE",INDEX({"S1","S2","W1","W2","N1","N2"},MATCH(MIN(P157:U157),P157:U157,0))))</f>
        <v>NONE</v>
      </c>
      <c r="W157" s="139">
        <f t="shared" si="23"/>
        <v>1</v>
      </c>
      <c r="X157" s="125"/>
    </row>
    <row r="158" spans="1:24" ht="15.75">
      <c r="A158" s="115">
        <v>144</v>
      </c>
      <c r="B158" s="135">
        <f>'Runs Z-Score'!B146</f>
        <v>5</v>
      </c>
      <c r="C158" s="89" t="str">
        <f>'Runs Z-Score'!C146</f>
        <v>R4</v>
      </c>
      <c r="D158" s="89" t="str">
        <f>'Runs Z-Score'!D146</f>
        <v>OK</v>
      </c>
      <c r="E158" s="89" t="str">
        <f>'Runs Z-Score'!E146</f>
        <v>NONE</v>
      </c>
      <c r="F158" s="89">
        <f>'Runs Z-Score'!F146</f>
        <v>8.94</v>
      </c>
      <c r="G158" s="89">
        <f t="shared" si="16"/>
        <v>9.91</v>
      </c>
      <c r="H158" s="89">
        <v>9.91</v>
      </c>
      <c r="I158" s="89">
        <f>VLOOKUP(C158,Recipes!$A$2:$N$4,12,FALSE())</f>
        <v>5.0137397426368718E-2</v>
      </c>
      <c r="J158" s="89">
        <f t="shared" si="18"/>
        <v>0</v>
      </c>
      <c r="K158" s="89">
        <f t="shared" si="19"/>
        <v>0</v>
      </c>
      <c r="L158" s="89">
        <f t="shared" si="20"/>
        <v>0</v>
      </c>
      <c r="M158" s="89" t="str">
        <f t="shared" si="21"/>
        <v>OK</v>
      </c>
      <c r="N158" s="117">
        <f t="shared" si="22"/>
        <v>1</v>
      </c>
      <c r="O158" s="89">
        <f t="shared" si="17"/>
        <v>0</v>
      </c>
      <c r="P158" s="89">
        <f>IF(G158="","",ABS(O158-Components!$C$2))</f>
        <v>2.7533333333333299</v>
      </c>
      <c r="Q158" s="89">
        <f>IF(G158="","",ABS(O158-Components!$C$3))</f>
        <v>4.0359999999999996</v>
      </c>
      <c r="R158" s="89">
        <f>IF(G158="","",ABS(O158-Components!$C$4))</f>
        <v>0.99333333333333296</v>
      </c>
      <c r="S158" s="89">
        <f>IF(G158="","",ABS(O158-Components!$C$5))</f>
        <v>4.5626666666666704</v>
      </c>
      <c r="T158" s="89">
        <f>IF(G158="","",ABS(O158-Components!$C$6))</f>
        <v>1.15566666666667</v>
      </c>
      <c r="U158" s="89">
        <f>IF(G158="","",ABS(O158-Components!$C$7))</f>
        <v>1.3743333333333301</v>
      </c>
      <c r="V158" s="89" t="str">
        <f>IF(G158="","",IF(M158="OK","NONE",INDEX({"S1","S2","W1","W2","N1","N2"},MATCH(MIN(P158:U158),P158:U158,0))))</f>
        <v>NONE</v>
      </c>
      <c r="W158" s="139">
        <f t="shared" si="23"/>
        <v>1</v>
      </c>
      <c r="X158" s="125"/>
    </row>
    <row r="159" spans="1:24" ht="15.75">
      <c r="A159" s="115">
        <v>145</v>
      </c>
      <c r="B159" s="135">
        <f>'Runs Z-Score'!B147</f>
        <v>5</v>
      </c>
      <c r="C159" s="89" t="str">
        <f>'Runs Z-Score'!C147</f>
        <v>R4</v>
      </c>
      <c r="D159" s="89" t="str">
        <f>'Runs Z-Score'!D147</f>
        <v>OK</v>
      </c>
      <c r="E159" s="89" t="str">
        <f>'Runs Z-Score'!E147</f>
        <v>NONE</v>
      </c>
      <c r="F159" s="89">
        <f>'Runs Z-Score'!F147</f>
        <v>8.8800000000000008</v>
      </c>
      <c r="G159" s="89">
        <f t="shared" si="16"/>
        <v>9.8500000000000014</v>
      </c>
      <c r="H159" s="89">
        <v>9.91</v>
      </c>
      <c r="I159" s="89">
        <f>VLOOKUP(C159,Recipes!$A$2:$N$4,12,FALSE())</f>
        <v>5.0137397426368718E-2</v>
      </c>
      <c r="J159" s="89">
        <f t="shared" si="18"/>
        <v>1.4321184104033797</v>
      </c>
      <c r="K159" s="89">
        <f t="shared" si="19"/>
        <v>1.3654517437367131</v>
      </c>
      <c r="L159" s="89">
        <f t="shared" si="20"/>
        <v>1.1685254570340833</v>
      </c>
      <c r="M159" s="89" t="str">
        <f t="shared" si="21"/>
        <v>OK</v>
      </c>
      <c r="N159" s="117">
        <f t="shared" si="22"/>
        <v>1</v>
      </c>
      <c r="O159" s="89">
        <f t="shared" si="17"/>
        <v>5.9999999999998721E-2</v>
      </c>
      <c r="P159" s="89">
        <f>IF(G159="","",ABS(O159-Components!$C$2))</f>
        <v>2.6933333333333311</v>
      </c>
      <c r="Q159" s="89">
        <f>IF(G159="","",ABS(O159-Components!$C$3))</f>
        <v>3.9760000000000009</v>
      </c>
      <c r="R159" s="89">
        <f>IF(G159="","",ABS(O159-Components!$C$4))</f>
        <v>0.93333333333333424</v>
      </c>
      <c r="S159" s="89">
        <f>IF(G159="","",ABS(O159-Components!$C$5))</f>
        <v>4.5026666666666717</v>
      </c>
      <c r="T159" s="89">
        <f>IF(G159="","",ABS(O159-Components!$C$6))</f>
        <v>1.0956666666666712</v>
      </c>
      <c r="U159" s="89">
        <f>IF(G159="","",ABS(O159-Components!$C$7))</f>
        <v>1.3143333333333314</v>
      </c>
      <c r="V159" s="89" t="str">
        <f>IF(G159="","",IF(M159="OK","NONE",INDEX({"S1","S2","W1","W2","N1","N2"},MATCH(MIN(P159:U159),P159:U159,0))))</f>
        <v>NONE</v>
      </c>
      <c r="W159" s="139">
        <f t="shared" si="23"/>
        <v>1</v>
      </c>
      <c r="X159" s="125"/>
    </row>
    <row r="160" spans="1:24" ht="15.75">
      <c r="A160" s="115">
        <v>146</v>
      </c>
      <c r="B160" s="135">
        <f>'Runs Z-Score'!B148</f>
        <v>5</v>
      </c>
      <c r="C160" s="89" t="str">
        <f>'Runs Z-Score'!C148</f>
        <v>R4</v>
      </c>
      <c r="D160" s="89" t="str">
        <f>'Runs Z-Score'!D148</f>
        <v>OK</v>
      </c>
      <c r="E160" s="89" t="str">
        <f>'Runs Z-Score'!E148</f>
        <v>NONE</v>
      </c>
      <c r="F160" s="89">
        <f>'Runs Z-Score'!F148</f>
        <v>8.89</v>
      </c>
      <c r="G160" s="89">
        <f t="shared" si="16"/>
        <v>9.8600000000000012</v>
      </c>
      <c r="H160" s="89">
        <v>9.91</v>
      </c>
      <c r="I160" s="89">
        <f>VLOOKUP(C160,Recipes!$A$2:$N$4,12,FALSE())</f>
        <v>5.0137397426368718E-2</v>
      </c>
      <c r="J160" s="89">
        <f t="shared" si="18"/>
        <v>0.99452667389123606</v>
      </c>
      <c r="K160" s="89">
        <f t="shared" si="19"/>
        <v>0.92786000722456941</v>
      </c>
      <c r="L160" s="89">
        <f t="shared" si="20"/>
        <v>0.96325490251779633</v>
      </c>
      <c r="M160" s="89" t="str">
        <f t="shared" si="21"/>
        <v>OK</v>
      </c>
      <c r="N160" s="117">
        <f t="shared" si="22"/>
        <v>1</v>
      </c>
      <c r="O160" s="89">
        <f t="shared" si="17"/>
        <v>4.9999999999998934E-2</v>
      </c>
      <c r="P160" s="89">
        <f>IF(G160="","",ABS(O160-Components!$C$2))</f>
        <v>2.7033333333333309</v>
      </c>
      <c r="Q160" s="89">
        <f>IF(G160="","",ABS(O160-Components!$C$3))</f>
        <v>3.9860000000000007</v>
      </c>
      <c r="R160" s="89">
        <f>IF(G160="","",ABS(O160-Components!$C$4))</f>
        <v>0.94333333333333402</v>
      </c>
      <c r="S160" s="89">
        <f>IF(G160="","",ABS(O160-Components!$C$5))</f>
        <v>4.5126666666666715</v>
      </c>
      <c r="T160" s="89">
        <f>IF(G160="","",ABS(O160-Components!$C$6))</f>
        <v>1.105666666666671</v>
      </c>
      <c r="U160" s="89">
        <f>IF(G160="","",ABS(O160-Components!$C$7))</f>
        <v>1.3243333333333311</v>
      </c>
      <c r="V160" s="89" t="str">
        <f>IF(G160="","",IF(M160="OK","NONE",INDEX({"S1","S2","W1","W2","N1","N2"},MATCH(MIN(P160:U160),P160:U160,0))))</f>
        <v>NONE</v>
      </c>
      <c r="W160" s="139">
        <f t="shared" si="23"/>
        <v>1</v>
      </c>
      <c r="X160" s="125"/>
    </row>
    <row r="161" spans="1:24" ht="15.75">
      <c r="A161" s="115">
        <v>147</v>
      </c>
      <c r="B161" s="135">
        <f>'Runs Z-Score'!B149</f>
        <v>5</v>
      </c>
      <c r="C161" s="89" t="str">
        <f>'Runs Z-Score'!C149</f>
        <v>R4</v>
      </c>
      <c r="D161" s="89" t="str">
        <f>'Runs Z-Score'!D149</f>
        <v>OK</v>
      </c>
      <c r="E161" s="89" t="str">
        <f>'Runs Z-Score'!E149</f>
        <v>NONE</v>
      </c>
      <c r="F161" s="89">
        <f>'Runs Z-Score'!F149</f>
        <v>8.8800000000000008</v>
      </c>
      <c r="G161" s="89">
        <f t="shared" si="16"/>
        <v>9.8500000000000014</v>
      </c>
      <c r="H161" s="89">
        <v>9.91</v>
      </c>
      <c r="I161" s="89">
        <f>VLOOKUP(C161,Recipes!$A$2:$N$4,12,FALSE())</f>
        <v>5.0137397426368718E-2</v>
      </c>
      <c r="J161" s="89">
        <f t="shared" si="18"/>
        <v>1.4321184104033797</v>
      </c>
      <c r="K161" s="89">
        <f t="shared" si="19"/>
        <v>1.3654517437367131</v>
      </c>
      <c r="L161" s="89">
        <f t="shared" si="20"/>
        <v>1.1685254570340833</v>
      </c>
      <c r="M161" s="89" t="str">
        <f t="shared" si="21"/>
        <v>OK</v>
      </c>
      <c r="N161" s="117">
        <f t="shared" si="22"/>
        <v>1</v>
      </c>
      <c r="O161" s="89">
        <f t="shared" si="17"/>
        <v>5.9999999999998721E-2</v>
      </c>
      <c r="P161" s="89">
        <f>IF(G161="","",ABS(O161-Components!$C$2))</f>
        <v>2.6933333333333311</v>
      </c>
      <c r="Q161" s="89">
        <f>IF(G161="","",ABS(O161-Components!$C$3))</f>
        <v>3.9760000000000009</v>
      </c>
      <c r="R161" s="89">
        <f>IF(G161="","",ABS(O161-Components!$C$4))</f>
        <v>0.93333333333333424</v>
      </c>
      <c r="S161" s="89">
        <f>IF(G161="","",ABS(O161-Components!$C$5))</f>
        <v>4.5026666666666717</v>
      </c>
      <c r="T161" s="89">
        <f>IF(G161="","",ABS(O161-Components!$C$6))</f>
        <v>1.0956666666666712</v>
      </c>
      <c r="U161" s="89">
        <f>IF(G161="","",ABS(O161-Components!$C$7))</f>
        <v>1.3143333333333314</v>
      </c>
      <c r="V161" s="89" t="str">
        <f>IF(G161="","",IF(M161="OK","NONE",INDEX({"S1","S2","W1","W2","N1","N2"},MATCH(MIN(P161:U161),P161:U161,0))))</f>
        <v>NONE</v>
      </c>
      <c r="W161" s="139">
        <f t="shared" si="23"/>
        <v>1</v>
      </c>
      <c r="X161" s="125"/>
    </row>
    <row r="162" spans="1:24" ht="15.75">
      <c r="A162" s="115">
        <v>148</v>
      </c>
      <c r="B162" s="135">
        <f>'Runs Z-Score'!B150</f>
        <v>5</v>
      </c>
      <c r="C162" s="89" t="str">
        <f>'Runs Z-Score'!C150</f>
        <v>R4</v>
      </c>
      <c r="D162" s="89" t="str">
        <f>'Runs Z-Score'!D150</f>
        <v>OK</v>
      </c>
      <c r="E162" s="89" t="str">
        <f>'Runs Z-Score'!E150</f>
        <v>NONE</v>
      </c>
      <c r="F162" s="89">
        <f>'Runs Z-Score'!F150</f>
        <v>8.7100000000000009</v>
      </c>
      <c r="G162" s="89">
        <f t="shared" si="16"/>
        <v>9.6800000000000015</v>
      </c>
      <c r="H162" s="89">
        <v>9.91</v>
      </c>
      <c r="I162" s="89">
        <f>VLOOKUP(C162,Recipes!$A$2:$N$4,12,FALSE())</f>
        <v>5.0137397426368718E-2</v>
      </c>
      <c r="J162" s="89">
        <f t="shared" si="18"/>
        <v>21.044184419539206</v>
      </c>
      <c r="K162" s="89">
        <f t="shared" si="19"/>
        <v>20.97751775287254</v>
      </c>
      <c r="L162" s="89">
        <f t="shared" si="20"/>
        <v>4.5801220237972418</v>
      </c>
      <c r="M162" s="89" t="str">
        <f t="shared" si="21"/>
        <v>NG</v>
      </c>
      <c r="N162" s="117">
        <f t="shared" si="22"/>
        <v>0</v>
      </c>
      <c r="O162" s="89">
        <f t="shared" si="17"/>
        <v>0.22999999999999865</v>
      </c>
      <c r="P162" s="89">
        <f>IF(G162="","",ABS(O162-Components!$C$2))</f>
        <v>2.5233333333333312</v>
      </c>
      <c r="Q162" s="89">
        <f>IF(G162="","",ABS(O162-Components!$C$3))</f>
        <v>3.8060000000000009</v>
      </c>
      <c r="R162" s="89">
        <f>IF(G162="","",ABS(O162-Components!$C$4))</f>
        <v>0.76333333333333431</v>
      </c>
      <c r="S162" s="89">
        <f>IF(G162="","",ABS(O162-Components!$C$5))</f>
        <v>4.3326666666666718</v>
      </c>
      <c r="T162" s="89">
        <f>IF(G162="","",ABS(O162-Components!$C$6))</f>
        <v>0.9256666666666713</v>
      </c>
      <c r="U162" s="89">
        <f>IF(G162="","",ABS(O162-Components!$C$7))</f>
        <v>1.1443333333333314</v>
      </c>
      <c r="V162" s="89" t="str">
        <f>IF(G162="","",IF(M162="OK","NONE",INDEX({"S1","S2","W1","W2","N1","N2"},MATCH(MIN(P162:U162),P162:U162,0))))</f>
        <v>W1</v>
      </c>
      <c r="W162" s="140">
        <f t="shared" si="23"/>
        <v>0</v>
      </c>
      <c r="X162" s="125"/>
    </row>
    <row r="163" spans="1:24" ht="15.75">
      <c r="A163" s="115">
        <v>149</v>
      </c>
      <c r="B163" s="135">
        <f>'Runs Z-Score'!B151</f>
        <v>5</v>
      </c>
      <c r="C163" s="89" t="str">
        <f>'Runs Z-Score'!C151</f>
        <v>R4</v>
      </c>
      <c r="D163" s="89" t="str">
        <f>'Runs Z-Score'!D151</f>
        <v>OK</v>
      </c>
      <c r="E163" s="89" t="str">
        <f>'Runs Z-Score'!E151</f>
        <v>NONE</v>
      </c>
      <c r="F163" s="89">
        <f>'Runs Z-Score'!F151</f>
        <v>8.94</v>
      </c>
      <c r="G163" s="89">
        <f t="shared" si="16"/>
        <v>9.91</v>
      </c>
      <c r="H163" s="89">
        <v>9.91</v>
      </c>
      <c r="I163" s="89">
        <f>VLOOKUP(C163,Recipes!$A$2:$N$4,12,FALSE())</f>
        <v>5.0137397426368718E-2</v>
      </c>
      <c r="J163" s="89">
        <f t="shared" si="18"/>
        <v>0</v>
      </c>
      <c r="K163" s="89">
        <f t="shared" si="19"/>
        <v>0</v>
      </c>
      <c r="L163" s="89">
        <f t="shared" si="20"/>
        <v>0</v>
      </c>
      <c r="M163" s="89" t="str">
        <f t="shared" si="21"/>
        <v>OK</v>
      </c>
      <c r="N163" s="117">
        <f t="shared" si="22"/>
        <v>1</v>
      </c>
      <c r="O163" s="89">
        <f t="shared" si="17"/>
        <v>0</v>
      </c>
      <c r="P163" s="89">
        <f>IF(G163="","",ABS(O163-Components!$C$2))</f>
        <v>2.7533333333333299</v>
      </c>
      <c r="Q163" s="89">
        <f>IF(G163="","",ABS(O163-Components!$C$3))</f>
        <v>4.0359999999999996</v>
      </c>
      <c r="R163" s="89">
        <f>IF(G163="","",ABS(O163-Components!$C$4))</f>
        <v>0.99333333333333296</v>
      </c>
      <c r="S163" s="89">
        <f>IF(G163="","",ABS(O163-Components!$C$5))</f>
        <v>4.5626666666666704</v>
      </c>
      <c r="T163" s="89">
        <f>IF(G163="","",ABS(O163-Components!$C$6))</f>
        <v>1.15566666666667</v>
      </c>
      <c r="U163" s="89">
        <f>IF(G163="","",ABS(O163-Components!$C$7))</f>
        <v>1.3743333333333301</v>
      </c>
      <c r="V163" s="89" t="str">
        <f>IF(G163="","",IF(M163="OK","NONE",INDEX({"S1","S2","W1","W2","N1","N2"},MATCH(MIN(P163:U163),P163:U163,0))))</f>
        <v>NONE</v>
      </c>
      <c r="W163" s="139">
        <f t="shared" si="23"/>
        <v>1</v>
      </c>
      <c r="X163" s="125"/>
    </row>
    <row r="164" spans="1:24" ht="15.75">
      <c r="A164" s="115">
        <v>150</v>
      </c>
      <c r="B164" s="135">
        <f>'Runs Z-Score'!B152</f>
        <v>5</v>
      </c>
      <c r="C164" s="89" t="str">
        <f>'Runs Z-Score'!C152</f>
        <v>R4</v>
      </c>
      <c r="D164" s="89" t="str">
        <f>'Runs Z-Score'!D152</f>
        <v>OK</v>
      </c>
      <c r="E164" s="89" t="str">
        <f>'Runs Z-Score'!E152</f>
        <v>NONE</v>
      </c>
      <c r="F164" s="89">
        <f>'Runs Z-Score'!F152</f>
        <v>8.9700000000000006</v>
      </c>
      <c r="G164" s="89">
        <f t="shared" si="16"/>
        <v>9.9400000000000013</v>
      </c>
      <c r="H164" s="89">
        <v>9.91</v>
      </c>
      <c r="I164" s="89">
        <f>VLOOKUP(C164,Recipes!$A$2:$N$4,12,FALSE())</f>
        <v>5.0137397426368718E-2</v>
      </c>
      <c r="J164" s="89">
        <f t="shared" si="18"/>
        <v>0.3580296026008874</v>
      </c>
      <c r="K164" s="89">
        <f t="shared" si="19"/>
        <v>0.29136293593422075</v>
      </c>
      <c r="L164" s="89">
        <f t="shared" si="20"/>
        <v>0.53978045160437294</v>
      </c>
      <c r="M164" s="89" t="str">
        <f t="shared" si="21"/>
        <v>OK</v>
      </c>
      <c r="N164" s="117">
        <f t="shared" si="22"/>
        <v>1</v>
      </c>
      <c r="O164" s="89">
        <f t="shared" si="17"/>
        <v>-3.0000000000001137E-2</v>
      </c>
      <c r="P164" s="89">
        <f>IF(G164="","",ABS(O164-Components!$C$2))</f>
        <v>2.783333333333331</v>
      </c>
      <c r="Q164" s="89">
        <f>IF(G164="","",ABS(O164-Components!$C$3))</f>
        <v>4.0660000000000007</v>
      </c>
      <c r="R164" s="89">
        <f>IF(G164="","",ABS(O164-Components!$C$4))</f>
        <v>1.0233333333333341</v>
      </c>
      <c r="S164" s="89">
        <f>IF(G164="","",ABS(O164-Components!$C$5))</f>
        <v>4.5926666666666716</v>
      </c>
      <c r="T164" s="89">
        <f>IF(G164="","",ABS(O164-Components!$C$6))</f>
        <v>1.1856666666666711</v>
      </c>
      <c r="U164" s="89">
        <f>IF(G164="","",ABS(O164-Components!$C$7))</f>
        <v>1.4043333333333312</v>
      </c>
      <c r="V164" s="89" t="str">
        <f>IF(G164="","",IF(M164="OK","NONE",INDEX({"S1","S2","W1","W2","N1","N2"},MATCH(MIN(P164:U164),P164:U164,0))))</f>
        <v>NONE</v>
      </c>
      <c r="W164" s="139">
        <f t="shared" si="23"/>
        <v>1</v>
      </c>
      <c r="X164" s="125"/>
    </row>
    <row r="165" spans="1:24" ht="15.75">
      <c r="A165" s="115">
        <v>151</v>
      </c>
      <c r="B165" s="135">
        <f>'Runs Z-Score'!B153</f>
        <v>6</v>
      </c>
      <c r="C165" s="89" t="str">
        <f>'Runs Z-Score'!C153</f>
        <v>R4</v>
      </c>
      <c r="D165" s="89" t="str">
        <f>'Runs Z-Score'!D153</f>
        <v>NG</v>
      </c>
      <c r="E165" s="89" t="str">
        <f>'Runs Z-Score'!E153</f>
        <v>S1</v>
      </c>
      <c r="F165" s="89">
        <f>'Runs Z-Score'!F153</f>
        <v>6.18</v>
      </c>
      <c r="G165" s="89">
        <f t="shared" si="16"/>
        <v>7.1499999999999995</v>
      </c>
      <c r="H165" s="89">
        <v>9.91</v>
      </c>
      <c r="I165" s="89">
        <f>VLOOKUP(C165,Recipes!$A$2:$N$4,12,FALSE())</f>
        <v>5.0137397426368718E-2</v>
      </c>
      <c r="J165" s="89">
        <f t="shared" si="18"/>
        <v>3030.3625564136828</v>
      </c>
      <c r="K165" s="89">
        <f t="shared" si="19"/>
        <v>3030.2958897470162</v>
      </c>
      <c r="L165" s="89">
        <f t="shared" si="20"/>
        <v>55.048123398958992</v>
      </c>
      <c r="M165" s="89" t="str">
        <f t="shared" si="21"/>
        <v>NG</v>
      </c>
      <c r="N165" s="117">
        <f t="shared" si="22"/>
        <v>1</v>
      </c>
      <c r="O165" s="89">
        <f t="shared" si="17"/>
        <v>2.7600000000000007</v>
      </c>
      <c r="P165" s="89">
        <f>IF(G165="","",ABS(O165-Components!$C$2))</f>
        <v>6.6666666666708174E-3</v>
      </c>
      <c r="Q165" s="89">
        <f>IF(G165="","",ABS(O165-Components!$C$3))</f>
        <v>1.2759999999999989</v>
      </c>
      <c r="R165" s="89">
        <f>IF(G165="","",ABS(O165-Components!$C$4))</f>
        <v>1.7666666666666677</v>
      </c>
      <c r="S165" s="89">
        <f>IF(G165="","",ABS(O165-Components!$C$5))</f>
        <v>1.8026666666666697</v>
      </c>
      <c r="T165" s="89">
        <f>IF(G165="","",ABS(O165-Components!$C$6))</f>
        <v>1.6043333333333307</v>
      </c>
      <c r="U165" s="89">
        <f>IF(G165="","",ABS(O165-Components!$C$7))</f>
        <v>1.3856666666666706</v>
      </c>
      <c r="V165" s="89" t="str">
        <f>IF(G165="","",IF(M165="OK","NONE",INDEX({"S1","S2","W1","W2","N1","N2"},MATCH(MIN(P165:U165),P165:U165,0))))</f>
        <v>S1</v>
      </c>
      <c r="W165" s="139">
        <f t="shared" si="23"/>
        <v>1</v>
      </c>
      <c r="X165" s="125"/>
    </row>
    <row r="166" spans="1:24" ht="15.75">
      <c r="A166" s="115">
        <v>152</v>
      </c>
      <c r="B166" s="135">
        <f>'Runs Z-Score'!B154</f>
        <v>6</v>
      </c>
      <c r="C166" s="89" t="str">
        <f>'Runs Z-Score'!C154</f>
        <v>R4</v>
      </c>
      <c r="D166" s="89" t="str">
        <f>'Runs Z-Score'!D154</f>
        <v>NG</v>
      </c>
      <c r="E166" s="89" t="str">
        <f>'Runs Z-Score'!E154</f>
        <v>S1</v>
      </c>
      <c r="F166" s="89">
        <f>'Runs Z-Score'!F154</f>
        <v>6.18</v>
      </c>
      <c r="G166" s="89">
        <f t="shared" si="16"/>
        <v>7.1499999999999995</v>
      </c>
      <c r="H166" s="89">
        <v>9.91</v>
      </c>
      <c r="I166" s="89">
        <f>VLOOKUP(C166,Recipes!$A$2:$N$4,12,FALSE())</f>
        <v>5.0137397426368718E-2</v>
      </c>
      <c r="J166" s="89">
        <f t="shared" si="18"/>
        <v>3030.3625564136828</v>
      </c>
      <c r="K166" s="89">
        <f t="shared" si="19"/>
        <v>3030.2958897470162</v>
      </c>
      <c r="L166" s="89">
        <f t="shared" si="20"/>
        <v>55.048123398958992</v>
      </c>
      <c r="M166" s="89" t="str">
        <f t="shared" si="21"/>
        <v>NG</v>
      </c>
      <c r="N166" s="117">
        <f t="shared" si="22"/>
        <v>1</v>
      </c>
      <c r="O166" s="89">
        <f t="shared" si="17"/>
        <v>2.7600000000000007</v>
      </c>
      <c r="P166" s="89">
        <f>IF(G166="","",ABS(O166-Components!$C$2))</f>
        <v>6.6666666666708174E-3</v>
      </c>
      <c r="Q166" s="89">
        <f>IF(G166="","",ABS(O166-Components!$C$3))</f>
        <v>1.2759999999999989</v>
      </c>
      <c r="R166" s="89">
        <f>IF(G166="","",ABS(O166-Components!$C$4))</f>
        <v>1.7666666666666677</v>
      </c>
      <c r="S166" s="89">
        <f>IF(G166="","",ABS(O166-Components!$C$5))</f>
        <v>1.8026666666666697</v>
      </c>
      <c r="T166" s="89">
        <f>IF(G166="","",ABS(O166-Components!$C$6))</f>
        <v>1.6043333333333307</v>
      </c>
      <c r="U166" s="89">
        <f>IF(G166="","",ABS(O166-Components!$C$7))</f>
        <v>1.3856666666666706</v>
      </c>
      <c r="V166" s="89" t="str">
        <f>IF(G166="","",IF(M166="OK","NONE",INDEX({"S1","S2","W1","W2","N1","N2"},MATCH(MIN(P166:U166),P166:U166,0))))</f>
        <v>S1</v>
      </c>
      <c r="W166" s="139">
        <f t="shared" si="23"/>
        <v>1</v>
      </c>
      <c r="X166" s="125"/>
    </row>
    <row r="167" spans="1:24" ht="15.75">
      <c r="A167" s="115">
        <v>153</v>
      </c>
      <c r="B167" s="135">
        <f>'Runs Z-Score'!B155</f>
        <v>6</v>
      </c>
      <c r="C167" s="89" t="str">
        <f>'Runs Z-Score'!C155</f>
        <v>R4</v>
      </c>
      <c r="D167" s="89" t="str">
        <f>'Runs Z-Score'!D155</f>
        <v>NG</v>
      </c>
      <c r="E167" s="89" t="str">
        <f>'Runs Z-Score'!E155</f>
        <v>S1</v>
      </c>
      <c r="F167" s="89">
        <f>'Runs Z-Score'!F155</f>
        <v>6.15</v>
      </c>
      <c r="G167" s="89">
        <f t="shared" si="16"/>
        <v>7.12</v>
      </c>
      <c r="H167" s="89">
        <v>9.91</v>
      </c>
      <c r="I167" s="89">
        <f>VLOOKUP(C167,Recipes!$A$2:$N$4,12,FALSE())</f>
        <v>5.0137397426368718E-2</v>
      </c>
      <c r="J167" s="89">
        <f t="shared" si="18"/>
        <v>3096.5980328948403</v>
      </c>
      <c r="K167" s="89">
        <f t="shared" si="19"/>
        <v>3096.5313662281737</v>
      </c>
      <c r="L167" s="89">
        <f t="shared" si="20"/>
        <v>55.646485659277474</v>
      </c>
      <c r="M167" s="89" t="str">
        <f t="shared" si="21"/>
        <v>NG</v>
      </c>
      <c r="N167" s="117">
        <f t="shared" si="22"/>
        <v>1</v>
      </c>
      <c r="O167" s="89">
        <f t="shared" si="17"/>
        <v>2.79</v>
      </c>
      <c r="P167" s="89">
        <f>IF(G167="","",ABS(O167-Components!$C$2))</f>
        <v>3.6666666666670178E-2</v>
      </c>
      <c r="Q167" s="89">
        <f>IF(G167="","",ABS(O167-Components!$C$3))</f>
        <v>1.2459999999999996</v>
      </c>
      <c r="R167" s="89">
        <f>IF(G167="","",ABS(O167-Components!$C$4))</f>
        <v>1.7966666666666671</v>
      </c>
      <c r="S167" s="89">
        <f>IF(G167="","",ABS(O167-Components!$C$5))</f>
        <v>1.7726666666666704</v>
      </c>
      <c r="T167" s="89">
        <f>IF(G167="","",ABS(O167-Components!$C$6))</f>
        <v>1.6343333333333301</v>
      </c>
      <c r="U167" s="89">
        <f>IF(G167="","",ABS(O167-Components!$C$7))</f>
        <v>1.41566666666667</v>
      </c>
      <c r="V167" s="89" t="str">
        <f>IF(G167="","",IF(M167="OK","NONE",INDEX({"S1","S2","W1","W2","N1","N2"},MATCH(MIN(P167:U167),P167:U167,0))))</f>
        <v>S1</v>
      </c>
      <c r="W167" s="139">
        <f t="shared" si="23"/>
        <v>1</v>
      </c>
      <c r="X167" s="125"/>
    </row>
    <row r="168" spans="1:24" ht="15.75">
      <c r="A168" s="115">
        <v>154</v>
      </c>
      <c r="B168" s="135">
        <f>'Runs Z-Score'!B156</f>
        <v>6</v>
      </c>
      <c r="C168" s="89" t="str">
        <f>'Runs Z-Score'!C156</f>
        <v>R4</v>
      </c>
      <c r="D168" s="89" t="str">
        <f>'Runs Z-Score'!D156</f>
        <v>NG</v>
      </c>
      <c r="E168" s="89" t="str">
        <f>'Runs Z-Score'!E156</f>
        <v>S1</v>
      </c>
      <c r="F168" s="89">
        <f>'Runs Z-Score'!F156</f>
        <v>6.12</v>
      </c>
      <c r="G168" s="89">
        <f t="shared" si="16"/>
        <v>7.09</v>
      </c>
      <c r="H168" s="89">
        <v>9.91</v>
      </c>
      <c r="I168" s="89">
        <f>VLOOKUP(C168,Recipes!$A$2:$N$4,12,FALSE())</f>
        <v>5.0137397426368718E-2</v>
      </c>
      <c r="J168" s="89">
        <f t="shared" si="18"/>
        <v>3163.5495685812016</v>
      </c>
      <c r="K168" s="89">
        <f t="shared" si="19"/>
        <v>3163.482901914535</v>
      </c>
      <c r="L168" s="89">
        <f t="shared" si="20"/>
        <v>56.244847781059335</v>
      </c>
      <c r="M168" s="89" t="str">
        <f t="shared" si="21"/>
        <v>NG</v>
      </c>
      <c r="N168" s="117">
        <f t="shared" si="22"/>
        <v>1</v>
      </c>
      <c r="O168" s="89">
        <f t="shared" si="17"/>
        <v>2.8200000000000003</v>
      </c>
      <c r="P168" s="89">
        <f>IF(G168="","",ABS(O168-Components!$C$2))</f>
        <v>6.6666666666670427E-2</v>
      </c>
      <c r="Q168" s="89">
        <f>IF(G168="","",ABS(O168-Components!$C$3))</f>
        <v>1.2159999999999993</v>
      </c>
      <c r="R168" s="89">
        <f>IF(G168="","",ABS(O168-Components!$C$4))</f>
        <v>1.8266666666666673</v>
      </c>
      <c r="S168" s="89">
        <f>IF(G168="","",ABS(O168-Components!$C$5))</f>
        <v>1.7426666666666701</v>
      </c>
      <c r="T168" s="89">
        <f>IF(G168="","",ABS(O168-Components!$C$6))</f>
        <v>1.6643333333333303</v>
      </c>
      <c r="U168" s="89">
        <f>IF(G168="","",ABS(O168-Components!$C$7))</f>
        <v>1.4456666666666702</v>
      </c>
      <c r="V168" s="89" t="str">
        <f>IF(G168="","",IF(M168="OK","NONE",INDEX({"S1","S2","W1","W2","N1","N2"},MATCH(MIN(P168:U168),P168:U168,0))))</f>
        <v>S1</v>
      </c>
      <c r="W168" s="139">
        <f t="shared" si="23"/>
        <v>1</v>
      </c>
      <c r="X168" s="125"/>
    </row>
    <row r="169" spans="1:24" ht="15.75">
      <c r="A169" s="115">
        <v>155</v>
      </c>
      <c r="B169" s="135">
        <f>'Runs Z-Score'!B157</f>
        <v>6</v>
      </c>
      <c r="C169" s="89" t="str">
        <f>'Runs Z-Score'!C157</f>
        <v>R4</v>
      </c>
      <c r="D169" s="89" t="str">
        <f>'Runs Z-Score'!D157</f>
        <v>NG</v>
      </c>
      <c r="E169" s="89" t="str">
        <f>'Runs Z-Score'!E157</f>
        <v>S1</v>
      </c>
      <c r="F169" s="89">
        <f>'Runs Z-Score'!F157</f>
        <v>6.16</v>
      </c>
      <c r="G169" s="89">
        <f t="shared" si="16"/>
        <v>7.13</v>
      </c>
      <c r="H169" s="89">
        <v>9.91</v>
      </c>
      <c r="I169" s="89">
        <f>VLOOKUP(C169,Recipes!$A$2:$N$4,12,FALSE())</f>
        <v>5.0137397426368718E-2</v>
      </c>
      <c r="J169" s="89">
        <f t="shared" si="18"/>
        <v>3074.4399786005429</v>
      </c>
      <c r="K169" s="89">
        <f t="shared" si="19"/>
        <v>3074.3733119338763</v>
      </c>
      <c r="L169" s="89">
        <f t="shared" si="20"/>
        <v>55.447031588119088</v>
      </c>
      <c r="M169" s="89" t="str">
        <f t="shared" si="21"/>
        <v>NG</v>
      </c>
      <c r="N169" s="117">
        <f t="shared" si="22"/>
        <v>1</v>
      </c>
      <c r="O169" s="89">
        <f t="shared" si="17"/>
        <v>2.7800000000000002</v>
      </c>
      <c r="P169" s="89">
        <f>IF(G169="","",ABS(O169-Components!$C$2))</f>
        <v>2.6666666666670391E-2</v>
      </c>
      <c r="Q169" s="89">
        <f>IF(G169="","",ABS(O169-Components!$C$3))</f>
        <v>1.2559999999999993</v>
      </c>
      <c r="R169" s="89">
        <f>IF(G169="","",ABS(O169-Components!$C$4))</f>
        <v>1.7866666666666673</v>
      </c>
      <c r="S169" s="89">
        <f>IF(G169="","",ABS(O169-Components!$C$5))</f>
        <v>1.7826666666666702</v>
      </c>
      <c r="T169" s="89">
        <f>IF(G169="","",ABS(O169-Components!$C$6))</f>
        <v>1.6243333333333303</v>
      </c>
      <c r="U169" s="89">
        <f>IF(G169="","",ABS(O169-Components!$C$7))</f>
        <v>1.4056666666666702</v>
      </c>
      <c r="V169" s="89" t="str">
        <f>IF(G169="","",IF(M169="OK","NONE",INDEX({"S1","S2","W1","W2","N1","N2"},MATCH(MIN(P169:U169),P169:U169,0))))</f>
        <v>S1</v>
      </c>
      <c r="W169" s="139">
        <f t="shared" si="23"/>
        <v>1</v>
      </c>
      <c r="X169" s="125"/>
    </row>
    <row r="170" spans="1:24" ht="15.75">
      <c r="A170" s="115">
        <v>156</v>
      </c>
      <c r="B170" s="135">
        <f>'Runs Z-Score'!B158</f>
        <v>6</v>
      </c>
      <c r="C170" s="89" t="str">
        <f>'Runs Z-Score'!C158</f>
        <v>R4</v>
      </c>
      <c r="D170" s="89" t="str">
        <f>'Runs Z-Score'!D158</f>
        <v>NG</v>
      </c>
      <c r="E170" s="89" t="str">
        <f>'Runs Z-Score'!E158</f>
        <v>S1</v>
      </c>
      <c r="F170" s="89">
        <f>'Runs Z-Score'!F158</f>
        <v>6.19</v>
      </c>
      <c r="G170" s="89">
        <f t="shared" si="16"/>
        <v>7.16</v>
      </c>
      <c r="H170" s="89">
        <v>9.91</v>
      </c>
      <c r="I170" s="89">
        <f>VLOOKUP(C170,Recipes!$A$2:$N$4,12,FALSE())</f>
        <v>5.0137397426368718E-2</v>
      </c>
      <c r="J170" s="89">
        <f t="shared" si="18"/>
        <v>3008.443188521117</v>
      </c>
      <c r="K170" s="89">
        <f t="shared" si="19"/>
        <v>3008.3765218544504</v>
      </c>
      <c r="L170" s="89">
        <f t="shared" si="20"/>
        <v>54.848669280616555</v>
      </c>
      <c r="M170" s="89" t="str">
        <f t="shared" si="21"/>
        <v>NG</v>
      </c>
      <c r="N170" s="117">
        <f t="shared" si="22"/>
        <v>1</v>
      </c>
      <c r="O170" s="89">
        <f t="shared" si="17"/>
        <v>2.75</v>
      </c>
      <c r="P170" s="89">
        <f>IF(G170="","",ABS(O170-Components!$C$2))</f>
        <v>3.3333333333298576E-3</v>
      </c>
      <c r="Q170" s="89">
        <f>IF(G170="","",ABS(O170-Components!$C$3))</f>
        <v>1.2859999999999996</v>
      </c>
      <c r="R170" s="89">
        <f>IF(G170="","",ABS(O170-Components!$C$4))</f>
        <v>1.756666666666667</v>
      </c>
      <c r="S170" s="89">
        <f>IF(G170="","",ABS(O170-Components!$C$5))</f>
        <v>1.8126666666666704</v>
      </c>
      <c r="T170" s="89">
        <f>IF(G170="","",ABS(O170-Components!$C$6))</f>
        <v>1.59433333333333</v>
      </c>
      <c r="U170" s="89">
        <f>IF(G170="","",ABS(O170-Components!$C$7))</f>
        <v>1.3756666666666699</v>
      </c>
      <c r="V170" s="89" t="str">
        <f>IF(G170="","",IF(M170="OK","NONE",INDEX({"S1","S2","W1","W2","N1","N2"},MATCH(MIN(P170:U170),P170:U170,0))))</f>
        <v>S1</v>
      </c>
      <c r="W170" s="139">
        <f t="shared" si="23"/>
        <v>1</v>
      </c>
      <c r="X170" s="125"/>
    </row>
    <row r="171" spans="1:24" ht="15.75">
      <c r="A171" s="115">
        <v>157</v>
      </c>
      <c r="B171" s="135">
        <f>'Runs Z-Score'!B159</f>
        <v>6</v>
      </c>
      <c r="C171" s="89" t="str">
        <f>'Runs Z-Score'!C159</f>
        <v>R4</v>
      </c>
      <c r="D171" s="89" t="str">
        <f>'Runs Z-Score'!D159</f>
        <v>NG</v>
      </c>
      <c r="E171" s="89" t="str">
        <f>'Runs Z-Score'!E159</f>
        <v>S1</v>
      </c>
      <c r="F171" s="89">
        <f>'Runs Z-Score'!F159</f>
        <v>6.18</v>
      </c>
      <c r="G171" s="89">
        <f t="shared" si="16"/>
        <v>7.1499999999999995</v>
      </c>
      <c r="H171" s="89">
        <v>9.91</v>
      </c>
      <c r="I171" s="89">
        <f>VLOOKUP(C171,Recipes!$A$2:$N$4,12,FALSE())</f>
        <v>5.0137397426368718E-2</v>
      </c>
      <c r="J171" s="89">
        <f t="shared" si="18"/>
        <v>3030.3625564136828</v>
      </c>
      <c r="K171" s="89">
        <f t="shared" si="19"/>
        <v>3030.2958897470162</v>
      </c>
      <c r="L171" s="89">
        <f t="shared" si="20"/>
        <v>55.048123398958992</v>
      </c>
      <c r="M171" s="89" t="str">
        <f t="shared" si="21"/>
        <v>NG</v>
      </c>
      <c r="N171" s="117">
        <f t="shared" si="22"/>
        <v>1</v>
      </c>
      <c r="O171" s="89">
        <f t="shared" si="17"/>
        <v>2.7600000000000007</v>
      </c>
      <c r="P171" s="89">
        <f>IF(G171="","",ABS(O171-Components!$C$2))</f>
        <v>6.6666666666708174E-3</v>
      </c>
      <c r="Q171" s="89">
        <f>IF(G171="","",ABS(O171-Components!$C$3))</f>
        <v>1.2759999999999989</v>
      </c>
      <c r="R171" s="89">
        <f>IF(G171="","",ABS(O171-Components!$C$4))</f>
        <v>1.7666666666666677</v>
      </c>
      <c r="S171" s="89">
        <f>IF(G171="","",ABS(O171-Components!$C$5))</f>
        <v>1.8026666666666697</v>
      </c>
      <c r="T171" s="89">
        <f>IF(G171="","",ABS(O171-Components!$C$6))</f>
        <v>1.6043333333333307</v>
      </c>
      <c r="U171" s="89">
        <f>IF(G171="","",ABS(O171-Components!$C$7))</f>
        <v>1.3856666666666706</v>
      </c>
      <c r="V171" s="89" t="str">
        <f>IF(G171="","",IF(M171="OK","NONE",INDEX({"S1","S2","W1","W2","N1","N2"},MATCH(MIN(P171:U171),P171:U171,0))))</f>
        <v>S1</v>
      </c>
      <c r="W171" s="139">
        <f t="shared" si="23"/>
        <v>1</v>
      </c>
      <c r="X171" s="125"/>
    </row>
    <row r="172" spans="1:24" ht="15.75">
      <c r="A172" s="115">
        <v>158</v>
      </c>
      <c r="B172" s="135">
        <f>'Runs Z-Score'!B160</f>
        <v>6</v>
      </c>
      <c r="C172" s="89" t="str">
        <f>'Runs Z-Score'!C160</f>
        <v>R4</v>
      </c>
      <c r="D172" s="89" t="str">
        <f>'Runs Z-Score'!D160</f>
        <v>NG</v>
      </c>
      <c r="E172" s="89" t="str">
        <f>'Runs Z-Score'!E160</f>
        <v>S1</v>
      </c>
      <c r="F172" s="89">
        <f>'Runs Z-Score'!F160</f>
        <v>6.13</v>
      </c>
      <c r="G172" s="89">
        <f t="shared" si="16"/>
        <v>7.1</v>
      </c>
      <c r="H172" s="89">
        <v>9.91</v>
      </c>
      <c r="I172" s="89">
        <f>VLOOKUP(C172,Recipes!$A$2:$N$4,12,FALSE())</f>
        <v>5.0137397426368718E-2</v>
      </c>
      <c r="J172" s="89">
        <f t="shared" si="18"/>
        <v>3141.1528278851706</v>
      </c>
      <c r="K172" s="89">
        <f t="shared" si="19"/>
        <v>3141.086161218504</v>
      </c>
      <c r="L172" s="89">
        <f t="shared" si="20"/>
        <v>56.045393755584449</v>
      </c>
      <c r="M172" s="89" t="str">
        <f t="shared" si="21"/>
        <v>NG</v>
      </c>
      <c r="N172" s="117">
        <f t="shared" si="22"/>
        <v>1</v>
      </c>
      <c r="O172" s="89">
        <f t="shared" si="17"/>
        <v>2.8100000000000005</v>
      </c>
      <c r="P172" s="89">
        <f>IF(G172="","",ABS(O172-Components!$C$2))</f>
        <v>5.666666666667064E-2</v>
      </c>
      <c r="Q172" s="89">
        <f>IF(G172="","",ABS(O172-Components!$C$3))</f>
        <v>1.2259999999999991</v>
      </c>
      <c r="R172" s="89">
        <f>IF(G172="","",ABS(O172-Components!$C$4))</f>
        <v>1.8166666666666675</v>
      </c>
      <c r="S172" s="89">
        <f>IF(G172="","",ABS(O172-Components!$C$5))</f>
        <v>1.7526666666666699</v>
      </c>
      <c r="T172" s="89">
        <f>IF(G172="","",ABS(O172-Components!$C$6))</f>
        <v>1.6543333333333305</v>
      </c>
      <c r="U172" s="89">
        <f>IF(G172="","",ABS(O172-Components!$C$7))</f>
        <v>1.4356666666666704</v>
      </c>
      <c r="V172" s="89" t="str">
        <f>IF(G172="","",IF(M172="OK","NONE",INDEX({"S1","S2","W1","W2","N1","N2"},MATCH(MIN(P172:U172),P172:U172,0))))</f>
        <v>S1</v>
      </c>
      <c r="W172" s="139">
        <f t="shared" si="23"/>
        <v>1</v>
      </c>
      <c r="X172" s="125"/>
    </row>
    <row r="173" spans="1:24" ht="15.75">
      <c r="A173" s="115">
        <v>159</v>
      </c>
      <c r="B173" s="135">
        <f>'Runs Z-Score'!B161</f>
        <v>6</v>
      </c>
      <c r="C173" s="89" t="str">
        <f>'Runs Z-Score'!C161</f>
        <v>R4</v>
      </c>
      <c r="D173" s="89" t="str">
        <f>'Runs Z-Score'!D161</f>
        <v>NG</v>
      </c>
      <c r="E173" s="89" t="str">
        <f>'Runs Z-Score'!E161</f>
        <v>S1</v>
      </c>
      <c r="F173" s="89">
        <f>'Runs Z-Score'!F161</f>
        <v>6.22</v>
      </c>
      <c r="G173" s="89">
        <f t="shared" si="16"/>
        <v>7.1899999999999995</v>
      </c>
      <c r="H173" s="89">
        <v>9.91</v>
      </c>
      <c r="I173" s="89">
        <f>VLOOKUP(C173,Recipes!$A$2:$N$4,12,FALSE())</f>
        <v>5.0137397426368718E-2</v>
      </c>
      <c r="J173" s="89">
        <f t="shared" si="18"/>
        <v>2943.1624576468953</v>
      </c>
      <c r="K173" s="89">
        <f t="shared" si="19"/>
        <v>2943.0957909802287</v>
      </c>
      <c r="L173" s="89">
        <f t="shared" si="20"/>
        <v>54.250306828443179</v>
      </c>
      <c r="M173" s="89" t="str">
        <f t="shared" si="21"/>
        <v>NG</v>
      </c>
      <c r="N173" s="117">
        <f t="shared" si="22"/>
        <v>1</v>
      </c>
      <c r="O173" s="89">
        <f t="shared" si="17"/>
        <v>2.7200000000000006</v>
      </c>
      <c r="P173" s="89">
        <f>IF(G173="","",ABS(O173-Components!$C$2))</f>
        <v>3.3333333333329218E-2</v>
      </c>
      <c r="Q173" s="89">
        <f>IF(G173="","",ABS(O173-Components!$C$3))</f>
        <v>1.3159999999999989</v>
      </c>
      <c r="R173" s="89">
        <f>IF(G173="","",ABS(O173-Components!$C$4))</f>
        <v>1.7266666666666677</v>
      </c>
      <c r="S173" s="89">
        <f>IF(G173="","",ABS(O173-Components!$C$5))</f>
        <v>1.8426666666666698</v>
      </c>
      <c r="T173" s="89">
        <f>IF(G173="","",ABS(O173-Components!$C$6))</f>
        <v>1.5643333333333307</v>
      </c>
      <c r="U173" s="89">
        <f>IF(G173="","",ABS(O173-Components!$C$7))</f>
        <v>1.3456666666666706</v>
      </c>
      <c r="V173" s="89" t="str">
        <f>IF(G173="","",IF(M173="OK","NONE",INDEX({"S1","S2","W1","W2","N1","N2"},MATCH(MIN(P173:U173),P173:U173,0))))</f>
        <v>S1</v>
      </c>
      <c r="W173" s="139">
        <f t="shared" si="23"/>
        <v>1</v>
      </c>
      <c r="X173" s="125"/>
    </row>
    <row r="174" spans="1:24" ht="15.75">
      <c r="A174" s="115">
        <v>160</v>
      </c>
      <c r="B174" s="135">
        <f>'Runs Z-Score'!B162</f>
        <v>6</v>
      </c>
      <c r="C174" s="89" t="str">
        <f>'Runs Z-Score'!C162</f>
        <v>R4</v>
      </c>
      <c r="D174" s="89" t="str">
        <f>'Runs Z-Score'!D162</f>
        <v>NG</v>
      </c>
      <c r="E174" s="89" t="str">
        <f>'Runs Z-Score'!E162</f>
        <v>S1</v>
      </c>
      <c r="F174" s="89">
        <f>'Runs Z-Score'!F162</f>
        <v>6.17</v>
      </c>
      <c r="G174" s="89">
        <f t="shared" si="16"/>
        <v>7.14</v>
      </c>
      <c r="H174" s="89">
        <v>9.91</v>
      </c>
      <c r="I174" s="89">
        <f>VLOOKUP(C174,Recipes!$A$2:$N$4,12,FALSE())</f>
        <v>5.0137397426368718E-2</v>
      </c>
      <c r="J174" s="89">
        <f t="shared" si="18"/>
        <v>3052.3614864401566</v>
      </c>
      <c r="K174" s="89">
        <f t="shared" si="19"/>
        <v>3052.29481977349</v>
      </c>
      <c r="L174" s="89">
        <f t="shared" si="20"/>
        <v>55.247577501402631</v>
      </c>
      <c r="M174" s="89" t="str">
        <f t="shared" si="21"/>
        <v>NG</v>
      </c>
      <c r="N174" s="117">
        <f t="shared" si="22"/>
        <v>1</v>
      </c>
      <c r="O174" s="89">
        <f t="shared" si="17"/>
        <v>2.7700000000000005</v>
      </c>
      <c r="P174" s="89">
        <f>IF(G174="","",ABS(O174-Components!$C$2))</f>
        <v>1.6666666666670604E-2</v>
      </c>
      <c r="Q174" s="89">
        <f>IF(G174="","",ABS(O174-Components!$C$3))</f>
        <v>1.2659999999999991</v>
      </c>
      <c r="R174" s="89">
        <f>IF(G174="","",ABS(O174-Components!$C$4))</f>
        <v>1.7766666666666675</v>
      </c>
      <c r="S174" s="89">
        <f>IF(G174="","",ABS(O174-Components!$C$5))</f>
        <v>1.79266666666667</v>
      </c>
      <c r="T174" s="89">
        <f>IF(G174="","",ABS(O174-Components!$C$6))</f>
        <v>1.6143333333333305</v>
      </c>
      <c r="U174" s="89">
        <f>IF(G174="","",ABS(O174-Components!$C$7))</f>
        <v>1.3956666666666704</v>
      </c>
      <c r="V174" s="89" t="str">
        <f>IF(G174="","",IF(M174="OK","NONE",INDEX({"S1","S2","W1","W2","N1","N2"},MATCH(MIN(P174:U174),P174:U174,0))))</f>
        <v>S1</v>
      </c>
      <c r="W174" s="139">
        <f t="shared" si="23"/>
        <v>1</v>
      </c>
      <c r="X174" s="125"/>
    </row>
    <row r="175" spans="1:24" ht="15.75">
      <c r="A175" s="115">
        <v>161</v>
      </c>
      <c r="B175" s="135">
        <f>'Runs Z-Score'!B163</f>
        <v>6</v>
      </c>
      <c r="C175" s="89" t="str">
        <f>'Runs Z-Score'!C163</f>
        <v>R4</v>
      </c>
      <c r="D175" s="89" t="str">
        <f>'Runs Z-Score'!D163</f>
        <v>NG</v>
      </c>
      <c r="E175" s="89" t="str">
        <f>'Runs Z-Score'!E163</f>
        <v>S1</v>
      </c>
      <c r="F175" s="89">
        <f>'Runs Z-Score'!F163</f>
        <v>6.16</v>
      </c>
      <c r="G175" s="89">
        <f t="shared" si="16"/>
        <v>7.13</v>
      </c>
      <c r="H175" s="89">
        <v>9.91</v>
      </c>
      <c r="I175" s="89">
        <f>VLOOKUP(C175,Recipes!$A$2:$N$4,12,FALSE())</f>
        <v>5.0137397426368718E-2</v>
      </c>
      <c r="J175" s="89">
        <f t="shared" si="18"/>
        <v>3074.4399786005429</v>
      </c>
      <c r="K175" s="89">
        <f t="shared" si="19"/>
        <v>3074.3733119338763</v>
      </c>
      <c r="L175" s="89">
        <f t="shared" si="20"/>
        <v>55.447031588119088</v>
      </c>
      <c r="M175" s="89" t="str">
        <f t="shared" si="21"/>
        <v>NG</v>
      </c>
      <c r="N175" s="117">
        <f t="shared" si="22"/>
        <v>1</v>
      </c>
      <c r="O175" s="89">
        <f t="shared" si="17"/>
        <v>2.7800000000000002</v>
      </c>
      <c r="P175" s="89">
        <f>IF(G175="","",ABS(O175-Components!$C$2))</f>
        <v>2.6666666666670391E-2</v>
      </c>
      <c r="Q175" s="89">
        <f>IF(G175="","",ABS(O175-Components!$C$3))</f>
        <v>1.2559999999999993</v>
      </c>
      <c r="R175" s="89">
        <f>IF(G175="","",ABS(O175-Components!$C$4))</f>
        <v>1.7866666666666673</v>
      </c>
      <c r="S175" s="89">
        <f>IF(G175="","",ABS(O175-Components!$C$5))</f>
        <v>1.7826666666666702</v>
      </c>
      <c r="T175" s="89">
        <f>IF(G175="","",ABS(O175-Components!$C$6))</f>
        <v>1.6243333333333303</v>
      </c>
      <c r="U175" s="89">
        <f>IF(G175="","",ABS(O175-Components!$C$7))</f>
        <v>1.4056666666666702</v>
      </c>
      <c r="V175" s="89" t="str">
        <f>IF(G175="","",IF(M175="OK","NONE",INDEX({"S1","S2","W1","W2","N1","N2"},MATCH(MIN(P175:U175),P175:U175,0))))</f>
        <v>S1</v>
      </c>
      <c r="W175" s="139">
        <f t="shared" si="23"/>
        <v>1</v>
      </c>
      <c r="X175" s="125"/>
    </row>
    <row r="176" spans="1:24" ht="15.75">
      <c r="A176" s="115">
        <v>162</v>
      </c>
      <c r="B176" s="135">
        <f>'Runs Z-Score'!B164</f>
        <v>6</v>
      </c>
      <c r="C176" s="89" t="str">
        <f>'Runs Z-Score'!C164</f>
        <v>R4</v>
      </c>
      <c r="D176" s="89" t="str">
        <f>'Runs Z-Score'!D164</f>
        <v>NG</v>
      </c>
      <c r="E176" s="89" t="str">
        <f>'Runs Z-Score'!E164</f>
        <v>S1</v>
      </c>
      <c r="F176" s="89">
        <f>'Runs Z-Score'!F164</f>
        <v>6.17</v>
      </c>
      <c r="G176" s="89">
        <f t="shared" si="16"/>
        <v>7.14</v>
      </c>
      <c r="H176" s="89">
        <v>9.91</v>
      </c>
      <c r="I176" s="89">
        <f>VLOOKUP(C176,Recipes!$A$2:$N$4,12,FALSE())</f>
        <v>5.0137397426368718E-2</v>
      </c>
      <c r="J176" s="89">
        <f t="shared" si="18"/>
        <v>3052.3614864401566</v>
      </c>
      <c r="K176" s="89">
        <f t="shared" si="19"/>
        <v>3052.29481977349</v>
      </c>
      <c r="L176" s="89">
        <f t="shared" si="20"/>
        <v>55.247577501402631</v>
      </c>
      <c r="M176" s="89" t="str">
        <f t="shared" si="21"/>
        <v>NG</v>
      </c>
      <c r="N176" s="117">
        <f t="shared" si="22"/>
        <v>1</v>
      </c>
      <c r="O176" s="89">
        <f t="shared" si="17"/>
        <v>2.7700000000000005</v>
      </c>
      <c r="P176" s="89">
        <f>IF(G176="","",ABS(O176-Components!$C$2))</f>
        <v>1.6666666666670604E-2</v>
      </c>
      <c r="Q176" s="89">
        <f>IF(G176="","",ABS(O176-Components!$C$3))</f>
        <v>1.2659999999999991</v>
      </c>
      <c r="R176" s="89">
        <f>IF(G176="","",ABS(O176-Components!$C$4))</f>
        <v>1.7766666666666675</v>
      </c>
      <c r="S176" s="89">
        <f>IF(G176="","",ABS(O176-Components!$C$5))</f>
        <v>1.79266666666667</v>
      </c>
      <c r="T176" s="89">
        <f>IF(G176="","",ABS(O176-Components!$C$6))</f>
        <v>1.6143333333333305</v>
      </c>
      <c r="U176" s="89">
        <f>IF(G176="","",ABS(O176-Components!$C$7))</f>
        <v>1.3956666666666704</v>
      </c>
      <c r="V176" s="89" t="str">
        <f>IF(G176="","",IF(M176="OK","NONE",INDEX({"S1","S2","W1","W2","N1","N2"},MATCH(MIN(P176:U176),P176:U176,0))))</f>
        <v>S1</v>
      </c>
      <c r="W176" s="139">
        <f t="shared" si="23"/>
        <v>1</v>
      </c>
      <c r="X176" s="125"/>
    </row>
    <row r="177" spans="1:24" ht="15.75">
      <c r="A177" s="115">
        <v>163</v>
      </c>
      <c r="B177" s="135">
        <f>'Runs Z-Score'!B165</f>
        <v>6</v>
      </c>
      <c r="C177" s="89" t="str">
        <f>'Runs Z-Score'!C165</f>
        <v>R4</v>
      </c>
      <c r="D177" s="89" t="str">
        <f>'Runs Z-Score'!D165</f>
        <v>NG</v>
      </c>
      <c r="E177" s="89" t="str">
        <f>'Runs Z-Score'!E165</f>
        <v>S1</v>
      </c>
      <c r="F177" s="89">
        <f>'Runs Z-Score'!F165</f>
        <v>6.14</v>
      </c>
      <c r="G177" s="89">
        <f t="shared" si="16"/>
        <v>7.1099999999999994</v>
      </c>
      <c r="H177" s="89">
        <v>9.91</v>
      </c>
      <c r="I177" s="89">
        <f>VLOOKUP(C177,Recipes!$A$2:$N$4,12,FALSE())</f>
        <v>5.0137397426368718E-2</v>
      </c>
      <c r="J177" s="89">
        <f t="shared" si="18"/>
        <v>3118.8356493230503</v>
      </c>
      <c r="K177" s="89">
        <f t="shared" si="19"/>
        <v>3118.7689826563837</v>
      </c>
      <c r="L177" s="89">
        <f t="shared" si="20"/>
        <v>55.845939715044494</v>
      </c>
      <c r="M177" s="89" t="str">
        <f t="shared" si="21"/>
        <v>NG</v>
      </c>
      <c r="N177" s="117">
        <f t="shared" si="22"/>
        <v>1</v>
      </c>
      <c r="O177" s="89">
        <f t="shared" si="17"/>
        <v>2.8000000000000007</v>
      </c>
      <c r="P177" s="89">
        <f>IF(G177="","",ABS(O177-Components!$C$2))</f>
        <v>4.6666666666670853E-2</v>
      </c>
      <c r="Q177" s="89">
        <f>IF(G177="","",ABS(O177-Components!$C$3))</f>
        <v>1.2359999999999989</v>
      </c>
      <c r="R177" s="89">
        <f>IF(G177="","",ABS(O177-Components!$C$4))</f>
        <v>1.8066666666666678</v>
      </c>
      <c r="S177" s="89">
        <f>IF(G177="","",ABS(O177-Components!$C$5))</f>
        <v>1.7626666666666697</v>
      </c>
      <c r="T177" s="89">
        <f>IF(G177="","",ABS(O177-Components!$C$6))</f>
        <v>1.6443333333333308</v>
      </c>
      <c r="U177" s="89">
        <f>IF(G177="","",ABS(O177-Components!$C$7))</f>
        <v>1.4256666666666706</v>
      </c>
      <c r="V177" s="89" t="str">
        <f>IF(G177="","",IF(M177="OK","NONE",INDEX({"S1","S2","W1","W2","N1","N2"},MATCH(MIN(P177:U177),P177:U177,0))))</f>
        <v>S1</v>
      </c>
      <c r="W177" s="139">
        <f t="shared" si="23"/>
        <v>1</v>
      </c>
      <c r="X177" s="125"/>
    </row>
    <row r="178" spans="1:24" ht="15.75">
      <c r="A178" s="115">
        <v>164</v>
      </c>
      <c r="B178" s="135">
        <f>'Runs Z-Score'!B166</f>
        <v>6</v>
      </c>
      <c r="C178" s="89" t="str">
        <f>'Runs Z-Score'!C166</f>
        <v>R4</v>
      </c>
      <c r="D178" s="89" t="str">
        <f>'Runs Z-Score'!D166</f>
        <v>NG</v>
      </c>
      <c r="E178" s="89" t="str">
        <f>'Runs Z-Score'!E166</f>
        <v>S1</v>
      </c>
      <c r="F178" s="89">
        <f>'Runs Z-Score'!F166</f>
        <v>6.2</v>
      </c>
      <c r="G178" s="89">
        <f t="shared" si="16"/>
        <v>7.17</v>
      </c>
      <c r="H178" s="89">
        <v>9.91</v>
      </c>
      <c r="I178" s="89">
        <f>VLOOKUP(C178,Recipes!$A$2:$N$4,12,FALSE())</f>
        <v>5.0137397426368718E-2</v>
      </c>
      <c r="J178" s="89">
        <f t="shared" si="18"/>
        <v>2986.6033827624656</v>
      </c>
      <c r="K178" s="89">
        <f t="shared" si="19"/>
        <v>2986.536716095799</v>
      </c>
      <c r="L178" s="89">
        <f t="shared" si="20"/>
        <v>54.649215146201314</v>
      </c>
      <c r="M178" s="89" t="str">
        <f t="shared" si="21"/>
        <v>NG</v>
      </c>
      <c r="N178" s="117">
        <f t="shared" si="22"/>
        <v>1</v>
      </c>
      <c r="O178" s="89">
        <f t="shared" si="17"/>
        <v>2.74</v>
      </c>
      <c r="P178" s="89">
        <f>IF(G178="","",ABS(O178-Components!$C$2))</f>
        <v>1.3333333333329644E-2</v>
      </c>
      <c r="Q178" s="89">
        <f>IF(G178="","",ABS(O178-Components!$C$3))</f>
        <v>1.2959999999999994</v>
      </c>
      <c r="R178" s="89">
        <f>IF(G178="","",ABS(O178-Components!$C$4))</f>
        <v>1.7466666666666673</v>
      </c>
      <c r="S178" s="89">
        <f>IF(G178="","",ABS(O178-Components!$C$5))</f>
        <v>1.8226666666666702</v>
      </c>
      <c r="T178" s="89">
        <f>IF(G178="","",ABS(O178-Components!$C$6))</f>
        <v>1.5843333333333303</v>
      </c>
      <c r="U178" s="89">
        <f>IF(G178="","",ABS(O178-Components!$C$7))</f>
        <v>1.3656666666666701</v>
      </c>
      <c r="V178" s="89" t="str">
        <f>IF(G178="","",IF(M178="OK","NONE",INDEX({"S1","S2","W1","W2","N1","N2"},MATCH(MIN(P178:U178),P178:U178,0))))</f>
        <v>S1</v>
      </c>
      <c r="W178" s="139">
        <f t="shared" si="23"/>
        <v>1</v>
      </c>
      <c r="X178" s="125"/>
    </row>
    <row r="179" spans="1:24" ht="15.75">
      <c r="A179" s="115">
        <v>165</v>
      </c>
      <c r="B179" s="135">
        <f>'Runs Z-Score'!B167</f>
        <v>6</v>
      </c>
      <c r="C179" s="89" t="str">
        <f>'Runs Z-Score'!C167</f>
        <v>R4</v>
      </c>
      <c r="D179" s="89" t="str">
        <f>'Runs Z-Score'!D167</f>
        <v>NG</v>
      </c>
      <c r="E179" s="89" t="str">
        <f>'Runs Z-Score'!E167</f>
        <v>S1</v>
      </c>
      <c r="F179" s="89">
        <f>'Runs Z-Score'!F167</f>
        <v>6.19</v>
      </c>
      <c r="G179" s="89">
        <f t="shared" si="16"/>
        <v>7.16</v>
      </c>
      <c r="H179" s="89">
        <v>9.91</v>
      </c>
      <c r="I179" s="89">
        <f>VLOOKUP(C179,Recipes!$A$2:$N$4,12,FALSE())</f>
        <v>5.0137397426368718E-2</v>
      </c>
      <c r="J179" s="89">
        <f t="shared" si="18"/>
        <v>3008.443188521117</v>
      </c>
      <c r="K179" s="89">
        <f t="shared" si="19"/>
        <v>3008.3765218544504</v>
      </c>
      <c r="L179" s="89">
        <f t="shared" si="20"/>
        <v>54.848669280616555</v>
      </c>
      <c r="M179" s="89" t="str">
        <f t="shared" si="21"/>
        <v>NG</v>
      </c>
      <c r="N179" s="117">
        <f t="shared" si="22"/>
        <v>1</v>
      </c>
      <c r="O179" s="89">
        <f t="shared" si="17"/>
        <v>2.75</v>
      </c>
      <c r="P179" s="89">
        <f>IF(G179="","",ABS(O179-Components!$C$2))</f>
        <v>3.3333333333298576E-3</v>
      </c>
      <c r="Q179" s="89">
        <f>IF(G179="","",ABS(O179-Components!$C$3))</f>
        <v>1.2859999999999996</v>
      </c>
      <c r="R179" s="89">
        <f>IF(G179="","",ABS(O179-Components!$C$4))</f>
        <v>1.756666666666667</v>
      </c>
      <c r="S179" s="89">
        <f>IF(G179="","",ABS(O179-Components!$C$5))</f>
        <v>1.8126666666666704</v>
      </c>
      <c r="T179" s="89">
        <f>IF(G179="","",ABS(O179-Components!$C$6))</f>
        <v>1.59433333333333</v>
      </c>
      <c r="U179" s="89">
        <f>IF(G179="","",ABS(O179-Components!$C$7))</f>
        <v>1.3756666666666699</v>
      </c>
      <c r="V179" s="89" t="str">
        <f>IF(G179="","",IF(M179="OK","NONE",INDEX({"S1","S2","W1","W2","N1","N2"},MATCH(MIN(P179:U179),P179:U179,0))))</f>
        <v>S1</v>
      </c>
      <c r="W179" s="139">
        <f t="shared" si="23"/>
        <v>1</v>
      </c>
      <c r="X179" s="125"/>
    </row>
    <row r="180" spans="1:24" ht="15.75">
      <c r="A180" s="115">
        <v>166</v>
      </c>
      <c r="B180" s="135">
        <f>'Runs Z-Score'!B168</f>
        <v>6</v>
      </c>
      <c r="C180" s="89" t="str">
        <f>'Runs Z-Score'!C168</f>
        <v>R4</v>
      </c>
      <c r="D180" s="89" t="str">
        <f>'Runs Z-Score'!D168</f>
        <v>NG</v>
      </c>
      <c r="E180" s="89" t="str">
        <f>'Runs Z-Score'!E168</f>
        <v>S1</v>
      </c>
      <c r="F180" s="89">
        <f>'Runs Z-Score'!F168</f>
        <v>6.19</v>
      </c>
      <c r="G180" s="89">
        <f t="shared" si="16"/>
        <v>7.16</v>
      </c>
      <c r="H180" s="89">
        <v>9.91</v>
      </c>
      <c r="I180" s="89">
        <f>VLOOKUP(C180,Recipes!$A$2:$N$4,12,FALSE())</f>
        <v>5.0137397426368718E-2</v>
      </c>
      <c r="J180" s="89">
        <f t="shared" si="18"/>
        <v>3008.443188521117</v>
      </c>
      <c r="K180" s="89">
        <f t="shared" si="19"/>
        <v>3008.3765218544504</v>
      </c>
      <c r="L180" s="89">
        <f t="shared" si="20"/>
        <v>54.848669280616555</v>
      </c>
      <c r="M180" s="89" t="str">
        <f t="shared" si="21"/>
        <v>NG</v>
      </c>
      <c r="N180" s="117">
        <f t="shared" si="22"/>
        <v>1</v>
      </c>
      <c r="O180" s="89">
        <f t="shared" si="17"/>
        <v>2.75</v>
      </c>
      <c r="P180" s="89">
        <f>IF(G180="","",ABS(O180-Components!$C$2))</f>
        <v>3.3333333333298576E-3</v>
      </c>
      <c r="Q180" s="89">
        <f>IF(G180="","",ABS(O180-Components!$C$3))</f>
        <v>1.2859999999999996</v>
      </c>
      <c r="R180" s="89">
        <f>IF(G180="","",ABS(O180-Components!$C$4))</f>
        <v>1.756666666666667</v>
      </c>
      <c r="S180" s="89">
        <f>IF(G180="","",ABS(O180-Components!$C$5))</f>
        <v>1.8126666666666704</v>
      </c>
      <c r="T180" s="89">
        <f>IF(G180="","",ABS(O180-Components!$C$6))</f>
        <v>1.59433333333333</v>
      </c>
      <c r="U180" s="89">
        <f>IF(G180="","",ABS(O180-Components!$C$7))</f>
        <v>1.3756666666666699</v>
      </c>
      <c r="V180" s="89" t="str">
        <f>IF(G180="","",IF(M180="OK","NONE",INDEX({"S1","S2","W1","W2","N1","N2"},MATCH(MIN(P180:U180),P180:U180,0))))</f>
        <v>S1</v>
      </c>
      <c r="W180" s="139">
        <f t="shared" si="23"/>
        <v>1</v>
      </c>
      <c r="X180" s="125"/>
    </row>
    <row r="181" spans="1:24" ht="15.75">
      <c r="A181" s="115">
        <v>167</v>
      </c>
      <c r="B181" s="135">
        <f>'Runs Z-Score'!B169</f>
        <v>6</v>
      </c>
      <c r="C181" s="89" t="str">
        <f>'Runs Z-Score'!C169</f>
        <v>R4</v>
      </c>
      <c r="D181" s="89" t="str">
        <f>'Runs Z-Score'!D169</f>
        <v>NG</v>
      </c>
      <c r="E181" s="89" t="str">
        <f>'Runs Z-Score'!E169</f>
        <v>S1</v>
      </c>
      <c r="F181" s="89">
        <f>'Runs Z-Score'!F169</f>
        <v>6.13</v>
      </c>
      <c r="G181" s="89">
        <f t="shared" si="16"/>
        <v>7.1</v>
      </c>
      <c r="H181" s="89">
        <v>9.91</v>
      </c>
      <c r="I181" s="89">
        <f>VLOOKUP(C181,Recipes!$A$2:$N$4,12,FALSE())</f>
        <v>5.0137397426368718E-2</v>
      </c>
      <c r="J181" s="89">
        <f t="shared" si="18"/>
        <v>3141.1528278851706</v>
      </c>
      <c r="K181" s="89">
        <f t="shared" si="19"/>
        <v>3141.086161218504</v>
      </c>
      <c r="L181" s="89">
        <f t="shared" si="20"/>
        <v>56.045393755584449</v>
      </c>
      <c r="M181" s="89" t="str">
        <f t="shared" si="21"/>
        <v>NG</v>
      </c>
      <c r="N181" s="117">
        <f t="shared" si="22"/>
        <v>1</v>
      </c>
      <c r="O181" s="89">
        <f t="shared" si="17"/>
        <v>2.8100000000000005</v>
      </c>
      <c r="P181" s="89">
        <f>IF(G181="","",ABS(O181-Components!$C$2))</f>
        <v>5.666666666667064E-2</v>
      </c>
      <c r="Q181" s="89">
        <f>IF(G181="","",ABS(O181-Components!$C$3))</f>
        <v>1.2259999999999991</v>
      </c>
      <c r="R181" s="89">
        <f>IF(G181="","",ABS(O181-Components!$C$4))</f>
        <v>1.8166666666666675</v>
      </c>
      <c r="S181" s="89">
        <f>IF(G181="","",ABS(O181-Components!$C$5))</f>
        <v>1.7526666666666699</v>
      </c>
      <c r="T181" s="89">
        <f>IF(G181="","",ABS(O181-Components!$C$6))</f>
        <v>1.6543333333333305</v>
      </c>
      <c r="U181" s="89">
        <f>IF(G181="","",ABS(O181-Components!$C$7))</f>
        <v>1.4356666666666704</v>
      </c>
      <c r="V181" s="89" t="str">
        <f>IF(G181="","",IF(M181="OK","NONE",INDEX({"S1","S2","W1","W2","N1","N2"},MATCH(MIN(P181:U181),P181:U181,0))))</f>
        <v>S1</v>
      </c>
      <c r="W181" s="139">
        <f t="shared" si="23"/>
        <v>1</v>
      </c>
      <c r="X181" s="125"/>
    </row>
    <row r="182" spans="1:24" ht="15.75">
      <c r="A182" s="115">
        <v>168</v>
      </c>
      <c r="B182" s="135">
        <f>'Runs Z-Score'!B170</f>
        <v>6</v>
      </c>
      <c r="C182" s="89" t="str">
        <f>'Runs Z-Score'!C170</f>
        <v>R4</v>
      </c>
      <c r="D182" s="89" t="str">
        <f>'Runs Z-Score'!D170</f>
        <v>NG</v>
      </c>
      <c r="E182" s="89" t="str">
        <f>'Runs Z-Score'!E170</f>
        <v>S1</v>
      </c>
      <c r="F182" s="89">
        <f>'Runs Z-Score'!F170</f>
        <v>6.17</v>
      </c>
      <c r="G182" s="89">
        <f t="shared" si="16"/>
        <v>7.14</v>
      </c>
      <c r="H182" s="89">
        <v>9.91</v>
      </c>
      <c r="I182" s="89">
        <f>VLOOKUP(C182,Recipes!$A$2:$N$4,12,FALSE())</f>
        <v>5.0137397426368718E-2</v>
      </c>
      <c r="J182" s="89">
        <f t="shared" si="18"/>
        <v>3052.3614864401566</v>
      </c>
      <c r="K182" s="89">
        <f t="shared" si="19"/>
        <v>3052.29481977349</v>
      </c>
      <c r="L182" s="89">
        <f t="shared" si="20"/>
        <v>55.247577501402631</v>
      </c>
      <c r="M182" s="89" t="str">
        <f t="shared" si="21"/>
        <v>NG</v>
      </c>
      <c r="N182" s="117">
        <f t="shared" si="22"/>
        <v>1</v>
      </c>
      <c r="O182" s="89">
        <f t="shared" si="17"/>
        <v>2.7700000000000005</v>
      </c>
      <c r="P182" s="89">
        <f>IF(G182="","",ABS(O182-Components!$C$2))</f>
        <v>1.6666666666670604E-2</v>
      </c>
      <c r="Q182" s="89">
        <f>IF(G182="","",ABS(O182-Components!$C$3))</f>
        <v>1.2659999999999991</v>
      </c>
      <c r="R182" s="89">
        <f>IF(G182="","",ABS(O182-Components!$C$4))</f>
        <v>1.7766666666666675</v>
      </c>
      <c r="S182" s="89">
        <f>IF(G182="","",ABS(O182-Components!$C$5))</f>
        <v>1.79266666666667</v>
      </c>
      <c r="T182" s="89">
        <f>IF(G182="","",ABS(O182-Components!$C$6))</f>
        <v>1.6143333333333305</v>
      </c>
      <c r="U182" s="89">
        <f>IF(G182="","",ABS(O182-Components!$C$7))</f>
        <v>1.3956666666666704</v>
      </c>
      <c r="V182" s="89" t="str">
        <f>IF(G182="","",IF(M182="OK","NONE",INDEX({"S1","S2","W1","W2","N1","N2"},MATCH(MIN(P182:U182),P182:U182,0))))</f>
        <v>S1</v>
      </c>
      <c r="W182" s="139">
        <f t="shared" si="23"/>
        <v>1</v>
      </c>
      <c r="X182" s="125"/>
    </row>
    <row r="183" spans="1:24" ht="15.75">
      <c r="A183" s="115">
        <v>169</v>
      </c>
      <c r="B183" s="135">
        <f>'Runs Z-Score'!B171</f>
        <v>6</v>
      </c>
      <c r="C183" s="89" t="str">
        <f>'Runs Z-Score'!C171</f>
        <v>R4</v>
      </c>
      <c r="D183" s="89" t="str">
        <f>'Runs Z-Score'!D171</f>
        <v>NG</v>
      </c>
      <c r="E183" s="89" t="str">
        <f>'Runs Z-Score'!E171</f>
        <v>S1</v>
      </c>
      <c r="F183" s="89">
        <f>'Runs Z-Score'!F171</f>
        <v>6.19</v>
      </c>
      <c r="G183" s="89">
        <f t="shared" si="16"/>
        <v>7.16</v>
      </c>
      <c r="H183" s="89">
        <v>9.91</v>
      </c>
      <c r="I183" s="89">
        <f>VLOOKUP(C183,Recipes!$A$2:$N$4,12,FALSE())</f>
        <v>5.0137397426368718E-2</v>
      </c>
      <c r="J183" s="89">
        <f t="shared" si="18"/>
        <v>3008.443188521117</v>
      </c>
      <c r="K183" s="89">
        <f t="shared" si="19"/>
        <v>3008.3765218544504</v>
      </c>
      <c r="L183" s="89">
        <f t="shared" si="20"/>
        <v>54.848669280616555</v>
      </c>
      <c r="M183" s="89" t="str">
        <f t="shared" si="21"/>
        <v>NG</v>
      </c>
      <c r="N183" s="117">
        <f t="shared" si="22"/>
        <v>1</v>
      </c>
      <c r="O183" s="89">
        <f t="shared" si="17"/>
        <v>2.75</v>
      </c>
      <c r="P183" s="89">
        <f>IF(G183="","",ABS(O183-Components!$C$2))</f>
        <v>3.3333333333298576E-3</v>
      </c>
      <c r="Q183" s="89">
        <f>IF(G183="","",ABS(O183-Components!$C$3))</f>
        <v>1.2859999999999996</v>
      </c>
      <c r="R183" s="89">
        <f>IF(G183="","",ABS(O183-Components!$C$4))</f>
        <v>1.756666666666667</v>
      </c>
      <c r="S183" s="89">
        <f>IF(G183="","",ABS(O183-Components!$C$5))</f>
        <v>1.8126666666666704</v>
      </c>
      <c r="T183" s="89">
        <f>IF(G183="","",ABS(O183-Components!$C$6))</f>
        <v>1.59433333333333</v>
      </c>
      <c r="U183" s="89">
        <f>IF(G183="","",ABS(O183-Components!$C$7))</f>
        <v>1.3756666666666699</v>
      </c>
      <c r="V183" s="89" t="str">
        <f>IF(G183="","",IF(M183="OK","NONE",INDEX({"S1","S2","W1","W2","N1","N2"},MATCH(MIN(P183:U183),P183:U183,0))))</f>
        <v>S1</v>
      </c>
      <c r="W183" s="139">
        <f t="shared" si="23"/>
        <v>1</v>
      </c>
      <c r="X183" s="125"/>
    </row>
    <row r="184" spans="1:24" ht="15.75">
      <c r="A184" s="115">
        <v>170</v>
      </c>
      <c r="B184" s="135">
        <f>'Runs Z-Score'!B172</f>
        <v>6</v>
      </c>
      <c r="C184" s="89" t="str">
        <f>'Runs Z-Score'!C172</f>
        <v>R4</v>
      </c>
      <c r="D184" s="89" t="str">
        <f>'Runs Z-Score'!D172</f>
        <v>NG</v>
      </c>
      <c r="E184" s="89" t="str">
        <f>'Runs Z-Score'!E172</f>
        <v>S1</v>
      </c>
      <c r="F184" s="89">
        <f>'Runs Z-Score'!F172</f>
        <v>6.09</v>
      </c>
      <c r="G184" s="89">
        <f t="shared" si="16"/>
        <v>7.06</v>
      </c>
      <c r="H184" s="89">
        <v>9.91</v>
      </c>
      <c r="I184" s="89">
        <f>VLOOKUP(C184,Recipes!$A$2:$N$4,12,FALSE())</f>
        <v>5.0137397426368718E-2</v>
      </c>
      <c r="J184" s="89">
        <f t="shared" si="18"/>
        <v>3231.2171634727652</v>
      </c>
      <c r="K184" s="89">
        <f t="shared" si="19"/>
        <v>3231.1504968060985</v>
      </c>
      <c r="L184" s="89">
        <f t="shared" si="20"/>
        <v>56.843209768679479</v>
      </c>
      <c r="M184" s="89" t="str">
        <f t="shared" si="21"/>
        <v>NG</v>
      </c>
      <c r="N184" s="117">
        <f t="shared" si="22"/>
        <v>1</v>
      </c>
      <c r="O184" s="89">
        <f t="shared" si="17"/>
        <v>2.8500000000000005</v>
      </c>
      <c r="P184" s="89">
        <f>IF(G184="","",ABS(O184-Components!$C$2))</f>
        <v>9.6666666666670675E-2</v>
      </c>
      <c r="Q184" s="89">
        <f>IF(G184="","",ABS(O184-Components!$C$3))</f>
        <v>1.1859999999999991</v>
      </c>
      <c r="R184" s="89">
        <f>IF(G184="","",ABS(O184-Components!$C$4))</f>
        <v>1.8566666666666676</v>
      </c>
      <c r="S184" s="89">
        <f>IF(G184="","",ABS(O184-Components!$C$5))</f>
        <v>1.7126666666666699</v>
      </c>
      <c r="T184" s="89">
        <f>IF(G184="","",ABS(O184-Components!$C$6))</f>
        <v>1.6943333333333306</v>
      </c>
      <c r="U184" s="89">
        <f>IF(G184="","",ABS(O184-Components!$C$7))</f>
        <v>1.4756666666666705</v>
      </c>
      <c r="V184" s="89" t="str">
        <f>IF(G184="","",IF(M184="OK","NONE",INDEX({"S1","S2","W1","W2","N1","N2"},MATCH(MIN(P184:U184),P184:U184,0))))</f>
        <v>S1</v>
      </c>
      <c r="W184" s="139">
        <f t="shared" si="23"/>
        <v>1</v>
      </c>
      <c r="X184" s="125"/>
    </row>
    <row r="185" spans="1:24" ht="15.75">
      <c r="A185" s="115">
        <v>171</v>
      </c>
      <c r="B185" s="135">
        <f>'Runs Z-Score'!B173</f>
        <v>6</v>
      </c>
      <c r="C185" s="89" t="str">
        <f>'Runs Z-Score'!C173</f>
        <v>R4</v>
      </c>
      <c r="D185" s="89" t="str">
        <f>'Runs Z-Score'!D173</f>
        <v>NG</v>
      </c>
      <c r="E185" s="89" t="str">
        <f>'Runs Z-Score'!E173</f>
        <v>S1</v>
      </c>
      <c r="F185" s="89">
        <f>'Runs Z-Score'!F173</f>
        <v>6.19</v>
      </c>
      <c r="G185" s="89">
        <f t="shared" si="16"/>
        <v>7.16</v>
      </c>
      <c r="H185" s="89">
        <v>9.91</v>
      </c>
      <c r="I185" s="89">
        <f>VLOOKUP(C185,Recipes!$A$2:$N$4,12,FALSE())</f>
        <v>5.0137397426368718E-2</v>
      </c>
      <c r="J185" s="89">
        <f t="shared" si="18"/>
        <v>3008.443188521117</v>
      </c>
      <c r="K185" s="89">
        <f t="shared" si="19"/>
        <v>3008.3765218544504</v>
      </c>
      <c r="L185" s="89">
        <f t="shared" si="20"/>
        <v>54.848669280616555</v>
      </c>
      <c r="M185" s="89" t="str">
        <f t="shared" si="21"/>
        <v>NG</v>
      </c>
      <c r="N185" s="117">
        <f t="shared" si="22"/>
        <v>1</v>
      </c>
      <c r="O185" s="89">
        <f t="shared" si="17"/>
        <v>2.75</v>
      </c>
      <c r="P185" s="89">
        <f>IF(G185="","",ABS(O185-Components!$C$2))</f>
        <v>3.3333333333298576E-3</v>
      </c>
      <c r="Q185" s="89">
        <f>IF(G185="","",ABS(O185-Components!$C$3))</f>
        <v>1.2859999999999996</v>
      </c>
      <c r="R185" s="89">
        <f>IF(G185="","",ABS(O185-Components!$C$4))</f>
        <v>1.756666666666667</v>
      </c>
      <c r="S185" s="89">
        <f>IF(G185="","",ABS(O185-Components!$C$5))</f>
        <v>1.8126666666666704</v>
      </c>
      <c r="T185" s="89">
        <f>IF(G185="","",ABS(O185-Components!$C$6))</f>
        <v>1.59433333333333</v>
      </c>
      <c r="U185" s="89">
        <f>IF(G185="","",ABS(O185-Components!$C$7))</f>
        <v>1.3756666666666699</v>
      </c>
      <c r="V185" s="89" t="str">
        <f>IF(G185="","",IF(M185="OK","NONE",INDEX({"S1","S2","W1","W2","N1","N2"},MATCH(MIN(P185:U185),P185:U185,0))))</f>
        <v>S1</v>
      </c>
      <c r="W185" s="139">
        <f t="shared" si="23"/>
        <v>1</v>
      </c>
      <c r="X185" s="125"/>
    </row>
    <row r="186" spans="1:24" ht="15.75">
      <c r="A186" s="115">
        <v>172</v>
      </c>
      <c r="B186" s="135">
        <f>'Runs Z-Score'!B174</f>
        <v>6</v>
      </c>
      <c r="C186" s="89" t="str">
        <f>'Runs Z-Score'!C174</f>
        <v>R4</v>
      </c>
      <c r="D186" s="89" t="str">
        <f>'Runs Z-Score'!D174</f>
        <v>NG</v>
      </c>
      <c r="E186" s="89" t="str">
        <f>'Runs Z-Score'!E174</f>
        <v>S1</v>
      </c>
      <c r="F186" s="89">
        <f>'Runs Z-Score'!F174</f>
        <v>6.18</v>
      </c>
      <c r="G186" s="89">
        <f t="shared" si="16"/>
        <v>7.1499999999999995</v>
      </c>
      <c r="H186" s="89">
        <v>9.91</v>
      </c>
      <c r="I186" s="89">
        <f>VLOOKUP(C186,Recipes!$A$2:$N$4,12,FALSE())</f>
        <v>5.0137397426368718E-2</v>
      </c>
      <c r="J186" s="89">
        <f t="shared" si="18"/>
        <v>3030.3625564136828</v>
      </c>
      <c r="K186" s="89">
        <f t="shared" si="19"/>
        <v>3030.2958897470162</v>
      </c>
      <c r="L186" s="89">
        <f t="shared" si="20"/>
        <v>55.048123398958992</v>
      </c>
      <c r="M186" s="89" t="str">
        <f t="shared" si="21"/>
        <v>NG</v>
      </c>
      <c r="N186" s="117">
        <f t="shared" si="22"/>
        <v>1</v>
      </c>
      <c r="O186" s="89">
        <f t="shared" si="17"/>
        <v>2.7600000000000007</v>
      </c>
      <c r="P186" s="89">
        <f>IF(G186="","",ABS(O186-Components!$C$2))</f>
        <v>6.6666666666708174E-3</v>
      </c>
      <c r="Q186" s="89">
        <f>IF(G186="","",ABS(O186-Components!$C$3))</f>
        <v>1.2759999999999989</v>
      </c>
      <c r="R186" s="89">
        <f>IF(G186="","",ABS(O186-Components!$C$4))</f>
        <v>1.7666666666666677</v>
      </c>
      <c r="S186" s="89">
        <f>IF(G186="","",ABS(O186-Components!$C$5))</f>
        <v>1.8026666666666697</v>
      </c>
      <c r="T186" s="89">
        <f>IF(G186="","",ABS(O186-Components!$C$6))</f>
        <v>1.6043333333333307</v>
      </c>
      <c r="U186" s="89">
        <f>IF(G186="","",ABS(O186-Components!$C$7))</f>
        <v>1.3856666666666706</v>
      </c>
      <c r="V186" s="89" t="str">
        <f>IF(G186="","",IF(M186="OK","NONE",INDEX({"S1","S2","W1","W2","N1","N2"},MATCH(MIN(P186:U186),P186:U186,0))))</f>
        <v>S1</v>
      </c>
      <c r="W186" s="139">
        <f t="shared" si="23"/>
        <v>1</v>
      </c>
      <c r="X186" s="125"/>
    </row>
    <row r="187" spans="1:24" ht="15.75">
      <c r="A187" s="115">
        <v>173</v>
      </c>
      <c r="B187" s="135">
        <f>'Runs Z-Score'!B175</f>
        <v>6</v>
      </c>
      <c r="C187" s="89" t="str">
        <f>'Runs Z-Score'!C175</f>
        <v>R4</v>
      </c>
      <c r="D187" s="89" t="str">
        <f>'Runs Z-Score'!D175</f>
        <v>NG</v>
      </c>
      <c r="E187" s="89" t="str">
        <f>'Runs Z-Score'!E175</f>
        <v>S1</v>
      </c>
      <c r="F187" s="89">
        <f>'Runs Z-Score'!F175</f>
        <v>6.19</v>
      </c>
      <c r="G187" s="89">
        <f t="shared" si="16"/>
        <v>7.16</v>
      </c>
      <c r="H187" s="89">
        <v>9.91</v>
      </c>
      <c r="I187" s="89">
        <f>VLOOKUP(C187,Recipes!$A$2:$N$4,12,FALSE())</f>
        <v>5.0137397426368718E-2</v>
      </c>
      <c r="J187" s="89">
        <f t="shared" si="18"/>
        <v>3008.443188521117</v>
      </c>
      <c r="K187" s="89">
        <f t="shared" si="19"/>
        <v>3008.3765218544504</v>
      </c>
      <c r="L187" s="89">
        <f t="shared" si="20"/>
        <v>54.848669280616555</v>
      </c>
      <c r="M187" s="89" t="str">
        <f t="shared" si="21"/>
        <v>NG</v>
      </c>
      <c r="N187" s="117">
        <f t="shared" si="22"/>
        <v>1</v>
      </c>
      <c r="O187" s="89">
        <f t="shared" si="17"/>
        <v>2.75</v>
      </c>
      <c r="P187" s="89">
        <f>IF(G187="","",ABS(O187-Components!$C$2))</f>
        <v>3.3333333333298576E-3</v>
      </c>
      <c r="Q187" s="89">
        <f>IF(G187="","",ABS(O187-Components!$C$3))</f>
        <v>1.2859999999999996</v>
      </c>
      <c r="R187" s="89">
        <f>IF(G187="","",ABS(O187-Components!$C$4))</f>
        <v>1.756666666666667</v>
      </c>
      <c r="S187" s="89">
        <f>IF(G187="","",ABS(O187-Components!$C$5))</f>
        <v>1.8126666666666704</v>
      </c>
      <c r="T187" s="89">
        <f>IF(G187="","",ABS(O187-Components!$C$6))</f>
        <v>1.59433333333333</v>
      </c>
      <c r="U187" s="89">
        <f>IF(G187="","",ABS(O187-Components!$C$7))</f>
        <v>1.3756666666666699</v>
      </c>
      <c r="V187" s="89" t="str">
        <f>IF(G187="","",IF(M187="OK","NONE",INDEX({"S1","S2","W1","W2","N1","N2"},MATCH(MIN(P187:U187),P187:U187,0))))</f>
        <v>S1</v>
      </c>
      <c r="W187" s="139">
        <f t="shared" si="23"/>
        <v>1</v>
      </c>
      <c r="X187" s="125"/>
    </row>
    <row r="188" spans="1:24" ht="15.75">
      <c r="A188" s="115">
        <v>174</v>
      </c>
      <c r="B188" s="135">
        <f>'Runs Z-Score'!B176</f>
        <v>6</v>
      </c>
      <c r="C188" s="89" t="str">
        <f>'Runs Z-Score'!C176</f>
        <v>R4</v>
      </c>
      <c r="D188" s="89" t="str">
        <f>'Runs Z-Score'!D176</f>
        <v>NG</v>
      </c>
      <c r="E188" s="89" t="str">
        <f>'Runs Z-Score'!E176</f>
        <v>S1</v>
      </c>
      <c r="F188" s="89">
        <f>'Runs Z-Score'!F176</f>
        <v>6.15</v>
      </c>
      <c r="G188" s="89">
        <f t="shared" si="16"/>
        <v>7.12</v>
      </c>
      <c r="H188" s="89">
        <v>9.91</v>
      </c>
      <c r="I188" s="89">
        <f>VLOOKUP(C188,Recipes!$A$2:$N$4,12,FALSE())</f>
        <v>5.0137397426368718E-2</v>
      </c>
      <c r="J188" s="89">
        <f t="shared" si="18"/>
        <v>3096.5980328948403</v>
      </c>
      <c r="K188" s="89">
        <f t="shared" si="19"/>
        <v>3096.5313662281737</v>
      </c>
      <c r="L188" s="89">
        <f t="shared" si="20"/>
        <v>55.646485659277474</v>
      </c>
      <c r="M188" s="89" t="str">
        <f t="shared" si="21"/>
        <v>NG</v>
      </c>
      <c r="N188" s="117">
        <f t="shared" si="22"/>
        <v>1</v>
      </c>
      <c r="O188" s="89">
        <f t="shared" si="17"/>
        <v>2.79</v>
      </c>
      <c r="P188" s="89">
        <f>IF(G188="","",ABS(O188-Components!$C$2))</f>
        <v>3.6666666666670178E-2</v>
      </c>
      <c r="Q188" s="89">
        <f>IF(G188="","",ABS(O188-Components!$C$3))</f>
        <v>1.2459999999999996</v>
      </c>
      <c r="R188" s="89">
        <f>IF(G188="","",ABS(O188-Components!$C$4))</f>
        <v>1.7966666666666671</v>
      </c>
      <c r="S188" s="89">
        <f>IF(G188="","",ABS(O188-Components!$C$5))</f>
        <v>1.7726666666666704</v>
      </c>
      <c r="T188" s="89">
        <f>IF(G188="","",ABS(O188-Components!$C$6))</f>
        <v>1.6343333333333301</v>
      </c>
      <c r="U188" s="89">
        <f>IF(G188="","",ABS(O188-Components!$C$7))</f>
        <v>1.41566666666667</v>
      </c>
      <c r="V188" s="89" t="str">
        <f>IF(G188="","",IF(M188="OK","NONE",INDEX({"S1","S2","W1","W2","N1","N2"},MATCH(MIN(P188:U188),P188:U188,0))))</f>
        <v>S1</v>
      </c>
      <c r="W188" s="139">
        <f t="shared" si="23"/>
        <v>1</v>
      </c>
      <c r="X188" s="125"/>
    </row>
    <row r="189" spans="1:24" ht="15.75">
      <c r="A189" s="115">
        <v>175</v>
      </c>
      <c r="B189" s="135">
        <f>'Runs Z-Score'!B177</f>
        <v>6</v>
      </c>
      <c r="C189" s="89" t="str">
        <f>'Runs Z-Score'!C177</f>
        <v>R4</v>
      </c>
      <c r="D189" s="89" t="str">
        <f>'Runs Z-Score'!D177</f>
        <v>NG</v>
      </c>
      <c r="E189" s="89" t="str">
        <f>'Runs Z-Score'!E177</f>
        <v>S1</v>
      </c>
      <c r="F189" s="89">
        <f>'Runs Z-Score'!F177</f>
        <v>6.16</v>
      </c>
      <c r="G189" s="89">
        <f t="shared" si="16"/>
        <v>7.13</v>
      </c>
      <c r="H189" s="89">
        <v>9.91</v>
      </c>
      <c r="I189" s="89">
        <f>VLOOKUP(C189,Recipes!$A$2:$N$4,12,FALSE())</f>
        <v>5.0137397426368718E-2</v>
      </c>
      <c r="J189" s="89">
        <f t="shared" si="18"/>
        <v>3074.4399786005429</v>
      </c>
      <c r="K189" s="89">
        <f t="shared" si="19"/>
        <v>3074.3733119338763</v>
      </c>
      <c r="L189" s="89">
        <f t="shared" si="20"/>
        <v>55.447031588119088</v>
      </c>
      <c r="M189" s="89" t="str">
        <f t="shared" si="21"/>
        <v>NG</v>
      </c>
      <c r="N189" s="117">
        <f t="shared" si="22"/>
        <v>1</v>
      </c>
      <c r="O189" s="89">
        <f t="shared" si="17"/>
        <v>2.7800000000000002</v>
      </c>
      <c r="P189" s="89">
        <f>IF(G189="","",ABS(O189-Components!$C$2))</f>
        <v>2.6666666666670391E-2</v>
      </c>
      <c r="Q189" s="89">
        <f>IF(G189="","",ABS(O189-Components!$C$3))</f>
        <v>1.2559999999999993</v>
      </c>
      <c r="R189" s="89">
        <f>IF(G189="","",ABS(O189-Components!$C$4))</f>
        <v>1.7866666666666673</v>
      </c>
      <c r="S189" s="89">
        <f>IF(G189="","",ABS(O189-Components!$C$5))</f>
        <v>1.7826666666666702</v>
      </c>
      <c r="T189" s="89">
        <f>IF(G189="","",ABS(O189-Components!$C$6))</f>
        <v>1.6243333333333303</v>
      </c>
      <c r="U189" s="89">
        <f>IF(G189="","",ABS(O189-Components!$C$7))</f>
        <v>1.4056666666666702</v>
      </c>
      <c r="V189" s="89" t="str">
        <f>IF(G189="","",IF(M189="OK","NONE",INDEX({"S1","S2","W1","W2","N1","N2"},MATCH(MIN(P189:U189),P189:U189,0))))</f>
        <v>S1</v>
      </c>
      <c r="W189" s="139">
        <f t="shared" si="23"/>
        <v>1</v>
      </c>
      <c r="X189" s="125"/>
    </row>
    <row r="190" spans="1:24" ht="15.75">
      <c r="A190" s="115">
        <v>176</v>
      </c>
      <c r="B190" s="135">
        <f>'Runs Z-Score'!B178</f>
        <v>6</v>
      </c>
      <c r="C190" s="89" t="str">
        <f>'Runs Z-Score'!C178</f>
        <v>R4</v>
      </c>
      <c r="D190" s="89" t="str">
        <f>'Runs Z-Score'!D178</f>
        <v>NG</v>
      </c>
      <c r="E190" s="89" t="str">
        <f>'Runs Z-Score'!E178</f>
        <v>S1</v>
      </c>
      <c r="F190" s="89">
        <f>'Runs Z-Score'!F178</f>
        <v>6.16</v>
      </c>
      <c r="G190" s="89">
        <f t="shared" si="16"/>
        <v>7.13</v>
      </c>
      <c r="H190" s="89">
        <v>9.91</v>
      </c>
      <c r="I190" s="89">
        <f>VLOOKUP(C190,Recipes!$A$2:$N$4,12,FALSE())</f>
        <v>5.0137397426368718E-2</v>
      </c>
      <c r="J190" s="89">
        <f t="shared" si="18"/>
        <v>3074.4399786005429</v>
      </c>
      <c r="K190" s="89">
        <f t="shared" si="19"/>
        <v>3074.3733119338763</v>
      </c>
      <c r="L190" s="89">
        <f t="shared" si="20"/>
        <v>55.447031588119088</v>
      </c>
      <c r="M190" s="89" t="str">
        <f t="shared" si="21"/>
        <v>NG</v>
      </c>
      <c r="N190" s="117">
        <f t="shared" si="22"/>
        <v>1</v>
      </c>
      <c r="O190" s="89">
        <f t="shared" si="17"/>
        <v>2.7800000000000002</v>
      </c>
      <c r="P190" s="89">
        <f>IF(G190="","",ABS(O190-Components!$C$2))</f>
        <v>2.6666666666670391E-2</v>
      </c>
      <c r="Q190" s="89">
        <f>IF(G190="","",ABS(O190-Components!$C$3))</f>
        <v>1.2559999999999993</v>
      </c>
      <c r="R190" s="89">
        <f>IF(G190="","",ABS(O190-Components!$C$4))</f>
        <v>1.7866666666666673</v>
      </c>
      <c r="S190" s="89">
        <f>IF(G190="","",ABS(O190-Components!$C$5))</f>
        <v>1.7826666666666702</v>
      </c>
      <c r="T190" s="89">
        <f>IF(G190="","",ABS(O190-Components!$C$6))</f>
        <v>1.6243333333333303</v>
      </c>
      <c r="U190" s="89">
        <f>IF(G190="","",ABS(O190-Components!$C$7))</f>
        <v>1.4056666666666702</v>
      </c>
      <c r="V190" s="89" t="str">
        <f>IF(G190="","",IF(M190="OK","NONE",INDEX({"S1","S2","W1","W2","N1","N2"},MATCH(MIN(P190:U190),P190:U190,0))))</f>
        <v>S1</v>
      </c>
      <c r="W190" s="139">
        <f t="shared" si="23"/>
        <v>1</v>
      </c>
      <c r="X190" s="125"/>
    </row>
    <row r="191" spans="1:24" ht="15.75">
      <c r="A191" s="115">
        <v>177</v>
      </c>
      <c r="B191" s="135">
        <f>'Runs Z-Score'!B179</f>
        <v>6</v>
      </c>
      <c r="C191" s="89" t="str">
        <f>'Runs Z-Score'!C179</f>
        <v>R4</v>
      </c>
      <c r="D191" s="89" t="str">
        <f>'Runs Z-Score'!D179</f>
        <v>NG</v>
      </c>
      <c r="E191" s="89" t="str">
        <f>'Runs Z-Score'!E179</f>
        <v>S1</v>
      </c>
      <c r="F191" s="89">
        <f>'Runs Z-Score'!F179</f>
        <v>6.15</v>
      </c>
      <c r="G191" s="89">
        <f t="shared" si="16"/>
        <v>7.12</v>
      </c>
      <c r="H191" s="89">
        <v>9.91</v>
      </c>
      <c r="I191" s="89">
        <f>VLOOKUP(C191,Recipes!$A$2:$N$4,12,FALSE())</f>
        <v>5.0137397426368718E-2</v>
      </c>
      <c r="J191" s="89">
        <f t="shared" si="18"/>
        <v>3096.5980328948403</v>
      </c>
      <c r="K191" s="89">
        <f t="shared" si="19"/>
        <v>3096.5313662281737</v>
      </c>
      <c r="L191" s="89">
        <f t="shared" si="20"/>
        <v>55.646485659277474</v>
      </c>
      <c r="M191" s="89" t="str">
        <f t="shared" si="21"/>
        <v>NG</v>
      </c>
      <c r="N191" s="117">
        <f t="shared" si="22"/>
        <v>1</v>
      </c>
      <c r="O191" s="89">
        <f t="shared" si="17"/>
        <v>2.79</v>
      </c>
      <c r="P191" s="89">
        <f>IF(G191="","",ABS(O191-Components!$C$2))</f>
        <v>3.6666666666670178E-2</v>
      </c>
      <c r="Q191" s="89">
        <f>IF(G191="","",ABS(O191-Components!$C$3))</f>
        <v>1.2459999999999996</v>
      </c>
      <c r="R191" s="89">
        <f>IF(G191="","",ABS(O191-Components!$C$4))</f>
        <v>1.7966666666666671</v>
      </c>
      <c r="S191" s="89">
        <f>IF(G191="","",ABS(O191-Components!$C$5))</f>
        <v>1.7726666666666704</v>
      </c>
      <c r="T191" s="89">
        <f>IF(G191="","",ABS(O191-Components!$C$6))</f>
        <v>1.6343333333333301</v>
      </c>
      <c r="U191" s="89">
        <f>IF(G191="","",ABS(O191-Components!$C$7))</f>
        <v>1.41566666666667</v>
      </c>
      <c r="V191" s="89" t="str">
        <f>IF(G191="","",IF(M191="OK","NONE",INDEX({"S1","S2","W1","W2","N1","N2"},MATCH(MIN(P191:U191),P191:U191,0))))</f>
        <v>S1</v>
      </c>
      <c r="W191" s="139">
        <f t="shared" si="23"/>
        <v>1</v>
      </c>
      <c r="X191" s="125"/>
    </row>
    <row r="192" spans="1:24" ht="15.75">
      <c r="A192" s="115">
        <v>178</v>
      </c>
      <c r="B192" s="135">
        <f>'Runs Z-Score'!B180</f>
        <v>6</v>
      </c>
      <c r="C192" s="89" t="str">
        <f>'Runs Z-Score'!C180</f>
        <v>R4</v>
      </c>
      <c r="D192" s="89" t="str">
        <f>'Runs Z-Score'!D180</f>
        <v>NG</v>
      </c>
      <c r="E192" s="89" t="str">
        <f>'Runs Z-Score'!E180</f>
        <v>S1</v>
      </c>
      <c r="F192" s="89">
        <f>'Runs Z-Score'!F180</f>
        <v>6.17</v>
      </c>
      <c r="G192" s="89">
        <f t="shared" si="16"/>
        <v>7.14</v>
      </c>
      <c r="H192" s="89">
        <v>9.91</v>
      </c>
      <c r="I192" s="89">
        <f>VLOOKUP(C192,Recipes!$A$2:$N$4,12,FALSE())</f>
        <v>5.0137397426368718E-2</v>
      </c>
      <c r="J192" s="89">
        <f t="shared" si="18"/>
        <v>3052.3614864401566</v>
      </c>
      <c r="K192" s="89">
        <f t="shared" si="19"/>
        <v>3052.29481977349</v>
      </c>
      <c r="L192" s="89">
        <f t="shared" si="20"/>
        <v>55.247577501402631</v>
      </c>
      <c r="M192" s="89" t="str">
        <f t="shared" si="21"/>
        <v>NG</v>
      </c>
      <c r="N192" s="117">
        <f t="shared" si="22"/>
        <v>1</v>
      </c>
      <c r="O192" s="89">
        <f t="shared" si="17"/>
        <v>2.7700000000000005</v>
      </c>
      <c r="P192" s="89">
        <f>IF(G192="","",ABS(O192-Components!$C$2))</f>
        <v>1.6666666666670604E-2</v>
      </c>
      <c r="Q192" s="89">
        <f>IF(G192="","",ABS(O192-Components!$C$3))</f>
        <v>1.2659999999999991</v>
      </c>
      <c r="R192" s="89">
        <f>IF(G192="","",ABS(O192-Components!$C$4))</f>
        <v>1.7766666666666675</v>
      </c>
      <c r="S192" s="89">
        <f>IF(G192="","",ABS(O192-Components!$C$5))</f>
        <v>1.79266666666667</v>
      </c>
      <c r="T192" s="89">
        <f>IF(G192="","",ABS(O192-Components!$C$6))</f>
        <v>1.6143333333333305</v>
      </c>
      <c r="U192" s="89">
        <f>IF(G192="","",ABS(O192-Components!$C$7))</f>
        <v>1.3956666666666704</v>
      </c>
      <c r="V192" s="89" t="str">
        <f>IF(G192="","",IF(M192="OK","NONE",INDEX({"S1","S2","W1","W2","N1","N2"},MATCH(MIN(P192:U192),P192:U192,0))))</f>
        <v>S1</v>
      </c>
      <c r="W192" s="139">
        <f t="shared" si="23"/>
        <v>1</v>
      </c>
      <c r="X192" s="125"/>
    </row>
    <row r="193" spans="1:24" ht="15.75">
      <c r="A193" s="115">
        <v>179</v>
      </c>
      <c r="B193" s="135">
        <f>'Runs Z-Score'!B181</f>
        <v>6</v>
      </c>
      <c r="C193" s="89" t="str">
        <f>'Runs Z-Score'!C181</f>
        <v>R4</v>
      </c>
      <c r="D193" s="89" t="str">
        <f>'Runs Z-Score'!D181</f>
        <v>NG</v>
      </c>
      <c r="E193" s="89" t="str">
        <f>'Runs Z-Score'!E181</f>
        <v>S1</v>
      </c>
      <c r="F193" s="89">
        <f>'Runs Z-Score'!F181</f>
        <v>6.2</v>
      </c>
      <c r="G193" s="89">
        <f t="shared" si="16"/>
        <v>7.17</v>
      </c>
      <c r="H193" s="89">
        <v>9.91</v>
      </c>
      <c r="I193" s="89">
        <f>VLOOKUP(C193,Recipes!$A$2:$N$4,12,FALSE())</f>
        <v>5.0137397426368718E-2</v>
      </c>
      <c r="J193" s="89">
        <f t="shared" si="18"/>
        <v>2986.6033827624656</v>
      </c>
      <c r="K193" s="89">
        <f t="shared" si="19"/>
        <v>2986.536716095799</v>
      </c>
      <c r="L193" s="89">
        <f t="shared" si="20"/>
        <v>54.649215146201314</v>
      </c>
      <c r="M193" s="89" t="str">
        <f t="shared" si="21"/>
        <v>NG</v>
      </c>
      <c r="N193" s="117">
        <f t="shared" si="22"/>
        <v>1</v>
      </c>
      <c r="O193" s="89">
        <f t="shared" si="17"/>
        <v>2.74</v>
      </c>
      <c r="P193" s="89">
        <f>IF(G193="","",ABS(O193-Components!$C$2))</f>
        <v>1.3333333333329644E-2</v>
      </c>
      <c r="Q193" s="89">
        <f>IF(G193="","",ABS(O193-Components!$C$3))</f>
        <v>1.2959999999999994</v>
      </c>
      <c r="R193" s="89">
        <f>IF(G193="","",ABS(O193-Components!$C$4))</f>
        <v>1.7466666666666673</v>
      </c>
      <c r="S193" s="89">
        <f>IF(G193="","",ABS(O193-Components!$C$5))</f>
        <v>1.8226666666666702</v>
      </c>
      <c r="T193" s="89">
        <f>IF(G193="","",ABS(O193-Components!$C$6))</f>
        <v>1.5843333333333303</v>
      </c>
      <c r="U193" s="89">
        <f>IF(G193="","",ABS(O193-Components!$C$7))</f>
        <v>1.3656666666666701</v>
      </c>
      <c r="V193" s="89" t="str">
        <f>IF(G193="","",IF(M193="OK","NONE",INDEX({"S1","S2","W1","W2","N1","N2"},MATCH(MIN(P193:U193),P193:U193,0))))</f>
        <v>S1</v>
      </c>
      <c r="W193" s="139">
        <f t="shared" si="23"/>
        <v>1</v>
      </c>
      <c r="X193" s="125"/>
    </row>
    <row r="194" spans="1:24" ht="15.75">
      <c r="A194" s="115">
        <v>180</v>
      </c>
      <c r="B194" s="135">
        <f>'Runs Z-Score'!B182</f>
        <v>6</v>
      </c>
      <c r="C194" s="89" t="str">
        <f>'Runs Z-Score'!C182</f>
        <v>R4</v>
      </c>
      <c r="D194" s="89" t="str">
        <f>'Runs Z-Score'!D182</f>
        <v>NG</v>
      </c>
      <c r="E194" s="89" t="str">
        <f>'Runs Z-Score'!E182</f>
        <v>S1</v>
      </c>
      <c r="F194" s="89">
        <f>'Runs Z-Score'!F182</f>
        <v>6.14</v>
      </c>
      <c r="G194" s="89">
        <f t="shared" si="16"/>
        <v>7.1099999999999994</v>
      </c>
      <c r="H194" s="89">
        <v>9.91</v>
      </c>
      <c r="I194" s="89">
        <f>VLOOKUP(C194,Recipes!$A$2:$N$4,12,FALSE())</f>
        <v>5.0137397426368718E-2</v>
      </c>
      <c r="J194" s="89">
        <f t="shared" si="18"/>
        <v>3118.8356493230503</v>
      </c>
      <c r="K194" s="89">
        <f t="shared" si="19"/>
        <v>3118.7689826563837</v>
      </c>
      <c r="L194" s="89">
        <f t="shared" si="20"/>
        <v>55.845939715044494</v>
      </c>
      <c r="M194" s="89" t="str">
        <f t="shared" si="21"/>
        <v>NG</v>
      </c>
      <c r="N194" s="117">
        <f t="shared" si="22"/>
        <v>1</v>
      </c>
      <c r="O194" s="89">
        <f t="shared" si="17"/>
        <v>2.8000000000000007</v>
      </c>
      <c r="P194" s="89">
        <f>IF(G194="","",ABS(O194-Components!$C$2))</f>
        <v>4.6666666666670853E-2</v>
      </c>
      <c r="Q194" s="89">
        <f>IF(G194="","",ABS(O194-Components!$C$3))</f>
        <v>1.2359999999999989</v>
      </c>
      <c r="R194" s="89">
        <f>IF(G194="","",ABS(O194-Components!$C$4))</f>
        <v>1.8066666666666678</v>
      </c>
      <c r="S194" s="89">
        <f>IF(G194="","",ABS(O194-Components!$C$5))</f>
        <v>1.7626666666666697</v>
      </c>
      <c r="T194" s="89">
        <f>IF(G194="","",ABS(O194-Components!$C$6))</f>
        <v>1.6443333333333308</v>
      </c>
      <c r="U194" s="89">
        <f>IF(G194="","",ABS(O194-Components!$C$7))</f>
        <v>1.4256666666666706</v>
      </c>
      <c r="V194" s="89" t="str">
        <f>IF(G194="","",IF(M194="OK","NONE",INDEX({"S1","S2","W1","W2","N1","N2"},MATCH(MIN(P194:U194),P194:U194,0))))</f>
        <v>S1</v>
      </c>
      <c r="W194" s="139">
        <f t="shared" si="23"/>
        <v>1</v>
      </c>
      <c r="X194" s="125"/>
    </row>
    <row r="195" spans="1:24" ht="15.75">
      <c r="A195" s="115">
        <v>181</v>
      </c>
      <c r="B195" s="135">
        <f>'Runs Z-Score'!B183</f>
        <v>7</v>
      </c>
      <c r="C195" s="89" t="str">
        <f>'Runs Z-Score'!C183</f>
        <v>R4</v>
      </c>
      <c r="D195" s="89" t="str">
        <f>'Runs Z-Score'!D183</f>
        <v>NG</v>
      </c>
      <c r="E195" s="89" t="str">
        <f>'Runs Z-Score'!E183</f>
        <v>W1</v>
      </c>
      <c r="F195" s="89">
        <f>'Runs Z-Score'!F183</f>
        <v>7.99</v>
      </c>
      <c r="G195" s="89">
        <f t="shared" si="16"/>
        <v>8.9600000000000009</v>
      </c>
      <c r="H195" s="89">
        <v>9.91</v>
      </c>
      <c r="I195" s="89">
        <f>VLOOKUP(C195,Recipes!$A$2:$N$4,12,FALSE())</f>
        <v>5.0137397426368718E-2</v>
      </c>
      <c r="J195" s="89">
        <f t="shared" si="18"/>
        <v>359.02412927475103</v>
      </c>
      <c r="K195" s="89">
        <f t="shared" si="19"/>
        <v>358.95746260808437</v>
      </c>
      <c r="L195" s="89">
        <f t="shared" si="20"/>
        <v>18.946172769403439</v>
      </c>
      <c r="M195" s="89" t="str">
        <f t="shared" si="21"/>
        <v>NG</v>
      </c>
      <c r="N195" s="117">
        <f t="shared" si="22"/>
        <v>1</v>
      </c>
      <c r="O195" s="89">
        <f t="shared" si="17"/>
        <v>0.94999999999999929</v>
      </c>
      <c r="P195" s="89">
        <f>IF(G195="","",ABS(O195-Components!$C$2))</f>
        <v>1.8033333333333306</v>
      </c>
      <c r="Q195" s="89">
        <f>IF(G195="","",ABS(O195-Components!$C$3))</f>
        <v>3.0860000000000003</v>
      </c>
      <c r="R195" s="89">
        <f>IF(G195="","",ABS(O195-Components!$C$4))</f>
        <v>4.3333333333333668E-2</v>
      </c>
      <c r="S195" s="89">
        <f>IF(G195="","",ABS(O195-Components!$C$5))</f>
        <v>3.6126666666666711</v>
      </c>
      <c r="T195" s="89">
        <f>IF(G195="","",ABS(O195-Components!$C$6))</f>
        <v>0.20566666666667066</v>
      </c>
      <c r="U195" s="89">
        <f>IF(G195="","",ABS(O195-Components!$C$7))</f>
        <v>0.42433333333333079</v>
      </c>
      <c r="V195" s="89" t="str">
        <f>IF(G195="","",IF(M195="OK","NONE",INDEX({"S1","S2","W1","W2","N1","N2"},MATCH(MIN(P195:U195),P195:U195,0))))</f>
        <v>W1</v>
      </c>
      <c r="W195" s="139">
        <f t="shared" si="23"/>
        <v>1</v>
      </c>
      <c r="X195" s="125"/>
    </row>
    <row r="196" spans="1:24" ht="15.75">
      <c r="A196" s="115">
        <v>182</v>
      </c>
      <c r="B196" s="135">
        <f>'Runs Z-Score'!B184</f>
        <v>7</v>
      </c>
      <c r="C196" s="89" t="str">
        <f>'Runs Z-Score'!C184</f>
        <v>R4</v>
      </c>
      <c r="D196" s="89" t="str">
        <f>'Runs Z-Score'!D184</f>
        <v>NG</v>
      </c>
      <c r="E196" s="89" t="str">
        <f>'Runs Z-Score'!E184</f>
        <v>W1</v>
      </c>
      <c r="F196" s="89">
        <f>'Runs Z-Score'!F184</f>
        <v>7.97</v>
      </c>
      <c r="G196" s="89">
        <f t="shared" si="16"/>
        <v>8.94</v>
      </c>
      <c r="H196" s="89">
        <v>9.91</v>
      </c>
      <c r="I196" s="89">
        <f>VLOOKUP(C196,Recipes!$A$2:$N$4,12,FALSE())</f>
        <v>5.0137397426368718E-2</v>
      </c>
      <c r="J196" s="89">
        <f t="shared" si="18"/>
        <v>374.3000589857221</v>
      </c>
      <c r="K196" s="89">
        <f t="shared" si="19"/>
        <v>374.23339231905544</v>
      </c>
      <c r="L196" s="89">
        <f t="shared" si="20"/>
        <v>19.345112879460164</v>
      </c>
      <c r="M196" s="89" t="str">
        <f t="shared" si="21"/>
        <v>NG</v>
      </c>
      <c r="N196" s="117">
        <f t="shared" si="22"/>
        <v>1</v>
      </c>
      <c r="O196" s="89">
        <f t="shared" si="17"/>
        <v>0.97000000000000064</v>
      </c>
      <c r="P196" s="89">
        <f>IF(G196="","",ABS(O196-Components!$C$2))</f>
        <v>1.7833333333333292</v>
      </c>
      <c r="Q196" s="89">
        <f>IF(G196="","",ABS(O196-Components!$C$3))</f>
        <v>3.0659999999999989</v>
      </c>
      <c r="R196" s="89">
        <f>IF(G196="","",ABS(O196-Components!$C$4))</f>
        <v>2.3333333333332318E-2</v>
      </c>
      <c r="S196" s="89">
        <f>IF(G196="","",ABS(O196-Components!$C$5))</f>
        <v>3.5926666666666698</v>
      </c>
      <c r="T196" s="89">
        <f>IF(G196="","",ABS(O196-Components!$C$6))</f>
        <v>0.18566666666666931</v>
      </c>
      <c r="U196" s="89">
        <f>IF(G196="","",ABS(O196-Components!$C$7))</f>
        <v>0.40433333333332944</v>
      </c>
      <c r="V196" s="89" t="str">
        <f>IF(G196="","",IF(M196="OK","NONE",INDEX({"S1","S2","W1","W2","N1","N2"},MATCH(MIN(P196:U196),P196:U196,0))))</f>
        <v>W1</v>
      </c>
      <c r="W196" s="139">
        <f t="shared" si="23"/>
        <v>1</v>
      </c>
      <c r="X196" s="125"/>
    </row>
    <row r="197" spans="1:24" ht="15.75">
      <c r="A197" s="115">
        <v>183</v>
      </c>
      <c r="B197" s="135">
        <f>'Runs Z-Score'!B185</f>
        <v>7</v>
      </c>
      <c r="C197" s="89" t="str">
        <f>'Runs Z-Score'!C185</f>
        <v>R4</v>
      </c>
      <c r="D197" s="89" t="str">
        <f>'Runs Z-Score'!D185</f>
        <v>NG</v>
      </c>
      <c r="E197" s="89" t="str">
        <f>'Runs Z-Score'!E185</f>
        <v>W1</v>
      </c>
      <c r="F197" s="89">
        <f>'Runs Z-Score'!F185</f>
        <v>7.97</v>
      </c>
      <c r="G197" s="89">
        <f t="shared" si="16"/>
        <v>8.94</v>
      </c>
      <c r="H197" s="89">
        <v>9.91</v>
      </c>
      <c r="I197" s="89">
        <f>VLOOKUP(C197,Recipes!$A$2:$N$4,12,FALSE())</f>
        <v>5.0137397426368718E-2</v>
      </c>
      <c r="J197" s="89">
        <f t="shared" si="18"/>
        <v>374.3000589857221</v>
      </c>
      <c r="K197" s="89">
        <f t="shared" si="19"/>
        <v>374.23339231905544</v>
      </c>
      <c r="L197" s="89">
        <f t="shared" si="20"/>
        <v>19.345112879460164</v>
      </c>
      <c r="M197" s="89" t="str">
        <f t="shared" si="21"/>
        <v>NG</v>
      </c>
      <c r="N197" s="117">
        <f t="shared" si="22"/>
        <v>1</v>
      </c>
      <c r="O197" s="89">
        <f t="shared" si="17"/>
        <v>0.97000000000000064</v>
      </c>
      <c r="P197" s="89">
        <f>IF(G197="","",ABS(O197-Components!$C$2))</f>
        <v>1.7833333333333292</v>
      </c>
      <c r="Q197" s="89">
        <f>IF(G197="","",ABS(O197-Components!$C$3))</f>
        <v>3.0659999999999989</v>
      </c>
      <c r="R197" s="89">
        <f>IF(G197="","",ABS(O197-Components!$C$4))</f>
        <v>2.3333333333332318E-2</v>
      </c>
      <c r="S197" s="89">
        <f>IF(G197="","",ABS(O197-Components!$C$5))</f>
        <v>3.5926666666666698</v>
      </c>
      <c r="T197" s="89">
        <f>IF(G197="","",ABS(O197-Components!$C$6))</f>
        <v>0.18566666666666931</v>
      </c>
      <c r="U197" s="89">
        <f>IF(G197="","",ABS(O197-Components!$C$7))</f>
        <v>0.40433333333332944</v>
      </c>
      <c r="V197" s="89" t="str">
        <f>IF(G197="","",IF(M197="OK","NONE",INDEX({"S1","S2","W1","W2","N1","N2"},MATCH(MIN(P197:U197),P197:U197,0))))</f>
        <v>W1</v>
      </c>
      <c r="W197" s="139">
        <f t="shared" si="23"/>
        <v>1</v>
      </c>
      <c r="X197" s="125"/>
    </row>
    <row r="198" spans="1:24" ht="15.75">
      <c r="A198" s="115">
        <v>184</v>
      </c>
      <c r="B198" s="135">
        <f>'Runs Z-Score'!B186</f>
        <v>7</v>
      </c>
      <c r="C198" s="89" t="str">
        <f>'Runs Z-Score'!C186</f>
        <v>R4</v>
      </c>
      <c r="D198" s="89" t="str">
        <f>'Runs Z-Score'!D186</f>
        <v>NG</v>
      </c>
      <c r="E198" s="89" t="str">
        <f>'Runs Z-Score'!E186</f>
        <v>W1</v>
      </c>
      <c r="F198" s="89">
        <f>'Runs Z-Score'!F186</f>
        <v>7.94</v>
      </c>
      <c r="G198" s="89">
        <f t="shared" si="16"/>
        <v>8.91</v>
      </c>
      <c r="H198" s="89">
        <v>9.91</v>
      </c>
      <c r="I198" s="89">
        <f>VLOOKUP(C198,Recipes!$A$2:$N$4,12,FALSE())</f>
        <v>5.0137397426368718E-2</v>
      </c>
      <c r="J198" s="89">
        <f t="shared" si="18"/>
        <v>397.81066955651141</v>
      </c>
      <c r="K198" s="89">
        <f t="shared" si="19"/>
        <v>397.74400288984475</v>
      </c>
      <c r="L198" s="89">
        <f t="shared" si="20"/>
        <v>19.943520323399397</v>
      </c>
      <c r="M198" s="89" t="str">
        <f t="shared" si="21"/>
        <v>NG</v>
      </c>
      <c r="N198" s="117">
        <f t="shared" si="22"/>
        <v>1</v>
      </c>
      <c r="O198" s="89">
        <f t="shared" si="17"/>
        <v>1</v>
      </c>
      <c r="P198" s="89">
        <f>IF(G198="","",ABS(O198-Components!$C$2))</f>
        <v>1.7533333333333299</v>
      </c>
      <c r="Q198" s="89">
        <f>IF(G198="","",ABS(O198-Components!$C$3))</f>
        <v>3.0359999999999996</v>
      </c>
      <c r="R198" s="89">
        <f>IF(G198="","",ABS(O198-Components!$C$4))</f>
        <v>6.6666666666670427E-3</v>
      </c>
      <c r="S198" s="89">
        <f>IF(G198="","",ABS(O198-Components!$C$5))</f>
        <v>3.5626666666666704</v>
      </c>
      <c r="T198" s="89">
        <f>IF(G198="","",ABS(O198-Components!$C$6))</f>
        <v>0.15566666666666995</v>
      </c>
      <c r="U198" s="89">
        <f>IF(G198="","",ABS(O198-Components!$C$7))</f>
        <v>0.37433333333333008</v>
      </c>
      <c r="V198" s="89" t="str">
        <f>IF(G198="","",IF(M198="OK","NONE",INDEX({"S1","S2","W1","W2","N1","N2"},MATCH(MIN(P198:U198),P198:U198,0))))</f>
        <v>W1</v>
      </c>
      <c r="W198" s="139">
        <f t="shared" si="23"/>
        <v>1</v>
      </c>
      <c r="X198" s="125"/>
    </row>
    <row r="199" spans="1:24" ht="15.75">
      <c r="A199" s="115">
        <v>185</v>
      </c>
      <c r="B199" s="135">
        <f>'Runs Z-Score'!B187</f>
        <v>7</v>
      </c>
      <c r="C199" s="89" t="str">
        <f>'Runs Z-Score'!C187</f>
        <v>R4</v>
      </c>
      <c r="D199" s="89" t="str">
        <f>'Runs Z-Score'!D187</f>
        <v>NG</v>
      </c>
      <c r="E199" s="89" t="str">
        <f>'Runs Z-Score'!E187</f>
        <v>W1</v>
      </c>
      <c r="F199" s="89">
        <f>'Runs Z-Score'!F187</f>
        <v>7.96</v>
      </c>
      <c r="G199" s="89">
        <f t="shared" si="16"/>
        <v>8.93</v>
      </c>
      <c r="H199" s="89">
        <v>9.91</v>
      </c>
      <c r="I199" s="89">
        <f>VLOOKUP(C199,Recipes!$A$2:$N$4,12,FALSE())</f>
        <v>5.0137397426368718E-2</v>
      </c>
      <c r="J199" s="89">
        <f t="shared" si="18"/>
        <v>382.05736704207379</v>
      </c>
      <c r="K199" s="89">
        <f t="shared" si="19"/>
        <v>381.99070037540713</v>
      </c>
      <c r="L199" s="89">
        <f t="shared" si="20"/>
        <v>19.544582379150675</v>
      </c>
      <c r="M199" s="89" t="str">
        <f t="shared" si="21"/>
        <v>NG</v>
      </c>
      <c r="N199" s="117">
        <f t="shared" si="22"/>
        <v>1</v>
      </c>
      <c r="O199" s="89">
        <f t="shared" si="17"/>
        <v>0.98000000000000043</v>
      </c>
      <c r="P199" s="89">
        <f>IF(G199="","",ABS(O199-Components!$C$2))</f>
        <v>1.7733333333333294</v>
      </c>
      <c r="Q199" s="89">
        <f>IF(G199="","",ABS(O199-Components!$C$3))</f>
        <v>3.0559999999999992</v>
      </c>
      <c r="R199" s="89">
        <f>IF(G199="","",ABS(O199-Components!$C$4))</f>
        <v>1.3333333333332531E-2</v>
      </c>
      <c r="S199" s="89">
        <f>IF(G199="","",ABS(O199-Components!$C$5))</f>
        <v>3.58266666666667</v>
      </c>
      <c r="T199" s="89">
        <f>IF(G199="","",ABS(O199-Components!$C$6))</f>
        <v>0.17566666666666952</v>
      </c>
      <c r="U199" s="89">
        <f>IF(G199="","",ABS(O199-Components!$C$7))</f>
        <v>0.39433333333332965</v>
      </c>
      <c r="V199" s="89" t="str">
        <f>IF(G199="","",IF(M199="OK","NONE",INDEX({"S1","S2","W1","W2","N1","N2"},MATCH(MIN(P199:U199),P199:U199,0))))</f>
        <v>W1</v>
      </c>
      <c r="W199" s="139">
        <f t="shared" si="23"/>
        <v>1</v>
      </c>
      <c r="X199" s="125"/>
    </row>
    <row r="200" spans="1:24" ht="15.75">
      <c r="A200" s="115">
        <v>186</v>
      </c>
      <c r="B200" s="135">
        <f>'Runs Z-Score'!B188</f>
        <v>7</v>
      </c>
      <c r="C200" s="89" t="str">
        <f>'Runs Z-Score'!C188</f>
        <v>R4</v>
      </c>
      <c r="D200" s="89" t="str">
        <f>'Runs Z-Score'!D188</f>
        <v>NG</v>
      </c>
      <c r="E200" s="89" t="str">
        <f>'Runs Z-Score'!E188</f>
        <v>W1</v>
      </c>
      <c r="F200" s="89">
        <f>'Runs Z-Score'!F188</f>
        <v>8.02</v>
      </c>
      <c r="G200" s="89">
        <f t="shared" si="16"/>
        <v>8.99</v>
      </c>
      <c r="H200" s="89">
        <v>9.91</v>
      </c>
      <c r="I200" s="89">
        <f>VLOOKUP(C200,Recipes!$A$2:$N$4,12,FALSE())</f>
        <v>5.0137397426368718E-2</v>
      </c>
      <c r="J200" s="89">
        <f t="shared" si="18"/>
        <v>336.70695071263123</v>
      </c>
      <c r="K200" s="89">
        <f t="shared" si="19"/>
        <v>336.64028404596456</v>
      </c>
      <c r="L200" s="89">
        <f t="shared" si="20"/>
        <v>18.34775964650629</v>
      </c>
      <c r="M200" s="89" t="str">
        <f t="shared" si="21"/>
        <v>NG</v>
      </c>
      <c r="N200" s="117">
        <f t="shared" si="22"/>
        <v>1</v>
      </c>
      <c r="O200" s="89">
        <f t="shared" si="17"/>
        <v>0.91999999999999993</v>
      </c>
      <c r="P200" s="89">
        <f>IF(G200="","",ABS(O200-Components!$C$2))</f>
        <v>1.8333333333333299</v>
      </c>
      <c r="Q200" s="89">
        <f>IF(G200="","",ABS(O200-Components!$C$3))</f>
        <v>3.1159999999999997</v>
      </c>
      <c r="R200" s="89">
        <f>IF(G200="","",ABS(O200-Components!$C$4))</f>
        <v>7.3333333333333028E-2</v>
      </c>
      <c r="S200" s="89">
        <f>IF(G200="","",ABS(O200-Components!$C$5))</f>
        <v>3.6426666666666705</v>
      </c>
      <c r="T200" s="89">
        <f>IF(G200="","",ABS(O200-Components!$C$6))</f>
        <v>0.23566666666667002</v>
      </c>
      <c r="U200" s="89">
        <f>IF(G200="","",ABS(O200-Components!$C$7))</f>
        <v>0.45433333333333015</v>
      </c>
      <c r="V200" s="89" t="str">
        <f>IF(G200="","",IF(M200="OK","NONE",INDEX({"S1","S2","W1","W2","N1","N2"},MATCH(MIN(P200:U200),P200:U200,0))))</f>
        <v>W1</v>
      </c>
      <c r="W200" s="139">
        <f t="shared" si="23"/>
        <v>1</v>
      </c>
      <c r="X200" s="125"/>
    </row>
    <row r="201" spans="1:24" ht="15.75">
      <c r="A201" s="115">
        <v>187</v>
      </c>
      <c r="B201" s="135">
        <f>'Runs Z-Score'!B189</f>
        <v>7</v>
      </c>
      <c r="C201" s="89" t="str">
        <f>'Runs Z-Score'!C189</f>
        <v>R4</v>
      </c>
      <c r="D201" s="89" t="str">
        <f>'Runs Z-Score'!D189</f>
        <v>NG</v>
      </c>
      <c r="E201" s="89" t="str">
        <f>'Runs Z-Score'!E189</f>
        <v>W1</v>
      </c>
      <c r="F201" s="89">
        <f>'Runs Z-Score'!F189</f>
        <v>8.07</v>
      </c>
      <c r="G201" s="89">
        <f t="shared" si="16"/>
        <v>9.0400000000000009</v>
      </c>
      <c r="H201" s="89">
        <v>9.91</v>
      </c>
      <c r="I201" s="89">
        <f>VLOOKUP(C201,Recipes!$A$2:$N$4,12,FALSE())</f>
        <v>5.0137397426368718E-2</v>
      </c>
      <c r="J201" s="89">
        <f t="shared" si="18"/>
        <v>301.10289578732295</v>
      </c>
      <c r="K201" s="89">
        <f t="shared" si="19"/>
        <v>301.03622912065629</v>
      </c>
      <c r="L201" s="89">
        <f t="shared" si="20"/>
        <v>17.350395647380964</v>
      </c>
      <c r="M201" s="89" t="str">
        <f t="shared" si="21"/>
        <v>NG</v>
      </c>
      <c r="N201" s="117">
        <f t="shared" si="22"/>
        <v>1</v>
      </c>
      <c r="O201" s="89">
        <f t="shared" si="17"/>
        <v>0.86999999999999922</v>
      </c>
      <c r="P201" s="89">
        <f>IF(G201="","",ABS(O201-Components!$C$2))</f>
        <v>1.8833333333333306</v>
      </c>
      <c r="Q201" s="89">
        <f>IF(G201="","",ABS(O201-Components!$C$3))</f>
        <v>3.1660000000000004</v>
      </c>
      <c r="R201" s="89">
        <f>IF(G201="","",ABS(O201-Components!$C$4))</f>
        <v>0.12333333333333374</v>
      </c>
      <c r="S201" s="89">
        <f>IF(G201="","",ABS(O201-Components!$C$5))</f>
        <v>3.6926666666666712</v>
      </c>
      <c r="T201" s="89">
        <f>IF(G201="","",ABS(O201-Components!$C$6))</f>
        <v>0.28566666666667073</v>
      </c>
      <c r="U201" s="89">
        <f>IF(G201="","",ABS(O201-Components!$C$7))</f>
        <v>0.50433333333333086</v>
      </c>
      <c r="V201" s="89" t="str">
        <f>IF(G201="","",IF(M201="OK","NONE",INDEX({"S1","S2","W1","W2","N1","N2"},MATCH(MIN(P201:U201),P201:U201,0))))</f>
        <v>W1</v>
      </c>
      <c r="W201" s="139">
        <f t="shared" si="23"/>
        <v>1</v>
      </c>
      <c r="X201" s="125"/>
    </row>
    <row r="202" spans="1:24" ht="15.75">
      <c r="A202" s="115">
        <v>188</v>
      </c>
      <c r="B202" s="135">
        <f>'Runs Z-Score'!B190</f>
        <v>7</v>
      </c>
      <c r="C202" s="89" t="str">
        <f>'Runs Z-Score'!C190</f>
        <v>R4</v>
      </c>
      <c r="D202" s="89" t="str">
        <f>'Runs Z-Score'!D190</f>
        <v>NG</v>
      </c>
      <c r="E202" s="89" t="str">
        <f>'Runs Z-Score'!E190</f>
        <v>W1</v>
      </c>
      <c r="F202" s="89">
        <f>'Runs Z-Score'!F190</f>
        <v>7.89</v>
      </c>
      <c r="G202" s="89">
        <f t="shared" si="16"/>
        <v>8.86</v>
      </c>
      <c r="H202" s="89">
        <v>9.91</v>
      </c>
      <c r="I202" s="89">
        <f>VLOOKUP(C202,Recipes!$A$2:$N$4,12,FALSE())</f>
        <v>5.0137397426368718E-2</v>
      </c>
      <c r="J202" s="89">
        <f t="shared" si="18"/>
        <v>438.58626318605428</v>
      </c>
      <c r="K202" s="89">
        <f t="shared" si="19"/>
        <v>438.51959651938762</v>
      </c>
      <c r="L202" s="89">
        <f t="shared" si="20"/>
        <v>20.940859498105315</v>
      </c>
      <c r="M202" s="89" t="str">
        <f t="shared" si="21"/>
        <v>NG</v>
      </c>
      <c r="N202" s="117">
        <f t="shared" si="22"/>
        <v>1</v>
      </c>
      <c r="O202" s="89">
        <f t="shared" si="17"/>
        <v>1.0500000000000007</v>
      </c>
      <c r="P202" s="89">
        <f>IF(G202="","",ABS(O202-Components!$C$2))</f>
        <v>1.7033333333333291</v>
      </c>
      <c r="Q202" s="89">
        <f>IF(G202="","",ABS(O202-Components!$C$3))</f>
        <v>2.9859999999999989</v>
      </c>
      <c r="R202" s="89">
        <f>IF(G202="","",ABS(O202-Components!$C$4))</f>
        <v>5.6666666666667753E-2</v>
      </c>
      <c r="S202" s="89">
        <f>IF(G202="","",ABS(O202-Components!$C$5))</f>
        <v>3.5126666666666697</v>
      </c>
      <c r="T202" s="89">
        <f>IF(G202="","",ABS(O202-Components!$C$6))</f>
        <v>0.10566666666666924</v>
      </c>
      <c r="U202" s="89">
        <f>IF(G202="","",ABS(O202-Components!$C$7))</f>
        <v>0.32433333333332937</v>
      </c>
      <c r="V202" s="89" t="str">
        <f>IF(G202="","",IF(M202="OK","NONE",INDEX({"S1","S2","W1","W2","N1","N2"},MATCH(MIN(P202:U202),P202:U202,0))))</f>
        <v>W1</v>
      </c>
      <c r="W202" s="139">
        <f t="shared" si="23"/>
        <v>1</v>
      </c>
      <c r="X202" s="125"/>
    </row>
    <row r="203" spans="1:24" ht="15.75">
      <c r="A203" s="115">
        <v>189</v>
      </c>
      <c r="B203" s="135">
        <f>'Runs Z-Score'!B191</f>
        <v>7</v>
      </c>
      <c r="C203" s="89" t="str">
        <f>'Runs Z-Score'!C191</f>
        <v>R4</v>
      </c>
      <c r="D203" s="89" t="str">
        <f>'Runs Z-Score'!D191</f>
        <v>NG</v>
      </c>
      <c r="E203" s="89" t="str">
        <f>'Runs Z-Score'!E191</f>
        <v>W1</v>
      </c>
      <c r="F203" s="89">
        <f>'Runs Z-Score'!F191</f>
        <v>7.91</v>
      </c>
      <c r="G203" s="89">
        <f t="shared" si="16"/>
        <v>8.8800000000000008</v>
      </c>
      <c r="H203" s="89">
        <v>9.91</v>
      </c>
      <c r="I203" s="89">
        <f>VLOOKUP(C203,Recipes!$A$2:$N$4,12,FALSE())</f>
        <v>5.0137397426368718E-2</v>
      </c>
      <c r="J203" s="89">
        <f t="shared" si="18"/>
        <v>422.03733933250231</v>
      </c>
      <c r="K203" s="89">
        <f t="shared" si="19"/>
        <v>421.97067266583565</v>
      </c>
      <c r="L203" s="89">
        <f t="shared" si="20"/>
        <v>20.541924755626859</v>
      </c>
      <c r="M203" s="89" t="str">
        <f t="shared" si="21"/>
        <v>NG</v>
      </c>
      <c r="N203" s="117">
        <f t="shared" si="22"/>
        <v>1</v>
      </c>
      <c r="O203" s="89">
        <f t="shared" si="17"/>
        <v>1.0299999999999994</v>
      </c>
      <c r="P203" s="89">
        <f>IF(G203="","",ABS(O203-Components!$C$2))</f>
        <v>1.7233333333333305</v>
      </c>
      <c r="Q203" s="89">
        <f>IF(G203="","",ABS(O203-Components!$C$3))</f>
        <v>3.0060000000000002</v>
      </c>
      <c r="R203" s="89">
        <f>IF(G203="","",ABS(O203-Components!$C$4))</f>
        <v>3.6666666666666403E-2</v>
      </c>
      <c r="S203" s="89">
        <f>IF(G203="","",ABS(O203-Components!$C$5))</f>
        <v>3.5326666666666711</v>
      </c>
      <c r="T203" s="89">
        <f>IF(G203="","",ABS(O203-Components!$C$6))</f>
        <v>0.12566666666667059</v>
      </c>
      <c r="U203" s="89">
        <f>IF(G203="","",ABS(O203-Components!$C$7))</f>
        <v>0.34433333333333072</v>
      </c>
      <c r="V203" s="89" t="str">
        <f>IF(G203="","",IF(M203="OK","NONE",INDEX({"S1","S2","W1","W2","N1","N2"},MATCH(MIN(P203:U203),P203:U203,0))))</f>
        <v>W1</v>
      </c>
      <c r="W203" s="139">
        <f t="shared" si="23"/>
        <v>1</v>
      </c>
      <c r="X203" s="125"/>
    </row>
    <row r="204" spans="1:24" ht="15.75">
      <c r="A204" s="115">
        <v>190</v>
      </c>
      <c r="B204" s="135">
        <f>'Runs Z-Score'!B192</f>
        <v>7</v>
      </c>
      <c r="C204" s="89" t="str">
        <f>'Runs Z-Score'!C192</f>
        <v>R4</v>
      </c>
      <c r="D204" s="89" t="str">
        <f>'Runs Z-Score'!D192</f>
        <v>NG</v>
      </c>
      <c r="E204" s="89" t="str">
        <f>'Runs Z-Score'!E192</f>
        <v>W1</v>
      </c>
      <c r="F204" s="89">
        <f>'Runs Z-Score'!F192</f>
        <v>7.95</v>
      </c>
      <c r="G204" s="89">
        <f t="shared" si="16"/>
        <v>8.92</v>
      </c>
      <c r="H204" s="89">
        <v>9.91</v>
      </c>
      <c r="I204" s="89">
        <f>VLOOKUP(C204,Recipes!$A$2:$N$4,12,FALSE())</f>
        <v>5.0137397426368718E-2</v>
      </c>
      <c r="J204" s="89">
        <f t="shared" si="18"/>
        <v>389.89423723233699</v>
      </c>
      <c r="K204" s="89">
        <f t="shared" si="19"/>
        <v>389.82757056567033</v>
      </c>
      <c r="L204" s="89">
        <f t="shared" si="20"/>
        <v>19.744051523577181</v>
      </c>
      <c r="M204" s="89" t="str">
        <f t="shared" si="21"/>
        <v>NG</v>
      </c>
      <c r="N204" s="117">
        <f t="shared" si="22"/>
        <v>1</v>
      </c>
      <c r="O204" s="89">
        <f t="shared" si="17"/>
        <v>0.99000000000000021</v>
      </c>
      <c r="P204" s="89">
        <f>IF(G204="","",ABS(O204-Components!$C$2))</f>
        <v>1.7633333333333296</v>
      </c>
      <c r="Q204" s="89">
        <f>IF(G204="","",ABS(O204-Components!$C$3))</f>
        <v>3.0459999999999994</v>
      </c>
      <c r="R204" s="89">
        <f>IF(G204="","",ABS(O204-Components!$C$4))</f>
        <v>3.3333333333327442E-3</v>
      </c>
      <c r="S204" s="89">
        <f>IF(G204="","",ABS(O204-Components!$C$5))</f>
        <v>3.5726666666666702</v>
      </c>
      <c r="T204" s="89">
        <f>IF(G204="","",ABS(O204-Components!$C$6))</f>
        <v>0.16566666666666974</v>
      </c>
      <c r="U204" s="89">
        <f>IF(G204="","",ABS(O204-Components!$C$7))</f>
        <v>0.38433333333332986</v>
      </c>
      <c r="V204" s="89" t="str">
        <f>IF(G204="","",IF(M204="OK","NONE",INDEX({"S1","S2","W1","W2","N1","N2"},MATCH(MIN(P204:U204),P204:U204,0))))</f>
        <v>W1</v>
      </c>
      <c r="W204" s="139">
        <f t="shared" si="23"/>
        <v>1</v>
      </c>
      <c r="X204" s="125"/>
    </row>
    <row r="205" spans="1:24" ht="15.75">
      <c r="A205" s="115">
        <v>191</v>
      </c>
      <c r="B205" s="135">
        <f>'Runs Z-Score'!B193</f>
        <v>7</v>
      </c>
      <c r="C205" s="89" t="str">
        <f>'Runs Z-Score'!C193</f>
        <v>R4</v>
      </c>
      <c r="D205" s="89" t="str">
        <f>'Runs Z-Score'!D193</f>
        <v>NG</v>
      </c>
      <c r="E205" s="89" t="str">
        <f>'Runs Z-Score'!E193</f>
        <v>W1</v>
      </c>
      <c r="F205" s="89">
        <f>'Runs Z-Score'!F193</f>
        <v>7.95</v>
      </c>
      <c r="G205" s="89">
        <f t="shared" si="16"/>
        <v>8.92</v>
      </c>
      <c r="H205" s="89">
        <v>9.91</v>
      </c>
      <c r="I205" s="89">
        <f>VLOOKUP(C205,Recipes!$A$2:$N$4,12,FALSE())</f>
        <v>5.0137397426368718E-2</v>
      </c>
      <c r="J205" s="89">
        <f t="shared" si="18"/>
        <v>389.89423723233699</v>
      </c>
      <c r="K205" s="89">
        <f t="shared" si="19"/>
        <v>389.82757056567033</v>
      </c>
      <c r="L205" s="89">
        <f t="shared" si="20"/>
        <v>19.744051523577181</v>
      </c>
      <c r="M205" s="89" t="str">
        <f t="shared" si="21"/>
        <v>NG</v>
      </c>
      <c r="N205" s="117">
        <f t="shared" si="22"/>
        <v>1</v>
      </c>
      <c r="O205" s="89">
        <f t="shared" si="17"/>
        <v>0.99000000000000021</v>
      </c>
      <c r="P205" s="89">
        <f>IF(G205="","",ABS(O205-Components!$C$2))</f>
        <v>1.7633333333333296</v>
      </c>
      <c r="Q205" s="89">
        <f>IF(G205="","",ABS(O205-Components!$C$3))</f>
        <v>3.0459999999999994</v>
      </c>
      <c r="R205" s="89">
        <f>IF(G205="","",ABS(O205-Components!$C$4))</f>
        <v>3.3333333333327442E-3</v>
      </c>
      <c r="S205" s="89">
        <f>IF(G205="","",ABS(O205-Components!$C$5))</f>
        <v>3.5726666666666702</v>
      </c>
      <c r="T205" s="89">
        <f>IF(G205="","",ABS(O205-Components!$C$6))</f>
        <v>0.16566666666666974</v>
      </c>
      <c r="U205" s="89">
        <f>IF(G205="","",ABS(O205-Components!$C$7))</f>
        <v>0.38433333333332986</v>
      </c>
      <c r="V205" s="89" t="str">
        <f>IF(G205="","",IF(M205="OK","NONE",INDEX({"S1","S2","W1","W2","N1","N2"},MATCH(MIN(P205:U205),P205:U205,0))))</f>
        <v>W1</v>
      </c>
      <c r="W205" s="139">
        <f t="shared" si="23"/>
        <v>1</v>
      </c>
      <c r="X205" s="125"/>
    </row>
    <row r="206" spans="1:24" ht="15.75">
      <c r="A206" s="115">
        <v>192</v>
      </c>
      <c r="B206" s="135">
        <f>'Runs Z-Score'!B194</f>
        <v>7</v>
      </c>
      <c r="C206" s="89" t="str">
        <f>'Runs Z-Score'!C194</f>
        <v>R4</v>
      </c>
      <c r="D206" s="89" t="str">
        <f>'Runs Z-Score'!D194</f>
        <v>NG</v>
      </c>
      <c r="E206" s="89" t="str">
        <f>'Runs Z-Score'!E194</f>
        <v>W1</v>
      </c>
      <c r="F206" s="89">
        <f>'Runs Z-Score'!F194</f>
        <v>7.9</v>
      </c>
      <c r="G206" s="89">
        <f t="shared" si="16"/>
        <v>8.870000000000001</v>
      </c>
      <c r="H206" s="89">
        <v>9.91</v>
      </c>
      <c r="I206" s="89">
        <f>VLOOKUP(C206,Recipes!$A$2:$N$4,12,FALSE())</f>
        <v>5.0137397426368718E-2</v>
      </c>
      <c r="J206" s="89">
        <f t="shared" si="18"/>
        <v>430.27202019232197</v>
      </c>
      <c r="K206" s="89">
        <f t="shared" si="19"/>
        <v>430.20535352565531</v>
      </c>
      <c r="L206" s="89">
        <f t="shared" si="20"/>
        <v>20.741392275487566</v>
      </c>
      <c r="M206" s="89" t="str">
        <f t="shared" si="21"/>
        <v>NG</v>
      </c>
      <c r="N206" s="117">
        <f t="shared" si="22"/>
        <v>1</v>
      </c>
      <c r="O206" s="89">
        <f t="shared" si="17"/>
        <v>1.0399999999999991</v>
      </c>
      <c r="P206" s="89">
        <f>IF(G206="","",ABS(O206-Components!$C$2))</f>
        <v>1.7133333333333307</v>
      </c>
      <c r="Q206" s="89">
        <f>IF(G206="","",ABS(O206-Components!$C$3))</f>
        <v>2.9960000000000004</v>
      </c>
      <c r="R206" s="89">
        <f>IF(G206="","",ABS(O206-Components!$C$4))</f>
        <v>4.666666666666619E-2</v>
      </c>
      <c r="S206" s="89">
        <f>IF(G206="","",ABS(O206-Components!$C$5))</f>
        <v>3.5226666666666713</v>
      </c>
      <c r="T206" s="89">
        <f>IF(G206="","",ABS(O206-Components!$C$6))</f>
        <v>0.1156666666666708</v>
      </c>
      <c r="U206" s="89">
        <f>IF(G206="","",ABS(O206-Components!$C$7))</f>
        <v>0.33433333333333093</v>
      </c>
      <c r="V206" s="89" t="str">
        <f>IF(G206="","",IF(M206="OK","NONE",INDEX({"S1","S2","W1","W2","N1","N2"},MATCH(MIN(P206:U206),P206:U206,0))))</f>
        <v>W1</v>
      </c>
      <c r="W206" s="139">
        <f t="shared" si="23"/>
        <v>1</v>
      </c>
      <c r="X206" s="125"/>
    </row>
    <row r="207" spans="1:24" ht="15.75">
      <c r="A207" s="115">
        <v>193</v>
      </c>
      <c r="B207" s="135">
        <f>'Runs Z-Score'!B195</f>
        <v>7</v>
      </c>
      <c r="C207" s="89" t="str">
        <f>'Runs Z-Score'!C195</f>
        <v>R4</v>
      </c>
      <c r="D207" s="89" t="str">
        <f>'Runs Z-Score'!D195</f>
        <v>NG</v>
      </c>
      <c r="E207" s="89" t="str">
        <f>'Runs Z-Score'!E195</f>
        <v>W1</v>
      </c>
      <c r="F207" s="89">
        <f>'Runs Z-Score'!F195</f>
        <v>7.91</v>
      </c>
      <c r="G207" s="89">
        <f t="shared" ref="G207:G270" si="24">0.97+F207</f>
        <v>8.8800000000000008</v>
      </c>
      <c r="H207" s="89">
        <v>9.91</v>
      </c>
      <c r="I207" s="89">
        <f>VLOOKUP(C207,Recipes!$A$2:$N$4,12,FALSE())</f>
        <v>5.0137397426368718E-2</v>
      </c>
      <c r="J207" s="89">
        <f t="shared" si="18"/>
        <v>422.03733933250231</v>
      </c>
      <c r="K207" s="89">
        <f t="shared" si="19"/>
        <v>421.97067266583565</v>
      </c>
      <c r="L207" s="89">
        <f t="shared" si="20"/>
        <v>20.541924755626859</v>
      </c>
      <c r="M207" s="89" t="str">
        <f t="shared" si="21"/>
        <v>NG</v>
      </c>
      <c r="N207" s="117">
        <f t="shared" si="22"/>
        <v>1</v>
      </c>
      <c r="O207" s="89">
        <f t="shared" ref="O207:O270" si="25">IF(G207="","",H207-G207)</f>
        <v>1.0299999999999994</v>
      </c>
      <c r="P207" s="89">
        <f>IF(G207="","",ABS(O207-Components!$C$2))</f>
        <v>1.7233333333333305</v>
      </c>
      <c r="Q207" s="89">
        <f>IF(G207="","",ABS(O207-Components!$C$3))</f>
        <v>3.0060000000000002</v>
      </c>
      <c r="R207" s="89">
        <f>IF(G207="","",ABS(O207-Components!$C$4))</f>
        <v>3.6666666666666403E-2</v>
      </c>
      <c r="S207" s="89">
        <f>IF(G207="","",ABS(O207-Components!$C$5))</f>
        <v>3.5326666666666711</v>
      </c>
      <c r="T207" s="89">
        <f>IF(G207="","",ABS(O207-Components!$C$6))</f>
        <v>0.12566666666667059</v>
      </c>
      <c r="U207" s="89">
        <f>IF(G207="","",ABS(O207-Components!$C$7))</f>
        <v>0.34433333333333072</v>
      </c>
      <c r="V207" s="89" t="str">
        <f>IF(G207="","",IF(M207="OK","NONE",INDEX({"S1","S2","W1","W2","N1","N2"},MATCH(MIN(P207:U207),P207:U207,0))))</f>
        <v>W1</v>
      </c>
      <c r="W207" s="139">
        <f t="shared" si="23"/>
        <v>1</v>
      </c>
      <c r="X207" s="125"/>
    </row>
    <row r="208" spans="1:24" ht="15.75">
      <c r="A208" s="115">
        <v>194</v>
      </c>
      <c r="B208" s="135">
        <f>'Runs Z-Score'!B196</f>
        <v>7</v>
      </c>
      <c r="C208" s="89" t="str">
        <f>'Runs Z-Score'!C196</f>
        <v>R4</v>
      </c>
      <c r="D208" s="89" t="str">
        <f>'Runs Z-Score'!D196</f>
        <v>NG</v>
      </c>
      <c r="E208" s="89" t="str">
        <f>'Runs Z-Score'!E196</f>
        <v>W1</v>
      </c>
      <c r="F208" s="89">
        <f>'Runs Z-Score'!F196</f>
        <v>7.98</v>
      </c>
      <c r="G208" s="89">
        <f t="shared" si="24"/>
        <v>8.9500000000000011</v>
      </c>
      <c r="H208" s="89">
        <v>9.91</v>
      </c>
      <c r="I208" s="89">
        <f>VLOOKUP(C208,Recipes!$A$2:$N$4,12,FALSE())</f>
        <v>5.0137397426368718E-2</v>
      </c>
      <c r="J208" s="89">
        <f t="shared" ref="J208:J271" si="26">IF(G208="","",((G208-H208)/I208)^2)</f>
        <v>366.62231306328016</v>
      </c>
      <c r="K208" s="89">
        <f t="shared" ref="K208:K271" si="27">IF(G208="","",MAX(0, J208-$B$12))</f>
        <v>366.5556463966135</v>
      </c>
      <c r="L208" s="89">
        <f t="shared" ref="L208:L271" si="28">IF(G208="","",SQRT(K208))</f>
        <v>19.1456430134016</v>
      </c>
      <c r="M208" s="89" t="str">
        <f t="shared" ref="M208:M271" si="29">IF(G208="","",IF(K208&lt;=$B$10,"OK","NG"))</f>
        <v>NG</v>
      </c>
      <c r="N208" s="117">
        <f t="shared" ref="N208:N271" si="30">IF(M208="","",IF(M208=D208,1,0))</f>
        <v>1</v>
      </c>
      <c r="O208" s="89">
        <f t="shared" si="25"/>
        <v>0.95999999999999908</v>
      </c>
      <c r="P208" s="89">
        <f>IF(G208="","",ABS(O208-Components!$C$2))</f>
        <v>1.7933333333333308</v>
      </c>
      <c r="Q208" s="89">
        <f>IF(G208="","",ABS(O208-Components!$C$3))</f>
        <v>3.0760000000000005</v>
      </c>
      <c r="R208" s="89">
        <f>IF(G208="","",ABS(O208-Components!$C$4))</f>
        <v>3.3333333333333881E-2</v>
      </c>
      <c r="S208" s="89">
        <f>IF(G208="","",ABS(O208-Components!$C$5))</f>
        <v>3.6026666666666713</v>
      </c>
      <c r="T208" s="89">
        <f>IF(G208="","",ABS(O208-Components!$C$6))</f>
        <v>0.19566666666667087</v>
      </c>
      <c r="U208" s="89">
        <f>IF(G208="","",ABS(O208-Components!$C$7))</f>
        <v>0.414333333333331</v>
      </c>
      <c r="V208" s="89" t="str">
        <f>IF(G208="","",IF(M208="OK","NONE",INDEX({"S1","S2","W1","W2","N1","N2"},MATCH(MIN(P208:U208),P208:U208,0))))</f>
        <v>W1</v>
      </c>
      <c r="W208" s="139">
        <f t="shared" ref="W208:W271" si="31">IF(G208="","",IF(V208=E208,1,0))</f>
        <v>1</v>
      </c>
      <c r="X208" s="125"/>
    </row>
    <row r="209" spans="1:24" ht="15.75">
      <c r="A209" s="115">
        <v>195</v>
      </c>
      <c r="B209" s="135">
        <f>'Runs Z-Score'!B197</f>
        <v>7</v>
      </c>
      <c r="C209" s="89" t="str">
        <f>'Runs Z-Score'!C197</f>
        <v>R4</v>
      </c>
      <c r="D209" s="89" t="str">
        <f>'Runs Z-Score'!D197</f>
        <v>NG</v>
      </c>
      <c r="E209" s="89" t="str">
        <f>'Runs Z-Score'!E197</f>
        <v>W1</v>
      </c>
      <c r="F209" s="89">
        <f>'Runs Z-Score'!F197</f>
        <v>7.95</v>
      </c>
      <c r="G209" s="89">
        <f t="shared" si="24"/>
        <v>8.92</v>
      </c>
      <c r="H209" s="89">
        <v>9.91</v>
      </c>
      <c r="I209" s="89">
        <f>VLOOKUP(C209,Recipes!$A$2:$N$4,12,FALSE())</f>
        <v>5.0137397426368718E-2</v>
      </c>
      <c r="J209" s="89">
        <f t="shared" si="26"/>
        <v>389.89423723233699</v>
      </c>
      <c r="K209" s="89">
        <f t="shared" si="27"/>
        <v>389.82757056567033</v>
      </c>
      <c r="L209" s="89">
        <f t="shared" si="28"/>
        <v>19.744051523577181</v>
      </c>
      <c r="M209" s="89" t="str">
        <f t="shared" si="29"/>
        <v>NG</v>
      </c>
      <c r="N209" s="117">
        <f t="shared" si="30"/>
        <v>1</v>
      </c>
      <c r="O209" s="89">
        <f t="shared" si="25"/>
        <v>0.99000000000000021</v>
      </c>
      <c r="P209" s="89">
        <f>IF(G209="","",ABS(O209-Components!$C$2))</f>
        <v>1.7633333333333296</v>
      </c>
      <c r="Q209" s="89">
        <f>IF(G209="","",ABS(O209-Components!$C$3))</f>
        <v>3.0459999999999994</v>
      </c>
      <c r="R209" s="89">
        <f>IF(G209="","",ABS(O209-Components!$C$4))</f>
        <v>3.3333333333327442E-3</v>
      </c>
      <c r="S209" s="89">
        <f>IF(G209="","",ABS(O209-Components!$C$5))</f>
        <v>3.5726666666666702</v>
      </c>
      <c r="T209" s="89">
        <f>IF(G209="","",ABS(O209-Components!$C$6))</f>
        <v>0.16566666666666974</v>
      </c>
      <c r="U209" s="89">
        <f>IF(G209="","",ABS(O209-Components!$C$7))</f>
        <v>0.38433333333332986</v>
      </c>
      <c r="V209" s="89" t="str">
        <f>IF(G209="","",IF(M209="OK","NONE",INDEX({"S1","S2","W1","W2","N1","N2"},MATCH(MIN(P209:U209),P209:U209,0))))</f>
        <v>W1</v>
      </c>
      <c r="W209" s="139">
        <f t="shared" si="31"/>
        <v>1</v>
      </c>
      <c r="X209" s="125"/>
    </row>
    <row r="210" spans="1:24" ht="15.75">
      <c r="A210" s="115">
        <v>196</v>
      </c>
      <c r="B210" s="135">
        <f>'Runs Z-Score'!B198</f>
        <v>7</v>
      </c>
      <c r="C210" s="89" t="str">
        <f>'Runs Z-Score'!C198</f>
        <v>R4</v>
      </c>
      <c r="D210" s="89" t="str">
        <f>'Runs Z-Score'!D198</f>
        <v>NG</v>
      </c>
      <c r="E210" s="89" t="str">
        <f>'Runs Z-Score'!E198</f>
        <v>W1</v>
      </c>
      <c r="F210" s="89">
        <f>'Runs Z-Score'!F198</f>
        <v>7.9640000000000004</v>
      </c>
      <c r="G210" s="89">
        <f t="shared" si="24"/>
        <v>8.9340000000000011</v>
      </c>
      <c r="H210" s="89">
        <v>9.91</v>
      </c>
      <c r="I210" s="89">
        <f>VLOOKUP(C210,Recipes!$A$2:$N$4,12,FALSE())</f>
        <v>5.0137397426368718E-2</v>
      </c>
      <c r="J210" s="89">
        <f t="shared" si="26"/>
        <v>378.94489636346265</v>
      </c>
      <c r="K210" s="89">
        <f t="shared" si="27"/>
        <v>378.87822969679598</v>
      </c>
      <c r="L210" s="89">
        <f t="shared" si="28"/>
        <v>19.464794622517751</v>
      </c>
      <c r="M210" s="89" t="str">
        <f t="shared" si="29"/>
        <v>NG</v>
      </c>
      <c r="N210" s="117">
        <f t="shared" si="30"/>
        <v>1</v>
      </c>
      <c r="O210" s="89">
        <f t="shared" si="25"/>
        <v>0.97599999999999909</v>
      </c>
      <c r="P210" s="89">
        <f>IF(G210="","",ABS(O210-Components!$C$2))</f>
        <v>1.7773333333333308</v>
      </c>
      <c r="Q210" s="89">
        <f>IF(G210="","",ABS(O210-Components!$C$3))</f>
        <v>3.0600000000000005</v>
      </c>
      <c r="R210" s="89">
        <f>IF(G210="","",ABS(O210-Components!$C$4))</f>
        <v>1.7333333333333867E-2</v>
      </c>
      <c r="S210" s="89">
        <f>IF(G210="","",ABS(O210-Components!$C$5))</f>
        <v>3.5866666666666713</v>
      </c>
      <c r="T210" s="89">
        <f>IF(G210="","",ABS(O210-Components!$C$6))</f>
        <v>0.17966666666667086</v>
      </c>
      <c r="U210" s="89">
        <f>IF(G210="","",ABS(O210-Components!$C$7))</f>
        <v>0.39833333333333099</v>
      </c>
      <c r="V210" s="89" t="str">
        <f>IF(G210="","",IF(M210="OK","NONE",INDEX({"S1","S2","W1","W2","N1","N2"},MATCH(MIN(P210:U210),P210:U210,0))))</f>
        <v>W1</v>
      </c>
      <c r="W210" s="139">
        <f t="shared" si="31"/>
        <v>1</v>
      </c>
      <c r="X210" s="125"/>
    </row>
    <row r="211" spans="1:24" ht="15.75">
      <c r="A211" s="115">
        <v>197</v>
      </c>
      <c r="B211" s="135">
        <f>'Runs Z-Score'!B199</f>
        <v>7</v>
      </c>
      <c r="C211" s="89" t="str">
        <f>'Runs Z-Score'!C199</f>
        <v>R4</v>
      </c>
      <c r="D211" s="89" t="str">
        <f>'Runs Z-Score'!D199</f>
        <v>NG</v>
      </c>
      <c r="E211" s="89" t="str">
        <f>'Runs Z-Score'!E199</f>
        <v>W1</v>
      </c>
      <c r="F211" s="89">
        <f>'Runs Z-Score'!F199</f>
        <v>7.97</v>
      </c>
      <c r="G211" s="89">
        <f t="shared" si="24"/>
        <v>8.94</v>
      </c>
      <c r="H211" s="89">
        <v>9.91</v>
      </c>
      <c r="I211" s="89">
        <f>VLOOKUP(C211,Recipes!$A$2:$N$4,12,FALSE())</f>
        <v>5.0137397426368718E-2</v>
      </c>
      <c r="J211" s="89">
        <f t="shared" si="26"/>
        <v>374.3000589857221</v>
      </c>
      <c r="K211" s="89">
        <f t="shared" si="27"/>
        <v>374.23339231905544</v>
      </c>
      <c r="L211" s="89">
        <f t="shared" si="28"/>
        <v>19.345112879460164</v>
      </c>
      <c r="M211" s="89" t="str">
        <f t="shared" si="29"/>
        <v>NG</v>
      </c>
      <c r="N211" s="117">
        <f t="shared" si="30"/>
        <v>1</v>
      </c>
      <c r="O211" s="89">
        <f t="shared" si="25"/>
        <v>0.97000000000000064</v>
      </c>
      <c r="P211" s="89">
        <f>IF(G211="","",ABS(O211-Components!$C$2))</f>
        <v>1.7833333333333292</v>
      </c>
      <c r="Q211" s="89">
        <f>IF(G211="","",ABS(O211-Components!$C$3))</f>
        <v>3.0659999999999989</v>
      </c>
      <c r="R211" s="89">
        <f>IF(G211="","",ABS(O211-Components!$C$4))</f>
        <v>2.3333333333332318E-2</v>
      </c>
      <c r="S211" s="89">
        <f>IF(G211="","",ABS(O211-Components!$C$5))</f>
        <v>3.5926666666666698</v>
      </c>
      <c r="T211" s="89">
        <f>IF(G211="","",ABS(O211-Components!$C$6))</f>
        <v>0.18566666666666931</v>
      </c>
      <c r="U211" s="89">
        <f>IF(G211="","",ABS(O211-Components!$C$7))</f>
        <v>0.40433333333332944</v>
      </c>
      <c r="V211" s="89" t="str">
        <f>IF(G211="","",IF(M211="OK","NONE",INDEX({"S1","S2","W1","W2","N1","N2"},MATCH(MIN(P211:U211),P211:U211,0))))</f>
        <v>W1</v>
      </c>
      <c r="W211" s="139">
        <f t="shared" si="31"/>
        <v>1</v>
      </c>
      <c r="X211" s="125"/>
    </row>
    <row r="212" spans="1:24" ht="15.75">
      <c r="A212" s="115">
        <v>198</v>
      </c>
      <c r="B212" s="135">
        <f>'Runs Z-Score'!B200</f>
        <v>7</v>
      </c>
      <c r="C212" s="89" t="str">
        <f>'Runs Z-Score'!C200</f>
        <v>R4</v>
      </c>
      <c r="D212" s="89" t="str">
        <f>'Runs Z-Score'!D200</f>
        <v>NG</v>
      </c>
      <c r="E212" s="89" t="str">
        <f>'Runs Z-Score'!E200</f>
        <v>W1</v>
      </c>
      <c r="F212" s="89">
        <f>'Runs Z-Score'!F200</f>
        <v>7.91</v>
      </c>
      <c r="G212" s="89">
        <f t="shared" si="24"/>
        <v>8.8800000000000008</v>
      </c>
      <c r="H212" s="89">
        <v>9.91</v>
      </c>
      <c r="I212" s="89">
        <f>VLOOKUP(C212,Recipes!$A$2:$N$4,12,FALSE())</f>
        <v>5.0137397426368718E-2</v>
      </c>
      <c r="J212" s="89">
        <f t="shared" si="26"/>
        <v>422.03733933250231</v>
      </c>
      <c r="K212" s="89">
        <f t="shared" si="27"/>
        <v>421.97067266583565</v>
      </c>
      <c r="L212" s="89">
        <f t="shared" si="28"/>
        <v>20.541924755626859</v>
      </c>
      <c r="M212" s="89" t="str">
        <f t="shared" si="29"/>
        <v>NG</v>
      </c>
      <c r="N212" s="117">
        <f t="shared" si="30"/>
        <v>1</v>
      </c>
      <c r="O212" s="89">
        <f t="shared" si="25"/>
        <v>1.0299999999999994</v>
      </c>
      <c r="P212" s="89">
        <f>IF(G212="","",ABS(O212-Components!$C$2))</f>
        <v>1.7233333333333305</v>
      </c>
      <c r="Q212" s="89">
        <f>IF(G212="","",ABS(O212-Components!$C$3))</f>
        <v>3.0060000000000002</v>
      </c>
      <c r="R212" s="89">
        <f>IF(G212="","",ABS(O212-Components!$C$4))</f>
        <v>3.6666666666666403E-2</v>
      </c>
      <c r="S212" s="89">
        <f>IF(G212="","",ABS(O212-Components!$C$5))</f>
        <v>3.5326666666666711</v>
      </c>
      <c r="T212" s="89">
        <f>IF(G212="","",ABS(O212-Components!$C$6))</f>
        <v>0.12566666666667059</v>
      </c>
      <c r="U212" s="89">
        <f>IF(G212="","",ABS(O212-Components!$C$7))</f>
        <v>0.34433333333333072</v>
      </c>
      <c r="V212" s="89" t="str">
        <f>IF(G212="","",IF(M212="OK","NONE",INDEX({"S1","S2","W1","W2","N1","N2"},MATCH(MIN(P212:U212),P212:U212,0))))</f>
        <v>W1</v>
      </c>
      <c r="W212" s="139">
        <f t="shared" si="31"/>
        <v>1</v>
      </c>
      <c r="X212" s="125"/>
    </row>
    <row r="213" spans="1:24" ht="15.75">
      <c r="A213" s="115">
        <v>199</v>
      </c>
      <c r="B213" s="135">
        <f>'Runs Z-Score'!B201</f>
        <v>7</v>
      </c>
      <c r="C213" s="89" t="str">
        <f>'Runs Z-Score'!C201</f>
        <v>R4</v>
      </c>
      <c r="D213" s="89" t="str">
        <f>'Runs Z-Score'!D201</f>
        <v>NG</v>
      </c>
      <c r="E213" s="89" t="str">
        <f>'Runs Z-Score'!E201</f>
        <v>W1</v>
      </c>
      <c r="F213" s="89">
        <f>'Runs Z-Score'!F201</f>
        <v>7.93</v>
      </c>
      <c r="G213" s="89">
        <f t="shared" si="24"/>
        <v>8.9</v>
      </c>
      <c r="H213" s="89">
        <v>9.91</v>
      </c>
      <c r="I213" s="89">
        <f>VLOOKUP(C213,Recipes!$A$2:$N$4,12,FALSE())</f>
        <v>5.0137397426368718E-2</v>
      </c>
      <c r="J213" s="89">
        <f t="shared" si="26"/>
        <v>405.80666401459706</v>
      </c>
      <c r="K213" s="89">
        <f t="shared" si="27"/>
        <v>405.7399973479304</v>
      </c>
      <c r="L213" s="89">
        <f t="shared" si="28"/>
        <v>20.142988788854804</v>
      </c>
      <c r="M213" s="89" t="str">
        <f t="shared" si="29"/>
        <v>NG</v>
      </c>
      <c r="N213" s="117">
        <f t="shared" si="30"/>
        <v>1</v>
      </c>
      <c r="O213" s="89">
        <f t="shared" si="25"/>
        <v>1.0099999999999998</v>
      </c>
      <c r="P213" s="89">
        <f>IF(G213="","",ABS(O213-Components!$C$2))</f>
        <v>1.7433333333333301</v>
      </c>
      <c r="Q213" s="89">
        <f>IF(G213="","",ABS(O213-Components!$C$3))</f>
        <v>3.0259999999999998</v>
      </c>
      <c r="R213" s="89">
        <f>IF(G213="","",ABS(O213-Components!$C$4))</f>
        <v>1.6666666666666829E-2</v>
      </c>
      <c r="S213" s="89">
        <f>IF(G213="","",ABS(O213-Components!$C$5))</f>
        <v>3.5526666666666706</v>
      </c>
      <c r="T213" s="89">
        <f>IF(G213="","",ABS(O213-Components!$C$6))</f>
        <v>0.14566666666667016</v>
      </c>
      <c r="U213" s="89">
        <f>IF(G213="","",ABS(O213-Components!$C$7))</f>
        <v>0.36433333333333029</v>
      </c>
      <c r="V213" s="89" t="str">
        <f>IF(G213="","",IF(M213="OK","NONE",INDEX({"S1","S2","W1","W2","N1","N2"},MATCH(MIN(P213:U213),P213:U213,0))))</f>
        <v>W1</v>
      </c>
      <c r="W213" s="139">
        <f t="shared" si="31"/>
        <v>1</v>
      </c>
      <c r="X213" s="125"/>
    </row>
    <row r="214" spans="1:24" ht="15.75">
      <c r="A214" s="115">
        <v>200</v>
      </c>
      <c r="B214" s="135">
        <f>'Runs Z-Score'!B202</f>
        <v>7</v>
      </c>
      <c r="C214" s="89" t="str">
        <f>'Runs Z-Score'!C202</f>
        <v>R4</v>
      </c>
      <c r="D214" s="89" t="str">
        <f>'Runs Z-Score'!D202</f>
        <v>NG</v>
      </c>
      <c r="E214" s="89" t="str">
        <f>'Runs Z-Score'!E202</f>
        <v>W1</v>
      </c>
      <c r="F214" s="89">
        <f>'Runs Z-Score'!F202</f>
        <v>7.94</v>
      </c>
      <c r="G214" s="89">
        <f t="shared" si="24"/>
        <v>8.91</v>
      </c>
      <c r="H214" s="89">
        <v>9.91</v>
      </c>
      <c r="I214" s="89">
        <f>VLOOKUP(C214,Recipes!$A$2:$N$4,12,FALSE())</f>
        <v>5.0137397426368718E-2</v>
      </c>
      <c r="J214" s="89">
        <f t="shared" si="26"/>
        <v>397.81066955651141</v>
      </c>
      <c r="K214" s="89">
        <f t="shared" si="27"/>
        <v>397.74400288984475</v>
      </c>
      <c r="L214" s="89">
        <f t="shared" si="28"/>
        <v>19.943520323399397</v>
      </c>
      <c r="M214" s="89" t="str">
        <f t="shared" si="29"/>
        <v>NG</v>
      </c>
      <c r="N214" s="117">
        <f t="shared" si="30"/>
        <v>1</v>
      </c>
      <c r="O214" s="89">
        <f t="shared" si="25"/>
        <v>1</v>
      </c>
      <c r="P214" s="89">
        <f>IF(G214="","",ABS(O214-Components!$C$2))</f>
        <v>1.7533333333333299</v>
      </c>
      <c r="Q214" s="89">
        <f>IF(G214="","",ABS(O214-Components!$C$3))</f>
        <v>3.0359999999999996</v>
      </c>
      <c r="R214" s="89">
        <f>IF(G214="","",ABS(O214-Components!$C$4))</f>
        <v>6.6666666666670427E-3</v>
      </c>
      <c r="S214" s="89">
        <f>IF(G214="","",ABS(O214-Components!$C$5))</f>
        <v>3.5626666666666704</v>
      </c>
      <c r="T214" s="89">
        <f>IF(G214="","",ABS(O214-Components!$C$6))</f>
        <v>0.15566666666666995</v>
      </c>
      <c r="U214" s="89">
        <f>IF(G214="","",ABS(O214-Components!$C$7))</f>
        <v>0.37433333333333008</v>
      </c>
      <c r="V214" s="89" t="str">
        <f>IF(G214="","",IF(M214="OK","NONE",INDEX({"S1","S2","W1","W2","N1","N2"},MATCH(MIN(P214:U214),P214:U214,0))))</f>
        <v>W1</v>
      </c>
      <c r="W214" s="139">
        <f t="shared" si="31"/>
        <v>1</v>
      </c>
      <c r="X214" s="125"/>
    </row>
    <row r="215" spans="1:24" ht="15.75">
      <c r="A215" s="115">
        <v>201</v>
      </c>
      <c r="B215" s="135">
        <f>'Runs Z-Score'!B203</f>
        <v>7</v>
      </c>
      <c r="C215" s="89" t="str">
        <f>'Runs Z-Score'!C203</f>
        <v>R4</v>
      </c>
      <c r="D215" s="89" t="str">
        <f>'Runs Z-Score'!D203</f>
        <v>NG</v>
      </c>
      <c r="E215" s="89" t="str">
        <f>'Runs Z-Score'!E203</f>
        <v>W1</v>
      </c>
      <c r="F215" s="89">
        <f>'Runs Z-Score'!F203</f>
        <v>7.89</v>
      </c>
      <c r="G215" s="89">
        <f t="shared" si="24"/>
        <v>8.86</v>
      </c>
      <c r="H215" s="89">
        <v>9.91</v>
      </c>
      <c r="I215" s="89">
        <f>VLOOKUP(C215,Recipes!$A$2:$N$4,12,FALSE())</f>
        <v>5.0137397426368718E-2</v>
      </c>
      <c r="J215" s="89">
        <f t="shared" si="26"/>
        <v>438.58626318605428</v>
      </c>
      <c r="K215" s="89">
        <f t="shared" si="27"/>
        <v>438.51959651938762</v>
      </c>
      <c r="L215" s="89">
        <f t="shared" si="28"/>
        <v>20.940859498105315</v>
      </c>
      <c r="M215" s="89" t="str">
        <f t="shared" si="29"/>
        <v>NG</v>
      </c>
      <c r="N215" s="117">
        <f t="shared" si="30"/>
        <v>1</v>
      </c>
      <c r="O215" s="89">
        <f t="shared" si="25"/>
        <v>1.0500000000000007</v>
      </c>
      <c r="P215" s="89">
        <f>IF(G215="","",ABS(O215-Components!$C$2))</f>
        <v>1.7033333333333291</v>
      </c>
      <c r="Q215" s="89">
        <f>IF(G215="","",ABS(O215-Components!$C$3))</f>
        <v>2.9859999999999989</v>
      </c>
      <c r="R215" s="89">
        <f>IF(G215="","",ABS(O215-Components!$C$4))</f>
        <v>5.6666666666667753E-2</v>
      </c>
      <c r="S215" s="89">
        <f>IF(G215="","",ABS(O215-Components!$C$5))</f>
        <v>3.5126666666666697</v>
      </c>
      <c r="T215" s="89">
        <f>IF(G215="","",ABS(O215-Components!$C$6))</f>
        <v>0.10566666666666924</v>
      </c>
      <c r="U215" s="89">
        <f>IF(G215="","",ABS(O215-Components!$C$7))</f>
        <v>0.32433333333332937</v>
      </c>
      <c r="V215" s="89" t="str">
        <f>IF(G215="","",IF(M215="OK","NONE",INDEX({"S1","S2","W1","W2","N1","N2"},MATCH(MIN(P215:U215),P215:U215,0))))</f>
        <v>W1</v>
      </c>
      <c r="W215" s="139">
        <f t="shared" si="31"/>
        <v>1</v>
      </c>
      <c r="X215" s="125"/>
    </row>
    <row r="216" spans="1:24" ht="15.75">
      <c r="A216" s="115">
        <v>202</v>
      </c>
      <c r="B216" s="135">
        <f>'Runs Z-Score'!B204</f>
        <v>7</v>
      </c>
      <c r="C216" s="89" t="str">
        <f>'Runs Z-Score'!C204</f>
        <v>R4</v>
      </c>
      <c r="D216" s="89" t="str">
        <f>'Runs Z-Score'!D204</f>
        <v>NG</v>
      </c>
      <c r="E216" s="89" t="str">
        <f>'Runs Z-Score'!E204</f>
        <v>W1</v>
      </c>
      <c r="F216" s="89">
        <f>'Runs Z-Score'!F204</f>
        <v>7.95</v>
      </c>
      <c r="G216" s="89">
        <f t="shared" si="24"/>
        <v>8.92</v>
      </c>
      <c r="H216" s="89">
        <v>9.91</v>
      </c>
      <c r="I216" s="89">
        <f>VLOOKUP(C216,Recipes!$A$2:$N$4,12,FALSE())</f>
        <v>5.0137397426368718E-2</v>
      </c>
      <c r="J216" s="89">
        <f t="shared" si="26"/>
        <v>389.89423723233699</v>
      </c>
      <c r="K216" s="89">
        <f t="shared" si="27"/>
        <v>389.82757056567033</v>
      </c>
      <c r="L216" s="89">
        <f t="shared" si="28"/>
        <v>19.744051523577181</v>
      </c>
      <c r="M216" s="89" t="str">
        <f t="shared" si="29"/>
        <v>NG</v>
      </c>
      <c r="N216" s="117">
        <f t="shared" si="30"/>
        <v>1</v>
      </c>
      <c r="O216" s="89">
        <f t="shared" si="25"/>
        <v>0.99000000000000021</v>
      </c>
      <c r="P216" s="89">
        <f>IF(G216="","",ABS(O216-Components!$C$2))</f>
        <v>1.7633333333333296</v>
      </c>
      <c r="Q216" s="89">
        <f>IF(G216="","",ABS(O216-Components!$C$3))</f>
        <v>3.0459999999999994</v>
      </c>
      <c r="R216" s="89">
        <f>IF(G216="","",ABS(O216-Components!$C$4))</f>
        <v>3.3333333333327442E-3</v>
      </c>
      <c r="S216" s="89">
        <f>IF(G216="","",ABS(O216-Components!$C$5))</f>
        <v>3.5726666666666702</v>
      </c>
      <c r="T216" s="89">
        <f>IF(G216="","",ABS(O216-Components!$C$6))</f>
        <v>0.16566666666666974</v>
      </c>
      <c r="U216" s="89">
        <f>IF(G216="","",ABS(O216-Components!$C$7))</f>
        <v>0.38433333333332986</v>
      </c>
      <c r="V216" s="89" t="str">
        <f>IF(G216="","",IF(M216="OK","NONE",INDEX({"S1","S2","W1","W2","N1","N2"},MATCH(MIN(P216:U216),P216:U216,0))))</f>
        <v>W1</v>
      </c>
      <c r="W216" s="139">
        <f t="shared" si="31"/>
        <v>1</v>
      </c>
      <c r="X216" s="125"/>
    </row>
    <row r="217" spans="1:24" ht="15.75">
      <c r="A217" s="115">
        <v>203</v>
      </c>
      <c r="B217" s="135">
        <f>'Runs Z-Score'!B205</f>
        <v>7</v>
      </c>
      <c r="C217" s="89" t="str">
        <f>'Runs Z-Score'!C205</f>
        <v>R4</v>
      </c>
      <c r="D217" s="89" t="str">
        <f>'Runs Z-Score'!D205</f>
        <v>NG</v>
      </c>
      <c r="E217" s="89" t="str">
        <f>'Runs Z-Score'!E205</f>
        <v>W1</v>
      </c>
      <c r="F217" s="89">
        <f>'Runs Z-Score'!F205</f>
        <v>7.9</v>
      </c>
      <c r="G217" s="89">
        <f t="shared" si="24"/>
        <v>8.870000000000001</v>
      </c>
      <c r="H217" s="89">
        <v>9.91</v>
      </c>
      <c r="I217" s="89">
        <f>VLOOKUP(C217,Recipes!$A$2:$N$4,12,FALSE())</f>
        <v>5.0137397426368718E-2</v>
      </c>
      <c r="J217" s="89">
        <f t="shared" si="26"/>
        <v>430.27202019232197</v>
      </c>
      <c r="K217" s="89">
        <f t="shared" si="27"/>
        <v>430.20535352565531</v>
      </c>
      <c r="L217" s="89">
        <f t="shared" si="28"/>
        <v>20.741392275487566</v>
      </c>
      <c r="M217" s="89" t="str">
        <f t="shared" si="29"/>
        <v>NG</v>
      </c>
      <c r="N217" s="117">
        <f t="shared" si="30"/>
        <v>1</v>
      </c>
      <c r="O217" s="89">
        <f t="shared" si="25"/>
        <v>1.0399999999999991</v>
      </c>
      <c r="P217" s="89">
        <f>IF(G217="","",ABS(O217-Components!$C$2))</f>
        <v>1.7133333333333307</v>
      </c>
      <c r="Q217" s="89">
        <f>IF(G217="","",ABS(O217-Components!$C$3))</f>
        <v>2.9960000000000004</v>
      </c>
      <c r="R217" s="89">
        <f>IF(G217="","",ABS(O217-Components!$C$4))</f>
        <v>4.666666666666619E-2</v>
      </c>
      <c r="S217" s="89">
        <f>IF(G217="","",ABS(O217-Components!$C$5))</f>
        <v>3.5226666666666713</v>
      </c>
      <c r="T217" s="89">
        <f>IF(G217="","",ABS(O217-Components!$C$6))</f>
        <v>0.1156666666666708</v>
      </c>
      <c r="U217" s="89">
        <f>IF(G217="","",ABS(O217-Components!$C$7))</f>
        <v>0.33433333333333093</v>
      </c>
      <c r="V217" s="89" t="str">
        <f>IF(G217="","",IF(M217="OK","NONE",INDEX({"S1","S2","W1","W2","N1","N2"},MATCH(MIN(P217:U217),P217:U217,0))))</f>
        <v>W1</v>
      </c>
      <c r="W217" s="139">
        <f t="shared" si="31"/>
        <v>1</v>
      </c>
      <c r="X217" s="125"/>
    </row>
    <row r="218" spans="1:24" ht="15.75">
      <c r="A218" s="115">
        <v>204</v>
      </c>
      <c r="B218" s="135">
        <f>'Runs Z-Score'!B206</f>
        <v>7</v>
      </c>
      <c r="C218" s="89" t="str">
        <f>'Runs Z-Score'!C206</f>
        <v>R4</v>
      </c>
      <c r="D218" s="89" t="str">
        <f>'Runs Z-Score'!D206</f>
        <v>NG</v>
      </c>
      <c r="E218" s="89" t="str">
        <f>'Runs Z-Score'!E206</f>
        <v>W1</v>
      </c>
      <c r="F218" s="89">
        <f>'Runs Z-Score'!F206</f>
        <v>7.99</v>
      </c>
      <c r="G218" s="89">
        <f t="shared" si="24"/>
        <v>8.9600000000000009</v>
      </c>
      <c r="H218" s="89">
        <v>9.91</v>
      </c>
      <c r="I218" s="89">
        <f>VLOOKUP(C218,Recipes!$A$2:$N$4,12,FALSE())</f>
        <v>5.0137397426368718E-2</v>
      </c>
      <c r="J218" s="89">
        <f t="shared" si="26"/>
        <v>359.02412927475103</v>
      </c>
      <c r="K218" s="89">
        <f t="shared" si="27"/>
        <v>358.95746260808437</v>
      </c>
      <c r="L218" s="89">
        <f t="shared" si="28"/>
        <v>18.946172769403439</v>
      </c>
      <c r="M218" s="89" t="str">
        <f t="shared" si="29"/>
        <v>NG</v>
      </c>
      <c r="N218" s="117">
        <f t="shared" si="30"/>
        <v>1</v>
      </c>
      <c r="O218" s="89">
        <f t="shared" si="25"/>
        <v>0.94999999999999929</v>
      </c>
      <c r="P218" s="89">
        <f>IF(G218="","",ABS(O218-Components!$C$2))</f>
        <v>1.8033333333333306</v>
      </c>
      <c r="Q218" s="89">
        <f>IF(G218="","",ABS(O218-Components!$C$3))</f>
        <v>3.0860000000000003</v>
      </c>
      <c r="R218" s="89">
        <f>IF(G218="","",ABS(O218-Components!$C$4))</f>
        <v>4.3333333333333668E-2</v>
      </c>
      <c r="S218" s="89">
        <f>IF(G218="","",ABS(O218-Components!$C$5))</f>
        <v>3.6126666666666711</v>
      </c>
      <c r="T218" s="89">
        <f>IF(G218="","",ABS(O218-Components!$C$6))</f>
        <v>0.20566666666667066</v>
      </c>
      <c r="U218" s="89">
        <f>IF(G218="","",ABS(O218-Components!$C$7))</f>
        <v>0.42433333333333079</v>
      </c>
      <c r="V218" s="89" t="str">
        <f>IF(G218="","",IF(M218="OK","NONE",INDEX({"S1","S2","W1","W2","N1","N2"},MATCH(MIN(P218:U218),P218:U218,0))))</f>
        <v>W1</v>
      </c>
      <c r="W218" s="139">
        <f t="shared" si="31"/>
        <v>1</v>
      </c>
      <c r="X218" s="125"/>
    </row>
    <row r="219" spans="1:24" ht="15.75">
      <c r="A219" s="115">
        <v>205</v>
      </c>
      <c r="B219" s="135">
        <f>'Runs Z-Score'!B207</f>
        <v>7</v>
      </c>
      <c r="C219" s="89" t="str">
        <f>'Runs Z-Score'!C207</f>
        <v>R4</v>
      </c>
      <c r="D219" s="89" t="str">
        <f>'Runs Z-Score'!D207</f>
        <v>NG</v>
      </c>
      <c r="E219" s="89" t="str">
        <f>'Runs Z-Score'!E207</f>
        <v>W1</v>
      </c>
      <c r="F219" s="89">
        <f>'Runs Z-Score'!F207</f>
        <v>7.97</v>
      </c>
      <c r="G219" s="89">
        <f t="shared" si="24"/>
        <v>8.94</v>
      </c>
      <c r="H219" s="89">
        <v>9.91</v>
      </c>
      <c r="I219" s="89">
        <f>VLOOKUP(C219,Recipes!$A$2:$N$4,12,FALSE())</f>
        <v>5.0137397426368718E-2</v>
      </c>
      <c r="J219" s="89">
        <f t="shared" si="26"/>
        <v>374.3000589857221</v>
      </c>
      <c r="K219" s="89">
        <f t="shared" si="27"/>
        <v>374.23339231905544</v>
      </c>
      <c r="L219" s="89">
        <f t="shared" si="28"/>
        <v>19.345112879460164</v>
      </c>
      <c r="M219" s="89" t="str">
        <f t="shared" si="29"/>
        <v>NG</v>
      </c>
      <c r="N219" s="117">
        <f t="shared" si="30"/>
        <v>1</v>
      </c>
      <c r="O219" s="89">
        <f t="shared" si="25"/>
        <v>0.97000000000000064</v>
      </c>
      <c r="P219" s="89">
        <f>IF(G219="","",ABS(O219-Components!$C$2))</f>
        <v>1.7833333333333292</v>
      </c>
      <c r="Q219" s="89">
        <f>IF(G219="","",ABS(O219-Components!$C$3))</f>
        <v>3.0659999999999989</v>
      </c>
      <c r="R219" s="89">
        <f>IF(G219="","",ABS(O219-Components!$C$4))</f>
        <v>2.3333333333332318E-2</v>
      </c>
      <c r="S219" s="89">
        <f>IF(G219="","",ABS(O219-Components!$C$5))</f>
        <v>3.5926666666666698</v>
      </c>
      <c r="T219" s="89">
        <f>IF(G219="","",ABS(O219-Components!$C$6))</f>
        <v>0.18566666666666931</v>
      </c>
      <c r="U219" s="89">
        <f>IF(G219="","",ABS(O219-Components!$C$7))</f>
        <v>0.40433333333332944</v>
      </c>
      <c r="V219" s="89" t="str">
        <f>IF(G219="","",IF(M219="OK","NONE",INDEX({"S1","S2","W1","W2","N1","N2"},MATCH(MIN(P219:U219),P219:U219,0))))</f>
        <v>W1</v>
      </c>
      <c r="W219" s="139">
        <f t="shared" si="31"/>
        <v>1</v>
      </c>
      <c r="X219" s="125"/>
    </row>
    <row r="220" spans="1:24" ht="15.75">
      <c r="A220" s="115">
        <v>206</v>
      </c>
      <c r="B220" s="135">
        <f>'Runs Z-Score'!B208</f>
        <v>7</v>
      </c>
      <c r="C220" s="89" t="str">
        <f>'Runs Z-Score'!C208</f>
        <v>R4</v>
      </c>
      <c r="D220" s="89" t="str">
        <f>'Runs Z-Score'!D208</f>
        <v>NG</v>
      </c>
      <c r="E220" s="89" t="str">
        <f>'Runs Z-Score'!E208</f>
        <v>W1</v>
      </c>
      <c r="F220" s="89">
        <f>'Runs Z-Score'!F208</f>
        <v>7.96</v>
      </c>
      <c r="G220" s="89">
        <f t="shared" si="24"/>
        <v>8.93</v>
      </c>
      <c r="H220" s="89">
        <v>9.91</v>
      </c>
      <c r="I220" s="89">
        <f>VLOOKUP(C220,Recipes!$A$2:$N$4,12,FALSE())</f>
        <v>5.0137397426368718E-2</v>
      </c>
      <c r="J220" s="89">
        <f t="shared" si="26"/>
        <v>382.05736704207379</v>
      </c>
      <c r="K220" s="89">
        <f t="shared" si="27"/>
        <v>381.99070037540713</v>
      </c>
      <c r="L220" s="89">
        <f t="shared" si="28"/>
        <v>19.544582379150675</v>
      </c>
      <c r="M220" s="89" t="str">
        <f t="shared" si="29"/>
        <v>NG</v>
      </c>
      <c r="N220" s="117">
        <f t="shared" si="30"/>
        <v>1</v>
      </c>
      <c r="O220" s="89">
        <f t="shared" si="25"/>
        <v>0.98000000000000043</v>
      </c>
      <c r="P220" s="89">
        <f>IF(G220="","",ABS(O220-Components!$C$2))</f>
        <v>1.7733333333333294</v>
      </c>
      <c r="Q220" s="89">
        <f>IF(G220="","",ABS(O220-Components!$C$3))</f>
        <v>3.0559999999999992</v>
      </c>
      <c r="R220" s="89">
        <f>IF(G220="","",ABS(O220-Components!$C$4))</f>
        <v>1.3333333333332531E-2</v>
      </c>
      <c r="S220" s="89">
        <f>IF(G220="","",ABS(O220-Components!$C$5))</f>
        <v>3.58266666666667</v>
      </c>
      <c r="T220" s="89">
        <f>IF(G220="","",ABS(O220-Components!$C$6))</f>
        <v>0.17566666666666952</v>
      </c>
      <c r="U220" s="89">
        <f>IF(G220="","",ABS(O220-Components!$C$7))</f>
        <v>0.39433333333332965</v>
      </c>
      <c r="V220" s="89" t="str">
        <f>IF(G220="","",IF(M220="OK","NONE",INDEX({"S1","S2","W1","W2","N1","N2"},MATCH(MIN(P220:U220),P220:U220,0))))</f>
        <v>W1</v>
      </c>
      <c r="W220" s="139">
        <f t="shared" si="31"/>
        <v>1</v>
      </c>
      <c r="X220" s="125"/>
    </row>
    <row r="221" spans="1:24" ht="15.75">
      <c r="A221" s="115">
        <v>207</v>
      </c>
      <c r="B221" s="135">
        <f>'Runs Z-Score'!B209</f>
        <v>7</v>
      </c>
      <c r="C221" s="89" t="str">
        <f>'Runs Z-Score'!C209</f>
        <v>R4</v>
      </c>
      <c r="D221" s="89" t="str">
        <f>'Runs Z-Score'!D209</f>
        <v>NG</v>
      </c>
      <c r="E221" s="89" t="str">
        <f>'Runs Z-Score'!E209</f>
        <v>W1</v>
      </c>
      <c r="F221" s="89">
        <f>'Runs Z-Score'!F209</f>
        <v>7.99</v>
      </c>
      <c r="G221" s="89">
        <f t="shared" si="24"/>
        <v>8.9600000000000009</v>
      </c>
      <c r="H221" s="89">
        <v>9.91</v>
      </c>
      <c r="I221" s="89">
        <f>VLOOKUP(C221,Recipes!$A$2:$N$4,12,FALSE())</f>
        <v>5.0137397426368718E-2</v>
      </c>
      <c r="J221" s="89">
        <f t="shared" si="26"/>
        <v>359.02412927475103</v>
      </c>
      <c r="K221" s="89">
        <f t="shared" si="27"/>
        <v>358.95746260808437</v>
      </c>
      <c r="L221" s="89">
        <f t="shared" si="28"/>
        <v>18.946172769403439</v>
      </c>
      <c r="M221" s="89" t="str">
        <f t="shared" si="29"/>
        <v>NG</v>
      </c>
      <c r="N221" s="117">
        <f t="shared" si="30"/>
        <v>1</v>
      </c>
      <c r="O221" s="89">
        <f t="shared" si="25"/>
        <v>0.94999999999999929</v>
      </c>
      <c r="P221" s="89">
        <f>IF(G221="","",ABS(O221-Components!$C$2))</f>
        <v>1.8033333333333306</v>
      </c>
      <c r="Q221" s="89">
        <f>IF(G221="","",ABS(O221-Components!$C$3))</f>
        <v>3.0860000000000003</v>
      </c>
      <c r="R221" s="89">
        <f>IF(G221="","",ABS(O221-Components!$C$4))</f>
        <v>4.3333333333333668E-2</v>
      </c>
      <c r="S221" s="89">
        <f>IF(G221="","",ABS(O221-Components!$C$5))</f>
        <v>3.6126666666666711</v>
      </c>
      <c r="T221" s="89">
        <f>IF(G221="","",ABS(O221-Components!$C$6))</f>
        <v>0.20566666666667066</v>
      </c>
      <c r="U221" s="89">
        <f>IF(G221="","",ABS(O221-Components!$C$7))</f>
        <v>0.42433333333333079</v>
      </c>
      <c r="V221" s="89" t="str">
        <f>IF(G221="","",IF(M221="OK","NONE",INDEX({"S1","S2","W1","W2","N1","N2"},MATCH(MIN(P221:U221),P221:U221,0))))</f>
        <v>W1</v>
      </c>
      <c r="W221" s="139">
        <f t="shared" si="31"/>
        <v>1</v>
      </c>
      <c r="X221" s="125"/>
    </row>
    <row r="222" spans="1:24" ht="15.75">
      <c r="A222" s="115">
        <v>208</v>
      </c>
      <c r="B222" s="135">
        <f>'Runs Z-Score'!B210</f>
        <v>7</v>
      </c>
      <c r="C222" s="89" t="str">
        <f>'Runs Z-Score'!C210</f>
        <v>R4</v>
      </c>
      <c r="D222" s="89" t="str">
        <f>'Runs Z-Score'!D210</f>
        <v>NG</v>
      </c>
      <c r="E222" s="89" t="str">
        <f>'Runs Z-Score'!E210</f>
        <v>W1</v>
      </c>
      <c r="F222" s="89">
        <f>'Runs Z-Score'!F210</f>
        <v>7.87</v>
      </c>
      <c r="G222" s="89">
        <f t="shared" si="24"/>
        <v>8.84</v>
      </c>
      <c r="H222" s="89">
        <v>9.91</v>
      </c>
      <c r="I222" s="89">
        <f>VLOOKUP(C222,Recipes!$A$2:$N$4,12,FALSE())</f>
        <v>5.0137397426368718E-2</v>
      </c>
      <c r="J222" s="89">
        <f t="shared" si="26"/>
        <v>455.45343557525018</v>
      </c>
      <c r="K222" s="89">
        <f t="shared" si="27"/>
        <v>455.38676890858352</v>
      </c>
      <c r="L222" s="89">
        <f t="shared" si="28"/>
        <v>21.339793084952429</v>
      </c>
      <c r="M222" s="89" t="str">
        <f t="shared" si="29"/>
        <v>NG</v>
      </c>
      <c r="N222" s="117">
        <f t="shared" si="30"/>
        <v>1</v>
      </c>
      <c r="O222" s="89">
        <f t="shared" si="25"/>
        <v>1.0700000000000003</v>
      </c>
      <c r="P222" s="89">
        <f>IF(G222="","",ABS(O222-Components!$C$2))</f>
        <v>1.6833333333333296</v>
      </c>
      <c r="Q222" s="89">
        <f>IF(G222="","",ABS(O222-Components!$C$3))</f>
        <v>2.9659999999999993</v>
      </c>
      <c r="R222" s="89">
        <f>IF(G222="","",ABS(O222-Components!$C$4))</f>
        <v>7.6666666666667327E-2</v>
      </c>
      <c r="S222" s="89">
        <f>IF(G222="","",ABS(O222-Components!$C$5))</f>
        <v>3.4926666666666701</v>
      </c>
      <c r="T222" s="89">
        <f>IF(G222="","",ABS(O222-Components!$C$6))</f>
        <v>8.5666666666669666E-2</v>
      </c>
      <c r="U222" s="89">
        <f>IF(G222="","",ABS(O222-Components!$C$7))</f>
        <v>0.30433333333332979</v>
      </c>
      <c r="V222" s="89" t="str">
        <f>IF(G222="","",IF(M222="OK","NONE",INDEX({"S1","S2","W1","W2","N1","N2"},MATCH(MIN(P222:U222),P222:U222,0))))</f>
        <v>W1</v>
      </c>
      <c r="W222" s="139">
        <f t="shared" si="31"/>
        <v>1</v>
      </c>
      <c r="X222" s="125"/>
    </row>
    <row r="223" spans="1:24" ht="15.75">
      <c r="A223" s="115">
        <v>209</v>
      </c>
      <c r="B223" s="135">
        <f>'Runs Z-Score'!B211</f>
        <v>7</v>
      </c>
      <c r="C223" s="89" t="str">
        <f>'Runs Z-Score'!C211</f>
        <v>R4</v>
      </c>
      <c r="D223" s="89" t="str">
        <f>'Runs Z-Score'!D211</f>
        <v>NG</v>
      </c>
      <c r="E223" s="89" t="str">
        <f>'Runs Z-Score'!E211</f>
        <v>W1</v>
      </c>
      <c r="F223" s="89">
        <f>'Runs Z-Score'!F211</f>
        <v>7.72</v>
      </c>
      <c r="G223" s="89">
        <f t="shared" si="24"/>
        <v>8.69</v>
      </c>
      <c r="H223" s="89">
        <v>9.91</v>
      </c>
      <c r="I223" s="89">
        <f>VLOOKUP(C223,Recipes!$A$2:$N$4,12,FALSE())</f>
        <v>5.0137397426368718E-2</v>
      </c>
      <c r="J223" s="89">
        <f t="shared" si="26"/>
        <v>592.10140056791226</v>
      </c>
      <c r="K223" s="89">
        <f t="shared" si="27"/>
        <v>592.03473390124554</v>
      </c>
      <c r="L223" s="89">
        <f t="shared" si="28"/>
        <v>24.331763887997219</v>
      </c>
      <c r="M223" s="89" t="str">
        <f t="shared" si="29"/>
        <v>NG</v>
      </c>
      <c r="N223" s="117">
        <f t="shared" si="30"/>
        <v>1</v>
      </c>
      <c r="O223" s="89">
        <f t="shared" si="25"/>
        <v>1.2200000000000006</v>
      </c>
      <c r="P223" s="89">
        <f>IF(G223="","",ABS(O223-Components!$C$2))</f>
        <v>1.5333333333333292</v>
      </c>
      <c r="Q223" s="89">
        <f>IF(G223="","",ABS(O223-Components!$C$3))</f>
        <v>2.8159999999999989</v>
      </c>
      <c r="R223" s="89">
        <f>IF(G223="","",ABS(O223-Components!$C$4))</f>
        <v>0.22666666666666768</v>
      </c>
      <c r="S223" s="89">
        <f>IF(G223="","",ABS(O223-Components!$C$5))</f>
        <v>3.3426666666666698</v>
      </c>
      <c r="T223" s="89">
        <f>IF(G223="","",ABS(O223-Components!$C$6))</f>
        <v>6.4333333333330689E-2</v>
      </c>
      <c r="U223" s="89">
        <f>IF(G223="","",ABS(O223-Components!$C$7))</f>
        <v>0.15433333333332944</v>
      </c>
      <c r="V223" s="89" t="str">
        <f>IF(G223="","",IF(M223="OK","NONE",INDEX({"S1","S2","W1","W2","N1","N2"},MATCH(MIN(P223:U223),P223:U223,0))))</f>
        <v>N1</v>
      </c>
      <c r="W223" s="140">
        <f t="shared" si="31"/>
        <v>0</v>
      </c>
      <c r="X223" s="125"/>
    </row>
    <row r="224" spans="1:24" ht="15.75">
      <c r="A224" s="115">
        <v>210</v>
      </c>
      <c r="B224" s="135">
        <f>'Runs Z-Score'!B212</f>
        <v>7</v>
      </c>
      <c r="C224" s="89" t="str">
        <f>'Runs Z-Score'!C212</f>
        <v>R4</v>
      </c>
      <c r="D224" s="89" t="str">
        <f>'Runs Z-Score'!D212</f>
        <v>NG</v>
      </c>
      <c r="E224" s="89" t="str">
        <f>'Runs Z-Score'!E212</f>
        <v>W1</v>
      </c>
      <c r="F224" s="89">
        <f>'Runs Z-Score'!F212</f>
        <v>7.95</v>
      </c>
      <c r="G224" s="89">
        <f t="shared" si="24"/>
        <v>8.92</v>
      </c>
      <c r="H224" s="89">
        <v>9.91</v>
      </c>
      <c r="I224" s="89">
        <f>VLOOKUP(C224,Recipes!$A$2:$N$4,12,FALSE())</f>
        <v>5.0137397426368718E-2</v>
      </c>
      <c r="J224" s="89">
        <f t="shared" si="26"/>
        <v>389.89423723233699</v>
      </c>
      <c r="K224" s="89">
        <f t="shared" si="27"/>
        <v>389.82757056567033</v>
      </c>
      <c r="L224" s="89">
        <f t="shared" si="28"/>
        <v>19.744051523577181</v>
      </c>
      <c r="M224" s="89" t="str">
        <f t="shared" si="29"/>
        <v>NG</v>
      </c>
      <c r="N224" s="117">
        <f t="shared" si="30"/>
        <v>1</v>
      </c>
      <c r="O224" s="89">
        <f t="shared" si="25"/>
        <v>0.99000000000000021</v>
      </c>
      <c r="P224" s="89">
        <f>IF(G224="","",ABS(O224-Components!$C$2))</f>
        <v>1.7633333333333296</v>
      </c>
      <c r="Q224" s="89">
        <f>IF(G224="","",ABS(O224-Components!$C$3))</f>
        <v>3.0459999999999994</v>
      </c>
      <c r="R224" s="89">
        <f>IF(G224="","",ABS(O224-Components!$C$4))</f>
        <v>3.3333333333327442E-3</v>
      </c>
      <c r="S224" s="89">
        <f>IF(G224="","",ABS(O224-Components!$C$5))</f>
        <v>3.5726666666666702</v>
      </c>
      <c r="T224" s="89">
        <f>IF(G224="","",ABS(O224-Components!$C$6))</f>
        <v>0.16566666666666974</v>
      </c>
      <c r="U224" s="89">
        <f>IF(G224="","",ABS(O224-Components!$C$7))</f>
        <v>0.38433333333332986</v>
      </c>
      <c r="V224" s="89" t="str">
        <f>IF(G224="","",IF(M224="OK","NONE",INDEX({"S1","S2","W1","W2","N1","N2"},MATCH(MIN(P224:U224),P224:U224,0))))</f>
        <v>W1</v>
      </c>
      <c r="W224" s="139">
        <f t="shared" si="31"/>
        <v>1</v>
      </c>
      <c r="X224" s="125"/>
    </row>
    <row r="225" spans="1:24" ht="15.75">
      <c r="A225" s="115">
        <v>211</v>
      </c>
      <c r="B225" s="135">
        <f>'Runs Z-Score'!B213</f>
        <v>8</v>
      </c>
      <c r="C225" s="89" t="str">
        <f>'Runs Z-Score'!C213</f>
        <v>R4</v>
      </c>
      <c r="D225" s="89" t="str">
        <f>'Runs Z-Score'!D213</f>
        <v>NG</v>
      </c>
      <c r="E225" s="89" t="str">
        <f>'Runs Z-Score'!E213</f>
        <v>N1</v>
      </c>
      <c r="F225" s="89">
        <f>'Runs Z-Score'!F213</f>
        <v>7.72</v>
      </c>
      <c r="G225" s="89">
        <f t="shared" si="24"/>
        <v>8.69</v>
      </c>
      <c r="H225" s="89">
        <v>9.91</v>
      </c>
      <c r="I225" s="89">
        <f>VLOOKUP(C225,Recipes!$A$2:$N$4,12,FALSE())</f>
        <v>5.0137397426368718E-2</v>
      </c>
      <c r="J225" s="89">
        <f t="shared" si="26"/>
        <v>592.10140056791226</v>
      </c>
      <c r="K225" s="89">
        <f t="shared" si="27"/>
        <v>592.03473390124554</v>
      </c>
      <c r="L225" s="89">
        <f t="shared" si="28"/>
        <v>24.331763887997219</v>
      </c>
      <c r="M225" s="89" t="str">
        <f t="shared" si="29"/>
        <v>NG</v>
      </c>
      <c r="N225" s="117">
        <f t="shared" si="30"/>
        <v>1</v>
      </c>
      <c r="O225" s="89">
        <f t="shared" si="25"/>
        <v>1.2200000000000006</v>
      </c>
      <c r="P225" s="89">
        <f>IF(G225="","",ABS(O225-Components!$C$2))</f>
        <v>1.5333333333333292</v>
      </c>
      <c r="Q225" s="89">
        <f>IF(G225="","",ABS(O225-Components!$C$3))</f>
        <v>2.8159999999999989</v>
      </c>
      <c r="R225" s="89">
        <f>IF(G225="","",ABS(O225-Components!$C$4))</f>
        <v>0.22666666666666768</v>
      </c>
      <c r="S225" s="89">
        <f>IF(G225="","",ABS(O225-Components!$C$5))</f>
        <v>3.3426666666666698</v>
      </c>
      <c r="T225" s="89">
        <f>IF(G225="","",ABS(O225-Components!$C$6))</f>
        <v>6.4333333333330689E-2</v>
      </c>
      <c r="U225" s="89">
        <f>IF(G225="","",ABS(O225-Components!$C$7))</f>
        <v>0.15433333333332944</v>
      </c>
      <c r="V225" s="89" t="str">
        <f>IF(G225="","",IF(M225="OK","NONE",INDEX({"S1","S2","W1","W2","N1","N2"},MATCH(MIN(P225:U225),P225:U225,0))))</f>
        <v>N1</v>
      </c>
      <c r="W225" s="139">
        <f t="shared" si="31"/>
        <v>1</v>
      </c>
      <c r="X225" s="125"/>
    </row>
    <row r="226" spans="1:24" ht="15.75">
      <c r="A226" s="115">
        <v>212</v>
      </c>
      <c r="B226" s="135">
        <f>'Runs Z-Score'!B214</f>
        <v>8</v>
      </c>
      <c r="C226" s="89" t="str">
        <f>'Runs Z-Score'!C214</f>
        <v>R4</v>
      </c>
      <c r="D226" s="89" t="str">
        <f>'Runs Z-Score'!D214</f>
        <v>NG</v>
      </c>
      <c r="E226" s="89" t="str">
        <f>'Runs Z-Score'!E214</f>
        <v>N1</v>
      </c>
      <c r="F226" s="89">
        <f>'Runs Z-Score'!F214</f>
        <v>7.75</v>
      </c>
      <c r="G226" s="89">
        <f t="shared" si="24"/>
        <v>8.7200000000000006</v>
      </c>
      <c r="H226" s="89">
        <v>9.91</v>
      </c>
      <c r="I226" s="89">
        <f>VLOOKUP(C226,Recipes!$A$2:$N$4,12,FALSE())</f>
        <v>5.0137397426368718E-2</v>
      </c>
      <c r="J226" s="89">
        <f t="shared" si="26"/>
        <v>563.33968915897526</v>
      </c>
      <c r="K226" s="89">
        <f t="shared" si="27"/>
        <v>563.27302249230854</v>
      </c>
      <c r="L226" s="89">
        <f t="shared" si="28"/>
        <v>23.733373601161478</v>
      </c>
      <c r="M226" s="89" t="str">
        <f t="shared" si="29"/>
        <v>NG</v>
      </c>
      <c r="N226" s="117">
        <f t="shared" si="30"/>
        <v>1</v>
      </c>
      <c r="O226" s="89">
        <f t="shared" si="25"/>
        <v>1.1899999999999995</v>
      </c>
      <c r="P226" s="89">
        <f>IF(G226="","",ABS(O226-Components!$C$2))</f>
        <v>1.5633333333333304</v>
      </c>
      <c r="Q226" s="89">
        <f>IF(G226="","",ABS(O226-Components!$C$3))</f>
        <v>2.8460000000000001</v>
      </c>
      <c r="R226" s="89">
        <f>IF(G226="","",ABS(O226-Components!$C$4))</f>
        <v>0.19666666666666655</v>
      </c>
      <c r="S226" s="89">
        <f>IF(G226="","",ABS(O226-Components!$C$5))</f>
        <v>3.3726666666666709</v>
      </c>
      <c r="T226" s="89">
        <f>IF(G226="","",ABS(O226-Components!$C$6))</f>
        <v>3.4333333333329552E-2</v>
      </c>
      <c r="U226" s="89">
        <f>IF(G226="","",ABS(O226-Components!$C$7))</f>
        <v>0.18433333333333057</v>
      </c>
      <c r="V226" s="89" t="str">
        <f>IF(G226="","",IF(M226="OK","NONE",INDEX({"S1","S2","W1","W2","N1","N2"},MATCH(MIN(P226:U226),P226:U226,0))))</f>
        <v>N1</v>
      </c>
      <c r="W226" s="139">
        <f t="shared" si="31"/>
        <v>1</v>
      </c>
      <c r="X226" s="125"/>
    </row>
    <row r="227" spans="1:24" ht="15.75">
      <c r="A227" s="115">
        <v>213</v>
      </c>
      <c r="B227" s="135">
        <f>'Runs Z-Score'!B215</f>
        <v>8</v>
      </c>
      <c r="C227" s="89" t="str">
        <f>'Runs Z-Score'!C215</f>
        <v>R4</v>
      </c>
      <c r="D227" s="89" t="str">
        <f>'Runs Z-Score'!D215</f>
        <v>NG</v>
      </c>
      <c r="E227" s="89" t="str">
        <f>'Runs Z-Score'!E215</f>
        <v>N1</v>
      </c>
      <c r="F227" s="89">
        <f>'Runs Z-Score'!F215</f>
        <v>7.8</v>
      </c>
      <c r="G227" s="89">
        <f t="shared" si="24"/>
        <v>8.77</v>
      </c>
      <c r="H227" s="89">
        <v>9.91</v>
      </c>
      <c r="I227" s="89">
        <f>VLOOKUP(C227,Recipes!$A$2:$N$4,12,FALSE())</f>
        <v>5.0137397426368718E-2</v>
      </c>
      <c r="J227" s="89">
        <f t="shared" si="26"/>
        <v>516.9947461556427</v>
      </c>
      <c r="K227" s="89">
        <f t="shared" si="27"/>
        <v>516.92807948897598</v>
      </c>
      <c r="L227" s="89">
        <f t="shared" si="28"/>
        <v>22.736052416569063</v>
      </c>
      <c r="M227" s="89" t="str">
        <f t="shared" si="29"/>
        <v>NG</v>
      </c>
      <c r="N227" s="117">
        <f t="shared" si="30"/>
        <v>1</v>
      </c>
      <c r="O227" s="89">
        <f t="shared" si="25"/>
        <v>1.1400000000000006</v>
      </c>
      <c r="P227" s="89">
        <f>IF(G227="","",ABS(O227-Components!$C$2))</f>
        <v>1.6133333333333293</v>
      </c>
      <c r="Q227" s="89">
        <f>IF(G227="","",ABS(O227-Components!$C$3))</f>
        <v>2.895999999999999</v>
      </c>
      <c r="R227" s="89">
        <f>IF(G227="","",ABS(O227-Components!$C$4))</f>
        <v>0.14666666666666761</v>
      </c>
      <c r="S227" s="89">
        <f>IF(G227="","",ABS(O227-Components!$C$5))</f>
        <v>3.4226666666666699</v>
      </c>
      <c r="T227" s="89">
        <f>IF(G227="","",ABS(O227-Components!$C$6))</f>
        <v>1.5666666666669382E-2</v>
      </c>
      <c r="U227" s="89">
        <f>IF(G227="","",ABS(O227-Components!$C$7))</f>
        <v>0.23433333333332951</v>
      </c>
      <c r="V227" s="89" t="str">
        <f>IF(G227="","",IF(M227="OK","NONE",INDEX({"S1","S2","W1","W2","N1","N2"},MATCH(MIN(P227:U227),P227:U227,0))))</f>
        <v>N1</v>
      </c>
      <c r="W227" s="139">
        <f t="shared" si="31"/>
        <v>1</v>
      </c>
      <c r="X227" s="125"/>
    </row>
    <row r="228" spans="1:24" ht="15.75">
      <c r="A228" s="115">
        <v>214</v>
      </c>
      <c r="B228" s="135">
        <f>'Runs Z-Score'!B216</f>
        <v>8</v>
      </c>
      <c r="C228" s="89" t="str">
        <f>'Runs Z-Score'!C216</f>
        <v>R4</v>
      </c>
      <c r="D228" s="89" t="str">
        <f>'Runs Z-Score'!D216</f>
        <v>NG</v>
      </c>
      <c r="E228" s="89" t="str">
        <f>'Runs Z-Score'!E216</f>
        <v>N1</v>
      </c>
      <c r="F228" s="89">
        <f>'Runs Z-Score'!F216</f>
        <v>7.77</v>
      </c>
      <c r="G228" s="89">
        <f t="shared" si="24"/>
        <v>8.74</v>
      </c>
      <c r="H228" s="89">
        <v>9.91</v>
      </c>
      <c r="I228" s="89">
        <f>VLOOKUP(C228,Recipes!$A$2:$N$4,12,FALSE())</f>
        <v>5.0137397426368718E-2</v>
      </c>
      <c r="J228" s="89">
        <f t="shared" si="26"/>
        <v>544.56302555590844</v>
      </c>
      <c r="K228" s="89">
        <f t="shared" si="27"/>
        <v>544.49635888924172</v>
      </c>
      <c r="L228" s="89">
        <f t="shared" si="28"/>
        <v>23.334445759204176</v>
      </c>
      <c r="M228" s="89" t="str">
        <f t="shared" si="29"/>
        <v>NG</v>
      </c>
      <c r="N228" s="117">
        <f t="shared" si="30"/>
        <v>1</v>
      </c>
      <c r="O228" s="89">
        <f t="shared" si="25"/>
        <v>1.17</v>
      </c>
      <c r="P228" s="89">
        <f>IF(G228="","",ABS(O228-Components!$C$2))</f>
        <v>1.5833333333333299</v>
      </c>
      <c r="Q228" s="89">
        <f>IF(G228="","",ABS(O228-Components!$C$3))</f>
        <v>2.8659999999999997</v>
      </c>
      <c r="R228" s="89">
        <f>IF(G228="","",ABS(O228-Components!$C$4))</f>
        <v>0.17666666666666697</v>
      </c>
      <c r="S228" s="89">
        <f>IF(G228="","",ABS(O228-Components!$C$5))</f>
        <v>3.3926666666666705</v>
      </c>
      <c r="T228" s="89">
        <f>IF(G228="","",ABS(O228-Components!$C$6))</f>
        <v>1.4333333333329978E-2</v>
      </c>
      <c r="U228" s="89">
        <f>IF(G228="","",ABS(O228-Components!$C$7))</f>
        <v>0.20433333333333015</v>
      </c>
      <c r="V228" s="89" t="str">
        <f>IF(G228="","",IF(M228="OK","NONE",INDEX({"S1","S2","W1","W2","N1","N2"},MATCH(MIN(P228:U228),P228:U228,0))))</f>
        <v>N1</v>
      </c>
      <c r="W228" s="139">
        <f t="shared" si="31"/>
        <v>1</v>
      </c>
      <c r="X228" s="125"/>
    </row>
    <row r="229" spans="1:24" ht="15.75">
      <c r="A229" s="115">
        <v>215</v>
      </c>
      <c r="B229" s="135">
        <f>'Runs Z-Score'!B217</f>
        <v>8</v>
      </c>
      <c r="C229" s="89" t="str">
        <f>'Runs Z-Score'!C217</f>
        <v>R4</v>
      </c>
      <c r="D229" s="89" t="str">
        <f>'Runs Z-Score'!D217</f>
        <v>NG</v>
      </c>
      <c r="E229" s="89" t="str">
        <f>'Runs Z-Score'!E217</f>
        <v>N1</v>
      </c>
      <c r="F229" s="89">
        <f>'Runs Z-Score'!F217</f>
        <v>7.78</v>
      </c>
      <c r="G229" s="89">
        <f t="shared" si="24"/>
        <v>8.75</v>
      </c>
      <c r="H229" s="89">
        <v>9.91</v>
      </c>
      <c r="I229" s="89">
        <f>VLOOKUP(C229,Recipes!$A$2:$N$4,12,FALSE())</f>
        <v>5.0137397426368718E-2</v>
      </c>
      <c r="J229" s="89">
        <f t="shared" si="26"/>
        <v>535.29403695524184</v>
      </c>
      <c r="K229" s="89">
        <f t="shared" si="27"/>
        <v>535.22737028857512</v>
      </c>
      <c r="L229" s="89">
        <f t="shared" si="28"/>
        <v>23.134981527733604</v>
      </c>
      <c r="M229" s="89" t="str">
        <f t="shared" si="29"/>
        <v>NG</v>
      </c>
      <c r="N229" s="117">
        <f t="shared" si="30"/>
        <v>1</v>
      </c>
      <c r="O229" s="89">
        <f t="shared" si="25"/>
        <v>1.1600000000000001</v>
      </c>
      <c r="P229" s="89">
        <f>IF(G229="","",ABS(O229-Components!$C$2))</f>
        <v>1.5933333333333297</v>
      </c>
      <c r="Q229" s="89">
        <f>IF(G229="","",ABS(O229-Components!$C$3))</f>
        <v>2.8759999999999994</v>
      </c>
      <c r="R229" s="89">
        <f>IF(G229="","",ABS(O229-Components!$C$4))</f>
        <v>0.16666666666666718</v>
      </c>
      <c r="S229" s="89">
        <f>IF(G229="","",ABS(O229-Components!$C$5))</f>
        <v>3.4026666666666703</v>
      </c>
      <c r="T229" s="89">
        <f>IF(G229="","",ABS(O229-Components!$C$6))</f>
        <v>4.3333333333301916E-3</v>
      </c>
      <c r="U229" s="89">
        <f>IF(G229="","",ABS(O229-Components!$C$7))</f>
        <v>0.21433333333332993</v>
      </c>
      <c r="V229" s="89" t="str">
        <f>IF(G229="","",IF(M229="OK","NONE",INDEX({"S1","S2","W1","W2","N1","N2"},MATCH(MIN(P229:U229),P229:U229,0))))</f>
        <v>N1</v>
      </c>
      <c r="W229" s="139">
        <f t="shared" si="31"/>
        <v>1</v>
      </c>
      <c r="X229" s="125"/>
    </row>
    <row r="230" spans="1:24" ht="15.75">
      <c r="A230" s="115">
        <v>216</v>
      </c>
      <c r="B230" s="135">
        <f>'Runs Z-Score'!B218</f>
        <v>8</v>
      </c>
      <c r="C230" s="89" t="str">
        <f>'Runs Z-Score'!C218</f>
        <v>R4</v>
      </c>
      <c r="D230" s="89" t="str">
        <f>'Runs Z-Score'!D218</f>
        <v>NG</v>
      </c>
      <c r="E230" s="89" t="str">
        <f>'Runs Z-Score'!E218</f>
        <v>N1</v>
      </c>
      <c r="F230" s="89">
        <f>'Runs Z-Score'!F218</f>
        <v>7.82</v>
      </c>
      <c r="G230" s="89">
        <f t="shared" si="24"/>
        <v>8.7900000000000009</v>
      </c>
      <c r="H230" s="89">
        <v>9.91</v>
      </c>
      <c r="I230" s="89">
        <f>VLOOKUP(C230,Recipes!$A$2:$N$4,12,FALSE())</f>
        <v>5.0137397426368718E-2</v>
      </c>
      <c r="J230" s="89">
        <f t="shared" si="26"/>
        <v>499.01370389168721</v>
      </c>
      <c r="K230" s="89">
        <f t="shared" si="27"/>
        <v>498.94703722502055</v>
      </c>
      <c r="L230" s="89">
        <f t="shared" si="28"/>
        <v>22.337122402516858</v>
      </c>
      <c r="M230" s="89" t="str">
        <f t="shared" si="29"/>
        <v>NG</v>
      </c>
      <c r="N230" s="117">
        <f t="shared" si="30"/>
        <v>1</v>
      </c>
      <c r="O230" s="89">
        <f t="shared" si="25"/>
        <v>1.1199999999999992</v>
      </c>
      <c r="P230" s="89">
        <f>IF(G230="","",ABS(O230-Components!$C$2))</f>
        <v>1.6333333333333306</v>
      </c>
      <c r="Q230" s="89">
        <f>IF(G230="","",ABS(O230-Components!$C$3))</f>
        <v>2.9160000000000004</v>
      </c>
      <c r="R230" s="89">
        <f>IF(G230="","",ABS(O230-Components!$C$4))</f>
        <v>0.12666666666666626</v>
      </c>
      <c r="S230" s="89">
        <f>IF(G230="","",ABS(O230-Components!$C$5))</f>
        <v>3.4426666666666712</v>
      </c>
      <c r="T230" s="89">
        <f>IF(G230="","",ABS(O230-Components!$C$6))</f>
        <v>3.5666666666670732E-2</v>
      </c>
      <c r="U230" s="89">
        <f>IF(G230="","",ABS(O230-Components!$C$7))</f>
        <v>0.25433333333333086</v>
      </c>
      <c r="V230" s="89" t="str">
        <f>IF(G230="","",IF(M230="OK","NONE",INDEX({"S1","S2","W1","W2","N1","N2"},MATCH(MIN(P230:U230),P230:U230,0))))</f>
        <v>N1</v>
      </c>
      <c r="W230" s="139">
        <f t="shared" si="31"/>
        <v>1</v>
      </c>
      <c r="X230" s="125"/>
    </row>
    <row r="231" spans="1:24" ht="15.75">
      <c r="A231" s="115">
        <v>217</v>
      </c>
      <c r="B231" s="135">
        <f>'Runs Z-Score'!B219</f>
        <v>8</v>
      </c>
      <c r="C231" s="89" t="str">
        <f>'Runs Z-Score'!C219</f>
        <v>R4</v>
      </c>
      <c r="D231" s="89" t="str">
        <f>'Runs Z-Score'!D219</f>
        <v>NG</v>
      </c>
      <c r="E231" s="89" t="str">
        <f>'Runs Z-Score'!E219</f>
        <v>N1</v>
      </c>
      <c r="F231" s="89">
        <f>'Runs Z-Score'!F219</f>
        <v>7.78</v>
      </c>
      <c r="G231" s="89">
        <f t="shared" si="24"/>
        <v>8.75</v>
      </c>
      <c r="H231" s="89">
        <v>9.91</v>
      </c>
      <c r="I231" s="89">
        <f>VLOOKUP(C231,Recipes!$A$2:$N$4,12,FALSE())</f>
        <v>5.0137397426368718E-2</v>
      </c>
      <c r="J231" s="89">
        <f t="shared" si="26"/>
        <v>535.29403695524184</v>
      </c>
      <c r="K231" s="89">
        <f t="shared" si="27"/>
        <v>535.22737028857512</v>
      </c>
      <c r="L231" s="89">
        <f t="shared" si="28"/>
        <v>23.134981527733604</v>
      </c>
      <c r="M231" s="89" t="str">
        <f t="shared" si="29"/>
        <v>NG</v>
      </c>
      <c r="N231" s="117">
        <f t="shared" si="30"/>
        <v>1</v>
      </c>
      <c r="O231" s="89">
        <f t="shared" si="25"/>
        <v>1.1600000000000001</v>
      </c>
      <c r="P231" s="89">
        <f>IF(G231="","",ABS(O231-Components!$C$2))</f>
        <v>1.5933333333333297</v>
      </c>
      <c r="Q231" s="89">
        <f>IF(G231="","",ABS(O231-Components!$C$3))</f>
        <v>2.8759999999999994</v>
      </c>
      <c r="R231" s="89">
        <f>IF(G231="","",ABS(O231-Components!$C$4))</f>
        <v>0.16666666666666718</v>
      </c>
      <c r="S231" s="89">
        <f>IF(G231="","",ABS(O231-Components!$C$5))</f>
        <v>3.4026666666666703</v>
      </c>
      <c r="T231" s="89">
        <f>IF(G231="","",ABS(O231-Components!$C$6))</f>
        <v>4.3333333333301916E-3</v>
      </c>
      <c r="U231" s="89">
        <f>IF(G231="","",ABS(O231-Components!$C$7))</f>
        <v>0.21433333333332993</v>
      </c>
      <c r="V231" s="89" t="str">
        <f>IF(G231="","",IF(M231="OK","NONE",INDEX({"S1","S2","W1","W2","N1","N2"},MATCH(MIN(P231:U231),P231:U231,0))))</f>
        <v>N1</v>
      </c>
      <c r="W231" s="139">
        <f t="shared" si="31"/>
        <v>1</v>
      </c>
      <c r="X231" s="125"/>
    </row>
    <row r="232" spans="1:24" ht="15.75">
      <c r="A232" s="115">
        <v>218</v>
      </c>
      <c r="B232" s="135">
        <f>'Runs Z-Score'!B220</f>
        <v>8</v>
      </c>
      <c r="C232" s="89" t="str">
        <f>'Runs Z-Score'!C220</f>
        <v>R4</v>
      </c>
      <c r="D232" s="89" t="str">
        <f>'Runs Z-Score'!D220</f>
        <v>NG</v>
      </c>
      <c r="E232" s="89" t="str">
        <f>'Runs Z-Score'!E220</f>
        <v>N1</v>
      </c>
      <c r="F232" s="89">
        <f>'Runs Z-Score'!F220</f>
        <v>7.52</v>
      </c>
      <c r="G232" s="89">
        <f t="shared" si="24"/>
        <v>8.49</v>
      </c>
      <c r="H232" s="89">
        <v>9.91</v>
      </c>
      <c r="I232" s="89">
        <f>VLOOKUP(C232,Recipes!$A$2:$N$4,12,FALSE())</f>
        <v>5.0137397426368718E-2</v>
      </c>
      <c r="J232" s="89">
        <f t="shared" si="26"/>
        <v>802.14543409374949</v>
      </c>
      <c r="K232" s="89">
        <f t="shared" si="27"/>
        <v>802.07876742708277</v>
      </c>
      <c r="L232" s="89">
        <f t="shared" si="28"/>
        <v>28.320995170139817</v>
      </c>
      <c r="M232" s="89" t="str">
        <f t="shared" si="29"/>
        <v>NG</v>
      </c>
      <c r="N232" s="117">
        <f t="shared" si="30"/>
        <v>1</v>
      </c>
      <c r="O232" s="89">
        <f t="shared" si="25"/>
        <v>1.42</v>
      </c>
      <c r="P232" s="89">
        <f>IF(G232="","",ABS(O232-Components!$C$2))</f>
        <v>1.3333333333333299</v>
      </c>
      <c r="Q232" s="89">
        <f>IF(G232="","",ABS(O232-Components!$C$3))</f>
        <v>2.6159999999999997</v>
      </c>
      <c r="R232" s="89">
        <f>IF(G232="","",ABS(O232-Components!$C$4))</f>
        <v>0.42666666666666697</v>
      </c>
      <c r="S232" s="89">
        <f>IF(G232="","",ABS(O232-Components!$C$5))</f>
        <v>3.1426666666666705</v>
      </c>
      <c r="T232" s="89">
        <f>IF(G232="","",ABS(O232-Components!$C$6))</f>
        <v>0.26433333333332998</v>
      </c>
      <c r="U232" s="89">
        <f>IF(G232="","",ABS(O232-Components!$C$7))</f>
        <v>4.5666666666669853E-2</v>
      </c>
      <c r="V232" s="89" t="str">
        <f>IF(G232="","",IF(M232="OK","NONE",INDEX({"S1","S2","W1","W2","N1","N2"},MATCH(MIN(P232:U232),P232:U232,0))))</f>
        <v>N2</v>
      </c>
      <c r="W232" s="140">
        <f t="shared" si="31"/>
        <v>0</v>
      </c>
      <c r="X232" s="125"/>
    </row>
    <row r="233" spans="1:24" ht="15.75">
      <c r="A233" s="115">
        <v>219</v>
      </c>
      <c r="B233" s="135">
        <f>'Runs Z-Score'!B221</f>
        <v>8</v>
      </c>
      <c r="C233" s="89" t="str">
        <f>'Runs Z-Score'!C221</f>
        <v>R4</v>
      </c>
      <c r="D233" s="89" t="str">
        <f>'Runs Z-Score'!D221</f>
        <v>NG</v>
      </c>
      <c r="E233" s="89" t="str">
        <f>'Runs Z-Score'!E221</f>
        <v>N1</v>
      </c>
      <c r="F233" s="89">
        <f>'Runs Z-Score'!F221</f>
        <v>7.75</v>
      </c>
      <c r="G233" s="89">
        <f t="shared" si="24"/>
        <v>8.7200000000000006</v>
      </c>
      <c r="H233" s="89">
        <v>9.91</v>
      </c>
      <c r="I233" s="89">
        <f>VLOOKUP(C233,Recipes!$A$2:$N$4,12,FALSE())</f>
        <v>5.0137397426368718E-2</v>
      </c>
      <c r="J233" s="89">
        <f t="shared" si="26"/>
        <v>563.33968915897526</v>
      </c>
      <c r="K233" s="89">
        <f t="shared" si="27"/>
        <v>563.27302249230854</v>
      </c>
      <c r="L233" s="89">
        <f t="shared" si="28"/>
        <v>23.733373601161478</v>
      </c>
      <c r="M233" s="89" t="str">
        <f t="shared" si="29"/>
        <v>NG</v>
      </c>
      <c r="N233" s="117">
        <f t="shared" si="30"/>
        <v>1</v>
      </c>
      <c r="O233" s="89">
        <f t="shared" si="25"/>
        <v>1.1899999999999995</v>
      </c>
      <c r="P233" s="89">
        <f>IF(G233="","",ABS(O233-Components!$C$2))</f>
        <v>1.5633333333333304</v>
      </c>
      <c r="Q233" s="89">
        <f>IF(G233="","",ABS(O233-Components!$C$3))</f>
        <v>2.8460000000000001</v>
      </c>
      <c r="R233" s="89">
        <f>IF(G233="","",ABS(O233-Components!$C$4))</f>
        <v>0.19666666666666655</v>
      </c>
      <c r="S233" s="89">
        <f>IF(G233="","",ABS(O233-Components!$C$5))</f>
        <v>3.3726666666666709</v>
      </c>
      <c r="T233" s="89">
        <f>IF(G233="","",ABS(O233-Components!$C$6))</f>
        <v>3.4333333333329552E-2</v>
      </c>
      <c r="U233" s="89">
        <f>IF(G233="","",ABS(O233-Components!$C$7))</f>
        <v>0.18433333333333057</v>
      </c>
      <c r="V233" s="89" t="str">
        <f>IF(G233="","",IF(M233="OK","NONE",INDEX({"S1","S2","W1","W2","N1","N2"},MATCH(MIN(P233:U233),P233:U233,0))))</f>
        <v>N1</v>
      </c>
      <c r="W233" s="139">
        <f t="shared" si="31"/>
        <v>1</v>
      </c>
      <c r="X233" s="125"/>
    </row>
    <row r="234" spans="1:24" ht="15.75">
      <c r="A234" s="115">
        <v>220</v>
      </c>
      <c r="B234" s="135">
        <f>'Runs Z-Score'!B222</f>
        <v>8</v>
      </c>
      <c r="C234" s="89" t="str">
        <f>'Runs Z-Score'!C222</f>
        <v>R4</v>
      </c>
      <c r="D234" s="89" t="str">
        <f>'Runs Z-Score'!D222</f>
        <v>NG</v>
      </c>
      <c r="E234" s="89" t="str">
        <f>'Runs Z-Score'!E222</f>
        <v>N1</v>
      </c>
      <c r="F234" s="89">
        <f>'Runs Z-Score'!F222</f>
        <v>7.76</v>
      </c>
      <c r="G234" s="89">
        <f t="shared" si="24"/>
        <v>8.73</v>
      </c>
      <c r="H234" s="89">
        <v>9.91</v>
      </c>
      <c r="I234" s="89">
        <f>VLOOKUP(C234,Recipes!$A$2:$N$4,12,FALSE())</f>
        <v>5.0137397426368718E-2</v>
      </c>
      <c r="J234" s="89">
        <f t="shared" si="26"/>
        <v>553.9115762904861</v>
      </c>
      <c r="K234" s="89">
        <f t="shared" si="27"/>
        <v>553.84490962381938</v>
      </c>
      <c r="L234" s="89">
        <f t="shared" si="28"/>
        <v>23.533909781925725</v>
      </c>
      <c r="M234" s="89" t="str">
        <f t="shared" si="29"/>
        <v>NG</v>
      </c>
      <c r="N234" s="117">
        <f t="shared" si="30"/>
        <v>1</v>
      </c>
      <c r="O234" s="89">
        <f t="shared" si="25"/>
        <v>1.1799999999999997</v>
      </c>
      <c r="P234" s="89">
        <f>IF(G234="","",ABS(O234-Components!$C$2))</f>
        <v>1.5733333333333301</v>
      </c>
      <c r="Q234" s="89">
        <f>IF(G234="","",ABS(O234-Components!$C$3))</f>
        <v>2.8559999999999999</v>
      </c>
      <c r="R234" s="89">
        <f>IF(G234="","",ABS(O234-Components!$C$4))</f>
        <v>0.18666666666666676</v>
      </c>
      <c r="S234" s="89">
        <f>IF(G234="","",ABS(O234-Components!$C$5))</f>
        <v>3.3826666666666707</v>
      </c>
      <c r="T234" s="89">
        <f>IF(G234="","",ABS(O234-Components!$C$6))</f>
        <v>2.4333333333329765E-2</v>
      </c>
      <c r="U234" s="89">
        <f>IF(G234="","",ABS(O234-Components!$C$7))</f>
        <v>0.19433333333333036</v>
      </c>
      <c r="V234" s="89" t="str">
        <f>IF(G234="","",IF(M234="OK","NONE",INDEX({"S1","S2","W1","W2","N1","N2"},MATCH(MIN(P234:U234),P234:U234,0))))</f>
        <v>N1</v>
      </c>
      <c r="W234" s="139">
        <f t="shared" si="31"/>
        <v>1</v>
      </c>
      <c r="X234" s="125"/>
    </row>
    <row r="235" spans="1:24" ht="15.75">
      <c r="A235" s="115">
        <v>221</v>
      </c>
      <c r="B235" s="135">
        <f>'Runs Z-Score'!B223</f>
        <v>8</v>
      </c>
      <c r="C235" s="89" t="str">
        <f>'Runs Z-Score'!C223</f>
        <v>R4</v>
      </c>
      <c r="D235" s="89" t="str">
        <f>'Runs Z-Score'!D223</f>
        <v>NG</v>
      </c>
      <c r="E235" s="89" t="str">
        <f>'Runs Z-Score'!E223</f>
        <v>N1</v>
      </c>
      <c r="F235" s="89">
        <f>'Runs Z-Score'!F223</f>
        <v>7.78</v>
      </c>
      <c r="G235" s="89">
        <f t="shared" si="24"/>
        <v>8.75</v>
      </c>
      <c r="H235" s="89">
        <v>9.91</v>
      </c>
      <c r="I235" s="89">
        <f>VLOOKUP(C235,Recipes!$A$2:$N$4,12,FALSE())</f>
        <v>5.0137397426368718E-2</v>
      </c>
      <c r="J235" s="89">
        <f t="shared" si="26"/>
        <v>535.29403695524184</v>
      </c>
      <c r="K235" s="89">
        <f t="shared" si="27"/>
        <v>535.22737028857512</v>
      </c>
      <c r="L235" s="89">
        <f t="shared" si="28"/>
        <v>23.134981527733604</v>
      </c>
      <c r="M235" s="89" t="str">
        <f t="shared" si="29"/>
        <v>NG</v>
      </c>
      <c r="N235" s="117">
        <f t="shared" si="30"/>
        <v>1</v>
      </c>
      <c r="O235" s="89">
        <f t="shared" si="25"/>
        <v>1.1600000000000001</v>
      </c>
      <c r="P235" s="89">
        <f>IF(G235="","",ABS(O235-Components!$C$2))</f>
        <v>1.5933333333333297</v>
      </c>
      <c r="Q235" s="89">
        <f>IF(G235="","",ABS(O235-Components!$C$3))</f>
        <v>2.8759999999999994</v>
      </c>
      <c r="R235" s="89">
        <f>IF(G235="","",ABS(O235-Components!$C$4))</f>
        <v>0.16666666666666718</v>
      </c>
      <c r="S235" s="89">
        <f>IF(G235="","",ABS(O235-Components!$C$5))</f>
        <v>3.4026666666666703</v>
      </c>
      <c r="T235" s="89">
        <f>IF(G235="","",ABS(O235-Components!$C$6))</f>
        <v>4.3333333333301916E-3</v>
      </c>
      <c r="U235" s="89">
        <f>IF(G235="","",ABS(O235-Components!$C$7))</f>
        <v>0.21433333333332993</v>
      </c>
      <c r="V235" s="89" t="str">
        <f>IF(G235="","",IF(M235="OK","NONE",INDEX({"S1","S2","W1","W2","N1","N2"},MATCH(MIN(P235:U235),P235:U235,0))))</f>
        <v>N1</v>
      </c>
      <c r="W235" s="139">
        <f t="shared" si="31"/>
        <v>1</v>
      </c>
      <c r="X235" s="125"/>
    </row>
    <row r="236" spans="1:24" ht="15.75">
      <c r="A236" s="115">
        <v>222</v>
      </c>
      <c r="B236" s="135">
        <f>'Runs Z-Score'!B224</f>
        <v>8</v>
      </c>
      <c r="C236" s="89" t="str">
        <f>'Runs Z-Score'!C224</f>
        <v>R4</v>
      </c>
      <c r="D236" s="89" t="str">
        <f>'Runs Z-Score'!D224</f>
        <v>NG</v>
      </c>
      <c r="E236" s="89" t="str">
        <f>'Runs Z-Score'!E224</f>
        <v>N1</v>
      </c>
      <c r="F236" s="89">
        <f>'Runs Z-Score'!F224</f>
        <v>7.82</v>
      </c>
      <c r="G236" s="89">
        <f t="shared" si="24"/>
        <v>8.7900000000000009</v>
      </c>
      <c r="H236" s="89">
        <v>9.91</v>
      </c>
      <c r="I236" s="89">
        <f>VLOOKUP(C236,Recipes!$A$2:$N$4,12,FALSE())</f>
        <v>5.0137397426368718E-2</v>
      </c>
      <c r="J236" s="89">
        <f t="shared" si="26"/>
        <v>499.01370389168721</v>
      </c>
      <c r="K236" s="89">
        <f t="shared" si="27"/>
        <v>498.94703722502055</v>
      </c>
      <c r="L236" s="89">
        <f t="shared" si="28"/>
        <v>22.337122402516858</v>
      </c>
      <c r="M236" s="89" t="str">
        <f t="shared" si="29"/>
        <v>NG</v>
      </c>
      <c r="N236" s="117">
        <f t="shared" si="30"/>
        <v>1</v>
      </c>
      <c r="O236" s="89">
        <f t="shared" si="25"/>
        <v>1.1199999999999992</v>
      </c>
      <c r="P236" s="89">
        <f>IF(G236="","",ABS(O236-Components!$C$2))</f>
        <v>1.6333333333333306</v>
      </c>
      <c r="Q236" s="89">
        <f>IF(G236="","",ABS(O236-Components!$C$3))</f>
        <v>2.9160000000000004</v>
      </c>
      <c r="R236" s="89">
        <f>IF(G236="","",ABS(O236-Components!$C$4))</f>
        <v>0.12666666666666626</v>
      </c>
      <c r="S236" s="89">
        <f>IF(G236="","",ABS(O236-Components!$C$5))</f>
        <v>3.4426666666666712</v>
      </c>
      <c r="T236" s="89">
        <f>IF(G236="","",ABS(O236-Components!$C$6))</f>
        <v>3.5666666666670732E-2</v>
      </c>
      <c r="U236" s="89">
        <f>IF(G236="","",ABS(O236-Components!$C$7))</f>
        <v>0.25433333333333086</v>
      </c>
      <c r="V236" s="89" t="str">
        <f>IF(G236="","",IF(M236="OK","NONE",INDEX({"S1","S2","W1","W2","N1","N2"},MATCH(MIN(P236:U236),P236:U236,0))))</f>
        <v>N1</v>
      </c>
      <c r="W236" s="139">
        <f t="shared" si="31"/>
        <v>1</v>
      </c>
      <c r="X236" s="125"/>
    </row>
    <row r="237" spans="1:24" ht="15.75">
      <c r="A237" s="115">
        <v>223</v>
      </c>
      <c r="B237" s="135">
        <f>'Runs Z-Score'!B225</f>
        <v>8</v>
      </c>
      <c r="C237" s="89" t="str">
        <f>'Runs Z-Score'!C225</f>
        <v>R4</v>
      </c>
      <c r="D237" s="89" t="str">
        <f>'Runs Z-Score'!D225</f>
        <v>NG</v>
      </c>
      <c r="E237" s="89" t="str">
        <f>'Runs Z-Score'!E225</f>
        <v>N1</v>
      </c>
      <c r="F237" s="89">
        <f>'Runs Z-Score'!F225</f>
        <v>7.8</v>
      </c>
      <c r="G237" s="89">
        <f t="shared" si="24"/>
        <v>8.77</v>
      </c>
      <c r="H237" s="89">
        <v>9.91</v>
      </c>
      <c r="I237" s="89">
        <f>VLOOKUP(C237,Recipes!$A$2:$N$4,12,FALSE())</f>
        <v>5.0137397426368718E-2</v>
      </c>
      <c r="J237" s="89">
        <f t="shared" si="26"/>
        <v>516.9947461556427</v>
      </c>
      <c r="K237" s="89">
        <f t="shared" si="27"/>
        <v>516.92807948897598</v>
      </c>
      <c r="L237" s="89">
        <f t="shared" si="28"/>
        <v>22.736052416569063</v>
      </c>
      <c r="M237" s="89" t="str">
        <f t="shared" si="29"/>
        <v>NG</v>
      </c>
      <c r="N237" s="117">
        <f t="shared" si="30"/>
        <v>1</v>
      </c>
      <c r="O237" s="89">
        <f t="shared" si="25"/>
        <v>1.1400000000000006</v>
      </c>
      <c r="P237" s="89">
        <f>IF(G237="","",ABS(O237-Components!$C$2))</f>
        <v>1.6133333333333293</v>
      </c>
      <c r="Q237" s="89">
        <f>IF(G237="","",ABS(O237-Components!$C$3))</f>
        <v>2.895999999999999</v>
      </c>
      <c r="R237" s="89">
        <f>IF(G237="","",ABS(O237-Components!$C$4))</f>
        <v>0.14666666666666761</v>
      </c>
      <c r="S237" s="89">
        <f>IF(G237="","",ABS(O237-Components!$C$5))</f>
        <v>3.4226666666666699</v>
      </c>
      <c r="T237" s="89">
        <f>IF(G237="","",ABS(O237-Components!$C$6))</f>
        <v>1.5666666666669382E-2</v>
      </c>
      <c r="U237" s="89">
        <f>IF(G237="","",ABS(O237-Components!$C$7))</f>
        <v>0.23433333333332951</v>
      </c>
      <c r="V237" s="89" t="str">
        <f>IF(G237="","",IF(M237="OK","NONE",INDEX({"S1","S2","W1","W2","N1","N2"},MATCH(MIN(P237:U237),P237:U237,0))))</f>
        <v>N1</v>
      </c>
      <c r="W237" s="139">
        <f t="shared" si="31"/>
        <v>1</v>
      </c>
      <c r="X237" s="125"/>
    </row>
    <row r="238" spans="1:24" ht="15.75">
      <c r="A238" s="115">
        <v>224</v>
      </c>
      <c r="B238" s="135">
        <f>'Runs Z-Score'!B226</f>
        <v>8</v>
      </c>
      <c r="C238" s="89" t="str">
        <f>'Runs Z-Score'!C226</f>
        <v>R4</v>
      </c>
      <c r="D238" s="89" t="str">
        <f>'Runs Z-Score'!D226</f>
        <v>NG</v>
      </c>
      <c r="E238" s="89" t="str">
        <f>'Runs Z-Score'!E226</f>
        <v>N1</v>
      </c>
      <c r="F238" s="89">
        <f>'Runs Z-Score'!F226</f>
        <v>7.75</v>
      </c>
      <c r="G238" s="89">
        <f t="shared" si="24"/>
        <v>8.7200000000000006</v>
      </c>
      <c r="H238" s="89">
        <v>9.91</v>
      </c>
      <c r="I238" s="89">
        <f>VLOOKUP(C238,Recipes!$A$2:$N$4,12,FALSE())</f>
        <v>5.0137397426368718E-2</v>
      </c>
      <c r="J238" s="89">
        <f t="shared" si="26"/>
        <v>563.33968915897526</v>
      </c>
      <c r="K238" s="89">
        <f t="shared" si="27"/>
        <v>563.27302249230854</v>
      </c>
      <c r="L238" s="89">
        <f t="shared" si="28"/>
        <v>23.733373601161478</v>
      </c>
      <c r="M238" s="89" t="str">
        <f t="shared" si="29"/>
        <v>NG</v>
      </c>
      <c r="N238" s="117">
        <f t="shared" si="30"/>
        <v>1</v>
      </c>
      <c r="O238" s="89">
        <f t="shared" si="25"/>
        <v>1.1899999999999995</v>
      </c>
      <c r="P238" s="89">
        <f>IF(G238="","",ABS(O238-Components!$C$2))</f>
        <v>1.5633333333333304</v>
      </c>
      <c r="Q238" s="89">
        <f>IF(G238="","",ABS(O238-Components!$C$3))</f>
        <v>2.8460000000000001</v>
      </c>
      <c r="R238" s="89">
        <f>IF(G238="","",ABS(O238-Components!$C$4))</f>
        <v>0.19666666666666655</v>
      </c>
      <c r="S238" s="89">
        <f>IF(G238="","",ABS(O238-Components!$C$5))</f>
        <v>3.3726666666666709</v>
      </c>
      <c r="T238" s="89">
        <f>IF(G238="","",ABS(O238-Components!$C$6))</f>
        <v>3.4333333333329552E-2</v>
      </c>
      <c r="U238" s="89">
        <f>IF(G238="","",ABS(O238-Components!$C$7))</f>
        <v>0.18433333333333057</v>
      </c>
      <c r="V238" s="89" t="str">
        <f>IF(G238="","",IF(M238="OK","NONE",INDEX({"S1","S2","W1","W2","N1","N2"},MATCH(MIN(P238:U238),P238:U238,0))))</f>
        <v>N1</v>
      </c>
      <c r="W238" s="139">
        <f t="shared" si="31"/>
        <v>1</v>
      </c>
      <c r="X238" s="125"/>
    </row>
    <row r="239" spans="1:24" ht="15.75">
      <c r="A239" s="115">
        <v>225</v>
      </c>
      <c r="B239" s="135">
        <f>'Runs Z-Score'!B227</f>
        <v>8</v>
      </c>
      <c r="C239" s="89" t="str">
        <f>'Runs Z-Score'!C227</f>
        <v>R4</v>
      </c>
      <c r="D239" s="89" t="str">
        <f>'Runs Z-Score'!D227</f>
        <v>NG</v>
      </c>
      <c r="E239" s="89" t="str">
        <f>'Runs Z-Score'!E227</f>
        <v>N1</v>
      </c>
      <c r="F239" s="89">
        <f>'Runs Z-Score'!F227</f>
        <v>7.72</v>
      </c>
      <c r="G239" s="89">
        <f t="shared" si="24"/>
        <v>8.69</v>
      </c>
      <c r="H239" s="89">
        <v>9.91</v>
      </c>
      <c r="I239" s="89">
        <f>VLOOKUP(C239,Recipes!$A$2:$N$4,12,FALSE())</f>
        <v>5.0137397426368718E-2</v>
      </c>
      <c r="J239" s="89">
        <f t="shared" si="26"/>
        <v>592.10140056791226</v>
      </c>
      <c r="K239" s="89">
        <f t="shared" si="27"/>
        <v>592.03473390124554</v>
      </c>
      <c r="L239" s="89">
        <f t="shared" si="28"/>
        <v>24.331763887997219</v>
      </c>
      <c r="M239" s="89" t="str">
        <f t="shared" si="29"/>
        <v>NG</v>
      </c>
      <c r="N239" s="117">
        <f t="shared" si="30"/>
        <v>1</v>
      </c>
      <c r="O239" s="89">
        <f t="shared" si="25"/>
        <v>1.2200000000000006</v>
      </c>
      <c r="P239" s="89">
        <f>IF(G239="","",ABS(O239-Components!$C$2))</f>
        <v>1.5333333333333292</v>
      </c>
      <c r="Q239" s="89">
        <f>IF(G239="","",ABS(O239-Components!$C$3))</f>
        <v>2.8159999999999989</v>
      </c>
      <c r="R239" s="89">
        <f>IF(G239="","",ABS(O239-Components!$C$4))</f>
        <v>0.22666666666666768</v>
      </c>
      <c r="S239" s="89">
        <f>IF(G239="","",ABS(O239-Components!$C$5))</f>
        <v>3.3426666666666698</v>
      </c>
      <c r="T239" s="89">
        <f>IF(G239="","",ABS(O239-Components!$C$6))</f>
        <v>6.4333333333330689E-2</v>
      </c>
      <c r="U239" s="89">
        <f>IF(G239="","",ABS(O239-Components!$C$7))</f>
        <v>0.15433333333332944</v>
      </c>
      <c r="V239" s="89" t="str">
        <f>IF(G239="","",IF(M239="OK","NONE",INDEX({"S1","S2","W1","W2","N1","N2"},MATCH(MIN(P239:U239),P239:U239,0))))</f>
        <v>N1</v>
      </c>
      <c r="W239" s="139">
        <f t="shared" si="31"/>
        <v>1</v>
      </c>
      <c r="X239" s="125"/>
    </row>
    <row r="240" spans="1:24" ht="15.75">
      <c r="A240" s="115">
        <v>226</v>
      </c>
      <c r="B240" s="135">
        <f>'Runs Z-Score'!B228</f>
        <v>8</v>
      </c>
      <c r="C240" s="89" t="str">
        <f>'Runs Z-Score'!C228</f>
        <v>R4</v>
      </c>
      <c r="D240" s="89" t="str">
        <f>'Runs Z-Score'!D228</f>
        <v>NG</v>
      </c>
      <c r="E240" s="89" t="str">
        <f>'Runs Z-Score'!E228</f>
        <v>N1</v>
      </c>
      <c r="F240" s="89">
        <f>'Runs Z-Score'!F228</f>
        <v>7.78</v>
      </c>
      <c r="G240" s="89">
        <f t="shared" si="24"/>
        <v>8.75</v>
      </c>
      <c r="H240" s="89">
        <v>9.91</v>
      </c>
      <c r="I240" s="89">
        <f>VLOOKUP(C240,Recipes!$A$2:$N$4,12,FALSE())</f>
        <v>5.0137397426368718E-2</v>
      </c>
      <c r="J240" s="89">
        <f t="shared" si="26"/>
        <v>535.29403695524184</v>
      </c>
      <c r="K240" s="89">
        <f t="shared" si="27"/>
        <v>535.22737028857512</v>
      </c>
      <c r="L240" s="89">
        <f t="shared" si="28"/>
        <v>23.134981527733604</v>
      </c>
      <c r="M240" s="89" t="str">
        <f t="shared" si="29"/>
        <v>NG</v>
      </c>
      <c r="N240" s="117">
        <f t="shared" si="30"/>
        <v>1</v>
      </c>
      <c r="O240" s="89">
        <f t="shared" si="25"/>
        <v>1.1600000000000001</v>
      </c>
      <c r="P240" s="89">
        <f>IF(G240="","",ABS(O240-Components!$C$2))</f>
        <v>1.5933333333333297</v>
      </c>
      <c r="Q240" s="89">
        <f>IF(G240="","",ABS(O240-Components!$C$3))</f>
        <v>2.8759999999999994</v>
      </c>
      <c r="R240" s="89">
        <f>IF(G240="","",ABS(O240-Components!$C$4))</f>
        <v>0.16666666666666718</v>
      </c>
      <c r="S240" s="89">
        <f>IF(G240="","",ABS(O240-Components!$C$5))</f>
        <v>3.4026666666666703</v>
      </c>
      <c r="T240" s="89">
        <f>IF(G240="","",ABS(O240-Components!$C$6))</f>
        <v>4.3333333333301916E-3</v>
      </c>
      <c r="U240" s="89">
        <f>IF(G240="","",ABS(O240-Components!$C$7))</f>
        <v>0.21433333333332993</v>
      </c>
      <c r="V240" s="89" t="str">
        <f>IF(G240="","",IF(M240="OK","NONE",INDEX({"S1","S2","W1","W2","N1","N2"},MATCH(MIN(P240:U240),P240:U240,0))))</f>
        <v>N1</v>
      </c>
      <c r="W240" s="139">
        <f t="shared" si="31"/>
        <v>1</v>
      </c>
      <c r="X240" s="125"/>
    </row>
    <row r="241" spans="1:24" ht="15.75">
      <c r="A241" s="115">
        <v>227</v>
      </c>
      <c r="B241" s="135">
        <f>'Runs Z-Score'!B229</f>
        <v>8</v>
      </c>
      <c r="C241" s="89" t="str">
        <f>'Runs Z-Score'!C229</f>
        <v>R4</v>
      </c>
      <c r="D241" s="89" t="str">
        <f>'Runs Z-Score'!D229</f>
        <v>NG</v>
      </c>
      <c r="E241" s="89" t="str">
        <f>'Runs Z-Score'!E229</f>
        <v>N1</v>
      </c>
      <c r="F241" s="89">
        <f>'Runs Z-Score'!F229</f>
        <v>7.75</v>
      </c>
      <c r="G241" s="89">
        <f t="shared" si="24"/>
        <v>8.7200000000000006</v>
      </c>
      <c r="H241" s="89">
        <v>9.91</v>
      </c>
      <c r="I241" s="89">
        <f>VLOOKUP(C241,Recipes!$A$2:$N$4,12,FALSE())</f>
        <v>5.0137397426368718E-2</v>
      </c>
      <c r="J241" s="89">
        <f t="shared" si="26"/>
        <v>563.33968915897526</v>
      </c>
      <c r="K241" s="89">
        <f t="shared" si="27"/>
        <v>563.27302249230854</v>
      </c>
      <c r="L241" s="89">
        <f t="shared" si="28"/>
        <v>23.733373601161478</v>
      </c>
      <c r="M241" s="89" t="str">
        <f t="shared" si="29"/>
        <v>NG</v>
      </c>
      <c r="N241" s="117">
        <f t="shared" si="30"/>
        <v>1</v>
      </c>
      <c r="O241" s="89">
        <f t="shared" si="25"/>
        <v>1.1899999999999995</v>
      </c>
      <c r="P241" s="89">
        <f>IF(G241="","",ABS(O241-Components!$C$2))</f>
        <v>1.5633333333333304</v>
      </c>
      <c r="Q241" s="89">
        <f>IF(G241="","",ABS(O241-Components!$C$3))</f>
        <v>2.8460000000000001</v>
      </c>
      <c r="R241" s="89">
        <f>IF(G241="","",ABS(O241-Components!$C$4))</f>
        <v>0.19666666666666655</v>
      </c>
      <c r="S241" s="89">
        <f>IF(G241="","",ABS(O241-Components!$C$5))</f>
        <v>3.3726666666666709</v>
      </c>
      <c r="T241" s="89">
        <f>IF(G241="","",ABS(O241-Components!$C$6))</f>
        <v>3.4333333333329552E-2</v>
      </c>
      <c r="U241" s="89">
        <f>IF(G241="","",ABS(O241-Components!$C$7))</f>
        <v>0.18433333333333057</v>
      </c>
      <c r="V241" s="89" t="str">
        <f>IF(G241="","",IF(M241="OK","NONE",INDEX({"S1","S2","W1","W2","N1","N2"},MATCH(MIN(P241:U241),P241:U241,0))))</f>
        <v>N1</v>
      </c>
      <c r="W241" s="139">
        <f t="shared" si="31"/>
        <v>1</v>
      </c>
      <c r="X241" s="125"/>
    </row>
    <row r="242" spans="1:24" ht="15.75">
      <c r="A242" s="115">
        <v>228</v>
      </c>
      <c r="B242" s="135">
        <f>'Runs Z-Score'!B230</f>
        <v>8</v>
      </c>
      <c r="C242" s="89" t="str">
        <f>'Runs Z-Score'!C230</f>
        <v>R4</v>
      </c>
      <c r="D242" s="89" t="str">
        <f>'Runs Z-Score'!D230</f>
        <v>NG</v>
      </c>
      <c r="E242" s="89" t="str">
        <f>'Runs Z-Score'!E230</f>
        <v>N1</v>
      </c>
      <c r="F242" s="89">
        <f>'Runs Z-Score'!F230</f>
        <v>7.77</v>
      </c>
      <c r="G242" s="89">
        <f t="shared" si="24"/>
        <v>8.74</v>
      </c>
      <c r="H242" s="89">
        <v>9.91</v>
      </c>
      <c r="I242" s="89">
        <f>VLOOKUP(C242,Recipes!$A$2:$N$4,12,FALSE())</f>
        <v>5.0137397426368718E-2</v>
      </c>
      <c r="J242" s="89">
        <f t="shared" si="26"/>
        <v>544.56302555590844</v>
      </c>
      <c r="K242" s="89">
        <f t="shared" si="27"/>
        <v>544.49635888924172</v>
      </c>
      <c r="L242" s="89">
        <f t="shared" si="28"/>
        <v>23.334445759204176</v>
      </c>
      <c r="M242" s="89" t="str">
        <f t="shared" si="29"/>
        <v>NG</v>
      </c>
      <c r="N242" s="117">
        <f t="shared" si="30"/>
        <v>1</v>
      </c>
      <c r="O242" s="89">
        <f t="shared" si="25"/>
        <v>1.17</v>
      </c>
      <c r="P242" s="89">
        <f>IF(G242="","",ABS(O242-Components!$C$2))</f>
        <v>1.5833333333333299</v>
      </c>
      <c r="Q242" s="89">
        <f>IF(G242="","",ABS(O242-Components!$C$3))</f>
        <v>2.8659999999999997</v>
      </c>
      <c r="R242" s="89">
        <f>IF(G242="","",ABS(O242-Components!$C$4))</f>
        <v>0.17666666666666697</v>
      </c>
      <c r="S242" s="89">
        <f>IF(G242="","",ABS(O242-Components!$C$5))</f>
        <v>3.3926666666666705</v>
      </c>
      <c r="T242" s="89">
        <f>IF(G242="","",ABS(O242-Components!$C$6))</f>
        <v>1.4333333333329978E-2</v>
      </c>
      <c r="U242" s="89">
        <f>IF(G242="","",ABS(O242-Components!$C$7))</f>
        <v>0.20433333333333015</v>
      </c>
      <c r="V242" s="89" t="str">
        <f>IF(G242="","",IF(M242="OK","NONE",INDEX({"S1","S2","W1","W2","N1","N2"},MATCH(MIN(P242:U242),P242:U242,0))))</f>
        <v>N1</v>
      </c>
      <c r="W242" s="139">
        <f t="shared" si="31"/>
        <v>1</v>
      </c>
      <c r="X242" s="125"/>
    </row>
    <row r="243" spans="1:24" ht="15.75">
      <c r="A243" s="115">
        <v>229</v>
      </c>
      <c r="B243" s="135">
        <f>'Runs Z-Score'!B231</f>
        <v>8</v>
      </c>
      <c r="C243" s="89" t="str">
        <f>'Runs Z-Score'!C231</f>
        <v>R4</v>
      </c>
      <c r="D243" s="89" t="str">
        <f>'Runs Z-Score'!D231</f>
        <v>NG</v>
      </c>
      <c r="E243" s="89" t="str">
        <f>'Runs Z-Score'!E231</f>
        <v>N1</v>
      </c>
      <c r="F243" s="89">
        <f>'Runs Z-Score'!F231</f>
        <v>7.69</v>
      </c>
      <c r="G243" s="89">
        <f t="shared" si="24"/>
        <v>8.66</v>
      </c>
      <c r="H243" s="89">
        <v>9.91</v>
      </c>
      <c r="I243" s="89">
        <f>VLOOKUP(C243,Recipes!$A$2:$N$4,12,FALSE())</f>
        <v>5.0137397426368718E-2</v>
      </c>
      <c r="J243" s="89">
        <f t="shared" si="26"/>
        <v>621.57917118204898</v>
      </c>
      <c r="K243" s="89">
        <f t="shared" si="27"/>
        <v>621.51250451538226</v>
      </c>
      <c r="L243" s="89">
        <f t="shared" si="28"/>
        <v>24.930152516889709</v>
      </c>
      <c r="M243" s="89" t="str">
        <f t="shared" si="29"/>
        <v>NG</v>
      </c>
      <c r="N243" s="117">
        <f t="shared" si="30"/>
        <v>1</v>
      </c>
      <c r="O243" s="89">
        <f t="shared" si="25"/>
        <v>1.25</v>
      </c>
      <c r="P243" s="89">
        <f>IF(G243="","",ABS(O243-Components!$C$2))</f>
        <v>1.5033333333333299</v>
      </c>
      <c r="Q243" s="89">
        <f>IF(G243="","",ABS(O243-Components!$C$3))</f>
        <v>2.7859999999999996</v>
      </c>
      <c r="R243" s="89">
        <f>IF(G243="","",ABS(O243-Components!$C$4))</f>
        <v>0.25666666666666704</v>
      </c>
      <c r="S243" s="89">
        <f>IF(G243="","",ABS(O243-Components!$C$5))</f>
        <v>3.3126666666666704</v>
      </c>
      <c r="T243" s="89">
        <f>IF(G243="","",ABS(O243-Components!$C$6))</f>
        <v>9.4333333333330049E-2</v>
      </c>
      <c r="U243" s="89">
        <f>IF(G243="","",ABS(O243-Components!$C$7))</f>
        <v>0.12433333333333008</v>
      </c>
      <c r="V243" s="89" t="str">
        <f>IF(G243="","",IF(M243="OK","NONE",INDEX({"S1","S2","W1","W2","N1","N2"},MATCH(MIN(P243:U243),P243:U243,0))))</f>
        <v>N1</v>
      </c>
      <c r="W243" s="139">
        <f t="shared" si="31"/>
        <v>1</v>
      </c>
      <c r="X243" s="125"/>
    </row>
    <row r="244" spans="1:24" ht="15.75">
      <c r="A244" s="115">
        <v>230</v>
      </c>
      <c r="B244" s="135">
        <f>'Runs Z-Score'!B232</f>
        <v>8</v>
      </c>
      <c r="C244" s="89" t="str">
        <f>'Runs Z-Score'!C232</f>
        <v>R4</v>
      </c>
      <c r="D244" s="89" t="str">
        <f>'Runs Z-Score'!D232</f>
        <v>NG</v>
      </c>
      <c r="E244" s="89" t="str">
        <f>'Runs Z-Score'!E232</f>
        <v>N1</v>
      </c>
      <c r="F244" s="89">
        <f>'Runs Z-Score'!F232</f>
        <v>7.77</v>
      </c>
      <c r="G244" s="89">
        <f t="shared" si="24"/>
        <v>8.74</v>
      </c>
      <c r="H244" s="89">
        <v>9.91</v>
      </c>
      <c r="I244" s="89">
        <f>VLOOKUP(C244,Recipes!$A$2:$N$4,12,FALSE())</f>
        <v>5.0137397426368718E-2</v>
      </c>
      <c r="J244" s="89">
        <f t="shared" si="26"/>
        <v>544.56302555590844</v>
      </c>
      <c r="K244" s="89">
        <f t="shared" si="27"/>
        <v>544.49635888924172</v>
      </c>
      <c r="L244" s="89">
        <f t="shared" si="28"/>
        <v>23.334445759204176</v>
      </c>
      <c r="M244" s="89" t="str">
        <f t="shared" si="29"/>
        <v>NG</v>
      </c>
      <c r="N244" s="117">
        <f t="shared" si="30"/>
        <v>1</v>
      </c>
      <c r="O244" s="89">
        <f t="shared" si="25"/>
        <v>1.17</v>
      </c>
      <c r="P244" s="89">
        <f>IF(G244="","",ABS(O244-Components!$C$2))</f>
        <v>1.5833333333333299</v>
      </c>
      <c r="Q244" s="89">
        <f>IF(G244="","",ABS(O244-Components!$C$3))</f>
        <v>2.8659999999999997</v>
      </c>
      <c r="R244" s="89">
        <f>IF(G244="","",ABS(O244-Components!$C$4))</f>
        <v>0.17666666666666697</v>
      </c>
      <c r="S244" s="89">
        <f>IF(G244="","",ABS(O244-Components!$C$5))</f>
        <v>3.3926666666666705</v>
      </c>
      <c r="T244" s="89">
        <f>IF(G244="","",ABS(O244-Components!$C$6))</f>
        <v>1.4333333333329978E-2</v>
      </c>
      <c r="U244" s="89">
        <f>IF(G244="","",ABS(O244-Components!$C$7))</f>
        <v>0.20433333333333015</v>
      </c>
      <c r="V244" s="89" t="str">
        <f>IF(G244="","",IF(M244="OK","NONE",INDEX({"S1","S2","W1","W2","N1","N2"},MATCH(MIN(P244:U244),P244:U244,0))))</f>
        <v>N1</v>
      </c>
      <c r="W244" s="139">
        <f t="shared" si="31"/>
        <v>1</v>
      </c>
      <c r="X244" s="125"/>
    </row>
    <row r="245" spans="1:24" ht="15.75">
      <c r="A245" s="115">
        <v>231</v>
      </c>
      <c r="B245" s="135">
        <f>'Runs Z-Score'!B233</f>
        <v>8</v>
      </c>
      <c r="C245" s="89" t="str">
        <f>'Runs Z-Score'!C233</f>
        <v>R4</v>
      </c>
      <c r="D245" s="89" t="str">
        <f>'Runs Z-Score'!D233</f>
        <v>NG</v>
      </c>
      <c r="E245" s="89" t="str">
        <f>'Runs Z-Score'!E233</f>
        <v>N1</v>
      </c>
      <c r="F245" s="89">
        <f>'Runs Z-Score'!F233</f>
        <v>7.77</v>
      </c>
      <c r="G245" s="89">
        <f t="shared" si="24"/>
        <v>8.74</v>
      </c>
      <c r="H245" s="89">
        <v>9.91</v>
      </c>
      <c r="I245" s="89">
        <f>VLOOKUP(C245,Recipes!$A$2:$N$4,12,FALSE())</f>
        <v>5.0137397426368718E-2</v>
      </c>
      <c r="J245" s="89">
        <f t="shared" si="26"/>
        <v>544.56302555590844</v>
      </c>
      <c r="K245" s="89">
        <f t="shared" si="27"/>
        <v>544.49635888924172</v>
      </c>
      <c r="L245" s="89">
        <f t="shared" si="28"/>
        <v>23.334445759204176</v>
      </c>
      <c r="M245" s="89" t="str">
        <f t="shared" si="29"/>
        <v>NG</v>
      </c>
      <c r="N245" s="117">
        <f t="shared" si="30"/>
        <v>1</v>
      </c>
      <c r="O245" s="89">
        <f t="shared" si="25"/>
        <v>1.17</v>
      </c>
      <c r="P245" s="89">
        <f>IF(G245="","",ABS(O245-Components!$C$2))</f>
        <v>1.5833333333333299</v>
      </c>
      <c r="Q245" s="89">
        <f>IF(G245="","",ABS(O245-Components!$C$3))</f>
        <v>2.8659999999999997</v>
      </c>
      <c r="R245" s="89">
        <f>IF(G245="","",ABS(O245-Components!$C$4))</f>
        <v>0.17666666666666697</v>
      </c>
      <c r="S245" s="89">
        <f>IF(G245="","",ABS(O245-Components!$C$5))</f>
        <v>3.3926666666666705</v>
      </c>
      <c r="T245" s="89">
        <f>IF(G245="","",ABS(O245-Components!$C$6))</f>
        <v>1.4333333333329978E-2</v>
      </c>
      <c r="U245" s="89">
        <f>IF(G245="","",ABS(O245-Components!$C$7))</f>
        <v>0.20433333333333015</v>
      </c>
      <c r="V245" s="89" t="str">
        <f>IF(G245="","",IF(M245="OK","NONE",INDEX({"S1","S2","W1","W2","N1","N2"},MATCH(MIN(P245:U245),P245:U245,0))))</f>
        <v>N1</v>
      </c>
      <c r="W245" s="139">
        <f t="shared" si="31"/>
        <v>1</v>
      </c>
      <c r="X245" s="125"/>
    </row>
    <row r="246" spans="1:24" ht="15.75">
      <c r="A246" s="115">
        <v>232</v>
      </c>
      <c r="B246" s="135">
        <f>'Runs Z-Score'!B234</f>
        <v>8</v>
      </c>
      <c r="C246" s="89" t="str">
        <f>'Runs Z-Score'!C234</f>
        <v>R4</v>
      </c>
      <c r="D246" s="89" t="str">
        <f>'Runs Z-Score'!D234</f>
        <v>NG</v>
      </c>
      <c r="E246" s="89" t="str">
        <f>'Runs Z-Score'!E234</f>
        <v>N1</v>
      </c>
      <c r="F246" s="89">
        <f>'Runs Z-Score'!F234</f>
        <v>7.78</v>
      </c>
      <c r="G246" s="89">
        <f t="shared" si="24"/>
        <v>8.75</v>
      </c>
      <c r="H246" s="89">
        <v>9.91</v>
      </c>
      <c r="I246" s="89">
        <f>VLOOKUP(C246,Recipes!$A$2:$N$4,12,FALSE())</f>
        <v>5.0137397426368718E-2</v>
      </c>
      <c r="J246" s="89">
        <f t="shared" si="26"/>
        <v>535.29403695524184</v>
      </c>
      <c r="K246" s="89">
        <f t="shared" si="27"/>
        <v>535.22737028857512</v>
      </c>
      <c r="L246" s="89">
        <f t="shared" si="28"/>
        <v>23.134981527733604</v>
      </c>
      <c r="M246" s="89" t="str">
        <f t="shared" si="29"/>
        <v>NG</v>
      </c>
      <c r="N246" s="117">
        <f t="shared" si="30"/>
        <v>1</v>
      </c>
      <c r="O246" s="89">
        <f t="shared" si="25"/>
        <v>1.1600000000000001</v>
      </c>
      <c r="P246" s="89">
        <f>IF(G246="","",ABS(O246-Components!$C$2))</f>
        <v>1.5933333333333297</v>
      </c>
      <c r="Q246" s="89">
        <f>IF(G246="","",ABS(O246-Components!$C$3))</f>
        <v>2.8759999999999994</v>
      </c>
      <c r="R246" s="89">
        <f>IF(G246="","",ABS(O246-Components!$C$4))</f>
        <v>0.16666666666666718</v>
      </c>
      <c r="S246" s="89">
        <f>IF(G246="","",ABS(O246-Components!$C$5))</f>
        <v>3.4026666666666703</v>
      </c>
      <c r="T246" s="89">
        <f>IF(G246="","",ABS(O246-Components!$C$6))</f>
        <v>4.3333333333301916E-3</v>
      </c>
      <c r="U246" s="89">
        <f>IF(G246="","",ABS(O246-Components!$C$7))</f>
        <v>0.21433333333332993</v>
      </c>
      <c r="V246" s="89" t="str">
        <f>IF(G246="","",IF(M246="OK","NONE",INDEX({"S1","S2","W1","W2","N1","N2"},MATCH(MIN(P246:U246),P246:U246,0))))</f>
        <v>N1</v>
      </c>
      <c r="W246" s="139">
        <f t="shared" si="31"/>
        <v>1</v>
      </c>
      <c r="X246" s="125"/>
    </row>
    <row r="247" spans="1:24" ht="15.75">
      <c r="A247" s="115">
        <v>233</v>
      </c>
      <c r="B247" s="135">
        <f>'Runs Z-Score'!B235</f>
        <v>8</v>
      </c>
      <c r="C247" s="89" t="str">
        <f>'Runs Z-Score'!C235</f>
        <v>R4</v>
      </c>
      <c r="D247" s="89" t="str">
        <f>'Runs Z-Score'!D235</f>
        <v>NG</v>
      </c>
      <c r="E247" s="89" t="str">
        <f>'Runs Z-Score'!E235</f>
        <v>N1</v>
      </c>
      <c r="F247" s="89">
        <f>'Runs Z-Score'!F235</f>
        <v>7.76</v>
      </c>
      <c r="G247" s="89">
        <f t="shared" si="24"/>
        <v>8.73</v>
      </c>
      <c r="H247" s="89">
        <v>9.91</v>
      </c>
      <c r="I247" s="89">
        <f>VLOOKUP(C247,Recipes!$A$2:$N$4,12,FALSE())</f>
        <v>5.0137397426368718E-2</v>
      </c>
      <c r="J247" s="89">
        <f t="shared" si="26"/>
        <v>553.9115762904861</v>
      </c>
      <c r="K247" s="89">
        <f t="shared" si="27"/>
        <v>553.84490962381938</v>
      </c>
      <c r="L247" s="89">
        <f t="shared" si="28"/>
        <v>23.533909781925725</v>
      </c>
      <c r="M247" s="89" t="str">
        <f t="shared" si="29"/>
        <v>NG</v>
      </c>
      <c r="N247" s="117">
        <f t="shared" si="30"/>
        <v>1</v>
      </c>
      <c r="O247" s="89">
        <f t="shared" si="25"/>
        <v>1.1799999999999997</v>
      </c>
      <c r="P247" s="89">
        <f>IF(G247="","",ABS(O247-Components!$C$2))</f>
        <v>1.5733333333333301</v>
      </c>
      <c r="Q247" s="89">
        <f>IF(G247="","",ABS(O247-Components!$C$3))</f>
        <v>2.8559999999999999</v>
      </c>
      <c r="R247" s="89">
        <f>IF(G247="","",ABS(O247-Components!$C$4))</f>
        <v>0.18666666666666676</v>
      </c>
      <c r="S247" s="89">
        <f>IF(G247="","",ABS(O247-Components!$C$5))</f>
        <v>3.3826666666666707</v>
      </c>
      <c r="T247" s="89">
        <f>IF(G247="","",ABS(O247-Components!$C$6))</f>
        <v>2.4333333333329765E-2</v>
      </c>
      <c r="U247" s="89">
        <f>IF(G247="","",ABS(O247-Components!$C$7))</f>
        <v>0.19433333333333036</v>
      </c>
      <c r="V247" s="89" t="str">
        <f>IF(G247="","",IF(M247="OK","NONE",INDEX({"S1","S2","W1","W2","N1","N2"},MATCH(MIN(P247:U247),P247:U247,0))))</f>
        <v>N1</v>
      </c>
      <c r="W247" s="139">
        <f t="shared" si="31"/>
        <v>1</v>
      </c>
      <c r="X247" s="125"/>
    </row>
    <row r="248" spans="1:24" ht="15.75">
      <c r="A248" s="115">
        <v>234</v>
      </c>
      <c r="B248" s="135">
        <f>'Runs Z-Score'!B236</f>
        <v>8</v>
      </c>
      <c r="C248" s="89" t="str">
        <f>'Runs Z-Score'!C236</f>
        <v>R4</v>
      </c>
      <c r="D248" s="89" t="str">
        <f>'Runs Z-Score'!D236</f>
        <v>NG</v>
      </c>
      <c r="E248" s="89" t="str">
        <f>'Runs Z-Score'!E236</f>
        <v>N1</v>
      </c>
      <c r="F248" s="89">
        <f>'Runs Z-Score'!F236</f>
        <v>7.77</v>
      </c>
      <c r="G248" s="89">
        <f t="shared" si="24"/>
        <v>8.74</v>
      </c>
      <c r="H248" s="89">
        <v>9.91</v>
      </c>
      <c r="I248" s="89">
        <f>VLOOKUP(C248,Recipes!$A$2:$N$4,12,FALSE())</f>
        <v>5.0137397426368718E-2</v>
      </c>
      <c r="J248" s="89">
        <f t="shared" si="26"/>
        <v>544.56302555590844</v>
      </c>
      <c r="K248" s="89">
        <f t="shared" si="27"/>
        <v>544.49635888924172</v>
      </c>
      <c r="L248" s="89">
        <f t="shared" si="28"/>
        <v>23.334445759204176</v>
      </c>
      <c r="M248" s="89" t="str">
        <f t="shared" si="29"/>
        <v>NG</v>
      </c>
      <c r="N248" s="117">
        <f t="shared" si="30"/>
        <v>1</v>
      </c>
      <c r="O248" s="89">
        <f t="shared" si="25"/>
        <v>1.17</v>
      </c>
      <c r="P248" s="89">
        <f>IF(G248="","",ABS(O248-Components!$C$2))</f>
        <v>1.5833333333333299</v>
      </c>
      <c r="Q248" s="89">
        <f>IF(G248="","",ABS(O248-Components!$C$3))</f>
        <v>2.8659999999999997</v>
      </c>
      <c r="R248" s="89">
        <f>IF(G248="","",ABS(O248-Components!$C$4))</f>
        <v>0.17666666666666697</v>
      </c>
      <c r="S248" s="89">
        <f>IF(G248="","",ABS(O248-Components!$C$5))</f>
        <v>3.3926666666666705</v>
      </c>
      <c r="T248" s="89">
        <f>IF(G248="","",ABS(O248-Components!$C$6))</f>
        <v>1.4333333333329978E-2</v>
      </c>
      <c r="U248" s="89">
        <f>IF(G248="","",ABS(O248-Components!$C$7))</f>
        <v>0.20433333333333015</v>
      </c>
      <c r="V248" s="89" t="str">
        <f>IF(G248="","",IF(M248="OK","NONE",INDEX({"S1","S2","W1","W2","N1","N2"},MATCH(MIN(P248:U248),P248:U248,0))))</f>
        <v>N1</v>
      </c>
      <c r="W248" s="139">
        <f t="shared" si="31"/>
        <v>1</v>
      </c>
      <c r="X248" s="125"/>
    </row>
    <row r="249" spans="1:24" ht="15.75">
      <c r="A249" s="115">
        <v>235</v>
      </c>
      <c r="B249" s="135">
        <f>'Runs Z-Score'!B237</f>
        <v>8</v>
      </c>
      <c r="C249" s="89" t="str">
        <f>'Runs Z-Score'!C237</f>
        <v>R4</v>
      </c>
      <c r="D249" s="89" t="str">
        <f>'Runs Z-Score'!D237</f>
        <v>NG</v>
      </c>
      <c r="E249" s="89" t="str">
        <f>'Runs Z-Score'!E237</f>
        <v>N1</v>
      </c>
      <c r="F249" s="89">
        <f>'Runs Z-Score'!F237</f>
        <v>7.71</v>
      </c>
      <c r="G249" s="89">
        <f t="shared" si="24"/>
        <v>8.68</v>
      </c>
      <c r="H249" s="89">
        <v>9.91</v>
      </c>
      <c r="I249" s="89">
        <f>VLOOKUP(C249,Recipes!$A$2:$N$4,12,FALSE())</f>
        <v>5.0137397426368718E-2</v>
      </c>
      <c r="J249" s="89">
        <f t="shared" si="26"/>
        <v>601.84776197204644</v>
      </c>
      <c r="K249" s="89">
        <f t="shared" si="27"/>
        <v>601.78109530537972</v>
      </c>
      <c r="L249" s="89">
        <f t="shared" si="28"/>
        <v>24.531226942519197</v>
      </c>
      <c r="M249" s="89" t="str">
        <f t="shared" si="29"/>
        <v>NG</v>
      </c>
      <c r="N249" s="117">
        <f t="shared" si="30"/>
        <v>1</v>
      </c>
      <c r="O249" s="89">
        <f t="shared" si="25"/>
        <v>1.2300000000000004</v>
      </c>
      <c r="P249" s="89">
        <f>IF(G249="","",ABS(O249-Components!$C$2))</f>
        <v>1.5233333333333294</v>
      </c>
      <c r="Q249" s="89">
        <f>IF(G249="","",ABS(O249-Components!$C$3))</f>
        <v>2.8059999999999992</v>
      </c>
      <c r="R249" s="89">
        <f>IF(G249="","",ABS(O249-Components!$C$4))</f>
        <v>0.23666666666666747</v>
      </c>
      <c r="S249" s="89">
        <f>IF(G249="","",ABS(O249-Components!$C$5))</f>
        <v>3.33266666666667</v>
      </c>
      <c r="T249" s="89">
        <f>IF(G249="","",ABS(O249-Components!$C$6))</f>
        <v>7.4333333333330476E-2</v>
      </c>
      <c r="U249" s="89">
        <f>IF(G249="","",ABS(O249-Components!$C$7))</f>
        <v>0.14433333333332965</v>
      </c>
      <c r="V249" s="89" t="str">
        <f>IF(G249="","",IF(M249="OK","NONE",INDEX({"S1","S2","W1","W2","N1","N2"},MATCH(MIN(P249:U249),P249:U249,0))))</f>
        <v>N1</v>
      </c>
      <c r="W249" s="139">
        <f t="shared" si="31"/>
        <v>1</v>
      </c>
      <c r="X249" s="125"/>
    </row>
    <row r="250" spans="1:24" ht="15.75">
      <c r="A250" s="115">
        <v>236</v>
      </c>
      <c r="B250" s="135">
        <f>'Runs Z-Score'!B238</f>
        <v>8</v>
      </c>
      <c r="C250" s="89" t="str">
        <f>'Runs Z-Score'!C238</f>
        <v>R4</v>
      </c>
      <c r="D250" s="89" t="str">
        <f>'Runs Z-Score'!D238</f>
        <v>NG</v>
      </c>
      <c r="E250" s="89" t="str">
        <f>'Runs Z-Score'!E238</f>
        <v>N1</v>
      </c>
      <c r="F250" s="89">
        <f>'Runs Z-Score'!F238</f>
        <v>7.78</v>
      </c>
      <c r="G250" s="89">
        <f t="shared" si="24"/>
        <v>8.75</v>
      </c>
      <c r="H250" s="89">
        <v>9.91</v>
      </c>
      <c r="I250" s="89">
        <f>VLOOKUP(C250,Recipes!$A$2:$N$4,12,FALSE())</f>
        <v>5.0137397426368718E-2</v>
      </c>
      <c r="J250" s="89">
        <f t="shared" si="26"/>
        <v>535.29403695524184</v>
      </c>
      <c r="K250" s="89">
        <f t="shared" si="27"/>
        <v>535.22737028857512</v>
      </c>
      <c r="L250" s="89">
        <f t="shared" si="28"/>
        <v>23.134981527733604</v>
      </c>
      <c r="M250" s="89" t="str">
        <f t="shared" si="29"/>
        <v>NG</v>
      </c>
      <c r="N250" s="117">
        <f t="shared" si="30"/>
        <v>1</v>
      </c>
      <c r="O250" s="89">
        <f t="shared" si="25"/>
        <v>1.1600000000000001</v>
      </c>
      <c r="P250" s="89">
        <f>IF(G250="","",ABS(O250-Components!$C$2))</f>
        <v>1.5933333333333297</v>
      </c>
      <c r="Q250" s="89">
        <f>IF(G250="","",ABS(O250-Components!$C$3))</f>
        <v>2.8759999999999994</v>
      </c>
      <c r="R250" s="89">
        <f>IF(G250="","",ABS(O250-Components!$C$4))</f>
        <v>0.16666666666666718</v>
      </c>
      <c r="S250" s="89">
        <f>IF(G250="","",ABS(O250-Components!$C$5))</f>
        <v>3.4026666666666703</v>
      </c>
      <c r="T250" s="89">
        <f>IF(G250="","",ABS(O250-Components!$C$6))</f>
        <v>4.3333333333301916E-3</v>
      </c>
      <c r="U250" s="89">
        <f>IF(G250="","",ABS(O250-Components!$C$7))</f>
        <v>0.21433333333332993</v>
      </c>
      <c r="V250" s="89" t="str">
        <f>IF(G250="","",IF(M250="OK","NONE",INDEX({"S1","S2","W1","W2","N1","N2"},MATCH(MIN(P250:U250),P250:U250,0))))</f>
        <v>N1</v>
      </c>
      <c r="W250" s="139">
        <f t="shared" si="31"/>
        <v>1</v>
      </c>
      <c r="X250" s="125"/>
    </row>
    <row r="251" spans="1:24" ht="15.75">
      <c r="A251" s="115">
        <v>237</v>
      </c>
      <c r="B251" s="135">
        <f>'Runs Z-Score'!B239</f>
        <v>8</v>
      </c>
      <c r="C251" s="89" t="str">
        <f>'Runs Z-Score'!C239</f>
        <v>R4</v>
      </c>
      <c r="D251" s="89" t="str">
        <f>'Runs Z-Score'!D239</f>
        <v>NG</v>
      </c>
      <c r="E251" s="89" t="str">
        <f>'Runs Z-Score'!E239</f>
        <v>N1</v>
      </c>
      <c r="F251" s="89">
        <f>'Runs Z-Score'!F239</f>
        <v>7.79</v>
      </c>
      <c r="G251" s="89">
        <f t="shared" si="24"/>
        <v>8.76</v>
      </c>
      <c r="H251" s="89">
        <v>9.91</v>
      </c>
      <c r="I251" s="89">
        <f>VLOOKUP(C251,Recipes!$A$2:$N$4,12,FALSE())</f>
        <v>5.0137397426368718E-2</v>
      </c>
      <c r="J251" s="89">
        <f t="shared" si="26"/>
        <v>526.10461048848651</v>
      </c>
      <c r="K251" s="89">
        <f t="shared" si="27"/>
        <v>526.03794382181979</v>
      </c>
      <c r="L251" s="89">
        <f t="shared" si="28"/>
        <v>22.935517082067712</v>
      </c>
      <c r="M251" s="89" t="str">
        <f t="shared" si="29"/>
        <v>NG</v>
      </c>
      <c r="N251" s="117">
        <f t="shared" si="30"/>
        <v>1</v>
      </c>
      <c r="O251" s="89">
        <f t="shared" si="25"/>
        <v>1.1500000000000004</v>
      </c>
      <c r="P251" s="89">
        <f>IF(G251="","",ABS(O251-Components!$C$2))</f>
        <v>1.6033333333333295</v>
      </c>
      <c r="Q251" s="89">
        <f>IF(G251="","",ABS(O251-Components!$C$3))</f>
        <v>2.8859999999999992</v>
      </c>
      <c r="R251" s="89">
        <f>IF(G251="","",ABS(O251-Components!$C$4))</f>
        <v>0.1566666666666674</v>
      </c>
      <c r="S251" s="89">
        <f>IF(G251="","",ABS(O251-Components!$C$5))</f>
        <v>3.4126666666666701</v>
      </c>
      <c r="T251" s="89">
        <f>IF(G251="","",ABS(O251-Components!$C$6))</f>
        <v>5.6666666666695953E-3</v>
      </c>
      <c r="U251" s="89">
        <f>IF(G251="","",ABS(O251-Components!$C$7))</f>
        <v>0.22433333333332972</v>
      </c>
      <c r="V251" s="89" t="str">
        <f>IF(G251="","",IF(M251="OK","NONE",INDEX({"S1","S2","W1","W2","N1","N2"},MATCH(MIN(P251:U251),P251:U251,0))))</f>
        <v>N1</v>
      </c>
      <c r="W251" s="139">
        <f t="shared" si="31"/>
        <v>1</v>
      </c>
      <c r="X251" s="125"/>
    </row>
    <row r="252" spans="1:24" ht="15.75">
      <c r="A252" s="115">
        <v>238</v>
      </c>
      <c r="B252" s="135">
        <f>'Runs Z-Score'!B240</f>
        <v>8</v>
      </c>
      <c r="C252" s="89" t="str">
        <f>'Runs Z-Score'!C240</f>
        <v>R4</v>
      </c>
      <c r="D252" s="89" t="str">
        <f>'Runs Z-Score'!D240</f>
        <v>NG</v>
      </c>
      <c r="E252" s="89" t="str">
        <f>'Runs Z-Score'!E240</f>
        <v>N1</v>
      </c>
      <c r="F252" s="89">
        <f>'Runs Z-Score'!F240</f>
        <v>7.78</v>
      </c>
      <c r="G252" s="89">
        <f t="shared" si="24"/>
        <v>8.75</v>
      </c>
      <c r="H252" s="89">
        <v>9.91</v>
      </c>
      <c r="I252" s="89">
        <f>VLOOKUP(C252,Recipes!$A$2:$N$4,12,FALSE())</f>
        <v>5.0137397426368718E-2</v>
      </c>
      <c r="J252" s="89">
        <f t="shared" si="26"/>
        <v>535.29403695524184</v>
      </c>
      <c r="K252" s="89">
        <f t="shared" si="27"/>
        <v>535.22737028857512</v>
      </c>
      <c r="L252" s="89">
        <f t="shared" si="28"/>
        <v>23.134981527733604</v>
      </c>
      <c r="M252" s="89" t="str">
        <f t="shared" si="29"/>
        <v>NG</v>
      </c>
      <c r="N252" s="117">
        <f t="shared" si="30"/>
        <v>1</v>
      </c>
      <c r="O252" s="89">
        <f t="shared" si="25"/>
        <v>1.1600000000000001</v>
      </c>
      <c r="P252" s="89">
        <f>IF(G252="","",ABS(O252-Components!$C$2))</f>
        <v>1.5933333333333297</v>
      </c>
      <c r="Q252" s="89">
        <f>IF(G252="","",ABS(O252-Components!$C$3))</f>
        <v>2.8759999999999994</v>
      </c>
      <c r="R252" s="89">
        <f>IF(G252="","",ABS(O252-Components!$C$4))</f>
        <v>0.16666666666666718</v>
      </c>
      <c r="S252" s="89">
        <f>IF(G252="","",ABS(O252-Components!$C$5))</f>
        <v>3.4026666666666703</v>
      </c>
      <c r="T252" s="89">
        <f>IF(G252="","",ABS(O252-Components!$C$6))</f>
        <v>4.3333333333301916E-3</v>
      </c>
      <c r="U252" s="89">
        <f>IF(G252="","",ABS(O252-Components!$C$7))</f>
        <v>0.21433333333332993</v>
      </c>
      <c r="V252" s="89" t="str">
        <f>IF(G252="","",IF(M252="OK","NONE",INDEX({"S1","S2","W1","W2","N1","N2"},MATCH(MIN(P252:U252),P252:U252,0))))</f>
        <v>N1</v>
      </c>
      <c r="W252" s="139">
        <f t="shared" si="31"/>
        <v>1</v>
      </c>
      <c r="X252" s="125"/>
    </row>
    <row r="253" spans="1:24" ht="15.75">
      <c r="A253" s="115">
        <v>239</v>
      </c>
      <c r="B253" s="135">
        <f>'Runs Z-Score'!B241</f>
        <v>8</v>
      </c>
      <c r="C253" s="89" t="str">
        <f>'Runs Z-Score'!C241</f>
        <v>R4</v>
      </c>
      <c r="D253" s="89" t="str">
        <f>'Runs Z-Score'!D241</f>
        <v>NG</v>
      </c>
      <c r="E253" s="89" t="str">
        <f>'Runs Z-Score'!E241</f>
        <v>N1</v>
      </c>
      <c r="F253" s="89">
        <f>'Runs Z-Score'!F241</f>
        <v>7.78</v>
      </c>
      <c r="G253" s="89">
        <f t="shared" si="24"/>
        <v>8.75</v>
      </c>
      <c r="H253" s="89">
        <v>9.91</v>
      </c>
      <c r="I253" s="89">
        <f>VLOOKUP(C253,Recipes!$A$2:$N$4,12,FALSE())</f>
        <v>5.0137397426368718E-2</v>
      </c>
      <c r="J253" s="89">
        <f t="shared" si="26"/>
        <v>535.29403695524184</v>
      </c>
      <c r="K253" s="89">
        <f t="shared" si="27"/>
        <v>535.22737028857512</v>
      </c>
      <c r="L253" s="89">
        <f t="shared" si="28"/>
        <v>23.134981527733604</v>
      </c>
      <c r="M253" s="89" t="str">
        <f t="shared" si="29"/>
        <v>NG</v>
      </c>
      <c r="N253" s="117">
        <f t="shared" si="30"/>
        <v>1</v>
      </c>
      <c r="O253" s="89">
        <f t="shared" si="25"/>
        <v>1.1600000000000001</v>
      </c>
      <c r="P253" s="89">
        <f>IF(G253="","",ABS(O253-Components!$C$2))</f>
        <v>1.5933333333333297</v>
      </c>
      <c r="Q253" s="89">
        <f>IF(G253="","",ABS(O253-Components!$C$3))</f>
        <v>2.8759999999999994</v>
      </c>
      <c r="R253" s="89">
        <f>IF(G253="","",ABS(O253-Components!$C$4))</f>
        <v>0.16666666666666718</v>
      </c>
      <c r="S253" s="89">
        <f>IF(G253="","",ABS(O253-Components!$C$5))</f>
        <v>3.4026666666666703</v>
      </c>
      <c r="T253" s="89">
        <f>IF(G253="","",ABS(O253-Components!$C$6))</f>
        <v>4.3333333333301916E-3</v>
      </c>
      <c r="U253" s="89">
        <f>IF(G253="","",ABS(O253-Components!$C$7))</f>
        <v>0.21433333333332993</v>
      </c>
      <c r="V253" s="89" t="str">
        <f>IF(G253="","",IF(M253="OK","NONE",INDEX({"S1","S2","W1","W2","N1","N2"},MATCH(MIN(P253:U253),P253:U253,0))))</f>
        <v>N1</v>
      </c>
      <c r="W253" s="139">
        <f t="shared" si="31"/>
        <v>1</v>
      </c>
      <c r="X253" s="125"/>
    </row>
    <row r="254" spans="1:24" ht="15.75">
      <c r="A254" s="115">
        <v>240</v>
      </c>
      <c r="B254" s="135">
        <f>'Runs Z-Score'!B242</f>
        <v>8</v>
      </c>
      <c r="C254" s="89" t="str">
        <f>'Runs Z-Score'!C242</f>
        <v>R4</v>
      </c>
      <c r="D254" s="89" t="str">
        <f>'Runs Z-Score'!D242</f>
        <v>NG</v>
      </c>
      <c r="E254" s="89" t="str">
        <f>'Runs Z-Score'!E242</f>
        <v>N1</v>
      </c>
      <c r="F254" s="89">
        <f>'Runs Z-Score'!F242</f>
        <v>7.79</v>
      </c>
      <c r="G254" s="89">
        <f t="shared" si="24"/>
        <v>8.76</v>
      </c>
      <c r="H254" s="89">
        <v>9.91</v>
      </c>
      <c r="I254" s="89">
        <f>VLOOKUP(C254,Recipes!$A$2:$N$4,12,FALSE())</f>
        <v>5.0137397426368718E-2</v>
      </c>
      <c r="J254" s="89">
        <f t="shared" si="26"/>
        <v>526.10461048848651</v>
      </c>
      <c r="K254" s="89">
        <f t="shared" si="27"/>
        <v>526.03794382181979</v>
      </c>
      <c r="L254" s="89">
        <f t="shared" si="28"/>
        <v>22.935517082067712</v>
      </c>
      <c r="M254" s="89" t="str">
        <f t="shared" si="29"/>
        <v>NG</v>
      </c>
      <c r="N254" s="117">
        <f t="shared" si="30"/>
        <v>1</v>
      </c>
      <c r="O254" s="89">
        <f t="shared" si="25"/>
        <v>1.1500000000000004</v>
      </c>
      <c r="P254" s="89">
        <f>IF(G254="","",ABS(O254-Components!$C$2))</f>
        <v>1.6033333333333295</v>
      </c>
      <c r="Q254" s="89">
        <f>IF(G254="","",ABS(O254-Components!$C$3))</f>
        <v>2.8859999999999992</v>
      </c>
      <c r="R254" s="89">
        <f>IF(G254="","",ABS(O254-Components!$C$4))</f>
        <v>0.1566666666666674</v>
      </c>
      <c r="S254" s="89">
        <f>IF(G254="","",ABS(O254-Components!$C$5))</f>
        <v>3.4126666666666701</v>
      </c>
      <c r="T254" s="89">
        <f>IF(G254="","",ABS(O254-Components!$C$6))</f>
        <v>5.6666666666695953E-3</v>
      </c>
      <c r="U254" s="89">
        <f>IF(G254="","",ABS(O254-Components!$C$7))</f>
        <v>0.22433333333332972</v>
      </c>
      <c r="V254" s="89" t="str">
        <f>IF(G254="","",IF(M254="OK","NONE",INDEX({"S1","S2","W1","W2","N1","N2"},MATCH(MIN(P254:U254),P254:U254,0))))</f>
        <v>N1</v>
      </c>
      <c r="W254" s="139">
        <f t="shared" si="31"/>
        <v>1</v>
      </c>
      <c r="X254" s="125"/>
    </row>
    <row r="255" spans="1:24" ht="15.75">
      <c r="A255" s="115">
        <v>241</v>
      </c>
      <c r="B255" s="135">
        <f>'Runs Z-Score'!B243</f>
        <v>9</v>
      </c>
      <c r="C255" s="89" t="str">
        <f>'Runs Z-Score'!C243</f>
        <v>R4</v>
      </c>
      <c r="D255" s="89" t="str">
        <f>'Runs Z-Score'!D243</f>
        <v>NG</v>
      </c>
      <c r="E255" s="89" t="str">
        <f>'Runs Z-Score'!E243</f>
        <v>S2</v>
      </c>
      <c r="F255" s="89">
        <f>'Runs Z-Score'!F243</f>
        <v>4.9400000000000004</v>
      </c>
      <c r="G255" s="89">
        <f t="shared" si="24"/>
        <v>5.91</v>
      </c>
      <c r="H255" s="89">
        <v>9.91</v>
      </c>
      <c r="I255" s="89">
        <f>VLOOKUP(C255,Recipes!$A$2:$N$4,12,FALSE())</f>
        <v>5.0137397426368718E-2</v>
      </c>
      <c r="J255" s="89">
        <f t="shared" si="26"/>
        <v>6364.9707129041826</v>
      </c>
      <c r="K255" s="89">
        <f t="shared" si="27"/>
        <v>6364.904046237516</v>
      </c>
      <c r="L255" s="89">
        <f t="shared" si="28"/>
        <v>79.780348747279334</v>
      </c>
      <c r="M255" s="89" t="str">
        <f t="shared" si="29"/>
        <v>NG</v>
      </c>
      <c r="N255" s="117">
        <f t="shared" si="30"/>
        <v>1</v>
      </c>
      <c r="O255" s="89">
        <f t="shared" si="25"/>
        <v>4</v>
      </c>
      <c r="P255" s="89">
        <f>IF(G255="","",ABS(O255-Components!$C$2))</f>
        <v>1.2466666666666701</v>
      </c>
      <c r="Q255" s="89">
        <f>IF(G255="","",ABS(O255-Components!$C$3))</f>
        <v>3.5999999999999588E-2</v>
      </c>
      <c r="R255" s="89">
        <f>IF(G255="","",ABS(O255-Components!$C$4))</f>
        <v>3.0066666666666668</v>
      </c>
      <c r="S255" s="89">
        <f>IF(G255="","",ABS(O255-Components!$C$5))</f>
        <v>0.56266666666667042</v>
      </c>
      <c r="T255" s="89">
        <f>IF(G255="","",ABS(O255-Components!$C$6))</f>
        <v>2.84433333333333</v>
      </c>
      <c r="U255" s="89">
        <f>IF(G255="","",ABS(O255-Components!$C$7))</f>
        <v>2.6256666666666701</v>
      </c>
      <c r="V255" s="89" t="str">
        <f>IF(G255="","",IF(M255="OK","NONE",INDEX({"S1","S2","W1","W2","N1","N2"},MATCH(MIN(P255:U255),P255:U255,0))))</f>
        <v>S2</v>
      </c>
      <c r="W255" s="139">
        <f t="shared" si="31"/>
        <v>1</v>
      </c>
      <c r="X255" s="125"/>
    </row>
    <row r="256" spans="1:24" ht="15.75">
      <c r="A256" s="115">
        <v>242</v>
      </c>
      <c r="B256" s="135">
        <f>'Runs Z-Score'!B244</f>
        <v>9</v>
      </c>
      <c r="C256" s="89" t="str">
        <f>'Runs Z-Score'!C244</f>
        <v>R4</v>
      </c>
      <c r="D256" s="89" t="str">
        <f>'Runs Z-Score'!D244</f>
        <v>NG</v>
      </c>
      <c r="E256" s="89" t="str">
        <f>'Runs Z-Score'!E244</f>
        <v>S2</v>
      </c>
      <c r="F256" s="89">
        <f>'Runs Z-Score'!F244</f>
        <v>4.91</v>
      </c>
      <c r="G256" s="89">
        <f t="shared" si="24"/>
        <v>5.88</v>
      </c>
      <c r="H256" s="89">
        <v>9.91</v>
      </c>
      <c r="I256" s="89">
        <f>VLOOKUP(C256,Recipes!$A$2:$N$4,12,FALSE())</f>
        <v>5.0137397426368718E-2</v>
      </c>
      <c r="J256" s="89">
        <f t="shared" si="26"/>
        <v>6460.8033032003459</v>
      </c>
      <c r="K256" s="89">
        <f t="shared" si="27"/>
        <v>6460.7366365336793</v>
      </c>
      <c r="L256" s="89">
        <f t="shared" si="28"/>
        <v>80.37870760676411</v>
      </c>
      <c r="M256" s="89" t="str">
        <f t="shared" si="29"/>
        <v>NG</v>
      </c>
      <c r="N256" s="117">
        <f t="shared" si="30"/>
        <v>1</v>
      </c>
      <c r="O256" s="89">
        <f t="shared" si="25"/>
        <v>4.03</v>
      </c>
      <c r="P256" s="89">
        <f>IF(G256="","",ABS(O256-Components!$C$2))</f>
        <v>1.2766666666666704</v>
      </c>
      <c r="Q256" s="89">
        <f>IF(G256="","",ABS(O256-Components!$C$3))</f>
        <v>5.9999999999993392E-3</v>
      </c>
      <c r="R256" s="89">
        <f>IF(G256="","",ABS(O256-Components!$C$4))</f>
        <v>3.0366666666666671</v>
      </c>
      <c r="S256" s="89">
        <f>IF(G256="","",ABS(O256-Components!$C$5))</f>
        <v>0.53266666666667017</v>
      </c>
      <c r="T256" s="89">
        <f>IF(G256="","",ABS(O256-Components!$C$6))</f>
        <v>2.8743333333333303</v>
      </c>
      <c r="U256" s="89">
        <f>IF(G256="","",ABS(O256-Components!$C$7))</f>
        <v>2.6556666666666704</v>
      </c>
      <c r="V256" s="89" t="str">
        <f>IF(G256="","",IF(M256="OK","NONE",INDEX({"S1","S2","W1","W2","N1","N2"},MATCH(MIN(P256:U256),P256:U256,0))))</f>
        <v>S2</v>
      </c>
      <c r="W256" s="139">
        <f t="shared" si="31"/>
        <v>1</v>
      </c>
      <c r="X256" s="125"/>
    </row>
    <row r="257" spans="1:24" ht="15.75">
      <c r="A257" s="115">
        <v>243</v>
      </c>
      <c r="B257" s="135">
        <f>'Runs Z-Score'!B245</f>
        <v>9</v>
      </c>
      <c r="C257" s="89" t="str">
        <f>'Runs Z-Score'!C245</f>
        <v>R4</v>
      </c>
      <c r="D257" s="89" t="str">
        <f>'Runs Z-Score'!D245</f>
        <v>NG</v>
      </c>
      <c r="E257" s="89" t="str">
        <f>'Runs Z-Score'!E245</f>
        <v>S2</v>
      </c>
      <c r="F257" s="89">
        <f>'Runs Z-Score'!F245</f>
        <v>4.8099999999999996</v>
      </c>
      <c r="G257" s="89">
        <f t="shared" si="24"/>
        <v>5.7799999999999994</v>
      </c>
      <c r="H257" s="89">
        <v>9.91</v>
      </c>
      <c r="I257" s="89">
        <f>VLOOKUP(C257,Recipes!$A$2:$N$4,12,FALSE())</f>
        <v>5.0137397426368718E-2</v>
      </c>
      <c r="J257" s="89">
        <f t="shared" si="26"/>
        <v>6785.4168095584619</v>
      </c>
      <c r="K257" s="89">
        <f t="shared" si="27"/>
        <v>6785.3501428917953</v>
      </c>
      <c r="L257" s="89">
        <f t="shared" si="28"/>
        <v>82.373236812036197</v>
      </c>
      <c r="M257" s="89" t="str">
        <f t="shared" si="29"/>
        <v>NG</v>
      </c>
      <c r="N257" s="117">
        <f t="shared" si="30"/>
        <v>1</v>
      </c>
      <c r="O257" s="89">
        <f t="shared" si="25"/>
        <v>4.1300000000000008</v>
      </c>
      <c r="P257" s="89">
        <f>IF(G257="","",ABS(O257-Components!$C$2))</f>
        <v>1.3766666666666709</v>
      </c>
      <c r="Q257" s="89">
        <f>IF(G257="","",ABS(O257-Components!$C$3))</f>
        <v>9.4000000000001194E-2</v>
      </c>
      <c r="R257" s="89">
        <f>IF(G257="","",ABS(O257-Components!$C$4))</f>
        <v>3.1366666666666676</v>
      </c>
      <c r="S257" s="89">
        <f>IF(G257="","",ABS(O257-Components!$C$5))</f>
        <v>0.43266666666666964</v>
      </c>
      <c r="T257" s="89">
        <f>IF(G257="","",ABS(O257-Components!$C$6))</f>
        <v>2.9743333333333308</v>
      </c>
      <c r="U257" s="89">
        <f>IF(G257="","",ABS(O257-Components!$C$7))</f>
        <v>2.7556666666666709</v>
      </c>
      <c r="V257" s="89" t="str">
        <f>IF(G257="","",IF(M257="OK","NONE",INDEX({"S1","S2","W1","W2","N1","N2"},MATCH(MIN(P257:U257),P257:U257,0))))</f>
        <v>S2</v>
      </c>
      <c r="W257" s="139">
        <f t="shared" si="31"/>
        <v>1</v>
      </c>
      <c r="X257" s="125"/>
    </row>
    <row r="258" spans="1:24" ht="15.75">
      <c r="A258" s="115">
        <v>244</v>
      </c>
      <c r="B258" s="135">
        <f>'Runs Z-Score'!B246</f>
        <v>9</v>
      </c>
      <c r="C258" s="89" t="str">
        <f>'Runs Z-Score'!C246</f>
        <v>R4</v>
      </c>
      <c r="D258" s="89" t="str">
        <f>'Runs Z-Score'!D246</f>
        <v>NG</v>
      </c>
      <c r="E258" s="89" t="str">
        <f>'Runs Z-Score'!E246</f>
        <v>S2</v>
      </c>
      <c r="F258" s="89">
        <f>'Runs Z-Score'!F246</f>
        <v>4.92</v>
      </c>
      <c r="G258" s="89">
        <f t="shared" si="24"/>
        <v>5.89</v>
      </c>
      <c r="H258" s="89">
        <v>9.91</v>
      </c>
      <c r="I258" s="89">
        <f>VLOOKUP(C258,Recipes!$A$2:$N$4,12,FALSE())</f>
        <v>5.0137397426368718E-2</v>
      </c>
      <c r="J258" s="89">
        <f t="shared" si="26"/>
        <v>6428.7795443010491</v>
      </c>
      <c r="K258" s="89">
        <f t="shared" si="27"/>
        <v>6428.7128776343825</v>
      </c>
      <c r="L258" s="89">
        <f t="shared" si="28"/>
        <v>80.179254658760598</v>
      </c>
      <c r="M258" s="89" t="str">
        <f t="shared" si="29"/>
        <v>NG</v>
      </c>
      <c r="N258" s="117">
        <f t="shared" si="30"/>
        <v>1</v>
      </c>
      <c r="O258" s="89">
        <f t="shared" si="25"/>
        <v>4.0200000000000005</v>
      </c>
      <c r="P258" s="89">
        <f>IF(G258="","",ABS(O258-Components!$C$2))</f>
        <v>1.2666666666666706</v>
      </c>
      <c r="Q258" s="89">
        <f>IF(G258="","",ABS(O258-Components!$C$3))</f>
        <v>1.5999999999999126E-2</v>
      </c>
      <c r="R258" s="89">
        <f>IF(G258="","",ABS(O258-Components!$C$4))</f>
        <v>3.0266666666666673</v>
      </c>
      <c r="S258" s="89">
        <f>IF(G258="","",ABS(O258-Components!$C$5))</f>
        <v>0.54266666666666996</v>
      </c>
      <c r="T258" s="89">
        <f>IF(G258="","",ABS(O258-Components!$C$6))</f>
        <v>2.8643333333333305</v>
      </c>
      <c r="U258" s="89">
        <f>IF(G258="","",ABS(O258-Components!$C$7))</f>
        <v>2.6456666666666706</v>
      </c>
      <c r="V258" s="89" t="str">
        <f>IF(G258="","",IF(M258="OK","NONE",INDEX({"S1","S2","W1","W2","N1","N2"},MATCH(MIN(P258:U258),P258:U258,0))))</f>
        <v>S2</v>
      </c>
      <c r="W258" s="139">
        <f t="shared" si="31"/>
        <v>1</v>
      </c>
      <c r="X258" s="125"/>
    </row>
    <row r="259" spans="1:24" ht="15.75">
      <c r="A259" s="115">
        <v>245</v>
      </c>
      <c r="B259" s="135">
        <f>'Runs Z-Score'!B247</f>
        <v>9</v>
      </c>
      <c r="C259" s="89" t="str">
        <f>'Runs Z-Score'!C247</f>
        <v>R4</v>
      </c>
      <c r="D259" s="89" t="str">
        <f>'Runs Z-Score'!D247</f>
        <v>NG</v>
      </c>
      <c r="E259" s="89" t="str">
        <f>'Runs Z-Score'!E247</f>
        <v>S2</v>
      </c>
      <c r="F259" s="89">
        <f>'Runs Z-Score'!F247</f>
        <v>4.87</v>
      </c>
      <c r="G259" s="89">
        <f t="shared" si="24"/>
        <v>5.84</v>
      </c>
      <c r="H259" s="89">
        <v>9.91</v>
      </c>
      <c r="I259" s="89">
        <f>VLOOKUP(C259,Recipes!$A$2:$N$4,12,FALSE())</f>
        <v>5.0137397426368718E-2</v>
      </c>
      <c r="J259" s="89">
        <f t="shared" si="26"/>
        <v>6589.6939601366566</v>
      </c>
      <c r="K259" s="89">
        <f t="shared" si="27"/>
        <v>6589.62729346999</v>
      </c>
      <c r="L259" s="89">
        <f t="shared" si="28"/>
        <v>81.176519348084824</v>
      </c>
      <c r="M259" s="89" t="str">
        <f t="shared" si="29"/>
        <v>NG</v>
      </c>
      <c r="N259" s="117">
        <f t="shared" si="30"/>
        <v>1</v>
      </c>
      <c r="O259" s="89">
        <f t="shared" si="25"/>
        <v>4.07</v>
      </c>
      <c r="P259" s="89">
        <f>IF(G259="","",ABS(O259-Components!$C$2))</f>
        <v>1.3166666666666704</v>
      </c>
      <c r="Q259" s="89">
        <f>IF(G259="","",ABS(O259-Components!$C$3))</f>
        <v>3.4000000000000696E-2</v>
      </c>
      <c r="R259" s="89">
        <f>IF(G259="","",ABS(O259-Components!$C$4))</f>
        <v>3.0766666666666671</v>
      </c>
      <c r="S259" s="89">
        <f>IF(G259="","",ABS(O259-Components!$C$5))</f>
        <v>0.49266666666667014</v>
      </c>
      <c r="T259" s="89">
        <f>IF(G259="","",ABS(O259-Components!$C$6))</f>
        <v>2.9143333333333303</v>
      </c>
      <c r="U259" s="89">
        <f>IF(G259="","",ABS(O259-Components!$C$7))</f>
        <v>2.6956666666666704</v>
      </c>
      <c r="V259" s="89" t="str">
        <f>IF(G259="","",IF(M259="OK","NONE",INDEX({"S1","S2","W1","W2","N1","N2"},MATCH(MIN(P259:U259),P259:U259,0))))</f>
        <v>S2</v>
      </c>
      <c r="W259" s="139">
        <f t="shared" si="31"/>
        <v>1</v>
      </c>
      <c r="X259" s="125"/>
    </row>
    <row r="260" spans="1:24" ht="15.75">
      <c r="A260" s="115">
        <v>246</v>
      </c>
      <c r="B260" s="135">
        <f>'Runs Z-Score'!B248</f>
        <v>9</v>
      </c>
      <c r="C260" s="89" t="str">
        <f>'Runs Z-Score'!C248</f>
        <v>R4</v>
      </c>
      <c r="D260" s="89" t="str">
        <f>'Runs Z-Score'!D248</f>
        <v>NG</v>
      </c>
      <c r="E260" s="89" t="str">
        <f>'Runs Z-Score'!E248</f>
        <v>S2</v>
      </c>
      <c r="F260" s="89">
        <f>'Runs Z-Score'!F248</f>
        <v>4.9400000000000004</v>
      </c>
      <c r="G260" s="89">
        <f t="shared" si="24"/>
        <v>5.91</v>
      </c>
      <c r="H260" s="89">
        <v>9.91</v>
      </c>
      <c r="I260" s="89">
        <f>VLOOKUP(C260,Recipes!$A$2:$N$4,12,FALSE())</f>
        <v>5.0137397426368718E-2</v>
      </c>
      <c r="J260" s="89">
        <f t="shared" si="26"/>
        <v>6364.9707129041826</v>
      </c>
      <c r="K260" s="89">
        <f t="shared" si="27"/>
        <v>6364.904046237516</v>
      </c>
      <c r="L260" s="89">
        <f t="shared" si="28"/>
        <v>79.780348747279334</v>
      </c>
      <c r="M260" s="89" t="str">
        <f t="shared" si="29"/>
        <v>NG</v>
      </c>
      <c r="N260" s="117">
        <f t="shared" si="30"/>
        <v>1</v>
      </c>
      <c r="O260" s="89">
        <f t="shared" si="25"/>
        <v>4</v>
      </c>
      <c r="P260" s="89">
        <f>IF(G260="","",ABS(O260-Components!$C$2))</f>
        <v>1.2466666666666701</v>
      </c>
      <c r="Q260" s="89">
        <f>IF(G260="","",ABS(O260-Components!$C$3))</f>
        <v>3.5999999999999588E-2</v>
      </c>
      <c r="R260" s="89">
        <f>IF(G260="","",ABS(O260-Components!$C$4))</f>
        <v>3.0066666666666668</v>
      </c>
      <c r="S260" s="89">
        <f>IF(G260="","",ABS(O260-Components!$C$5))</f>
        <v>0.56266666666667042</v>
      </c>
      <c r="T260" s="89">
        <f>IF(G260="","",ABS(O260-Components!$C$6))</f>
        <v>2.84433333333333</v>
      </c>
      <c r="U260" s="89">
        <f>IF(G260="","",ABS(O260-Components!$C$7))</f>
        <v>2.6256666666666701</v>
      </c>
      <c r="V260" s="89" t="str">
        <f>IF(G260="","",IF(M260="OK","NONE",INDEX({"S1","S2","W1","W2","N1","N2"},MATCH(MIN(P260:U260),P260:U260,0))))</f>
        <v>S2</v>
      </c>
      <c r="W260" s="139">
        <f t="shared" si="31"/>
        <v>1</v>
      </c>
      <c r="X260" s="125"/>
    </row>
    <row r="261" spans="1:24" ht="15.75">
      <c r="A261" s="115">
        <v>247</v>
      </c>
      <c r="B261" s="135">
        <f>'Runs Z-Score'!B249</f>
        <v>9</v>
      </c>
      <c r="C261" s="89" t="str">
        <f>'Runs Z-Score'!C249</f>
        <v>R4</v>
      </c>
      <c r="D261" s="89" t="str">
        <f>'Runs Z-Score'!D249</f>
        <v>NG</v>
      </c>
      <c r="E261" s="89" t="str">
        <f>'Runs Z-Score'!E249</f>
        <v>S2</v>
      </c>
      <c r="F261" s="89">
        <f>'Runs Z-Score'!F249</f>
        <v>4.8899999999999997</v>
      </c>
      <c r="G261" s="89">
        <f t="shared" si="24"/>
        <v>5.8599999999999994</v>
      </c>
      <c r="H261" s="89">
        <v>9.91</v>
      </c>
      <c r="I261" s="89">
        <f>VLOOKUP(C261,Recipes!$A$2:$N$4,12,FALSE())</f>
        <v>5.0137397426368718E-2</v>
      </c>
      <c r="J261" s="89">
        <f t="shared" si="26"/>
        <v>6525.0895074006803</v>
      </c>
      <c r="K261" s="89">
        <f t="shared" si="27"/>
        <v>6525.0228407340137</v>
      </c>
      <c r="L261" s="89">
        <f t="shared" si="28"/>
        <v>80.777613487488068</v>
      </c>
      <c r="M261" s="89" t="str">
        <f t="shared" si="29"/>
        <v>NG</v>
      </c>
      <c r="N261" s="117">
        <f t="shared" si="30"/>
        <v>1</v>
      </c>
      <c r="O261" s="89">
        <f t="shared" si="25"/>
        <v>4.0500000000000007</v>
      </c>
      <c r="P261" s="89">
        <f>IF(G261="","",ABS(O261-Components!$C$2))</f>
        <v>1.2966666666666709</v>
      </c>
      <c r="Q261" s="89">
        <f>IF(G261="","",ABS(O261-Components!$C$3))</f>
        <v>1.4000000000001123E-2</v>
      </c>
      <c r="R261" s="89">
        <f>IF(G261="","",ABS(O261-Components!$C$4))</f>
        <v>3.0566666666666675</v>
      </c>
      <c r="S261" s="89">
        <f>IF(G261="","",ABS(O261-Components!$C$5))</f>
        <v>0.51266666666666971</v>
      </c>
      <c r="T261" s="89">
        <f>IF(G261="","",ABS(O261-Components!$C$6))</f>
        <v>2.8943333333333308</v>
      </c>
      <c r="U261" s="89">
        <f>IF(G261="","",ABS(O261-Components!$C$7))</f>
        <v>2.6756666666666709</v>
      </c>
      <c r="V261" s="89" t="str">
        <f>IF(G261="","",IF(M261="OK","NONE",INDEX({"S1","S2","W1","W2","N1","N2"},MATCH(MIN(P261:U261),P261:U261,0))))</f>
        <v>S2</v>
      </c>
      <c r="W261" s="139">
        <f t="shared" si="31"/>
        <v>1</v>
      </c>
      <c r="X261" s="125"/>
    </row>
    <row r="262" spans="1:24" ht="15.75">
      <c r="A262" s="115">
        <v>248</v>
      </c>
      <c r="B262" s="135">
        <f>'Runs Z-Score'!B250</f>
        <v>9</v>
      </c>
      <c r="C262" s="89" t="str">
        <f>'Runs Z-Score'!C250</f>
        <v>R4</v>
      </c>
      <c r="D262" s="89" t="str">
        <f>'Runs Z-Score'!D250</f>
        <v>NG</v>
      </c>
      <c r="E262" s="89" t="str">
        <f>'Runs Z-Score'!E250</f>
        <v>S2</v>
      </c>
      <c r="F262" s="89">
        <f>'Runs Z-Score'!F250</f>
        <v>4.8600000000000003</v>
      </c>
      <c r="G262" s="89">
        <f t="shared" si="24"/>
        <v>5.83</v>
      </c>
      <c r="H262" s="89">
        <v>9.91</v>
      </c>
      <c r="I262" s="89">
        <f>VLOOKUP(C262,Recipes!$A$2:$N$4,12,FALSE())</f>
        <v>5.0137397426368718E-2</v>
      </c>
      <c r="J262" s="89">
        <f t="shared" si="26"/>
        <v>6622.1155297055102</v>
      </c>
      <c r="K262" s="89">
        <f t="shared" si="27"/>
        <v>6622.0488630388436</v>
      </c>
      <c r="L262" s="89">
        <f t="shared" si="28"/>
        <v>81.375972270928003</v>
      </c>
      <c r="M262" s="89" t="str">
        <f t="shared" si="29"/>
        <v>NG</v>
      </c>
      <c r="N262" s="117">
        <f t="shared" si="30"/>
        <v>1</v>
      </c>
      <c r="O262" s="89">
        <f t="shared" si="25"/>
        <v>4.08</v>
      </c>
      <c r="P262" s="89">
        <f>IF(G262="","",ABS(O262-Components!$C$2))</f>
        <v>1.3266666666666702</v>
      </c>
      <c r="Q262" s="89">
        <f>IF(G262="","",ABS(O262-Components!$C$3))</f>
        <v>4.4000000000000483E-2</v>
      </c>
      <c r="R262" s="89">
        <f>IF(G262="","",ABS(O262-Components!$C$4))</f>
        <v>3.0866666666666669</v>
      </c>
      <c r="S262" s="89">
        <f>IF(G262="","",ABS(O262-Components!$C$5))</f>
        <v>0.48266666666667035</v>
      </c>
      <c r="T262" s="89">
        <f>IF(G262="","",ABS(O262-Components!$C$6))</f>
        <v>2.9243333333333301</v>
      </c>
      <c r="U262" s="89">
        <f>IF(G262="","",ABS(O262-Components!$C$7))</f>
        <v>2.7056666666666702</v>
      </c>
      <c r="V262" s="89" t="str">
        <f>IF(G262="","",IF(M262="OK","NONE",INDEX({"S1","S2","W1","W2","N1","N2"},MATCH(MIN(P262:U262),P262:U262,0))))</f>
        <v>S2</v>
      </c>
      <c r="W262" s="139">
        <f t="shared" si="31"/>
        <v>1</v>
      </c>
      <c r="X262" s="125"/>
    </row>
    <row r="263" spans="1:24" ht="15.75">
      <c r="A263" s="115">
        <v>249</v>
      </c>
      <c r="B263" s="135">
        <f>'Runs Z-Score'!B251</f>
        <v>9</v>
      </c>
      <c r="C263" s="89" t="str">
        <f>'Runs Z-Score'!C251</f>
        <v>R4</v>
      </c>
      <c r="D263" s="89" t="str">
        <f>'Runs Z-Score'!D251</f>
        <v>NG</v>
      </c>
      <c r="E263" s="89" t="str">
        <f>'Runs Z-Score'!E251</f>
        <v>S2</v>
      </c>
      <c r="F263" s="89">
        <f>'Runs Z-Score'!F251</f>
        <v>4.97</v>
      </c>
      <c r="G263" s="89">
        <f t="shared" si="24"/>
        <v>5.9399999999999995</v>
      </c>
      <c r="H263" s="89">
        <v>9.91</v>
      </c>
      <c r="I263" s="89">
        <f>VLOOKUP(C263,Recipes!$A$2:$N$4,12,FALSE())</f>
        <v>5.0137397426368718E-2</v>
      </c>
      <c r="J263" s="89">
        <f t="shared" si="26"/>
        <v>6269.8541818132217</v>
      </c>
      <c r="K263" s="89">
        <f t="shared" si="27"/>
        <v>6269.7875151465551</v>
      </c>
      <c r="L263" s="89">
        <f t="shared" si="28"/>
        <v>79.181989840787381</v>
      </c>
      <c r="M263" s="89" t="str">
        <f t="shared" si="29"/>
        <v>NG</v>
      </c>
      <c r="N263" s="117">
        <f t="shared" si="30"/>
        <v>1</v>
      </c>
      <c r="O263" s="89">
        <f t="shared" si="25"/>
        <v>3.9700000000000006</v>
      </c>
      <c r="P263" s="89">
        <f>IF(G263="","",ABS(O263-Components!$C$2))</f>
        <v>1.2166666666666708</v>
      </c>
      <c r="Q263" s="89">
        <f>IF(G263="","",ABS(O263-Components!$C$3))</f>
        <v>6.5999999999998948E-2</v>
      </c>
      <c r="R263" s="89">
        <f>IF(G263="","",ABS(O263-Components!$C$4))</f>
        <v>2.9766666666666675</v>
      </c>
      <c r="S263" s="89">
        <f>IF(G263="","",ABS(O263-Components!$C$5))</f>
        <v>0.59266666666666978</v>
      </c>
      <c r="T263" s="89">
        <f>IF(G263="","",ABS(O263-Components!$C$6))</f>
        <v>2.8143333333333307</v>
      </c>
      <c r="U263" s="89">
        <f>IF(G263="","",ABS(O263-Components!$C$7))</f>
        <v>2.5956666666666708</v>
      </c>
      <c r="V263" s="89" t="str">
        <f>IF(G263="","",IF(M263="OK","NONE",INDEX({"S1","S2","W1","W2","N1","N2"},MATCH(MIN(P263:U263),P263:U263,0))))</f>
        <v>S2</v>
      </c>
      <c r="W263" s="139">
        <f t="shared" si="31"/>
        <v>1</v>
      </c>
      <c r="X263" s="125"/>
    </row>
    <row r="264" spans="1:24" ht="15.75">
      <c r="A264" s="115">
        <v>250</v>
      </c>
      <c r="B264" s="135">
        <f>'Runs Z-Score'!B252</f>
        <v>9</v>
      </c>
      <c r="C264" s="89" t="str">
        <f>'Runs Z-Score'!C252</f>
        <v>R4</v>
      </c>
      <c r="D264" s="89" t="str">
        <f>'Runs Z-Score'!D252</f>
        <v>NG</v>
      </c>
      <c r="E264" s="89" t="str">
        <f>'Runs Z-Score'!E252</f>
        <v>S2</v>
      </c>
      <c r="F264" s="89">
        <f>'Runs Z-Score'!F252</f>
        <v>4.88</v>
      </c>
      <c r="G264" s="89">
        <f t="shared" si="24"/>
        <v>5.85</v>
      </c>
      <c r="H264" s="89">
        <v>9.91</v>
      </c>
      <c r="I264" s="89">
        <f>VLOOKUP(C264,Recipes!$A$2:$N$4,12,FALSE())</f>
        <v>5.0137397426368718E-2</v>
      </c>
      <c r="J264" s="89">
        <f t="shared" si="26"/>
        <v>6557.3519527017115</v>
      </c>
      <c r="K264" s="89">
        <f t="shared" si="27"/>
        <v>6557.2852860350449</v>
      </c>
      <c r="L264" s="89">
        <f t="shared" si="28"/>
        <v>80.977066420283748</v>
      </c>
      <c r="M264" s="89" t="str">
        <f t="shared" si="29"/>
        <v>NG</v>
      </c>
      <c r="N264" s="117">
        <f t="shared" si="30"/>
        <v>1</v>
      </c>
      <c r="O264" s="89">
        <f t="shared" si="25"/>
        <v>4.0600000000000005</v>
      </c>
      <c r="P264" s="89">
        <f>IF(G264="","",ABS(O264-Components!$C$2))</f>
        <v>1.3066666666666706</v>
      </c>
      <c r="Q264" s="89">
        <f>IF(G264="","",ABS(O264-Components!$C$3))</f>
        <v>2.4000000000000909E-2</v>
      </c>
      <c r="R264" s="89">
        <f>IF(G264="","",ABS(O264-Components!$C$4))</f>
        <v>3.0666666666666673</v>
      </c>
      <c r="S264" s="89">
        <f>IF(G264="","",ABS(O264-Components!$C$5))</f>
        <v>0.50266666666666993</v>
      </c>
      <c r="T264" s="89">
        <f>IF(G264="","",ABS(O264-Components!$C$6))</f>
        <v>2.9043333333333305</v>
      </c>
      <c r="U264" s="89">
        <f>IF(G264="","",ABS(O264-Components!$C$7))</f>
        <v>2.6856666666666706</v>
      </c>
      <c r="V264" s="89" t="str">
        <f>IF(G264="","",IF(M264="OK","NONE",INDEX({"S1","S2","W1","W2","N1","N2"},MATCH(MIN(P264:U264),P264:U264,0))))</f>
        <v>S2</v>
      </c>
      <c r="W264" s="139">
        <f t="shared" si="31"/>
        <v>1</v>
      </c>
      <c r="X264" s="125"/>
    </row>
    <row r="265" spans="1:24" ht="15.75">
      <c r="A265" s="115">
        <v>251</v>
      </c>
      <c r="B265" s="135">
        <f>'Runs Z-Score'!B253</f>
        <v>9</v>
      </c>
      <c r="C265" s="89" t="str">
        <f>'Runs Z-Score'!C253</f>
        <v>R4</v>
      </c>
      <c r="D265" s="89" t="str">
        <f>'Runs Z-Score'!D253</f>
        <v>NG</v>
      </c>
      <c r="E265" s="89" t="str">
        <f>'Runs Z-Score'!E253</f>
        <v>S2</v>
      </c>
      <c r="F265" s="89">
        <f>'Runs Z-Score'!F253</f>
        <v>4.83</v>
      </c>
      <c r="G265" s="89">
        <f t="shared" si="24"/>
        <v>5.8</v>
      </c>
      <c r="H265" s="89">
        <v>9.91</v>
      </c>
      <c r="I265" s="89">
        <f>VLOOKUP(C265,Recipes!$A$2:$N$4,12,FALSE())</f>
        <v>5.0137397426368718E-2</v>
      </c>
      <c r="J265" s="89">
        <f t="shared" si="26"/>
        <v>6719.8576112155479</v>
      </c>
      <c r="K265" s="89">
        <f t="shared" si="27"/>
        <v>6719.7909445488813</v>
      </c>
      <c r="L265" s="89">
        <f t="shared" si="28"/>
        <v>81.974331010072177</v>
      </c>
      <c r="M265" s="89" t="str">
        <f t="shared" si="29"/>
        <v>NG</v>
      </c>
      <c r="N265" s="117">
        <f t="shared" si="30"/>
        <v>1</v>
      </c>
      <c r="O265" s="89">
        <f t="shared" si="25"/>
        <v>4.1100000000000003</v>
      </c>
      <c r="P265" s="89">
        <f>IF(G265="","",ABS(O265-Components!$C$2))</f>
        <v>1.3566666666666705</v>
      </c>
      <c r="Q265" s="89">
        <f>IF(G265="","",ABS(O265-Components!$C$3))</f>
        <v>7.4000000000000732E-2</v>
      </c>
      <c r="R265" s="89">
        <f>IF(G265="","",ABS(O265-Components!$C$4))</f>
        <v>3.1166666666666671</v>
      </c>
      <c r="S265" s="89">
        <f>IF(G265="","",ABS(O265-Components!$C$5))</f>
        <v>0.4526666666666701</v>
      </c>
      <c r="T265" s="89">
        <f>IF(G265="","",ABS(O265-Components!$C$6))</f>
        <v>2.9543333333333304</v>
      </c>
      <c r="U265" s="89">
        <f>IF(G265="","",ABS(O265-Components!$C$7))</f>
        <v>2.7356666666666705</v>
      </c>
      <c r="V265" s="89" t="str">
        <f>IF(G265="","",IF(M265="OK","NONE",INDEX({"S1","S2","W1","W2","N1","N2"},MATCH(MIN(P265:U265),P265:U265,0))))</f>
        <v>S2</v>
      </c>
      <c r="W265" s="139">
        <f t="shared" si="31"/>
        <v>1</v>
      </c>
      <c r="X265" s="125"/>
    </row>
    <row r="266" spans="1:24" ht="15.75">
      <c r="A266" s="115">
        <v>252</v>
      </c>
      <c r="B266" s="135">
        <f>'Runs Z-Score'!B254</f>
        <v>9</v>
      </c>
      <c r="C266" s="89" t="str">
        <f>'Runs Z-Score'!C254</f>
        <v>R4</v>
      </c>
      <c r="D266" s="89" t="str">
        <f>'Runs Z-Score'!D254</f>
        <v>NG</v>
      </c>
      <c r="E266" s="89" t="str">
        <f>'Runs Z-Score'!E254</f>
        <v>S2</v>
      </c>
      <c r="F266" s="89">
        <f>'Runs Z-Score'!F254</f>
        <v>4.87</v>
      </c>
      <c r="G266" s="89">
        <f t="shared" si="24"/>
        <v>5.84</v>
      </c>
      <c r="H266" s="89">
        <v>9.91</v>
      </c>
      <c r="I266" s="89">
        <f>VLOOKUP(C266,Recipes!$A$2:$N$4,12,FALSE())</f>
        <v>5.0137397426368718E-2</v>
      </c>
      <c r="J266" s="89">
        <f t="shared" si="26"/>
        <v>6589.6939601366566</v>
      </c>
      <c r="K266" s="89">
        <f t="shared" si="27"/>
        <v>6589.62729346999</v>
      </c>
      <c r="L266" s="89">
        <f t="shared" si="28"/>
        <v>81.176519348084824</v>
      </c>
      <c r="M266" s="89" t="str">
        <f t="shared" si="29"/>
        <v>NG</v>
      </c>
      <c r="N266" s="117">
        <f t="shared" si="30"/>
        <v>1</v>
      </c>
      <c r="O266" s="89">
        <f t="shared" si="25"/>
        <v>4.07</v>
      </c>
      <c r="P266" s="89">
        <f>IF(G266="","",ABS(O266-Components!$C$2))</f>
        <v>1.3166666666666704</v>
      </c>
      <c r="Q266" s="89">
        <f>IF(G266="","",ABS(O266-Components!$C$3))</f>
        <v>3.4000000000000696E-2</v>
      </c>
      <c r="R266" s="89">
        <f>IF(G266="","",ABS(O266-Components!$C$4))</f>
        <v>3.0766666666666671</v>
      </c>
      <c r="S266" s="89">
        <f>IF(G266="","",ABS(O266-Components!$C$5))</f>
        <v>0.49266666666667014</v>
      </c>
      <c r="T266" s="89">
        <f>IF(G266="","",ABS(O266-Components!$C$6))</f>
        <v>2.9143333333333303</v>
      </c>
      <c r="U266" s="89">
        <f>IF(G266="","",ABS(O266-Components!$C$7))</f>
        <v>2.6956666666666704</v>
      </c>
      <c r="V266" s="89" t="str">
        <f>IF(G266="","",IF(M266="OK","NONE",INDEX({"S1","S2","W1","W2","N1","N2"},MATCH(MIN(P266:U266),P266:U266,0))))</f>
        <v>S2</v>
      </c>
      <c r="W266" s="139">
        <f t="shared" si="31"/>
        <v>1</v>
      </c>
      <c r="X266" s="125"/>
    </row>
    <row r="267" spans="1:24" ht="15.75">
      <c r="A267" s="115">
        <v>253</v>
      </c>
      <c r="B267" s="135">
        <f>'Runs Z-Score'!B255</f>
        <v>9</v>
      </c>
      <c r="C267" s="89" t="str">
        <f>'Runs Z-Score'!C255</f>
        <v>R4</v>
      </c>
      <c r="D267" s="89" t="str">
        <f>'Runs Z-Score'!D255</f>
        <v>NG</v>
      </c>
      <c r="E267" s="89" t="str">
        <f>'Runs Z-Score'!E255</f>
        <v>S2</v>
      </c>
      <c r="F267" s="89">
        <f>'Runs Z-Score'!F255</f>
        <v>4.93</v>
      </c>
      <c r="G267" s="89">
        <f t="shared" si="24"/>
        <v>5.8999999999999995</v>
      </c>
      <c r="H267" s="89">
        <v>9.91</v>
      </c>
      <c r="I267" s="89">
        <f>VLOOKUP(C267,Recipes!$A$2:$N$4,12,FALSE())</f>
        <v>5.0137397426368718E-2</v>
      </c>
      <c r="J267" s="89">
        <f t="shared" si="26"/>
        <v>6396.8353475356598</v>
      </c>
      <c r="K267" s="89">
        <f t="shared" si="27"/>
        <v>6396.7686808689932</v>
      </c>
      <c r="L267" s="89">
        <f t="shared" si="28"/>
        <v>79.979801705611862</v>
      </c>
      <c r="M267" s="89" t="str">
        <f t="shared" si="29"/>
        <v>NG</v>
      </c>
      <c r="N267" s="117">
        <f t="shared" si="30"/>
        <v>1</v>
      </c>
      <c r="O267" s="89">
        <f t="shared" si="25"/>
        <v>4.0100000000000007</v>
      </c>
      <c r="P267" s="89">
        <f>IF(G267="","",ABS(O267-Components!$C$2))</f>
        <v>1.2566666666666708</v>
      </c>
      <c r="Q267" s="89">
        <f>IF(G267="","",ABS(O267-Components!$C$3))</f>
        <v>2.5999999999998913E-2</v>
      </c>
      <c r="R267" s="89">
        <f>IF(G267="","",ABS(O267-Components!$C$4))</f>
        <v>3.0166666666666675</v>
      </c>
      <c r="S267" s="89">
        <f>IF(G267="","",ABS(O267-Components!$C$5))</f>
        <v>0.55266666666666975</v>
      </c>
      <c r="T267" s="89">
        <f>IF(G267="","",ABS(O267-Components!$C$6))</f>
        <v>2.8543333333333307</v>
      </c>
      <c r="U267" s="89">
        <f>IF(G267="","",ABS(O267-Components!$C$7))</f>
        <v>2.6356666666666708</v>
      </c>
      <c r="V267" s="89" t="str">
        <f>IF(G267="","",IF(M267="OK","NONE",INDEX({"S1","S2","W1","W2","N1","N2"},MATCH(MIN(P267:U267),P267:U267,0))))</f>
        <v>S2</v>
      </c>
      <c r="W267" s="139">
        <f t="shared" si="31"/>
        <v>1</v>
      </c>
      <c r="X267" s="125"/>
    </row>
    <row r="268" spans="1:24" ht="15.75">
      <c r="A268" s="115">
        <v>254</v>
      </c>
      <c r="B268" s="135">
        <f>'Runs Z-Score'!B256</f>
        <v>9</v>
      </c>
      <c r="C268" s="89" t="str">
        <f>'Runs Z-Score'!C256</f>
        <v>R4</v>
      </c>
      <c r="D268" s="89" t="str">
        <f>'Runs Z-Score'!D256</f>
        <v>NG</v>
      </c>
      <c r="E268" s="89" t="str">
        <f>'Runs Z-Score'!E256</f>
        <v>S2</v>
      </c>
      <c r="F268" s="89">
        <f>'Runs Z-Score'!F256</f>
        <v>4.91</v>
      </c>
      <c r="G268" s="89">
        <f t="shared" si="24"/>
        <v>5.88</v>
      </c>
      <c r="H268" s="89">
        <v>9.91</v>
      </c>
      <c r="I268" s="89">
        <f>VLOOKUP(C268,Recipes!$A$2:$N$4,12,FALSE())</f>
        <v>5.0137397426368718E-2</v>
      </c>
      <c r="J268" s="89">
        <f t="shared" si="26"/>
        <v>6460.8033032003459</v>
      </c>
      <c r="K268" s="89">
        <f t="shared" si="27"/>
        <v>6460.7366365336793</v>
      </c>
      <c r="L268" s="89">
        <f t="shared" si="28"/>
        <v>80.37870760676411</v>
      </c>
      <c r="M268" s="89" t="str">
        <f t="shared" si="29"/>
        <v>NG</v>
      </c>
      <c r="N268" s="117">
        <f t="shared" si="30"/>
        <v>1</v>
      </c>
      <c r="O268" s="89">
        <f t="shared" si="25"/>
        <v>4.03</v>
      </c>
      <c r="P268" s="89">
        <f>IF(G268="","",ABS(O268-Components!$C$2))</f>
        <v>1.2766666666666704</v>
      </c>
      <c r="Q268" s="89">
        <f>IF(G268="","",ABS(O268-Components!$C$3))</f>
        <v>5.9999999999993392E-3</v>
      </c>
      <c r="R268" s="89">
        <f>IF(G268="","",ABS(O268-Components!$C$4))</f>
        <v>3.0366666666666671</v>
      </c>
      <c r="S268" s="89">
        <f>IF(G268="","",ABS(O268-Components!$C$5))</f>
        <v>0.53266666666667017</v>
      </c>
      <c r="T268" s="89">
        <f>IF(G268="","",ABS(O268-Components!$C$6))</f>
        <v>2.8743333333333303</v>
      </c>
      <c r="U268" s="89">
        <f>IF(G268="","",ABS(O268-Components!$C$7))</f>
        <v>2.6556666666666704</v>
      </c>
      <c r="V268" s="89" t="str">
        <f>IF(G268="","",IF(M268="OK","NONE",INDEX({"S1","S2","W1","W2","N1","N2"},MATCH(MIN(P268:U268),P268:U268,0))))</f>
        <v>S2</v>
      </c>
      <c r="W268" s="139">
        <f t="shared" si="31"/>
        <v>1</v>
      </c>
      <c r="X268" s="125"/>
    </row>
    <row r="269" spans="1:24" ht="15.75">
      <c r="A269" s="115">
        <v>255</v>
      </c>
      <c r="B269" s="135">
        <f>'Runs Z-Score'!B257</f>
        <v>9</v>
      </c>
      <c r="C269" s="89" t="str">
        <f>'Runs Z-Score'!C257</f>
        <v>R4</v>
      </c>
      <c r="D269" s="89" t="str">
        <f>'Runs Z-Score'!D257</f>
        <v>NG</v>
      </c>
      <c r="E269" s="89" t="str">
        <f>'Runs Z-Score'!E257</f>
        <v>S2</v>
      </c>
      <c r="F269" s="89">
        <f>'Runs Z-Score'!F257</f>
        <v>4.88</v>
      </c>
      <c r="G269" s="89">
        <f t="shared" si="24"/>
        <v>5.85</v>
      </c>
      <c r="H269" s="89">
        <v>9.91</v>
      </c>
      <c r="I269" s="89">
        <f>VLOOKUP(C269,Recipes!$A$2:$N$4,12,FALSE())</f>
        <v>5.0137397426368718E-2</v>
      </c>
      <c r="J269" s="89">
        <f t="shared" si="26"/>
        <v>6557.3519527017115</v>
      </c>
      <c r="K269" s="89">
        <f t="shared" si="27"/>
        <v>6557.2852860350449</v>
      </c>
      <c r="L269" s="89">
        <f t="shared" si="28"/>
        <v>80.977066420283748</v>
      </c>
      <c r="M269" s="89" t="str">
        <f t="shared" si="29"/>
        <v>NG</v>
      </c>
      <c r="N269" s="117">
        <f t="shared" si="30"/>
        <v>1</v>
      </c>
      <c r="O269" s="89">
        <f t="shared" si="25"/>
        <v>4.0600000000000005</v>
      </c>
      <c r="P269" s="89">
        <f>IF(G269="","",ABS(O269-Components!$C$2))</f>
        <v>1.3066666666666706</v>
      </c>
      <c r="Q269" s="89">
        <f>IF(G269="","",ABS(O269-Components!$C$3))</f>
        <v>2.4000000000000909E-2</v>
      </c>
      <c r="R269" s="89">
        <f>IF(G269="","",ABS(O269-Components!$C$4))</f>
        <v>3.0666666666666673</v>
      </c>
      <c r="S269" s="89">
        <f>IF(G269="","",ABS(O269-Components!$C$5))</f>
        <v>0.50266666666666993</v>
      </c>
      <c r="T269" s="89">
        <f>IF(G269="","",ABS(O269-Components!$C$6))</f>
        <v>2.9043333333333305</v>
      </c>
      <c r="U269" s="89">
        <f>IF(G269="","",ABS(O269-Components!$C$7))</f>
        <v>2.6856666666666706</v>
      </c>
      <c r="V269" s="89" t="str">
        <f>IF(G269="","",IF(M269="OK","NONE",INDEX({"S1","S2","W1","W2","N1","N2"},MATCH(MIN(P269:U269),P269:U269,0))))</f>
        <v>S2</v>
      </c>
      <c r="W269" s="139">
        <f t="shared" si="31"/>
        <v>1</v>
      </c>
      <c r="X269" s="125"/>
    </row>
    <row r="270" spans="1:24" ht="15.75">
      <c r="A270" s="115">
        <v>256</v>
      </c>
      <c r="B270" s="135">
        <f>'Runs Z-Score'!B258</f>
        <v>9</v>
      </c>
      <c r="C270" s="89" t="str">
        <f>'Runs Z-Score'!C258</f>
        <v>R4</v>
      </c>
      <c r="D270" s="89" t="str">
        <f>'Runs Z-Score'!D258</f>
        <v>NG</v>
      </c>
      <c r="E270" s="89" t="str">
        <f>'Runs Z-Score'!E258</f>
        <v>S2</v>
      </c>
      <c r="F270" s="89">
        <f>'Runs Z-Score'!F258</f>
        <v>4.87</v>
      </c>
      <c r="G270" s="89">
        <f t="shared" si="24"/>
        <v>5.84</v>
      </c>
      <c r="H270" s="89">
        <v>9.91</v>
      </c>
      <c r="I270" s="89">
        <f>VLOOKUP(C270,Recipes!$A$2:$N$4,12,FALSE())</f>
        <v>5.0137397426368718E-2</v>
      </c>
      <c r="J270" s="89">
        <f t="shared" si="26"/>
        <v>6589.6939601366566</v>
      </c>
      <c r="K270" s="89">
        <f t="shared" si="27"/>
        <v>6589.62729346999</v>
      </c>
      <c r="L270" s="89">
        <f t="shared" si="28"/>
        <v>81.176519348084824</v>
      </c>
      <c r="M270" s="89" t="str">
        <f t="shared" si="29"/>
        <v>NG</v>
      </c>
      <c r="N270" s="117">
        <f t="shared" si="30"/>
        <v>1</v>
      </c>
      <c r="O270" s="89">
        <f t="shared" si="25"/>
        <v>4.07</v>
      </c>
      <c r="P270" s="89">
        <f>IF(G270="","",ABS(O270-Components!$C$2))</f>
        <v>1.3166666666666704</v>
      </c>
      <c r="Q270" s="89">
        <f>IF(G270="","",ABS(O270-Components!$C$3))</f>
        <v>3.4000000000000696E-2</v>
      </c>
      <c r="R270" s="89">
        <f>IF(G270="","",ABS(O270-Components!$C$4))</f>
        <v>3.0766666666666671</v>
      </c>
      <c r="S270" s="89">
        <f>IF(G270="","",ABS(O270-Components!$C$5))</f>
        <v>0.49266666666667014</v>
      </c>
      <c r="T270" s="89">
        <f>IF(G270="","",ABS(O270-Components!$C$6))</f>
        <v>2.9143333333333303</v>
      </c>
      <c r="U270" s="89">
        <f>IF(G270="","",ABS(O270-Components!$C$7))</f>
        <v>2.6956666666666704</v>
      </c>
      <c r="V270" s="89" t="str">
        <f>IF(G270="","",IF(M270="OK","NONE",INDEX({"S1","S2","W1","W2","N1","N2"},MATCH(MIN(P270:U270),P270:U270,0))))</f>
        <v>S2</v>
      </c>
      <c r="W270" s="139">
        <f t="shared" si="31"/>
        <v>1</v>
      </c>
      <c r="X270" s="125"/>
    </row>
    <row r="271" spans="1:24" ht="15.75">
      <c r="A271" s="115">
        <v>257</v>
      </c>
      <c r="B271" s="135">
        <f>'Runs Z-Score'!B259</f>
        <v>9</v>
      </c>
      <c r="C271" s="89" t="str">
        <f>'Runs Z-Score'!C259</f>
        <v>R4</v>
      </c>
      <c r="D271" s="89" t="str">
        <f>'Runs Z-Score'!D259</f>
        <v>NG</v>
      </c>
      <c r="E271" s="89" t="str">
        <f>'Runs Z-Score'!E259</f>
        <v>S2</v>
      </c>
      <c r="F271" s="89">
        <f>'Runs Z-Score'!F259</f>
        <v>4.91</v>
      </c>
      <c r="G271" s="89">
        <f t="shared" ref="G271:G334" si="32">0.97+F271</f>
        <v>5.88</v>
      </c>
      <c r="H271" s="89">
        <v>9.91</v>
      </c>
      <c r="I271" s="89">
        <f>VLOOKUP(C271,Recipes!$A$2:$N$4,12,FALSE())</f>
        <v>5.0137397426368718E-2</v>
      </c>
      <c r="J271" s="89">
        <f t="shared" si="26"/>
        <v>6460.8033032003459</v>
      </c>
      <c r="K271" s="89">
        <f t="shared" si="27"/>
        <v>6460.7366365336793</v>
      </c>
      <c r="L271" s="89">
        <f t="shared" si="28"/>
        <v>80.37870760676411</v>
      </c>
      <c r="M271" s="89" t="str">
        <f t="shared" si="29"/>
        <v>NG</v>
      </c>
      <c r="N271" s="117">
        <f t="shared" si="30"/>
        <v>1</v>
      </c>
      <c r="O271" s="89">
        <f t="shared" ref="O271:O334" si="33">IF(G271="","",H271-G271)</f>
        <v>4.03</v>
      </c>
      <c r="P271" s="89">
        <f>IF(G271="","",ABS(O271-Components!$C$2))</f>
        <v>1.2766666666666704</v>
      </c>
      <c r="Q271" s="89">
        <f>IF(G271="","",ABS(O271-Components!$C$3))</f>
        <v>5.9999999999993392E-3</v>
      </c>
      <c r="R271" s="89">
        <f>IF(G271="","",ABS(O271-Components!$C$4))</f>
        <v>3.0366666666666671</v>
      </c>
      <c r="S271" s="89">
        <f>IF(G271="","",ABS(O271-Components!$C$5))</f>
        <v>0.53266666666667017</v>
      </c>
      <c r="T271" s="89">
        <f>IF(G271="","",ABS(O271-Components!$C$6))</f>
        <v>2.8743333333333303</v>
      </c>
      <c r="U271" s="89">
        <f>IF(G271="","",ABS(O271-Components!$C$7))</f>
        <v>2.6556666666666704</v>
      </c>
      <c r="V271" s="89" t="str">
        <f>IF(G271="","",IF(M271="OK","NONE",INDEX({"S1","S2","W1","W2","N1","N2"},MATCH(MIN(P271:U271),P271:U271,0))))</f>
        <v>S2</v>
      </c>
      <c r="W271" s="139">
        <f t="shared" si="31"/>
        <v>1</v>
      </c>
      <c r="X271" s="125"/>
    </row>
    <row r="272" spans="1:24" ht="15.75">
      <c r="A272" s="115">
        <v>258</v>
      </c>
      <c r="B272" s="135">
        <f>'Runs Z-Score'!B260</f>
        <v>9</v>
      </c>
      <c r="C272" s="89" t="str">
        <f>'Runs Z-Score'!C260</f>
        <v>R4</v>
      </c>
      <c r="D272" s="89" t="str">
        <f>'Runs Z-Score'!D260</f>
        <v>NG</v>
      </c>
      <c r="E272" s="89" t="str">
        <f>'Runs Z-Score'!E260</f>
        <v>S2</v>
      </c>
      <c r="F272" s="89">
        <f>'Runs Z-Score'!F260</f>
        <v>4.67</v>
      </c>
      <c r="G272" s="89">
        <f t="shared" si="32"/>
        <v>5.64</v>
      </c>
      <c r="H272" s="89">
        <v>9.91</v>
      </c>
      <c r="I272" s="89">
        <f>VLOOKUP(C272,Recipes!$A$2:$N$4,12,FALSE())</f>
        <v>5.0137397426368718E-2</v>
      </c>
      <c r="J272" s="89">
        <f t="shared" ref="J272:J335" si="34">IF(G272="","",((G272-H272)/I272)^2)</f>
        <v>7253.2421569569178</v>
      </c>
      <c r="K272" s="89">
        <f t="shared" ref="K272:K335" si="35">IF(G272="","",MAX(0, J272-$B$12))</f>
        <v>7253.1754902902512</v>
      </c>
      <c r="L272" s="89">
        <f t="shared" ref="L272:L335" si="36">IF(G272="","",SQRT(K272))</f>
        <v>85.165576909278613</v>
      </c>
      <c r="M272" s="89" t="str">
        <f t="shared" ref="M272:M335" si="37">IF(G272="","",IF(K272&lt;=$B$10,"OK","NG"))</f>
        <v>NG</v>
      </c>
      <c r="N272" s="117">
        <f t="shared" ref="N272:N335" si="38">IF(M272="","",IF(M272=D272,1,0))</f>
        <v>1</v>
      </c>
      <c r="O272" s="89">
        <f t="shared" si="33"/>
        <v>4.2700000000000005</v>
      </c>
      <c r="P272" s="89">
        <f>IF(G272="","",ABS(O272-Components!$C$2))</f>
        <v>1.5166666666666706</v>
      </c>
      <c r="Q272" s="89">
        <f>IF(G272="","",ABS(O272-Components!$C$3))</f>
        <v>0.23400000000000087</v>
      </c>
      <c r="R272" s="89">
        <f>IF(G272="","",ABS(O272-Components!$C$4))</f>
        <v>3.2766666666666673</v>
      </c>
      <c r="S272" s="89">
        <f>IF(G272="","",ABS(O272-Components!$C$5))</f>
        <v>0.29266666666666996</v>
      </c>
      <c r="T272" s="89">
        <f>IF(G272="","",ABS(O272-Components!$C$6))</f>
        <v>3.1143333333333305</v>
      </c>
      <c r="U272" s="89">
        <f>IF(G272="","",ABS(O272-Components!$C$7))</f>
        <v>2.8956666666666706</v>
      </c>
      <c r="V272" s="89" t="str">
        <f>IF(G272="","",IF(M272="OK","NONE",INDEX({"S1","S2","W1","W2","N1","N2"},MATCH(MIN(P272:U272),P272:U272,0))))</f>
        <v>S2</v>
      </c>
      <c r="W272" s="139">
        <f t="shared" ref="W272:W335" si="39">IF(G272="","",IF(V272=E272,1,0))</f>
        <v>1</v>
      </c>
      <c r="X272" s="125"/>
    </row>
    <row r="273" spans="1:24" ht="15.75">
      <c r="A273" s="115">
        <v>259</v>
      </c>
      <c r="B273" s="135">
        <f>'Runs Z-Score'!B261</f>
        <v>9</v>
      </c>
      <c r="C273" s="89" t="str">
        <f>'Runs Z-Score'!C261</f>
        <v>R4</v>
      </c>
      <c r="D273" s="89" t="str">
        <f>'Runs Z-Score'!D261</f>
        <v>NG</v>
      </c>
      <c r="E273" s="89" t="str">
        <f>'Runs Z-Score'!E261</f>
        <v>S2</v>
      </c>
      <c r="F273" s="89">
        <f>'Runs Z-Score'!F261</f>
        <v>4.8600000000000003</v>
      </c>
      <c r="G273" s="89">
        <f t="shared" si="32"/>
        <v>5.83</v>
      </c>
      <c r="H273" s="89">
        <v>9.91</v>
      </c>
      <c r="I273" s="89">
        <f>VLOOKUP(C273,Recipes!$A$2:$N$4,12,FALSE())</f>
        <v>5.0137397426368718E-2</v>
      </c>
      <c r="J273" s="89">
        <f t="shared" si="34"/>
        <v>6622.1155297055102</v>
      </c>
      <c r="K273" s="89">
        <f t="shared" si="35"/>
        <v>6622.0488630388436</v>
      </c>
      <c r="L273" s="89">
        <f t="shared" si="36"/>
        <v>81.375972270928003</v>
      </c>
      <c r="M273" s="89" t="str">
        <f t="shared" si="37"/>
        <v>NG</v>
      </c>
      <c r="N273" s="117">
        <f t="shared" si="38"/>
        <v>1</v>
      </c>
      <c r="O273" s="89">
        <f t="shared" si="33"/>
        <v>4.08</v>
      </c>
      <c r="P273" s="89">
        <f>IF(G273="","",ABS(O273-Components!$C$2))</f>
        <v>1.3266666666666702</v>
      </c>
      <c r="Q273" s="89">
        <f>IF(G273="","",ABS(O273-Components!$C$3))</f>
        <v>4.4000000000000483E-2</v>
      </c>
      <c r="R273" s="89">
        <f>IF(G273="","",ABS(O273-Components!$C$4))</f>
        <v>3.0866666666666669</v>
      </c>
      <c r="S273" s="89">
        <f>IF(G273="","",ABS(O273-Components!$C$5))</f>
        <v>0.48266666666667035</v>
      </c>
      <c r="T273" s="89">
        <f>IF(G273="","",ABS(O273-Components!$C$6))</f>
        <v>2.9243333333333301</v>
      </c>
      <c r="U273" s="89">
        <f>IF(G273="","",ABS(O273-Components!$C$7))</f>
        <v>2.7056666666666702</v>
      </c>
      <c r="V273" s="89" t="str">
        <f>IF(G273="","",IF(M273="OK","NONE",INDEX({"S1","S2","W1","W2","N1","N2"},MATCH(MIN(P273:U273),P273:U273,0))))</f>
        <v>S2</v>
      </c>
      <c r="W273" s="139">
        <f t="shared" si="39"/>
        <v>1</v>
      </c>
      <c r="X273" s="125"/>
    </row>
    <row r="274" spans="1:24" ht="15.75">
      <c r="A274" s="115">
        <v>260</v>
      </c>
      <c r="B274" s="135">
        <f>'Runs Z-Score'!B262</f>
        <v>9</v>
      </c>
      <c r="C274" s="89" t="str">
        <f>'Runs Z-Score'!C262</f>
        <v>R4</v>
      </c>
      <c r="D274" s="89" t="str">
        <f>'Runs Z-Score'!D262</f>
        <v>NG</v>
      </c>
      <c r="E274" s="89" t="str">
        <f>'Runs Z-Score'!E262</f>
        <v>S2</v>
      </c>
      <c r="F274" s="89">
        <f>'Runs Z-Score'!F262</f>
        <v>4.75</v>
      </c>
      <c r="G274" s="89">
        <f t="shared" si="32"/>
        <v>5.72</v>
      </c>
      <c r="H274" s="89">
        <v>9.91</v>
      </c>
      <c r="I274" s="89">
        <f>VLOOKUP(C274,Recipes!$A$2:$N$4,12,FALSE())</f>
        <v>5.0137397426368718E-2</v>
      </c>
      <c r="J274" s="89">
        <f t="shared" si="34"/>
        <v>6984.00389580107</v>
      </c>
      <c r="K274" s="89">
        <f t="shared" si="35"/>
        <v>6983.9372291344034</v>
      </c>
      <c r="L274" s="89">
        <f t="shared" si="36"/>
        <v>83.569954105135196</v>
      </c>
      <c r="M274" s="89" t="str">
        <f t="shared" si="37"/>
        <v>NG</v>
      </c>
      <c r="N274" s="117">
        <f t="shared" si="38"/>
        <v>1</v>
      </c>
      <c r="O274" s="89">
        <f t="shared" si="33"/>
        <v>4.1900000000000004</v>
      </c>
      <c r="P274" s="89">
        <f>IF(G274="","",ABS(O274-Components!$C$2))</f>
        <v>1.4366666666666705</v>
      </c>
      <c r="Q274" s="89">
        <f>IF(G274="","",ABS(O274-Components!$C$3))</f>
        <v>0.1540000000000008</v>
      </c>
      <c r="R274" s="89">
        <f>IF(G274="","",ABS(O274-Components!$C$4))</f>
        <v>3.1966666666666672</v>
      </c>
      <c r="S274" s="89">
        <f>IF(G274="","",ABS(O274-Components!$C$5))</f>
        <v>0.37266666666667003</v>
      </c>
      <c r="T274" s="89">
        <f>IF(G274="","",ABS(O274-Components!$C$6))</f>
        <v>3.0343333333333304</v>
      </c>
      <c r="U274" s="89">
        <f>IF(G274="","",ABS(O274-Components!$C$7))</f>
        <v>2.8156666666666705</v>
      </c>
      <c r="V274" s="89" t="str">
        <f>IF(G274="","",IF(M274="OK","NONE",INDEX({"S1","S2","W1","W2","N1","N2"},MATCH(MIN(P274:U274),P274:U274,0))))</f>
        <v>S2</v>
      </c>
      <c r="W274" s="139">
        <f t="shared" si="39"/>
        <v>1</v>
      </c>
      <c r="X274" s="125"/>
    </row>
    <row r="275" spans="1:24" ht="15.75">
      <c r="A275" s="115">
        <v>261</v>
      </c>
      <c r="B275" s="135">
        <f>'Runs Z-Score'!B263</f>
        <v>9</v>
      </c>
      <c r="C275" s="89" t="str">
        <f>'Runs Z-Score'!C263</f>
        <v>R4</v>
      </c>
      <c r="D275" s="89" t="str">
        <f>'Runs Z-Score'!D263</f>
        <v>NG</v>
      </c>
      <c r="E275" s="89" t="str">
        <f>'Runs Z-Score'!E263</f>
        <v>S2</v>
      </c>
      <c r="F275" s="89">
        <f>'Runs Z-Score'!F263</f>
        <v>4.91</v>
      </c>
      <c r="G275" s="89">
        <f t="shared" si="32"/>
        <v>5.88</v>
      </c>
      <c r="H275" s="89">
        <v>9.91</v>
      </c>
      <c r="I275" s="89">
        <f>VLOOKUP(C275,Recipes!$A$2:$N$4,12,FALSE())</f>
        <v>5.0137397426368718E-2</v>
      </c>
      <c r="J275" s="89">
        <f t="shared" si="34"/>
        <v>6460.8033032003459</v>
      </c>
      <c r="K275" s="89">
        <f t="shared" si="35"/>
        <v>6460.7366365336793</v>
      </c>
      <c r="L275" s="89">
        <f t="shared" si="36"/>
        <v>80.37870760676411</v>
      </c>
      <c r="M275" s="89" t="str">
        <f t="shared" si="37"/>
        <v>NG</v>
      </c>
      <c r="N275" s="117">
        <f t="shared" si="38"/>
        <v>1</v>
      </c>
      <c r="O275" s="89">
        <f t="shared" si="33"/>
        <v>4.03</v>
      </c>
      <c r="P275" s="89">
        <f>IF(G275="","",ABS(O275-Components!$C$2))</f>
        <v>1.2766666666666704</v>
      </c>
      <c r="Q275" s="89">
        <f>IF(G275="","",ABS(O275-Components!$C$3))</f>
        <v>5.9999999999993392E-3</v>
      </c>
      <c r="R275" s="89">
        <f>IF(G275="","",ABS(O275-Components!$C$4))</f>
        <v>3.0366666666666671</v>
      </c>
      <c r="S275" s="89">
        <f>IF(G275="","",ABS(O275-Components!$C$5))</f>
        <v>0.53266666666667017</v>
      </c>
      <c r="T275" s="89">
        <f>IF(G275="","",ABS(O275-Components!$C$6))</f>
        <v>2.8743333333333303</v>
      </c>
      <c r="U275" s="89">
        <f>IF(G275="","",ABS(O275-Components!$C$7))</f>
        <v>2.6556666666666704</v>
      </c>
      <c r="V275" s="89" t="str">
        <f>IF(G275="","",IF(M275="OK","NONE",INDEX({"S1","S2","W1","W2","N1","N2"},MATCH(MIN(P275:U275),P275:U275,0))))</f>
        <v>S2</v>
      </c>
      <c r="W275" s="139">
        <f t="shared" si="39"/>
        <v>1</v>
      </c>
      <c r="X275" s="125"/>
    </row>
    <row r="276" spans="1:24" ht="15.75">
      <c r="A276" s="115">
        <v>262</v>
      </c>
      <c r="B276" s="135">
        <f>'Runs Z-Score'!B264</f>
        <v>9</v>
      </c>
      <c r="C276" s="89" t="str">
        <f>'Runs Z-Score'!C264</f>
        <v>R4</v>
      </c>
      <c r="D276" s="89" t="str">
        <f>'Runs Z-Score'!D264</f>
        <v>NG</v>
      </c>
      <c r="E276" s="89" t="str">
        <f>'Runs Z-Score'!E264</f>
        <v>S2</v>
      </c>
      <c r="F276" s="89">
        <f>'Runs Z-Score'!F264</f>
        <v>4.82</v>
      </c>
      <c r="G276" s="89">
        <f t="shared" si="32"/>
        <v>5.79</v>
      </c>
      <c r="H276" s="89">
        <v>9.91</v>
      </c>
      <c r="I276" s="89">
        <f>VLOOKUP(C276,Recipes!$A$2:$N$4,12,FALSE())</f>
        <v>5.0137397426368718E-2</v>
      </c>
      <c r="J276" s="89">
        <f t="shared" si="34"/>
        <v>6752.597429320047</v>
      </c>
      <c r="K276" s="89">
        <f t="shared" si="35"/>
        <v>6752.5307626533804</v>
      </c>
      <c r="L276" s="89">
        <f t="shared" si="36"/>
        <v>82.173783913443955</v>
      </c>
      <c r="M276" s="89" t="str">
        <f t="shared" si="37"/>
        <v>NG</v>
      </c>
      <c r="N276" s="117">
        <f t="shared" si="38"/>
        <v>1</v>
      </c>
      <c r="O276" s="89">
        <f t="shared" si="33"/>
        <v>4.12</v>
      </c>
      <c r="P276" s="89">
        <f>IF(G276="","",ABS(O276-Components!$C$2))</f>
        <v>1.3666666666666702</v>
      </c>
      <c r="Q276" s="89">
        <f>IF(G276="","",ABS(O276-Components!$C$3))</f>
        <v>8.4000000000000519E-2</v>
      </c>
      <c r="R276" s="89">
        <f>IF(G276="","",ABS(O276-Components!$C$4))</f>
        <v>3.1266666666666669</v>
      </c>
      <c r="S276" s="89">
        <f>IF(G276="","",ABS(O276-Components!$C$5))</f>
        <v>0.44266666666667032</v>
      </c>
      <c r="T276" s="89">
        <f>IF(G276="","",ABS(O276-Components!$C$6))</f>
        <v>2.9643333333333302</v>
      </c>
      <c r="U276" s="89">
        <f>IF(G276="","",ABS(O276-Components!$C$7))</f>
        <v>2.7456666666666703</v>
      </c>
      <c r="V276" s="89" t="str">
        <f>IF(G276="","",IF(M276="OK","NONE",INDEX({"S1","S2","W1","W2","N1","N2"},MATCH(MIN(P276:U276),P276:U276,0))))</f>
        <v>S2</v>
      </c>
      <c r="W276" s="139">
        <f t="shared" si="39"/>
        <v>1</v>
      </c>
      <c r="X276" s="125"/>
    </row>
    <row r="277" spans="1:24" ht="15.75">
      <c r="A277" s="115">
        <v>263</v>
      </c>
      <c r="B277" s="135">
        <f>'Runs Z-Score'!B265</f>
        <v>9</v>
      </c>
      <c r="C277" s="89" t="str">
        <f>'Runs Z-Score'!C265</f>
        <v>R4</v>
      </c>
      <c r="D277" s="89" t="str">
        <f>'Runs Z-Score'!D265</f>
        <v>NG</v>
      </c>
      <c r="E277" s="89" t="str">
        <f>'Runs Z-Score'!E265</f>
        <v>S2</v>
      </c>
      <c r="F277" s="89">
        <f>'Runs Z-Score'!F265</f>
        <v>4.83</v>
      </c>
      <c r="G277" s="89">
        <f t="shared" si="32"/>
        <v>5.8</v>
      </c>
      <c r="H277" s="89">
        <v>9.91</v>
      </c>
      <c r="I277" s="89">
        <f>VLOOKUP(C277,Recipes!$A$2:$N$4,12,FALSE())</f>
        <v>5.0137397426368718E-2</v>
      </c>
      <c r="J277" s="89">
        <f t="shared" si="34"/>
        <v>6719.8576112155479</v>
      </c>
      <c r="K277" s="89">
        <f t="shared" si="35"/>
        <v>6719.7909445488813</v>
      </c>
      <c r="L277" s="89">
        <f t="shared" si="36"/>
        <v>81.974331010072177</v>
      </c>
      <c r="M277" s="89" t="str">
        <f t="shared" si="37"/>
        <v>NG</v>
      </c>
      <c r="N277" s="117">
        <f t="shared" si="38"/>
        <v>1</v>
      </c>
      <c r="O277" s="89">
        <f t="shared" si="33"/>
        <v>4.1100000000000003</v>
      </c>
      <c r="P277" s="89">
        <f>IF(G277="","",ABS(O277-Components!$C$2))</f>
        <v>1.3566666666666705</v>
      </c>
      <c r="Q277" s="89">
        <f>IF(G277="","",ABS(O277-Components!$C$3))</f>
        <v>7.4000000000000732E-2</v>
      </c>
      <c r="R277" s="89">
        <f>IF(G277="","",ABS(O277-Components!$C$4))</f>
        <v>3.1166666666666671</v>
      </c>
      <c r="S277" s="89">
        <f>IF(G277="","",ABS(O277-Components!$C$5))</f>
        <v>0.4526666666666701</v>
      </c>
      <c r="T277" s="89">
        <f>IF(G277="","",ABS(O277-Components!$C$6))</f>
        <v>2.9543333333333304</v>
      </c>
      <c r="U277" s="89">
        <f>IF(G277="","",ABS(O277-Components!$C$7))</f>
        <v>2.7356666666666705</v>
      </c>
      <c r="V277" s="89" t="str">
        <f>IF(G277="","",IF(M277="OK","NONE",INDEX({"S1","S2","W1","W2","N1","N2"},MATCH(MIN(P277:U277),P277:U277,0))))</f>
        <v>S2</v>
      </c>
      <c r="W277" s="139">
        <f t="shared" si="39"/>
        <v>1</v>
      </c>
      <c r="X277" s="125"/>
    </row>
    <row r="278" spans="1:24" ht="15.75">
      <c r="A278" s="115">
        <v>264</v>
      </c>
      <c r="B278" s="135">
        <f>'Runs Z-Score'!B266</f>
        <v>9</v>
      </c>
      <c r="C278" s="89" t="str">
        <f>'Runs Z-Score'!C266</f>
        <v>R4</v>
      </c>
      <c r="D278" s="89" t="str">
        <f>'Runs Z-Score'!D266</f>
        <v>NG</v>
      </c>
      <c r="E278" s="89" t="str">
        <f>'Runs Z-Score'!E266</f>
        <v>S2</v>
      </c>
      <c r="F278" s="89">
        <f>'Runs Z-Score'!F266</f>
        <v>4.78</v>
      </c>
      <c r="G278" s="89">
        <f t="shared" si="32"/>
        <v>5.75</v>
      </c>
      <c r="H278" s="89">
        <v>9.91</v>
      </c>
      <c r="I278" s="89">
        <f>VLOOKUP(C278,Recipes!$A$2:$N$4,12,FALSE())</f>
        <v>5.0137397426368718E-2</v>
      </c>
      <c r="J278" s="89">
        <f t="shared" si="34"/>
        <v>6884.3523230771634</v>
      </c>
      <c r="K278" s="89">
        <f t="shared" si="35"/>
        <v>6884.2856564104968</v>
      </c>
      <c r="L278" s="89">
        <f t="shared" si="36"/>
        <v>82.971595479480186</v>
      </c>
      <c r="M278" s="89" t="str">
        <f t="shared" si="37"/>
        <v>NG</v>
      </c>
      <c r="N278" s="117">
        <f t="shared" si="38"/>
        <v>1</v>
      </c>
      <c r="O278" s="89">
        <f t="shared" si="33"/>
        <v>4.16</v>
      </c>
      <c r="P278" s="89">
        <f>IF(G278="","",ABS(O278-Components!$C$2))</f>
        <v>1.4066666666666703</v>
      </c>
      <c r="Q278" s="89">
        <f>IF(G278="","",ABS(O278-Components!$C$3))</f>
        <v>0.12400000000000055</v>
      </c>
      <c r="R278" s="89">
        <f>IF(G278="","",ABS(O278-Components!$C$4))</f>
        <v>3.166666666666667</v>
      </c>
      <c r="S278" s="89">
        <f>IF(G278="","",ABS(O278-Components!$C$5))</f>
        <v>0.40266666666667028</v>
      </c>
      <c r="T278" s="89">
        <f>IF(G278="","",ABS(O278-Components!$C$6))</f>
        <v>3.0043333333333302</v>
      </c>
      <c r="U278" s="89">
        <f>IF(G278="","",ABS(O278-Components!$C$7))</f>
        <v>2.7856666666666703</v>
      </c>
      <c r="V278" s="89" t="str">
        <f>IF(G278="","",IF(M278="OK","NONE",INDEX({"S1","S2","W1","W2","N1","N2"},MATCH(MIN(P278:U278),P278:U278,0))))</f>
        <v>S2</v>
      </c>
      <c r="W278" s="139">
        <f t="shared" si="39"/>
        <v>1</v>
      </c>
      <c r="X278" s="125"/>
    </row>
    <row r="279" spans="1:24" ht="15.75">
      <c r="A279" s="115">
        <v>265</v>
      </c>
      <c r="B279" s="135">
        <f>'Runs Z-Score'!B267</f>
        <v>9</v>
      </c>
      <c r="C279" s="89" t="str">
        <f>'Runs Z-Score'!C267</f>
        <v>R4</v>
      </c>
      <c r="D279" s="89" t="str">
        <f>'Runs Z-Score'!D267</f>
        <v>NG</v>
      </c>
      <c r="E279" s="89" t="str">
        <f>'Runs Z-Score'!E267</f>
        <v>S2</v>
      </c>
      <c r="F279" s="89">
        <f>'Runs Z-Score'!F267</f>
        <v>4.88</v>
      </c>
      <c r="G279" s="89">
        <f t="shared" si="32"/>
        <v>5.85</v>
      </c>
      <c r="H279" s="89">
        <v>9.91</v>
      </c>
      <c r="I279" s="89">
        <f>VLOOKUP(C279,Recipes!$A$2:$N$4,12,FALSE())</f>
        <v>5.0137397426368718E-2</v>
      </c>
      <c r="J279" s="89">
        <f t="shared" si="34"/>
        <v>6557.3519527017115</v>
      </c>
      <c r="K279" s="89">
        <f t="shared" si="35"/>
        <v>6557.2852860350449</v>
      </c>
      <c r="L279" s="89">
        <f t="shared" si="36"/>
        <v>80.977066420283748</v>
      </c>
      <c r="M279" s="89" t="str">
        <f t="shared" si="37"/>
        <v>NG</v>
      </c>
      <c r="N279" s="117">
        <f t="shared" si="38"/>
        <v>1</v>
      </c>
      <c r="O279" s="89">
        <f t="shared" si="33"/>
        <v>4.0600000000000005</v>
      </c>
      <c r="P279" s="89">
        <f>IF(G279="","",ABS(O279-Components!$C$2))</f>
        <v>1.3066666666666706</v>
      </c>
      <c r="Q279" s="89">
        <f>IF(G279="","",ABS(O279-Components!$C$3))</f>
        <v>2.4000000000000909E-2</v>
      </c>
      <c r="R279" s="89">
        <f>IF(G279="","",ABS(O279-Components!$C$4))</f>
        <v>3.0666666666666673</v>
      </c>
      <c r="S279" s="89">
        <f>IF(G279="","",ABS(O279-Components!$C$5))</f>
        <v>0.50266666666666993</v>
      </c>
      <c r="T279" s="89">
        <f>IF(G279="","",ABS(O279-Components!$C$6))</f>
        <v>2.9043333333333305</v>
      </c>
      <c r="U279" s="89">
        <f>IF(G279="","",ABS(O279-Components!$C$7))</f>
        <v>2.6856666666666706</v>
      </c>
      <c r="V279" s="89" t="str">
        <f>IF(G279="","",IF(M279="OK","NONE",INDEX({"S1","S2","W1","W2","N1","N2"},MATCH(MIN(P279:U279),P279:U279,0))))</f>
        <v>S2</v>
      </c>
      <c r="W279" s="139">
        <f t="shared" si="39"/>
        <v>1</v>
      </c>
      <c r="X279" s="125"/>
    </row>
    <row r="280" spans="1:24" ht="15.75">
      <c r="A280" s="115">
        <v>266</v>
      </c>
      <c r="B280" s="135">
        <f>'Runs Z-Score'!B268</f>
        <v>9</v>
      </c>
      <c r="C280" s="89" t="str">
        <f>'Runs Z-Score'!C268</f>
        <v>R4</v>
      </c>
      <c r="D280" s="89" t="str">
        <f>'Runs Z-Score'!D268</f>
        <v>NG</v>
      </c>
      <c r="E280" s="89" t="str">
        <f>'Runs Z-Score'!E268</f>
        <v>S2</v>
      </c>
      <c r="F280" s="89">
        <f>'Runs Z-Score'!F268</f>
        <v>4.91</v>
      </c>
      <c r="G280" s="89">
        <f t="shared" si="32"/>
        <v>5.88</v>
      </c>
      <c r="H280" s="89">
        <v>9.91</v>
      </c>
      <c r="I280" s="89">
        <f>VLOOKUP(C280,Recipes!$A$2:$N$4,12,FALSE())</f>
        <v>5.0137397426368718E-2</v>
      </c>
      <c r="J280" s="89">
        <f t="shared" si="34"/>
        <v>6460.8033032003459</v>
      </c>
      <c r="K280" s="89">
        <f t="shared" si="35"/>
        <v>6460.7366365336793</v>
      </c>
      <c r="L280" s="89">
        <f t="shared" si="36"/>
        <v>80.37870760676411</v>
      </c>
      <c r="M280" s="89" t="str">
        <f t="shared" si="37"/>
        <v>NG</v>
      </c>
      <c r="N280" s="117">
        <f t="shared" si="38"/>
        <v>1</v>
      </c>
      <c r="O280" s="89">
        <f t="shared" si="33"/>
        <v>4.03</v>
      </c>
      <c r="P280" s="89">
        <f>IF(G280="","",ABS(O280-Components!$C$2))</f>
        <v>1.2766666666666704</v>
      </c>
      <c r="Q280" s="89">
        <f>IF(G280="","",ABS(O280-Components!$C$3))</f>
        <v>5.9999999999993392E-3</v>
      </c>
      <c r="R280" s="89">
        <f>IF(G280="","",ABS(O280-Components!$C$4))</f>
        <v>3.0366666666666671</v>
      </c>
      <c r="S280" s="89">
        <f>IF(G280="","",ABS(O280-Components!$C$5))</f>
        <v>0.53266666666667017</v>
      </c>
      <c r="T280" s="89">
        <f>IF(G280="","",ABS(O280-Components!$C$6))</f>
        <v>2.8743333333333303</v>
      </c>
      <c r="U280" s="89">
        <f>IF(G280="","",ABS(O280-Components!$C$7))</f>
        <v>2.6556666666666704</v>
      </c>
      <c r="V280" s="89" t="str">
        <f>IF(G280="","",IF(M280="OK","NONE",INDEX({"S1","S2","W1","W2","N1","N2"},MATCH(MIN(P280:U280),P280:U280,0))))</f>
        <v>S2</v>
      </c>
      <c r="W280" s="139">
        <f t="shared" si="39"/>
        <v>1</v>
      </c>
      <c r="X280" s="125"/>
    </row>
    <row r="281" spans="1:24" ht="15.75">
      <c r="A281" s="115">
        <v>267</v>
      </c>
      <c r="B281" s="135">
        <f>'Runs Z-Score'!B269</f>
        <v>9</v>
      </c>
      <c r="C281" s="89" t="str">
        <f>'Runs Z-Score'!C269</f>
        <v>R4</v>
      </c>
      <c r="D281" s="89" t="str">
        <f>'Runs Z-Score'!D269</f>
        <v>NG</v>
      </c>
      <c r="E281" s="89" t="str">
        <f>'Runs Z-Score'!E269</f>
        <v>S2</v>
      </c>
      <c r="F281" s="89">
        <f>'Runs Z-Score'!F269</f>
        <v>4.8899999999999997</v>
      </c>
      <c r="G281" s="89">
        <f t="shared" si="32"/>
        <v>5.8599999999999994</v>
      </c>
      <c r="H281" s="89">
        <v>9.91</v>
      </c>
      <c r="I281" s="89">
        <f>VLOOKUP(C281,Recipes!$A$2:$N$4,12,FALSE())</f>
        <v>5.0137397426368718E-2</v>
      </c>
      <c r="J281" s="89">
        <f t="shared" si="34"/>
        <v>6525.0895074006803</v>
      </c>
      <c r="K281" s="89">
        <f t="shared" si="35"/>
        <v>6525.0228407340137</v>
      </c>
      <c r="L281" s="89">
        <f t="shared" si="36"/>
        <v>80.777613487488068</v>
      </c>
      <c r="M281" s="89" t="str">
        <f t="shared" si="37"/>
        <v>NG</v>
      </c>
      <c r="N281" s="117">
        <f t="shared" si="38"/>
        <v>1</v>
      </c>
      <c r="O281" s="89">
        <f t="shared" si="33"/>
        <v>4.0500000000000007</v>
      </c>
      <c r="P281" s="89">
        <f>IF(G281="","",ABS(O281-Components!$C$2))</f>
        <v>1.2966666666666709</v>
      </c>
      <c r="Q281" s="89">
        <f>IF(G281="","",ABS(O281-Components!$C$3))</f>
        <v>1.4000000000001123E-2</v>
      </c>
      <c r="R281" s="89">
        <f>IF(G281="","",ABS(O281-Components!$C$4))</f>
        <v>3.0566666666666675</v>
      </c>
      <c r="S281" s="89">
        <f>IF(G281="","",ABS(O281-Components!$C$5))</f>
        <v>0.51266666666666971</v>
      </c>
      <c r="T281" s="89">
        <f>IF(G281="","",ABS(O281-Components!$C$6))</f>
        <v>2.8943333333333308</v>
      </c>
      <c r="U281" s="89">
        <f>IF(G281="","",ABS(O281-Components!$C$7))</f>
        <v>2.6756666666666709</v>
      </c>
      <c r="V281" s="89" t="str">
        <f>IF(G281="","",IF(M281="OK","NONE",INDEX({"S1","S2","W1","W2","N1","N2"},MATCH(MIN(P281:U281),P281:U281,0))))</f>
        <v>S2</v>
      </c>
      <c r="W281" s="139">
        <f t="shared" si="39"/>
        <v>1</v>
      </c>
      <c r="X281" s="125"/>
    </row>
    <row r="282" spans="1:24" ht="15.75">
      <c r="A282" s="115">
        <v>268</v>
      </c>
      <c r="B282" s="135">
        <f>'Runs Z-Score'!B270</f>
        <v>9</v>
      </c>
      <c r="C282" s="89" t="str">
        <f>'Runs Z-Score'!C270</f>
        <v>R4</v>
      </c>
      <c r="D282" s="89" t="str">
        <f>'Runs Z-Score'!D270</f>
        <v>NG</v>
      </c>
      <c r="E282" s="89" t="str">
        <f>'Runs Z-Score'!E270</f>
        <v>S2</v>
      </c>
      <c r="F282" s="89">
        <f>'Runs Z-Score'!F270</f>
        <v>4.8899999999999997</v>
      </c>
      <c r="G282" s="89">
        <f t="shared" si="32"/>
        <v>5.8599999999999994</v>
      </c>
      <c r="H282" s="89">
        <v>9.91</v>
      </c>
      <c r="I282" s="89">
        <f>VLOOKUP(C282,Recipes!$A$2:$N$4,12,FALSE())</f>
        <v>5.0137397426368718E-2</v>
      </c>
      <c r="J282" s="89">
        <f t="shared" si="34"/>
        <v>6525.0895074006803</v>
      </c>
      <c r="K282" s="89">
        <f t="shared" si="35"/>
        <v>6525.0228407340137</v>
      </c>
      <c r="L282" s="89">
        <f t="shared" si="36"/>
        <v>80.777613487488068</v>
      </c>
      <c r="M282" s="89" t="str">
        <f t="shared" si="37"/>
        <v>NG</v>
      </c>
      <c r="N282" s="117">
        <f t="shared" si="38"/>
        <v>1</v>
      </c>
      <c r="O282" s="89">
        <f t="shared" si="33"/>
        <v>4.0500000000000007</v>
      </c>
      <c r="P282" s="89">
        <f>IF(G282="","",ABS(O282-Components!$C$2))</f>
        <v>1.2966666666666709</v>
      </c>
      <c r="Q282" s="89">
        <f>IF(G282="","",ABS(O282-Components!$C$3))</f>
        <v>1.4000000000001123E-2</v>
      </c>
      <c r="R282" s="89">
        <f>IF(G282="","",ABS(O282-Components!$C$4))</f>
        <v>3.0566666666666675</v>
      </c>
      <c r="S282" s="89">
        <f>IF(G282="","",ABS(O282-Components!$C$5))</f>
        <v>0.51266666666666971</v>
      </c>
      <c r="T282" s="89">
        <f>IF(G282="","",ABS(O282-Components!$C$6))</f>
        <v>2.8943333333333308</v>
      </c>
      <c r="U282" s="89">
        <f>IF(G282="","",ABS(O282-Components!$C$7))</f>
        <v>2.6756666666666709</v>
      </c>
      <c r="V282" s="89" t="str">
        <f>IF(G282="","",IF(M282="OK","NONE",INDEX({"S1","S2","W1","W2","N1","N2"},MATCH(MIN(P282:U282),P282:U282,0))))</f>
        <v>S2</v>
      </c>
      <c r="W282" s="139">
        <f t="shared" si="39"/>
        <v>1</v>
      </c>
      <c r="X282" s="125"/>
    </row>
    <row r="283" spans="1:24" ht="15.75">
      <c r="A283" s="115">
        <v>269</v>
      </c>
      <c r="B283" s="135">
        <f>'Runs Z-Score'!B271</f>
        <v>9</v>
      </c>
      <c r="C283" s="89" t="str">
        <f>'Runs Z-Score'!C271</f>
        <v>R4</v>
      </c>
      <c r="D283" s="89" t="str">
        <f>'Runs Z-Score'!D271</f>
        <v>NG</v>
      </c>
      <c r="E283" s="89" t="str">
        <f>'Runs Z-Score'!E271</f>
        <v>S2</v>
      </c>
      <c r="F283" s="89">
        <f>'Runs Z-Score'!F271</f>
        <v>4.9000000000000004</v>
      </c>
      <c r="G283" s="89">
        <f t="shared" si="32"/>
        <v>5.87</v>
      </c>
      <c r="H283" s="89">
        <v>9.91</v>
      </c>
      <c r="I283" s="89">
        <f>VLOOKUP(C283,Recipes!$A$2:$N$4,12,FALSE())</f>
        <v>5.0137397426368718E-2</v>
      </c>
      <c r="J283" s="89">
        <f t="shared" si="34"/>
        <v>6492.9066242335548</v>
      </c>
      <c r="K283" s="89">
        <f t="shared" si="35"/>
        <v>6492.8399575668882</v>
      </c>
      <c r="L283" s="89">
        <f t="shared" si="36"/>
        <v>80.578160549660652</v>
      </c>
      <c r="M283" s="89" t="str">
        <f t="shared" si="37"/>
        <v>NG</v>
      </c>
      <c r="N283" s="117">
        <f t="shared" si="38"/>
        <v>1</v>
      </c>
      <c r="O283" s="89">
        <f t="shared" si="33"/>
        <v>4.04</v>
      </c>
      <c r="P283" s="89">
        <f>IF(G283="","",ABS(O283-Components!$C$2))</f>
        <v>1.2866666666666702</v>
      </c>
      <c r="Q283" s="89">
        <f>IF(G283="","",ABS(O283-Components!$C$3))</f>
        <v>4.0000000000004476E-3</v>
      </c>
      <c r="R283" s="89">
        <f>IF(G283="","",ABS(O283-Components!$C$4))</f>
        <v>3.0466666666666669</v>
      </c>
      <c r="S283" s="89">
        <f>IF(G283="","",ABS(O283-Components!$C$5))</f>
        <v>0.52266666666667039</v>
      </c>
      <c r="T283" s="89">
        <f>IF(G283="","",ABS(O283-Components!$C$6))</f>
        <v>2.8843333333333301</v>
      </c>
      <c r="U283" s="89">
        <f>IF(G283="","",ABS(O283-Components!$C$7))</f>
        <v>2.6656666666666702</v>
      </c>
      <c r="V283" s="89" t="str">
        <f>IF(G283="","",IF(M283="OK","NONE",INDEX({"S1","S2","W1","W2","N1","N2"},MATCH(MIN(P283:U283),P283:U283,0))))</f>
        <v>S2</v>
      </c>
      <c r="W283" s="139">
        <f t="shared" si="39"/>
        <v>1</v>
      </c>
      <c r="X283" s="125"/>
    </row>
    <row r="284" spans="1:24" ht="15.75">
      <c r="A284" s="115">
        <v>270</v>
      </c>
      <c r="B284" s="135">
        <f>'Runs Z-Score'!B272</f>
        <v>9</v>
      </c>
      <c r="C284" s="89" t="str">
        <f>'Runs Z-Score'!C272</f>
        <v>R4</v>
      </c>
      <c r="D284" s="89" t="str">
        <f>'Runs Z-Score'!D272</f>
        <v>NG</v>
      </c>
      <c r="E284" s="89" t="str">
        <f>'Runs Z-Score'!E272</f>
        <v>S2</v>
      </c>
      <c r="F284" s="89">
        <f>'Runs Z-Score'!F272</f>
        <v>4.91</v>
      </c>
      <c r="G284" s="89">
        <f t="shared" si="32"/>
        <v>5.88</v>
      </c>
      <c r="H284" s="89">
        <v>9.91</v>
      </c>
      <c r="I284" s="89">
        <f>VLOOKUP(C284,Recipes!$A$2:$N$4,12,FALSE())</f>
        <v>5.0137397426368718E-2</v>
      </c>
      <c r="J284" s="89">
        <f t="shared" si="34"/>
        <v>6460.8033032003459</v>
      </c>
      <c r="K284" s="89">
        <f t="shared" si="35"/>
        <v>6460.7366365336793</v>
      </c>
      <c r="L284" s="89">
        <f t="shared" si="36"/>
        <v>80.37870760676411</v>
      </c>
      <c r="M284" s="89" t="str">
        <f t="shared" si="37"/>
        <v>NG</v>
      </c>
      <c r="N284" s="117">
        <f t="shared" si="38"/>
        <v>1</v>
      </c>
      <c r="O284" s="89">
        <f t="shared" si="33"/>
        <v>4.03</v>
      </c>
      <c r="P284" s="89">
        <f>IF(G284="","",ABS(O284-Components!$C$2))</f>
        <v>1.2766666666666704</v>
      </c>
      <c r="Q284" s="89">
        <f>IF(G284="","",ABS(O284-Components!$C$3))</f>
        <v>5.9999999999993392E-3</v>
      </c>
      <c r="R284" s="89">
        <f>IF(G284="","",ABS(O284-Components!$C$4))</f>
        <v>3.0366666666666671</v>
      </c>
      <c r="S284" s="89">
        <f>IF(G284="","",ABS(O284-Components!$C$5))</f>
        <v>0.53266666666667017</v>
      </c>
      <c r="T284" s="89">
        <f>IF(G284="","",ABS(O284-Components!$C$6))</f>
        <v>2.8743333333333303</v>
      </c>
      <c r="U284" s="89">
        <f>IF(G284="","",ABS(O284-Components!$C$7))</f>
        <v>2.6556666666666704</v>
      </c>
      <c r="V284" s="89" t="str">
        <f>IF(G284="","",IF(M284="OK","NONE",INDEX({"S1","S2","W1","W2","N1","N2"},MATCH(MIN(P284:U284),P284:U284,0))))</f>
        <v>S2</v>
      </c>
      <c r="W284" s="139">
        <f t="shared" si="39"/>
        <v>1</v>
      </c>
      <c r="X284" s="125"/>
    </row>
    <row r="285" spans="1:24" ht="15.75">
      <c r="A285" s="115">
        <v>271</v>
      </c>
      <c r="B285" s="135">
        <f>'Runs Z-Score'!B273</f>
        <v>10</v>
      </c>
      <c r="C285" s="89" t="str">
        <f>'Runs Z-Score'!C273</f>
        <v>R6</v>
      </c>
      <c r="D285" s="89" t="str">
        <f>'Runs Z-Score'!D273</f>
        <v>OK</v>
      </c>
      <c r="E285" s="89" t="str">
        <f>'Runs Z-Score'!E273</f>
        <v>NONE</v>
      </c>
      <c r="F285" s="89">
        <f>'Runs Z-Score'!F273</f>
        <v>8.65</v>
      </c>
      <c r="G285" s="89">
        <f t="shared" si="32"/>
        <v>9.620000000000001</v>
      </c>
      <c r="H285" s="89">
        <v>9.61</v>
      </c>
      <c r="I285" s="89">
        <f>VLOOKUP(C285,Recipes!$A$2:$N$4,12,FALSE())</f>
        <v>6.1509461004819709E-2</v>
      </c>
      <c r="J285" s="89">
        <f t="shared" si="34"/>
        <v>2.6431155952942657E-2</v>
      </c>
      <c r="K285" s="89">
        <f t="shared" si="35"/>
        <v>0</v>
      </c>
      <c r="L285" s="89">
        <f t="shared" si="36"/>
        <v>0</v>
      </c>
      <c r="M285" s="89" t="str">
        <f t="shared" si="37"/>
        <v>OK</v>
      </c>
      <c r="N285" s="117">
        <f t="shared" si="38"/>
        <v>1</v>
      </c>
      <c r="O285" s="89">
        <f t="shared" si="33"/>
        <v>-1.0000000000001563E-2</v>
      </c>
      <c r="P285" s="89">
        <f>IF(G285="","",ABS(O285-Components!$C$2))</f>
        <v>2.7633333333333314</v>
      </c>
      <c r="Q285" s="89">
        <f>IF(G285="","",ABS(O285-Components!$C$3))</f>
        <v>4.0460000000000012</v>
      </c>
      <c r="R285" s="89">
        <f>IF(G285="","",ABS(O285-Components!$C$4))</f>
        <v>1.0033333333333345</v>
      </c>
      <c r="S285" s="89">
        <f>IF(G285="","",ABS(O285-Components!$C$5))</f>
        <v>4.572666666666672</v>
      </c>
      <c r="T285" s="89">
        <f>IF(G285="","",ABS(O285-Components!$C$6))</f>
        <v>1.1656666666666715</v>
      </c>
      <c r="U285" s="89">
        <f>IF(G285="","",ABS(O285-Components!$C$7))</f>
        <v>1.3843333333333316</v>
      </c>
      <c r="V285" s="89" t="str">
        <f>IF(G285="","",IF(M285="OK","NONE",INDEX({"S1","S2","W1","W2","N1","N2"},MATCH(MIN(P285:U285),P285:U285,0))))</f>
        <v>NONE</v>
      </c>
      <c r="W285" s="139">
        <f t="shared" si="39"/>
        <v>1</v>
      </c>
      <c r="X285" s="125"/>
    </row>
    <row r="286" spans="1:24" ht="15.75">
      <c r="A286" s="115">
        <v>272</v>
      </c>
      <c r="B286" s="135">
        <f>'Runs Z-Score'!B274</f>
        <v>10</v>
      </c>
      <c r="C286" s="89" t="str">
        <f>'Runs Z-Score'!C274</f>
        <v>R6</v>
      </c>
      <c r="D286" s="89" t="str">
        <f>'Runs Z-Score'!D274</f>
        <v>OK</v>
      </c>
      <c r="E286" s="89" t="str">
        <f>'Runs Z-Score'!E274</f>
        <v>NONE</v>
      </c>
      <c r="F286" s="89">
        <f>'Runs Z-Score'!F274</f>
        <v>8.5299999999999994</v>
      </c>
      <c r="G286" s="89">
        <f t="shared" si="32"/>
        <v>9.5</v>
      </c>
      <c r="H286" s="89">
        <v>9.61</v>
      </c>
      <c r="I286" s="89">
        <f>VLOOKUP(C286,Recipes!$A$2:$N$4,12,FALSE())</f>
        <v>6.1509461004819709E-2</v>
      </c>
      <c r="J286" s="89">
        <f t="shared" si="34"/>
        <v>3.198169870305029</v>
      </c>
      <c r="K286" s="89">
        <f t="shared" si="35"/>
        <v>3.1315032036383621</v>
      </c>
      <c r="L286" s="89">
        <f t="shared" si="36"/>
        <v>1.7696053807666732</v>
      </c>
      <c r="M286" s="89" t="str">
        <f t="shared" si="37"/>
        <v>OK</v>
      </c>
      <c r="N286" s="117">
        <f t="shared" si="38"/>
        <v>1</v>
      </c>
      <c r="O286" s="89">
        <f t="shared" si="33"/>
        <v>0.10999999999999943</v>
      </c>
      <c r="P286" s="89">
        <f>IF(G286="","",ABS(O286-Components!$C$2))</f>
        <v>2.6433333333333304</v>
      </c>
      <c r="Q286" s="89">
        <f>IF(G286="","",ABS(O286-Components!$C$3))</f>
        <v>3.9260000000000002</v>
      </c>
      <c r="R286" s="89">
        <f>IF(G286="","",ABS(O286-Components!$C$4))</f>
        <v>0.88333333333333353</v>
      </c>
      <c r="S286" s="89">
        <f>IF(G286="","",ABS(O286-Components!$C$5))</f>
        <v>4.452666666666671</v>
      </c>
      <c r="T286" s="89">
        <f>IF(G286="","",ABS(O286-Components!$C$6))</f>
        <v>1.0456666666666705</v>
      </c>
      <c r="U286" s="89">
        <f>IF(G286="","",ABS(O286-Components!$C$7))</f>
        <v>1.2643333333333306</v>
      </c>
      <c r="V286" s="89" t="str">
        <f>IF(G286="","",IF(M286="OK","NONE",INDEX({"S1","S2","W1","W2","N1","N2"},MATCH(MIN(P286:U286),P286:U286,0))))</f>
        <v>NONE</v>
      </c>
      <c r="W286" s="139">
        <f t="shared" si="39"/>
        <v>1</v>
      </c>
      <c r="X286" s="125"/>
    </row>
    <row r="287" spans="1:24" ht="15.75">
      <c r="A287" s="115">
        <v>273</v>
      </c>
      <c r="B287" s="135">
        <f>'Runs Z-Score'!B275</f>
        <v>10</v>
      </c>
      <c r="C287" s="89" t="str">
        <f>'Runs Z-Score'!C275</f>
        <v>R6</v>
      </c>
      <c r="D287" s="89" t="str">
        <f>'Runs Z-Score'!D275</f>
        <v>OK</v>
      </c>
      <c r="E287" s="89" t="str">
        <f>'Runs Z-Score'!E275</f>
        <v>NONE</v>
      </c>
      <c r="F287" s="89">
        <f>'Runs Z-Score'!F275</f>
        <v>8.58</v>
      </c>
      <c r="G287" s="89">
        <f t="shared" si="32"/>
        <v>9.5500000000000007</v>
      </c>
      <c r="H287" s="89">
        <v>9.61</v>
      </c>
      <c r="I287" s="89">
        <f>VLOOKUP(C287,Recipes!$A$2:$N$4,12,FALSE())</f>
        <v>6.1509461004819709E-2</v>
      </c>
      <c r="J287" s="89">
        <f t="shared" si="34"/>
        <v>0.95152161430559778</v>
      </c>
      <c r="K287" s="89">
        <f t="shared" si="35"/>
        <v>0.88485494763893113</v>
      </c>
      <c r="L287" s="89">
        <f t="shared" si="36"/>
        <v>0.94066728849202108</v>
      </c>
      <c r="M287" s="89" t="str">
        <f t="shared" si="37"/>
        <v>OK</v>
      </c>
      <c r="N287" s="117">
        <f t="shared" si="38"/>
        <v>1</v>
      </c>
      <c r="O287" s="89">
        <f t="shared" si="33"/>
        <v>5.9999999999998721E-2</v>
      </c>
      <c r="P287" s="89">
        <f>IF(G287="","",ABS(O287-Components!$C$2))</f>
        <v>2.6933333333333311</v>
      </c>
      <c r="Q287" s="89">
        <f>IF(G287="","",ABS(O287-Components!$C$3))</f>
        <v>3.9760000000000009</v>
      </c>
      <c r="R287" s="89">
        <f>IF(G287="","",ABS(O287-Components!$C$4))</f>
        <v>0.93333333333333424</v>
      </c>
      <c r="S287" s="89">
        <f>IF(G287="","",ABS(O287-Components!$C$5))</f>
        <v>4.5026666666666717</v>
      </c>
      <c r="T287" s="89">
        <f>IF(G287="","",ABS(O287-Components!$C$6))</f>
        <v>1.0956666666666712</v>
      </c>
      <c r="U287" s="89">
        <f>IF(G287="","",ABS(O287-Components!$C$7))</f>
        <v>1.3143333333333314</v>
      </c>
      <c r="V287" s="89" t="str">
        <f>IF(G287="","",IF(M287="OK","NONE",INDEX({"S1","S2","W1","W2","N1","N2"},MATCH(MIN(P287:U287),P287:U287,0))))</f>
        <v>NONE</v>
      </c>
      <c r="W287" s="139">
        <f t="shared" si="39"/>
        <v>1</v>
      </c>
      <c r="X287" s="125"/>
    </row>
    <row r="288" spans="1:24" ht="15.75">
      <c r="A288" s="115">
        <v>274</v>
      </c>
      <c r="B288" s="135">
        <f>'Runs Z-Score'!B276</f>
        <v>10</v>
      </c>
      <c r="C288" s="89" t="str">
        <f>'Runs Z-Score'!C276</f>
        <v>R6</v>
      </c>
      <c r="D288" s="89" t="str">
        <f>'Runs Z-Score'!D276</f>
        <v>OK</v>
      </c>
      <c r="E288" s="89" t="str">
        <f>'Runs Z-Score'!E276</f>
        <v>NONE</v>
      </c>
      <c r="F288" s="89">
        <f>'Runs Z-Score'!F276</f>
        <v>8.66</v>
      </c>
      <c r="G288" s="89">
        <f t="shared" si="32"/>
        <v>9.6300000000000008</v>
      </c>
      <c r="H288" s="89">
        <v>9.61</v>
      </c>
      <c r="I288" s="89">
        <f>VLOOKUP(C288,Recipes!$A$2:$N$4,12,FALSE())</f>
        <v>6.1509461004819709E-2</v>
      </c>
      <c r="J288" s="89">
        <f t="shared" si="34"/>
        <v>0.10572462381175186</v>
      </c>
      <c r="K288" s="89">
        <f t="shared" si="35"/>
        <v>3.9057957145085198E-2</v>
      </c>
      <c r="L288" s="89">
        <f t="shared" si="36"/>
        <v>0.19763086081147649</v>
      </c>
      <c r="M288" s="89" t="str">
        <f t="shared" si="37"/>
        <v>OK</v>
      </c>
      <c r="N288" s="117">
        <f t="shared" si="38"/>
        <v>1</v>
      </c>
      <c r="O288" s="89">
        <f t="shared" si="33"/>
        <v>-2.000000000000135E-2</v>
      </c>
      <c r="P288" s="89">
        <f>IF(G288="","",ABS(O288-Components!$C$2))</f>
        <v>2.7733333333333312</v>
      </c>
      <c r="Q288" s="89">
        <f>IF(G288="","",ABS(O288-Components!$C$3))</f>
        <v>4.0560000000000009</v>
      </c>
      <c r="R288" s="89">
        <f>IF(G288="","",ABS(O288-Components!$C$4))</f>
        <v>1.0133333333333343</v>
      </c>
      <c r="S288" s="89">
        <f>IF(G288="","",ABS(O288-Components!$C$5))</f>
        <v>4.5826666666666718</v>
      </c>
      <c r="T288" s="89">
        <f>IF(G288="","",ABS(O288-Components!$C$6))</f>
        <v>1.1756666666666713</v>
      </c>
      <c r="U288" s="89">
        <f>IF(G288="","",ABS(O288-Components!$C$7))</f>
        <v>1.3943333333333314</v>
      </c>
      <c r="V288" s="89" t="str">
        <f>IF(G288="","",IF(M288="OK","NONE",INDEX({"S1","S2","W1","W2","N1","N2"},MATCH(MIN(P288:U288),P288:U288,0))))</f>
        <v>NONE</v>
      </c>
      <c r="W288" s="139">
        <f t="shared" si="39"/>
        <v>1</v>
      </c>
      <c r="X288" s="125"/>
    </row>
    <row r="289" spans="1:24" ht="15.75">
      <c r="A289" s="115">
        <v>275</v>
      </c>
      <c r="B289" s="135">
        <f>'Runs Z-Score'!B277</f>
        <v>10</v>
      </c>
      <c r="C289" s="89" t="str">
        <f>'Runs Z-Score'!C277</f>
        <v>R6</v>
      </c>
      <c r="D289" s="89" t="str">
        <f>'Runs Z-Score'!D277</f>
        <v>OK</v>
      </c>
      <c r="E289" s="89" t="str">
        <f>'Runs Z-Score'!E277</f>
        <v>NONE</v>
      </c>
      <c r="F289" s="89">
        <f>'Runs Z-Score'!F277</f>
        <v>8.57</v>
      </c>
      <c r="G289" s="89">
        <f t="shared" si="32"/>
        <v>9.5400000000000009</v>
      </c>
      <c r="H289" s="89">
        <v>9.61</v>
      </c>
      <c r="I289" s="89">
        <f>VLOOKUP(C289,Recipes!$A$2:$N$4,12,FALSE())</f>
        <v>6.1509461004819709E-2</v>
      </c>
      <c r="J289" s="89">
        <f t="shared" si="34"/>
        <v>1.2951266416937302</v>
      </c>
      <c r="K289" s="89">
        <f t="shared" si="35"/>
        <v>1.2284599750270635</v>
      </c>
      <c r="L289" s="89">
        <f t="shared" si="36"/>
        <v>1.1083591363033298</v>
      </c>
      <c r="M289" s="89" t="str">
        <f t="shared" si="37"/>
        <v>OK</v>
      </c>
      <c r="N289" s="117">
        <f t="shared" si="38"/>
        <v>1</v>
      </c>
      <c r="O289" s="89">
        <f t="shared" si="33"/>
        <v>6.9999999999998508E-2</v>
      </c>
      <c r="P289" s="89">
        <f>IF(G289="","",ABS(O289-Components!$C$2))</f>
        <v>2.6833333333333313</v>
      </c>
      <c r="Q289" s="89">
        <f>IF(G289="","",ABS(O289-Components!$C$3))</f>
        <v>3.9660000000000011</v>
      </c>
      <c r="R289" s="89">
        <f>IF(G289="","",ABS(O289-Components!$C$4))</f>
        <v>0.92333333333333445</v>
      </c>
      <c r="S289" s="89">
        <f>IF(G289="","",ABS(O289-Components!$C$5))</f>
        <v>4.4926666666666719</v>
      </c>
      <c r="T289" s="89">
        <f>IF(G289="","",ABS(O289-Components!$C$6))</f>
        <v>1.0856666666666714</v>
      </c>
      <c r="U289" s="89">
        <f>IF(G289="","",ABS(O289-Components!$C$7))</f>
        <v>1.3043333333333316</v>
      </c>
      <c r="V289" s="89" t="str">
        <f>IF(G289="","",IF(M289="OK","NONE",INDEX({"S1","S2","W1","W2","N1","N2"},MATCH(MIN(P289:U289),P289:U289,0))))</f>
        <v>NONE</v>
      </c>
      <c r="W289" s="139">
        <f t="shared" si="39"/>
        <v>1</v>
      </c>
      <c r="X289" s="125"/>
    </row>
    <row r="290" spans="1:24" ht="15.75">
      <c r="A290" s="115">
        <v>276</v>
      </c>
      <c r="B290" s="135">
        <f>'Runs Z-Score'!B278</f>
        <v>10</v>
      </c>
      <c r="C290" s="89" t="str">
        <f>'Runs Z-Score'!C278</f>
        <v>R6</v>
      </c>
      <c r="D290" s="89" t="str">
        <f>'Runs Z-Score'!D278</f>
        <v>OK</v>
      </c>
      <c r="E290" s="89" t="str">
        <f>'Runs Z-Score'!E278</f>
        <v>NONE</v>
      </c>
      <c r="F290" s="89">
        <f>'Runs Z-Score'!F278</f>
        <v>8.6</v>
      </c>
      <c r="G290" s="89">
        <f t="shared" si="32"/>
        <v>9.57</v>
      </c>
      <c r="H290" s="89">
        <v>9.61</v>
      </c>
      <c r="I290" s="89">
        <f>VLOOKUP(C290,Recipes!$A$2:$N$4,12,FALSE())</f>
        <v>6.1509461004819709E-2</v>
      </c>
      <c r="J290" s="89">
        <f t="shared" si="34"/>
        <v>0.42289849524693235</v>
      </c>
      <c r="K290" s="89">
        <f t="shared" si="35"/>
        <v>0.3562318285802657</v>
      </c>
      <c r="L290" s="89">
        <f t="shared" si="36"/>
        <v>0.59685159678119792</v>
      </c>
      <c r="M290" s="89" t="str">
        <f t="shared" si="37"/>
        <v>OK</v>
      </c>
      <c r="N290" s="117">
        <f t="shared" si="38"/>
        <v>1</v>
      </c>
      <c r="O290" s="89">
        <f t="shared" si="33"/>
        <v>3.9999999999999147E-2</v>
      </c>
      <c r="P290" s="89">
        <f>IF(G290="","",ABS(O290-Components!$C$2))</f>
        <v>2.7133333333333307</v>
      </c>
      <c r="Q290" s="89">
        <f>IF(G290="","",ABS(O290-Components!$C$3))</f>
        <v>3.9960000000000004</v>
      </c>
      <c r="R290" s="89">
        <f>IF(G290="","",ABS(O290-Components!$C$4))</f>
        <v>0.95333333333333381</v>
      </c>
      <c r="S290" s="89">
        <f>IF(G290="","",ABS(O290-Components!$C$5))</f>
        <v>4.5226666666666713</v>
      </c>
      <c r="T290" s="89">
        <f>IF(G290="","",ABS(O290-Components!$C$6))</f>
        <v>1.1156666666666708</v>
      </c>
      <c r="U290" s="89">
        <f>IF(G290="","",ABS(O290-Components!$C$7))</f>
        <v>1.3343333333333309</v>
      </c>
      <c r="V290" s="89" t="str">
        <f>IF(G290="","",IF(M290="OK","NONE",INDEX({"S1","S2","W1","W2","N1","N2"},MATCH(MIN(P290:U290),P290:U290,0))))</f>
        <v>NONE</v>
      </c>
      <c r="W290" s="139">
        <f t="shared" si="39"/>
        <v>1</v>
      </c>
      <c r="X290" s="125"/>
    </row>
    <row r="291" spans="1:24" ht="15.75">
      <c r="A291" s="115">
        <v>277</v>
      </c>
      <c r="B291" s="135">
        <f>'Runs Z-Score'!B279</f>
        <v>10</v>
      </c>
      <c r="C291" s="89" t="str">
        <f>'Runs Z-Score'!C279</f>
        <v>R6</v>
      </c>
      <c r="D291" s="89" t="str">
        <f>'Runs Z-Score'!D279</f>
        <v>OK</v>
      </c>
      <c r="E291" s="89" t="str">
        <f>'Runs Z-Score'!E279</f>
        <v>NONE</v>
      </c>
      <c r="F291" s="89">
        <f>'Runs Z-Score'!F279</f>
        <v>8.65</v>
      </c>
      <c r="G291" s="89">
        <f t="shared" si="32"/>
        <v>9.620000000000001</v>
      </c>
      <c r="H291" s="89">
        <v>9.61</v>
      </c>
      <c r="I291" s="89">
        <f>VLOOKUP(C291,Recipes!$A$2:$N$4,12,FALSE())</f>
        <v>6.1509461004819709E-2</v>
      </c>
      <c r="J291" s="89">
        <f t="shared" si="34"/>
        <v>2.6431155952942657E-2</v>
      </c>
      <c r="K291" s="89">
        <f t="shared" si="35"/>
        <v>0</v>
      </c>
      <c r="L291" s="89">
        <f t="shared" si="36"/>
        <v>0</v>
      </c>
      <c r="M291" s="89" t="str">
        <f t="shared" si="37"/>
        <v>OK</v>
      </c>
      <c r="N291" s="117">
        <f t="shared" si="38"/>
        <v>1</v>
      </c>
      <c r="O291" s="89">
        <f t="shared" si="33"/>
        <v>-1.0000000000001563E-2</v>
      </c>
      <c r="P291" s="89">
        <f>IF(G291="","",ABS(O291-Components!$C$2))</f>
        <v>2.7633333333333314</v>
      </c>
      <c r="Q291" s="89">
        <f>IF(G291="","",ABS(O291-Components!$C$3))</f>
        <v>4.0460000000000012</v>
      </c>
      <c r="R291" s="89">
        <f>IF(G291="","",ABS(O291-Components!$C$4))</f>
        <v>1.0033333333333345</v>
      </c>
      <c r="S291" s="89">
        <f>IF(G291="","",ABS(O291-Components!$C$5))</f>
        <v>4.572666666666672</v>
      </c>
      <c r="T291" s="89">
        <f>IF(G291="","",ABS(O291-Components!$C$6))</f>
        <v>1.1656666666666715</v>
      </c>
      <c r="U291" s="89">
        <f>IF(G291="","",ABS(O291-Components!$C$7))</f>
        <v>1.3843333333333316</v>
      </c>
      <c r="V291" s="89" t="str">
        <f>IF(G291="","",IF(M291="OK","NONE",INDEX({"S1","S2","W1","W2","N1","N2"},MATCH(MIN(P291:U291),P291:U291,0))))</f>
        <v>NONE</v>
      </c>
      <c r="W291" s="139">
        <f t="shared" si="39"/>
        <v>1</v>
      </c>
      <c r="X291" s="125"/>
    </row>
    <row r="292" spans="1:24" ht="15.75">
      <c r="A292" s="115">
        <v>278</v>
      </c>
      <c r="B292" s="135">
        <f>'Runs Z-Score'!B280</f>
        <v>10</v>
      </c>
      <c r="C292" s="89" t="str">
        <f>'Runs Z-Score'!C280</f>
        <v>R6</v>
      </c>
      <c r="D292" s="89" t="str">
        <f>'Runs Z-Score'!D280</f>
        <v>OK</v>
      </c>
      <c r="E292" s="89" t="str">
        <f>'Runs Z-Score'!E280</f>
        <v>NONE</v>
      </c>
      <c r="F292" s="89">
        <f>'Runs Z-Score'!F280</f>
        <v>8.58</v>
      </c>
      <c r="G292" s="89">
        <f t="shared" si="32"/>
        <v>9.5500000000000007</v>
      </c>
      <c r="H292" s="89">
        <v>9.61</v>
      </c>
      <c r="I292" s="89">
        <f>VLOOKUP(C292,Recipes!$A$2:$N$4,12,FALSE())</f>
        <v>6.1509461004819709E-2</v>
      </c>
      <c r="J292" s="89">
        <f t="shared" si="34"/>
        <v>0.95152161430559778</v>
      </c>
      <c r="K292" s="89">
        <f t="shared" si="35"/>
        <v>0.88485494763893113</v>
      </c>
      <c r="L292" s="89">
        <f t="shared" si="36"/>
        <v>0.94066728849202108</v>
      </c>
      <c r="M292" s="89" t="str">
        <f t="shared" si="37"/>
        <v>OK</v>
      </c>
      <c r="N292" s="117">
        <f t="shared" si="38"/>
        <v>1</v>
      </c>
      <c r="O292" s="89">
        <f t="shared" si="33"/>
        <v>5.9999999999998721E-2</v>
      </c>
      <c r="P292" s="89">
        <f>IF(G292="","",ABS(O292-Components!$C$2))</f>
        <v>2.6933333333333311</v>
      </c>
      <c r="Q292" s="89">
        <f>IF(G292="","",ABS(O292-Components!$C$3))</f>
        <v>3.9760000000000009</v>
      </c>
      <c r="R292" s="89">
        <f>IF(G292="","",ABS(O292-Components!$C$4))</f>
        <v>0.93333333333333424</v>
      </c>
      <c r="S292" s="89">
        <f>IF(G292="","",ABS(O292-Components!$C$5))</f>
        <v>4.5026666666666717</v>
      </c>
      <c r="T292" s="89">
        <f>IF(G292="","",ABS(O292-Components!$C$6))</f>
        <v>1.0956666666666712</v>
      </c>
      <c r="U292" s="89">
        <f>IF(G292="","",ABS(O292-Components!$C$7))</f>
        <v>1.3143333333333314</v>
      </c>
      <c r="V292" s="89" t="str">
        <f>IF(G292="","",IF(M292="OK","NONE",INDEX({"S1","S2","W1","W2","N1","N2"},MATCH(MIN(P292:U292),P292:U292,0))))</f>
        <v>NONE</v>
      </c>
      <c r="W292" s="139">
        <f t="shared" si="39"/>
        <v>1</v>
      </c>
      <c r="X292" s="125"/>
    </row>
    <row r="293" spans="1:24" ht="15.75">
      <c r="A293" s="115">
        <v>279</v>
      </c>
      <c r="B293" s="135">
        <f>'Runs Z-Score'!B281</f>
        <v>10</v>
      </c>
      <c r="C293" s="89" t="str">
        <f>'Runs Z-Score'!C281</f>
        <v>R6</v>
      </c>
      <c r="D293" s="89" t="str">
        <f>'Runs Z-Score'!D281</f>
        <v>OK</v>
      </c>
      <c r="E293" s="89" t="str">
        <f>'Runs Z-Score'!E281</f>
        <v>NONE</v>
      </c>
      <c r="F293" s="89">
        <f>'Runs Z-Score'!F281</f>
        <v>8.58</v>
      </c>
      <c r="G293" s="89">
        <f t="shared" si="32"/>
        <v>9.5500000000000007</v>
      </c>
      <c r="H293" s="89">
        <v>9.61</v>
      </c>
      <c r="I293" s="89">
        <f>VLOOKUP(C293,Recipes!$A$2:$N$4,12,FALSE())</f>
        <v>6.1509461004819709E-2</v>
      </c>
      <c r="J293" s="89">
        <f t="shared" si="34"/>
        <v>0.95152161430559778</v>
      </c>
      <c r="K293" s="89">
        <f t="shared" si="35"/>
        <v>0.88485494763893113</v>
      </c>
      <c r="L293" s="89">
        <f t="shared" si="36"/>
        <v>0.94066728849202108</v>
      </c>
      <c r="M293" s="89" t="str">
        <f t="shared" si="37"/>
        <v>OK</v>
      </c>
      <c r="N293" s="117">
        <f t="shared" si="38"/>
        <v>1</v>
      </c>
      <c r="O293" s="89">
        <f t="shared" si="33"/>
        <v>5.9999999999998721E-2</v>
      </c>
      <c r="P293" s="89">
        <f>IF(G293="","",ABS(O293-Components!$C$2))</f>
        <v>2.6933333333333311</v>
      </c>
      <c r="Q293" s="89">
        <f>IF(G293="","",ABS(O293-Components!$C$3))</f>
        <v>3.9760000000000009</v>
      </c>
      <c r="R293" s="89">
        <f>IF(G293="","",ABS(O293-Components!$C$4))</f>
        <v>0.93333333333333424</v>
      </c>
      <c r="S293" s="89">
        <f>IF(G293="","",ABS(O293-Components!$C$5))</f>
        <v>4.5026666666666717</v>
      </c>
      <c r="T293" s="89">
        <f>IF(G293="","",ABS(O293-Components!$C$6))</f>
        <v>1.0956666666666712</v>
      </c>
      <c r="U293" s="89">
        <f>IF(G293="","",ABS(O293-Components!$C$7))</f>
        <v>1.3143333333333314</v>
      </c>
      <c r="V293" s="89" t="str">
        <f>IF(G293="","",IF(M293="OK","NONE",INDEX({"S1","S2","W1","W2","N1","N2"},MATCH(MIN(P293:U293),P293:U293,0))))</f>
        <v>NONE</v>
      </c>
      <c r="W293" s="139">
        <f t="shared" si="39"/>
        <v>1</v>
      </c>
      <c r="X293" s="125"/>
    </row>
    <row r="294" spans="1:24" ht="15.75">
      <c r="A294" s="115">
        <v>280</v>
      </c>
      <c r="B294" s="135">
        <f>'Runs Z-Score'!B282</f>
        <v>10</v>
      </c>
      <c r="C294" s="89" t="str">
        <f>'Runs Z-Score'!C282</f>
        <v>R6</v>
      </c>
      <c r="D294" s="89" t="str">
        <f>'Runs Z-Score'!D282</f>
        <v>OK</v>
      </c>
      <c r="E294" s="89" t="str">
        <f>'Runs Z-Score'!E282</f>
        <v>NONE</v>
      </c>
      <c r="F294" s="89">
        <f>'Runs Z-Score'!F282</f>
        <v>8.57</v>
      </c>
      <c r="G294" s="89">
        <f t="shared" si="32"/>
        <v>9.5400000000000009</v>
      </c>
      <c r="H294" s="89">
        <v>9.61</v>
      </c>
      <c r="I294" s="89">
        <f>VLOOKUP(C294,Recipes!$A$2:$N$4,12,FALSE())</f>
        <v>6.1509461004819709E-2</v>
      </c>
      <c r="J294" s="89">
        <f t="shared" si="34"/>
        <v>1.2951266416937302</v>
      </c>
      <c r="K294" s="89">
        <f t="shared" si="35"/>
        <v>1.2284599750270635</v>
      </c>
      <c r="L294" s="89">
        <f t="shared" si="36"/>
        <v>1.1083591363033298</v>
      </c>
      <c r="M294" s="89" t="str">
        <f t="shared" si="37"/>
        <v>OK</v>
      </c>
      <c r="N294" s="117">
        <f t="shared" si="38"/>
        <v>1</v>
      </c>
      <c r="O294" s="89">
        <f t="shared" si="33"/>
        <v>6.9999999999998508E-2</v>
      </c>
      <c r="P294" s="89">
        <f>IF(G294="","",ABS(O294-Components!$C$2))</f>
        <v>2.6833333333333313</v>
      </c>
      <c r="Q294" s="89">
        <f>IF(G294="","",ABS(O294-Components!$C$3))</f>
        <v>3.9660000000000011</v>
      </c>
      <c r="R294" s="89">
        <f>IF(G294="","",ABS(O294-Components!$C$4))</f>
        <v>0.92333333333333445</v>
      </c>
      <c r="S294" s="89">
        <f>IF(G294="","",ABS(O294-Components!$C$5))</f>
        <v>4.4926666666666719</v>
      </c>
      <c r="T294" s="89">
        <f>IF(G294="","",ABS(O294-Components!$C$6))</f>
        <v>1.0856666666666714</v>
      </c>
      <c r="U294" s="89">
        <f>IF(G294="","",ABS(O294-Components!$C$7))</f>
        <v>1.3043333333333316</v>
      </c>
      <c r="V294" s="89" t="str">
        <f>IF(G294="","",IF(M294="OK","NONE",INDEX({"S1","S2","W1","W2","N1","N2"},MATCH(MIN(P294:U294),P294:U294,0))))</f>
        <v>NONE</v>
      </c>
      <c r="W294" s="139">
        <f t="shared" si="39"/>
        <v>1</v>
      </c>
      <c r="X294" s="125"/>
    </row>
    <row r="295" spans="1:24" ht="15.75">
      <c r="A295" s="115">
        <v>281</v>
      </c>
      <c r="B295" s="135">
        <f>'Runs Z-Score'!B283</f>
        <v>10</v>
      </c>
      <c r="C295" s="89" t="str">
        <f>'Runs Z-Score'!C283</f>
        <v>R6</v>
      </c>
      <c r="D295" s="89" t="str">
        <f>'Runs Z-Score'!D283</f>
        <v>OK</v>
      </c>
      <c r="E295" s="89" t="str">
        <f>'Runs Z-Score'!E283</f>
        <v>NONE</v>
      </c>
      <c r="F295" s="89">
        <f>'Runs Z-Score'!F283</f>
        <v>8.5299999999999994</v>
      </c>
      <c r="G295" s="89">
        <f t="shared" si="32"/>
        <v>9.5</v>
      </c>
      <c r="H295" s="89">
        <v>9.61</v>
      </c>
      <c r="I295" s="89">
        <f>VLOOKUP(C295,Recipes!$A$2:$N$4,12,FALSE())</f>
        <v>6.1509461004819709E-2</v>
      </c>
      <c r="J295" s="89">
        <f t="shared" si="34"/>
        <v>3.198169870305029</v>
      </c>
      <c r="K295" s="89">
        <f t="shared" si="35"/>
        <v>3.1315032036383621</v>
      </c>
      <c r="L295" s="89">
        <f t="shared" si="36"/>
        <v>1.7696053807666732</v>
      </c>
      <c r="M295" s="89" t="str">
        <f t="shared" si="37"/>
        <v>OK</v>
      </c>
      <c r="N295" s="117">
        <f t="shared" si="38"/>
        <v>1</v>
      </c>
      <c r="O295" s="89">
        <f t="shared" si="33"/>
        <v>0.10999999999999943</v>
      </c>
      <c r="P295" s="89">
        <f>IF(G295="","",ABS(O295-Components!$C$2))</f>
        <v>2.6433333333333304</v>
      </c>
      <c r="Q295" s="89">
        <f>IF(G295="","",ABS(O295-Components!$C$3))</f>
        <v>3.9260000000000002</v>
      </c>
      <c r="R295" s="89">
        <f>IF(G295="","",ABS(O295-Components!$C$4))</f>
        <v>0.88333333333333353</v>
      </c>
      <c r="S295" s="89">
        <f>IF(G295="","",ABS(O295-Components!$C$5))</f>
        <v>4.452666666666671</v>
      </c>
      <c r="T295" s="89">
        <f>IF(G295="","",ABS(O295-Components!$C$6))</f>
        <v>1.0456666666666705</v>
      </c>
      <c r="U295" s="89">
        <f>IF(G295="","",ABS(O295-Components!$C$7))</f>
        <v>1.2643333333333306</v>
      </c>
      <c r="V295" s="89" t="str">
        <f>IF(G295="","",IF(M295="OK","NONE",INDEX({"S1","S2","W1","W2","N1","N2"},MATCH(MIN(P295:U295),P295:U295,0))))</f>
        <v>NONE</v>
      </c>
      <c r="W295" s="139">
        <f t="shared" si="39"/>
        <v>1</v>
      </c>
      <c r="X295" s="125"/>
    </row>
    <row r="296" spans="1:24" ht="15.75">
      <c r="A296" s="115">
        <v>282</v>
      </c>
      <c r="B296" s="135">
        <f>'Runs Z-Score'!B284</f>
        <v>10</v>
      </c>
      <c r="C296" s="89" t="str">
        <f>'Runs Z-Score'!C284</f>
        <v>R6</v>
      </c>
      <c r="D296" s="89" t="str">
        <f>'Runs Z-Score'!D284</f>
        <v>OK</v>
      </c>
      <c r="E296" s="89" t="str">
        <f>'Runs Z-Score'!E284</f>
        <v>NONE</v>
      </c>
      <c r="F296" s="89">
        <f>'Runs Z-Score'!F284</f>
        <v>8.64</v>
      </c>
      <c r="G296" s="89">
        <f t="shared" si="32"/>
        <v>9.6100000000000012</v>
      </c>
      <c r="H296" s="89">
        <v>9.61</v>
      </c>
      <c r="I296" s="89">
        <f>VLOOKUP(C296,Recipes!$A$2:$N$4,12,FALSE())</f>
        <v>6.1509461004819709E-2</v>
      </c>
      <c r="J296" s="89">
        <f t="shared" si="34"/>
        <v>8.3402022444278257E-28</v>
      </c>
      <c r="K296" s="89">
        <f t="shared" si="35"/>
        <v>0</v>
      </c>
      <c r="L296" s="89">
        <f t="shared" si="36"/>
        <v>0</v>
      </c>
      <c r="M296" s="89" t="str">
        <f t="shared" si="37"/>
        <v>OK</v>
      </c>
      <c r="N296" s="117">
        <f t="shared" si="38"/>
        <v>1</v>
      </c>
      <c r="O296" s="89">
        <f t="shared" si="33"/>
        <v>-1.7763568394002505E-15</v>
      </c>
      <c r="P296" s="89">
        <f>IF(G296="","",ABS(O296-Components!$C$2))</f>
        <v>2.7533333333333316</v>
      </c>
      <c r="Q296" s="89">
        <f>IF(G296="","",ABS(O296-Components!$C$3))</f>
        <v>4.0360000000000014</v>
      </c>
      <c r="R296" s="89">
        <f>IF(G296="","",ABS(O296-Components!$C$4))</f>
        <v>0.99333333333333473</v>
      </c>
      <c r="S296" s="89">
        <f>IF(G296="","",ABS(O296-Components!$C$5))</f>
        <v>4.5626666666666722</v>
      </c>
      <c r="T296" s="89">
        <f>IF(G296="","",ABS(O296-Components!$C$6))</f>
        <v>1.1556666666666717</v>
      </c>
      <c r="U296" s="89">
        <f>IF(G296="","",ABS(O296-Components!$C$7))</f>
        <v>1.3743333333333319</v>
      </c>
      <c r="V296" s="89" t="str">
        <f>IF(G296="","",IF(M296="OK","NONE",INDEX({"S1","S2","W1","W2","N1","N2"},MATCH(MIN(P296:U296),P296:U296,0))))</f>
        <v>NONE</v>
      </c>
      <c r="W296" s="139">
        <f t="shared" si="39"/>
        <v>1</v>
      </c>
      <c r="X296" s="125"/>
    </row>
    <row r="297" spans="1:24" ht="15.75">
      <c r="A297" s="115">
        <v>283</v>
      </c>
      <c r="B297" s="135">
        <f>'Runs Z-Score'!B285</f>
        <v>10</v>
      </c>
      <c r="C297" s="89" t="str">
        <f>'Runs Z-Score'!C285</f>
        <v>R6</v>
      </c>
      <c r="D297" s="89" t="str">
        <f>'Runs Z-Score'!D285</f>
        <v>OK</v>
      </c>
      <c r="E297" s="89" t="str">
        <f>'Runs Z-Score'!E285</f>
        <v>NONE</v>
      </c>
      <c r="F297" s="89">
        <f>'Runs Z-Score'!F285</f>
        <v>8.57</v>
      </c>
      <c r="G297" s="89">
        <f t="shared" si="32"/>
        <v>9.5400000000000009</v>
      </c>
      <c r="H297" s="89">
        <v>9.61</v>
      </c>
      <c r="I297" s="89">
        <f>VLOOKUP(C297,Recipes!$A$2:$N$4,12,FALSE())</f>
        <v>6.1509461004819709E-2</v>
      </c>
      <c r="J297" s="89">
        <f t="shared" si="34"/>
        <v>1.2951266416937302</v>
      </c>
      <c r="K297" s="89">
        <f t="shared" si="35"/>
        <v>1.2284599750270635</v>
      </c>
      <c r="L297" s="89">
        <f t="shared" si="36"/>
        <v>1.1083591363033298</v>
      </c>
      <c r="M297" s="89" t="str">
        <f t="shared" si="37"/>
        <v>OK</v>
      </c>
      <c r="N297" s="117">
        <f t="shared" si="38"/>
        <v>1</v>
      </c>
      <c r="O297" s="89">
        <f t="shared" si="33"/>
        <v>6.9999999999998508E-2</v>
      </c>
      <c r="P297" s="89">
        <f>IF(G297="","",ABS(O297-Components!$C$2))</f>
        <v>2.6833333333333313</v>
      </c>
      <c r="Q297" s="89">
        <f>IF(G297="","",ABS(O297-Components!$C$3))</f>
        <v>3.9660000000000011</v>
      </c>
      <c r="R297" s="89">
        <f>IF(G297="","",ABS(O297-Components!$C$4))</f>
        <v>0.92333333333333445</v>
      </c>
      <c r="S297" s="89">
        <f>IF(G297="","",ABS(O297-Components!$C$5))</f>
        <v>4.4926666666666719</v>
      </c>
      <c r="T297" s="89">
        <f>IF(G297="","",ABS(O297-Components!$C$6))</f>
        <v>1.0856666666666714</v>
      </c>
      <c r="U297" s="89">
        <f>IF(G297="","",ABS(O297-Components!$C$7))</f>
        <v>1.3043333333333316</v>
      </c>
      <c r="V297" s="89" t="str">
        <f>IF(G297="","",IF(M297="OK","NONE",INDEX({"S1","S2","W1","W2","N1","N2"},MATCH(MIN(P297:U297),P297:U297,0))))</f>
        <v>NONE</v>
      </c>
      <c r="W297" s="139">
        <f t="shared" si="39"/>
        <v>1</v>
      </c>
      <c r="X297" s="125"/>
    </row>
    <row r="298" spans="1:24" ht="15.75">
      <c r="A298" s="115">
        <v>284</v>
      </c>
      <c r="B298" s="135">
        <f>'Runs Z-Score'!B286</f>
        <v>10</v>
      </c>
      <c r="C298" s="89" t="str">
        <f>'Runs Z-Score'!C286</f>
        <v>R6</v>
      </c>
      <c r="D298" s="89" t="str">
        <f>'Runs Z-Score'!D286</f>
        <v>OK</v>
      </c>
      <c r="E298" s="89" t="str">
        <f>'Runs Z-Score'!E286</f>
        <v>NONE</v>
      </c>
      <c r="F298" s="89">
        <f>'Runs Z-Score'!F286</f>
        <v>8.58</v>
      </c>
      <c r="G298" s="89">
        <f t="shared" si="32"/>
        <v>9.5500000000000007</v>
      </c>
      <c r="H298" s="89">
        <v>9.61</v>
      </c>
      <c r="I298" s="89">
        <f>VLOOKUP(C298,Recipes!$A$2:$N$4,12,FALSE())</f>
        <v>6.1509461004819709E-2</v>
      </c>
      <c r="J298" s="89">
        <f t="shared" si="34"/>
        <v>0.95152161430559778</v>
      </c>
      <c r="K298" s="89">
        <f t="shared" si="35"/>
        <v>0.88485494763893113</v>
      </c>
      <c r="L298" s="89">
        <f t="shared" si="36"/>
        <v>0.94066728849202108</v>
      </c>
      <c r="M298" s="89" t="str">
        <f t="shared" si="37"/>
        <v>OK</v>
      </c>
      <c r="N298" s="117">
        <f t="shared" si="38"/>
        <v>1</v>
      </c>
      <c r="O298" s="89">
        <f t="shared" si="33"/>
        <v>5.9999999999998721E-2</v>
      </c>
      <c r="P298" s="89">
        <f>IF(G298="","",ABS(O298-Components!$C$2))</f>
        <v>2.6933333333333311</v>
      </c>
      <c r="Q298" s="89">
        <f>IF(G298="","",ABS(O298-Components!$C$3))</f>
        <v>3.9760000000000009</v>
      </c>
      <c r="R298" s="89">
        <f>IF(G298="","",ABS(O298-Components!$C$4))</f>
        <v>0.93333333333333424</v>
      </c>
      <c r="S298" s="89">
        <f>IF(G298="","",ABS(O298-Components!$C$5))</f>
        <v>4.5026666666666717</v>
      </c>
      <c r="T298" s="89">
        <f>IF(G298="","",ABS(O298-Components!$C$6))</f>
        <v>1.0956666666666712</v>
      </c>
      <c r="U298" s="89">
        <f>IF(G298="","",ABS(O298-Components!$C$7))</f>
        <v>1.3143333333333314</v>
      </c>
      <c r="V298" s="89" t="str">
        <f>IF(G298="","",IF(M298="OK","NONE",INDEX({"S1","S2","W1","W2","N1","N2"},MATCH(MIN(P298:U298),P298:U298,0))))</f>
        <v>NONE</v>
      </c>
      <c r="W298" s="139">
        <f t="shared" si="39"/>
        <v>1</v>
      </c>
      <c r="X298" s="125"/>
    </row>
    <row r="299" spans="1:24" ht="15.75">
      <c r="A299" s="115">
        <v>285</v>
      </c>
      <c r="B299" s="135">
        <f>'Runs Z-Score'!B287</f>
        <v>10</v>
      </c>
      <c r="C299" s="89" t="str">
        <f>'Runs Z-Score'!C287</f>
        <v>R6</v>
      </c>
      <c r="D299" s="89" t="str">
        <f>'Runs Z-Score'!D287</f>
        <v>OK</v>
      </c>
      <c r="E299" s="89" t="str">
        <f>'Runs Z-Score'!E287</f>
        <v>NONE</v>
      </c>
      <c r="F299" s="89">
        <f>'Runs Z-Score'!F287</f>
        <v>8.6300000000000008</v>
      </c>
      <c r="G299" s="89">
        <f t="shared" si="32"/>
        <v>9.6000000000000014</v>
      </c>
      <c r="H299" s="89">
        <v>9.61</v>
      </c>
      <c r="I299" s="89">
        <f>VLOOKUP(C299,Recipes!$A$2:$N$4,12,FALSE())</f>
        <v>6.1509461004819709E-2</v>
      </c>
      <c r="J299" s="89">
        <f t="shared" si="34"/>
        <v>2.6431155952923877E-2</v>
      </c>
      <c r="K299" s="89">
        <f t="shared" si="35"/>
        <v>0</v>
      </c>
      <c r="L299" s="89">
        <f t="shared" si="36"/>
        <v>0</v>
      </c>
      <c r="M299" s="89" t="str">
        <f t="shared" si="37"/>
        <v>OK</v>
      </c>
      <c r="N299" s="117">
        <f t="shared" si="38"/>
        <v>1</v>
      </c>
      <c r="O299" s="89">
        <f t="shared" si="33"/>
        <v>9.9999999999980105E-3</v>
      </c>
      <c r="P299" s="89">
        <f>IF(G299="","",ABS(O299-Components!$C$2))</f>
        <v>2.7433333333333318</v>
      </c>
      <c r="Q299" s="89">
        <f>IF(G299="","",ABS(O299-Components!$C$3))</f>
        <v>4.0260000000000016</v>
      </c>
      <c r="R299" s="89">
        <f>IF(G299="","",ABS(O299-Components!$C$4))</f>
        <v>0.98333333333333495</v>
      </c>
      <c r="S299" s="89">
        <f>IF(G299="","",ABS(O299-Components!$C$5))</f>
        <v>4.5526666666666724</v>
      </c>
      <c r="T299" s="89">
        <f>IF(G299="","",ABS(O299-Components!$C$6))</f>
        <v>1.1456666666666719</v>
      </c>
      <c r="U299" s="89">
        <f>IF(G299="","",ABS(O299-Components!$C$7))</f>
        <v>1.3643333333333321</v>
      </c>
      <c r="V299" s="89" t="str">
        <f>IF(G299="","",IF(M299="OK","NONE",INDEX({"S1","S2","W1","W2","N1","N2"},MATCH(MIN(P299:U299),P299:U299,0))))</f>
        <v>NONE</v>
      </c>
      <c r="W299" s="139">
        <f t="shared" si="39"/>
        <v>1</v>
      </c>
      <c r="X299" s="125"/>
    </row>
    <row r="300" spans="1:24" ht="15.75">
      <c r="A300" s="115">
        <v>286</v>
      </c>
      <c r="B300" s="135">
        <f>'Runs Z-Score'!B288</f>
        <v>10</v>
      </c>
      <c r="C300" s="89" t="str">
        <f>'Runs Z-Score'!C288</f>
        <v>R6</v>
      </c>
      <c r="D300" s="89" t="str">
        <f>'Runs Z-Score'!D288</f>
        <v>OK</v>
      </c>
      <c r="E300" s="89" t="str">
        <f>'Runs Z-Score'!E288</f>
        <v>NONE</v>
      </c>
      <c r="F300" s="89">
        <f>'Runs Z-Score'!F288</f>
        <v>8.6</v>
      </c>
      <c r="G300" s="89">
        <f t="shared" si="32"/>
        <v>9.57</v>
      </c>
      <c r="H300" s="89">
        <v>9.61</v>
      </c>
      <c r="I300" s="89">
        <f>VLOOKUP(C300,Recipes!$A$2:$N$4,12,FALSE())</f>
        <v>6.1509461004819709E-2</v>
      </c>
      <c r="J300" s="89">
        <f t="shared" si="34"/>
        <v>0.42289849524693235</v>
      </c>
      <c r="K300" s="89">
        <f t="shared" si="35"/>
        <v>0.3562318285802657</v>
      </c>
      <c r="L300" s="89">
        <f t="shared" si="36"/>
        <v>0.59685159678119792</v>
      </c>
      <c r="M300" s="89" t="str">
        <f t="shared" si="37"/>
        <v>OK</v>
      </c>
      <c r="N300" s="117">
        <f t="shared" si="38"/>
        <v>1</v>
      </c>
      <c r="O300" s="89">
        <f t="shared" si="33"/>
        <v>3.9999999999999147E-2</v>
      </c>
      <c r="P300" s="89">
        <f>IF(G300="","",ABS(O300-Components!$C$2))</f>
        <v>2.7133333333333307</v>
      </c>
      <c r="Q300" s="89">
        <f>IF(G300="","",ABS(O300-Components!$C$3))</f>
        <v>3.9960000000000004</v>
      </c>
      <c r="R300" s="89">
        <f>IF(G300="","",ABS(O300-Components!$C$4))</f>
        <v>0.95333333333333381</v>
      </c>
      <c r="S300" s="89">
        <f>IF(G300="","",ABS(O300-Components!$C$5))</f>
        <v>4.5226666666666713</v>
      </c>
      <c r="T300" s="89">
        <f>IF(G300="","",ABS(O300-Components!$C$6))</f>
        <v>1.1156666666666708</v>
      </c>
      <c r="U300" s="89">
        <f>IF(G300="","",ABS(O300-Components!$C$7))</f>
        <v>1.3343333333333309</v>
      </c>
      <c r="V300" s="89" t="str">
        <f>IF(G300="","",IF(M300="OK","NONE",INDEX({"S1","S2","W1","W2","N1","N2"},MATCH(MIN(P300:U300),P300:U300,0))))</f>
        <v>NONE</v>
      </c>
      <c r="W300" s="139">
        <f t="shared" si="39"/>
        <v>1</v>
      </c>
      <c r="X300" s="125"/>
    </row>
    <row r="301" spans="1:24" ht="15.75">
      <c r="A301" s="115">
        <v>287</v>
      </c>
      <c r="B301" s="135">
        <f>'Runs Z-Score'!B289</f>
        <v>10</v>
      </c>
      <c r="C301" s="89" t="str">
        <f>'Runs Z-Score'!C289</f>
        <v>R6</v>
      </c>
      <c r="D301" s="89" t="str">
        <f>'Runs Z-Score'!D289</f>
        <v>OK</v>
      </c>
      <c r="E301" s="89" t="str">
        <f>'Runs Z-Score'!E289</f>
        <v>NONE</v>
      </c>
      <c r="F301" s="89">
        <f>'Runs Z-Score'!F289</f>
        <v>8.6199999999999992</v>
      </c>
      <c r="G301" s="89">
        <f t="shared" si="32"/>
        <v>9.59</v>
      </c>
      <c r="H301" s="89">
        <v>9.61</v>
      </c>
      <c r="I301" s="89">
        <f>VLOOKUP(C301,Recipes!$A$2:$N$4,12,FALSE())</f>
        <v>6.1509461004819709E-2</v>
      </c>
      <c r="J301" s="89">
        <f t="shared" si="34"/>
        <v>0.10572462381173309</v>
      </c>
      <c r="K301" s="89">
        <f t="shared" si="35"/>
        <v>3.9057957145066421E-2</v>
      </c>
      <c r="L301" s="89">
        <f t="shared" si="36"/>
        <v>0.197630860811429</v>
      </c>
      <c r="M301" s="89" t="str">
        <f t="shared" si="37"/>
        <v>OK</v>
      </c>
      <c r="N301" s="117">
        <f t="shared" si="38"/>
        <v>1</v>
      </c>
      <c r="O301" s="89">
        <f t="shared" si="33"/>
        <v>1.9999999999999574E-2</v>
      </c>
      <c r="P301" s="89">
        <f>IF(G301="","",ABS(O301-Components!$C$2))</f>
        <v>2.7333333333333303</v>
      </c>
      <c r="Q301" s="89">
        <f>IF(G301="","",ABS(O301-Components!$C$3))</f>
        <v>4.016</v>
      </c>
      <c r="R301" s="89">
        <f>IF(G301="","",ABS(O301-Components!$C$4))</f>
        <v>0.97333333333333338</v>
      </c>
      <c r="S301" s="89">
        <f>IF(G301="","",ABS(O301-Components!$C$5))</f>
        <v>4.5426666666666708</v>
      </c>
      <c r="T301" s="89">
        <f>IF(G301="","",ABS(O301-Components!$C$6))</f>
        <v>1.1356666666666704</v>
      </c>
      <c r="U301" s="89">
        <f>IF(G301="","",ABS(O301-Components!$C$7))</f>
        <v>1.3543333333333305</v>
      </c>
      <c r="V301" s="89" t="str">
        <f>IF(G301="","",IF(M301="OK","NONE",INDEX({"S1","S2","W1","W2","N1","N2"},MATCH(MIN(P301:U301),P301:U301,0))))</f>
        <v>NONE</v>
      </c>
      <c r="W301" s="139">
        <f t="shared" si="39"/>
        <v>1</v>
      </c>
      <c r="X301" s="125"/>
    </row>
    <row r="302" spans="1:24" ht="15.75">
      <c r="A302" s="115">
        <v>288</v>
      </c>
      <c r="B302" s="135">
        <f>'Runs Z-Score'!B290</f>
        <v>10</v>
      </c>
      <c r="C302" s="89" t="str">
        <f>'Runs Z-Score'!C290</f>
        <v>R6</v>
      </c>
      <c r="D302" s="89" t="str">
        <f>'Runs Z-Score'!D290</f>
        <v>OK</v>
      </c>
      <c r="E302" s="89" t="str">
        <f>'Runs Z-Score'!E290</f>
        <v>NONE</v>
      </c>
      <c r="F302" s="89">
        <f>'Runs Z-Score'!F290</f>
        <v>8.41</v>
      </c>
      <c r="G302" s="89">
        <f t="shared" si="32"/>
        <v>9.3800000000000008</v>
      </c>
      <c r="H302" s="89">
        <v>9.61</v>
      </c>
      <c r="I302" s="89">
        <f>VLOOKUP(C302,Recipes!$A$2:$N$4,12,FALSE())</f>
        <v>6.1509461004819709E-2</v>
      </c>
      <c r="J302" s="89">
        <f t="shared" si="34"/>
        <v>13.982081499102131</v>
      </c>
      <c r="K302" s="89">
        <f t="shared" si="35"/>
        <v>13.915414832435465</v>
      </c>
      <c r="L302" s="89">
        <f t="shared" si="36"/>
        <v>3.7303370936733673</v>
      </c>
      <c r="M302" s="89" t="str">
        <f t="shared" si="37"/>
        <v>NG</v>
      </c>
      <c r="N302" s="117">
        <f t="shared" si="38"/>
        <v>0</v>
      </c>
      <c r="O302" s="89">
        <f t="shared" si="33"/>
        <v>0.22999999999999865</v>
      </c>
      <c r="P302" s="89">
        <f>IF(G302="","",ABS(O302-Components!$C$2))</f>
        <v>2.5233333333333312</v>
      </c>
      <c r="Q302" s="89">
        <f>IF(G302="","",ABS(O302-Components!$C$3))</f>
        <v>3.8060000000000009</v>
      </c>
      <c r="R302" s="89">
        <f>IF(G302="","",ABS(O302-Components!$C$4))</f>
        <v>0.76333333333333431</v>
      </c>
      <c r="S302" s="89">
        <f>IF(G302="","",ABS(O302-Components!$C$5))</f>
        <v>4.3326666666666718</v>
      </c>
      <c r="T302" s="89">
        <f>IF(G302="","",ABS(O302-Components!$C$6))</f>
        <v>0.9256666666666713</v>
      </c>
      <c r="U302" s="89">
        <f>IF(G302="","",ABS(O302-Components!$C$7))</f>
        <v>1.1443333333333314</v>
      </c>
      <c r="V302" s="89" t="str">
        <f>IF(G302="","",IF(M302="OK","NONE",INDEX({"S1","S2","W1","W2","N1","N2"},MATCH(MIN(P302:U302),P302:U302,0))))</f>
        <v>W1</v>
      </c>
      <c r="W302" s="140">
        <f t="shared" si="39"/>
        <v>0</v>
      </c>
      <c r="X302" s="125"/>
    </row>
    <row r="303" spans="1:24" ht="15.75">
      <c r="A303" s="115">
        <v>289</v>
      </c>
      <c r="B303" s="135">
        <f>'Runs Z-Score'!B291</f>
        <v>10</v>
      </c>
      <c r="C303" s="89" t="str">
        <f>'Runs Z-Score'!C291</f>
        <v>R6</v>
      </c>
      <c r="D303" s="89" t="str">
        <f>'Runs Z-Score'!D291</f>
        <v>OK</v>
      </c>
      <c r="E303" s="89" t="str">
        <f>'Runs Z-Score'!E291</f>
        <v>NONE</v>
      </c>
      <c r="F303" s="89">
        <f>'Runs Z-Score'!F291</f>
        <v>8.61</v>
      </c>
      <c r="G303" s="89">
        <f t="shared" si="32"/>
        <v>9.58</v>
      </c>
      <c r="H303" s="89">
        <v>9.61</v>
      </c>
      <c r="I303" s="89">
        <f>VLOOKUP(C303,Recipes!$A$2:$N$4,12,FALSE())</f>
        <v>6.1509461004819709E-2</v>
      </c>
      <c r="J303" s="89">
        <f t="shared" si="34"/>
        <v>0.23788040357639945</v>
      </c>
      <c r="K303" s="89">
        <f t="shared" si="35"/>
        <v>0.17121373690973279</v>
      </c>
      <c r="L303" s="89">
        <f t="shared" si="36"/>
        <v>0.4137798169434232</v>
      </c>
      <c r="M303" s="89" t="str">
        <f t="shared" si="37"/>
        <v>OK</v>
      </c>
      <c r="N303" s="117">
        <f t="shared" si="38"/>
        <v>1</v>
      </c>
      <c r="O303" s="89">
        <f t="shared" si="33"/>
        <v>2.9999999999999361E-2</v>
      </c>
      <c r="P303" s="89">
        <f>IF(G303="","",ABS(O303-Components!$C$2))</f>
        <v>2.7233333333333305</v>
      </c>
      <c r="Q303" s="89">
        <f>IF(G303="","",ABS(O303-Components!$C$3))</f>
        <v>4.0060000000000002</v>
      </c>
      <c r="R303" s="89">
        <f>IF(G303="","",ABS(O303-Components!$C$4))</f>
        <v>0.9633333333333336</v>
      </c>
      <c r="S303" s="89">
        <f>IF(G303="","",ABS(O303-Components!$C$5))</f>
        <v>4.5326666666666711</v>
      </c>
      <c r="T303" s="89">
        <f>IF(G303="","",ABS(O303-Components!$C$6))</f>
        <v>1.1256666666666706</v>
      </c>
      <c r="U303" s="89">
        <f>IF(G303="","",ABS(O303-Components!$C$7))</f>
        <v>1.3443333333333307</v>
      </c>
      <c r="V303" s="89" t="str">
        <f>IF(G303="","",IF(M303="OK","NONE",INDEX({"S1","S2","W1","W2","N1","N2"},MATCH(MIN(P303:U303),P303:U303,0))))</f>
        <v>NONE</v>
      </c>
      <c r="W303" s="139">
        <f t="shared" si="39"/>
        <v>1</v>
      </c>
      <c r="X303" s="125"/>
    </row>
    <row r="304" spans="1:24" ht="15.75">
      <c r="A304" s="115">
        <v>290</v>
      </c>
      <c r="B304" s="135">
        <f>'Runs Z-Score'!B292</f>
        <v>10</v>
      </c>
      <c r="C304" s="89" t="str">
        <f>'Runs Z-Score'!C292</f>
        <v>R6</v>
      </c>
      <c r="D304" s="89" t="str">
        <f>'Runs Z-Score'!D292</f>
        <v>OK</v>
      </c>
      <c r="E304" s="89" t="str">
        <f>'Runs Z-Score'!E292</f>
        <v>NONE</v>
      </c>
      <c r="F304" s="89">
        <f>'Runs Z-Score'!F292</f>
        <v>8.61</v>
      </c>
      <c r="G304" s="89">
        <f t="shared" si="32"/>
        <v>9.58</v>
      </c>
      <c r="H304" s="89">
        <v>9.61</v>
      </c>
      <c r="I304" s="89">
        <f>VLOOKUP(C304,Recipes!$A$2:$N$4,12,FALSE())</f>
        <v>6.1509461004819709E-2</v>
      </c>
      <c r="J304" s="89">
        <f t="shared" si="34"/>
        <v>0.23788040357639945</v>
      </c>
      <c r="K304" s="89">
        <f t="shared" si="35"/>
        <v>0.17121373690973279</v>
      </c>
      <c r="L304" s="89">
        <f t="shared" si="36"/>
        <v>0.4137798169434232</v>
      </c>
      <c r="M304" s="89" t="str">
        <f t="shared" si="37"/>
        <v>OK</v>
      </c>
      <c r="N304" s="117">
        <f t="shared" si="38"/>
        <v>1</v>
      </c>
      <c r="O304" s="89">
        <f t="shared" si="33"/>
        <v>2.9999999999999361E-2</v>
      </c>
      <c r="P304" s="89">
        <f>IF(G304="","",ABS(O304-Components!$C$2))</f>
        <v>2.7233333333333305</v>
      </c>
      <c r="Q304" s="89">
        <f>IF(G304="","",ABS(O304-Components!$C$3))</f>
        <v>4.0060000000000002</v>
      </c>
      <c r="R304" s="89">
        <f>IF(G304="","",ABS(O304-Components!$C$4))</f>
        <v>0.9633333333333336</v>
      </c>
      <c r="S304" s="89">
        <f>IF(G304="","",ABS(O304-Components!$C$5))</f>
        <v>4.5326666666666711</v>
      </c>
      <c r="T304" s="89">
        <f>IF(G304="","",ABS(O304-Components!$C$6))</f>
        <v>1.1256666666666706</v>
      </c>
      <c r="U304" s="89">
        <f>IF(G304="","",ABS(O304-Components!$C$7))</f>
        <v>1.3443333333333307</v>
      </c>
      <c r="V304" s="89" t="str">
        <f>IF(G304="","",IF(M304="OK","NONE",INDEX({"S1","S2","W1","W2","N1","N2"},MATCH(MIN(P304:U304),P304:U304,0))))</f>
        <v>NONE</v>
      </c>
      <c r="W304" s="139">
        <f t="shared" si="39"/>
        <v>1</v>
      </c>
      <c r="X304" s="125"/>
    </row>
    <row r="305" spans="1:24" ht="15.75">
      <c r="A305" s="115">
        <v>291</v>
      </c>
      <c r="B305" s="135">
        <f>'Runs Z-Score'!B293</f>
        <v>10</v>
      </c>
      <c r="C305" s="89" t="str">
        <f>'Runs Z-Score'!C293</f>
        <v>R6</v>
      </c>
      <c r="D305" s="89" t="str">
        <f>'Runs Z-Score'!D293</f>
        <v>OK</v>
      </c>
      <c r="E305" s="89" t="str">
        <f>'Runs Z-Score'!E293</f>
        <v>NONE</v>
      </c>
      <c r="F305" s="89">
        <f>'Runs Z-Score'!F293</f>
        <v>8.5399999999999991</v>
      </c>
      <c r="G305" s="89">
        <f t="shared" si="32"/>
        <v>9.51</v>
      </c>
      <c r="H305" s="89">
        <v>9.61</v>
      </c>
      <c r="I305" s="89">
        <f>VLOOKUP(C305,Recipes!$A$2:$N$4,12,FALSE())</f>
        <v>6.1509461004819709E-2</v>
      </c>
      <c r="J305" s="89">
        <f t="shared" si="34"/>
        <v>2.6431155952934211</v>
      </c>
      <c r="K305" s="89">
        <f t="shared" si="35"/>
        <v>2.5764489286267542</v>
      </c>
      <c r="L305" s="89">
        <f t="shared" si="36"/>
        <v>1.6051320595598215</v>
      </c>
      <c r="M305" s="89" t="str">
        <f t="shared" si="37"/>
        <v>OK</v>
      </c>
      <c r="N305" s="117">
        <f t="shared" si="38"/>
        <v>1</v>
      </c>
      <c r="O305" s="89">
        <f t="shared" si="33"/>
        <v>9.9999999999999645E-2</v>
      </c>
      <c r="P305" s="89">
        <f>IF(G305="","",ABS(O305-Components!$C$2))</f>
        <v>2.6533333333333302</v>
      </c>
      <c r="Q305" s="89">
        <f>IF(G305="","",ABS(O305-Components!$C$3))</f>
        <v>3.9359999999999999</v>
      </c>
      <c r="R305" s="89">
        <f>IF(G305="","",ABS(O305-Components!$C$4))</f>
        <v>0.89333333333333331</v>
      </c>
      <c r="S305" s="89">
        <f>IF(G305="","",ABS(O305-Components!$C$5))</f>
        <v>4.4626666666666708</v>
      </c>
      <c r="T305" s="89">
        <f>IF(G305="","",ABS(O305-Components!$C$6))</f>
        <v>1.0556666666666703</v>
      </c>
      <c r="U305" s="89">
        <f>IF(G305="","",ABS(O305-Components!$C$7))</f>
        <v>1.2743333333333304</v>
      </c>
      <c r="V305" s="89" t="str">
        <f>IF(G305="","",IF(M305="OK","NONE",INDEX({"S1","S2","W1","W2","N1","N2"},MATCH(MIN(P305:U305),P305:U305,0))))</f>
        <v>NONE</v>
      </c>
      <c r="W305" s="139">
        <f t="shared" si="39"/>
        <v>1</v>
      </c>
      <c r="X305" s="125"/>
    </row>
    <row r="306" spans="1:24" ht="15.75">
      <c r="A306" s="115">
        <v>292</v>
      </c>
      <c r="B306" s="135">
        <f>'Runs Z-Score'!B294</f>
        <v>10</v>
      </c>
      <c r="C306" s="89" t="str">
        <f>'Runs Z-Score'!C294</f>
        <v>R6</v>
      </c>
      <c r="D306" s="89" t="str">
        <f>'Runs Z-Score'!D294</f>
        <v>OK</v>
      </c>
      <c r="E306" s="89" t="str">
        <f>'Runs Z-Score'!E294</f>
        <v>NONE</v>
      </c>
      <c r="F306" s="89">
        <f>'Runs Z-Score'!F294</f>
        <v>8.59</v>
      </c>
      <c r="G306" s="89">
        <f t="shared" si="32"/>
        <v>9.56</v>
      </c>
      <c r="H306" s="89">
        <v>9.61</v>
      </c>
      <c r="I306" s="89">
        <f>VLOOKUP(C306,Recipes!$A$2:$N$4,12,FALSE())</f>
        <v>6.1509461004819709E-2</v>
      </c>
      <c r="J306" s="89">
        <f t="shared" si="34"/>
        <v>0.66077889882333185</v>
      </c>
      <c r="K306" s="89">
        <f t="shared" si="35"/>
        <v>0.5941122321566652</v>
      </c>
      <c r="L306" s="89">
        <f t="shared" si="36"/>
        <v>0.7707867617938603</v>
      </c>
      <c r="M306" s="89" t="str">
        <f t="shared" si="37"/>
        <v>OK</v>
      </c>
      <c r="N306" s="117">
        <f t="shared" si="38"/>
        <v>1</v>
      </c>
      <c r="O306" s="89">
        <f t="shared" si="33"/>
        <v>4.9999999999998934E-2</v>
      </c>
      <c r="P306" s="89">
        <f>IF(G306="","",ABS(O306-Components!$C$2))</f>
        <v>2.7033333333333309</v>
      </c>
      <c r="Q306" s="89">
        <f>IF(G306="","",ABS(O306-Components!$C$3))</f>
        <v>3.9860000000000007</v>
      </c>
      <c r="R306" s="89">
        <f>IF(G306="","",ABS(O306-Components!$C$4))</f>
        <v>0.94333333333333402</v>
      </c>
      <c r="S306" s="89">
        <f>IF(G306="","",ABS(O306-Components!$C$5))</f>
        <v>4.5126666666666715</v>
      </c>
      <c r="T306" s="89">
        <f>IF(G306="","",ABS(O306-Components!$C$6))</f>
        <v>1.105666666666671</v>
      </c>
      <c r="U306" s="89">
        <f>IF(G306="","",ABS(O306-Components!$C$7))</f>
        <v>1.3243333333333311</v>
      </c>
      <c r="V306" s="89" t="str">
        <f>IF(G306="","",IF(M306="OK","NONE",INDEX({"S1","S2","W1","W2","N1","N2"},MATCH(MIN(P306:U306),P306:U306,0))))</f>
        <v>NONE</v>
      </c>
      <c r="W306" s="139">
        <f t="shared" si="39"/>
        <v>1</v>
      </c>
      <c r="X306" s="125"/>
    </row>
    <row r="307" spans="1:24" ht="15.75">
      <c r="A307" s="115">
        <v>293</v>
      </c>
      <c r="B307" s="135">
        <f>'Runs Z-Score'!B295</f>
        <v>10</v>
      </c>
      <c r="C307" s="89" t="str">
        <f>'Runs Z-Score'!C295</f>
        <v>R6</v>
      </c>
      <c r="D307" s="89" t="str">
        <f>'Runs Z-Score'!D295</f>
        <v>OK</v>
      </c>
      <c r="E307" s="89" t="str">
        <f>'Runs Z-Score'!E295</f>
        <v>NONE</v>
      </c>
      <c r="F307" s="89">
        <f>'Runs Z-Score'!F295</f>
        <v>8.64</v>
      </c>
      <c r="G307" s="89">
        <f t="shared" si="32"/>
        <v>9.6100000000000012</v>
      </c>
      <c r="H307" s="89">
        <v>9.61</v>
      </c>
      <c r="I307" s="89">
        <f>VLOOKUP(C307,Recipes!$A$2:$N$4,12,FALSE())</f>
        <v>6.1509461004819709E-2</v>
      </c>
      <c r="J307" s="89">
        <f t="shared" si="34"/>
        <v>8.3402022444278257E-28</v>
      </c>
      <c r="K307" s="89">
        <f t="shared" si="35"/>
        <v>0</v>
      </c>
      <c r="L307" s="89">
        <f t="shared" si="36"/>
        <v>0</v>
      </c>
      <c r="M307" s="89" t="str">
        <f t="shared" si="37"/>
        <v>OK</v>
      </c>
      <c r="N307" s="117">
        <f t="shared" si="38"/>
        <v>1</v>
      </c>
      <c r="O307" s="89">
        <f t="shared" si="33"/>
        <v>-1.7763568394002505E-15</v>
      </c>
      <c r="P307" s="89">
        <f>IF(G307="","",ABS(O307-Components!$C$2))</f>
        <v>2.7533333333333316</v>
      </c>
      <c r="Q307" s="89">
        <f>IF(G307="","",ABS(O307-Components!$C$3))</f>
        <v>4.0360000000000014</v>
      </c>
      <c r="R307" s="89">
        <f>IF(G307="","",ABS(O307-Components!$C$4))</f>
        <v>0.99333333333333473</v>
      </c>
      <c r="S307" s="89">
        <f>IF(G307="","",ABS(O307-Components!$C$5))</f>
        <v>4.5626666666666722</v>
      </c>
      <c r="T307" s="89">
        <f>IF(G307="","",ABS(O307-Components!$C$6))</f>
        <v>1.1556666666666717</v>
      </c>
      <c r="U307" s="89">
        <f>IF(G307="","",ABS(O307-Components!$C$7))</f>
        <v>1.3743333333333319</v>
      </c>
      <c r="V307" s="89" t="str">
        <f>IF(G307="","",IF(M307="OK","NONE",INDEX({"S1","S2","W1","W2","N1","N2"},MATCH(MIN(P307:U307),P307:U307,0))))</f>
        <v>NONE</v>
      </c>
      <c r="W307" s="139">
        <f t="shared" si="39"/>
        <v>1</v>
      </c>
      <c r="X307" s="125"/>
    </row>
    <row r="308" spans="1:24" ht="15.75">
      <c r="A308" s="115">
        <v>294</v>
      </c>
      <c r="B308" s="135">
        <f>'Runs Z-Score'!B296</f>
        <v>10</v>
      </c>
      <c r="C308" s="89" t="str">
        <f>'Runs Z-Score'!C296</f>
        <v>R6</v>
      </c>
      <c r="D308" s="89" t="str">
        <f>'Runs Z-Score'!D296</f>
        <v>OK</v>
      </c>
      <c r="E308" s="89" t="str">
        <f>'Runs Z-Score'!E296</f>
        <v>NONE</v>
      </c>
      <c r="F308" s="89">
        <f>'Runs Z-Score'!F296</f>
        <v>8.64</v>
      </c>
      <c r="G308" s="89">
        <f t="shared" si="32"/>
        <v>9.6100000000000012</v>
      </c>
      <c r="H308" s="89">
        <v>9.61</v>
      </c>
      <c r="I308" s="89">
        <f>VLOOKUP(C308,Recipes!$A$2:$N$4,12,FALSE())</f>
        <v>6.1509461004819709E-2</v>
      </c>
      <c r="J308" s="89">
        <f t="shared" si="34"/>
        <v>8.3402022444278257E-28</v>
      </c>
      <c r="K308" s="89">
        <f t="shared" si="35"/>
        <v>0</v>
      </c>
      <c r="L308" s="89">
        <f t="shared" si="36"/>
        <v>0</v>
      </c>
      <c r="M308" s="89" t="str">
        <f t="shared" si="37"/>
        <v>OK</v>
      </c>
      <c r="N308" s="117">
        <f t="shared" si="38"/>
        <v>1</v>
      </c>
      <c r="O308" s="89">
        <f t="shared" si="33"/>
        <v>-1.7763568394002505E-15</v>
      </c>
      <c r="P308" s="89">
        <f>IF(G308="","",ABS(O308-Components!$C$2))</f>
        <v>2.7533333333333316</v>
      </c>
      <c r="Q308" s="89">
        <f>IF(G308="","",ABS(O308-Components!$C$3))</f>
        <v>4.0360000000000014</v>
      </c>
      <c r="R308" s="89">
        <f>IF(G308="","",ABS(O308-Components!$C$4))</f>
        <v>0.99333333333333473</v>
      </c>
      <c r="S308" s="89">
        <f>IF(G308="","",ABS(O308-Components!$C$5))</f>
        <v>4.5626666666666722</v>
      </c>
      <c r="T308" s="89">
        <f>IF(G308="","",ABS(O308-Components!$C$6))</f>
        <v>1.1556666666666717</v>
      </c>
      <c r="U308" s="89">
        <f>IF(G308="","",ABS(O308-Components!$C$7))</f>
        <v>1.3743333333333319</v>
      </c>
      <c r="V308" s="89" t="str">
        <f>IF(G308="","",IF(M308="OK","NONE",INDEX({"S1","S2","W1","W2","N1","N2"},MATCH(MIN(P308:U308),P308:U308,0))))</f>
        <v>NONE</v>
      </c>
      <c r="W308" s="139">
        <f t="shared" si="39"/>
        <v>1</v>
      </c>
      <c r="X308" s="125"/>
    </row>
    <row r="309" spans="1:24" ht="15.75">
      <c r="A309" s="115">
        <v>295</v>
      </c>
      <c r="B309" s="135">
        <f>'Runs Z-Score'!B297</f>
        <v>10</v>
      </c>
      <c r="C309" s="89" t="str">
        <f>'Runs Z-Score'!C297</f>
        <v>R6</v>
      </c>
      <c r="D309" s="89" t="str">
        <f>'Runs Z-Score'!D297</f>
        <v>OK</v>
      </c>
      <c r="E309" s="89" t="str">
        <f>'Runs Z-Score'!E297</f>
        <v>NONE</v>
      </c>
      <c r="F309" s="89">
        <f>'Runs Z-Score'!F297</f>
        <v>8.68</v>
      </c>
      <c r="G309" s="89">
        <f t="shared" si="32"/>
        <v>9.65</v>
      </c>
      <c r="H309" s="89">
        <v>9.61</v>
      </c>
      <c r="I309" s="89">
        <f>VLOOKUP(C309,Recipes!$A$2:$N$4,12,FALSE())</f>
        <v>6.1509461004819709E-2</v>
      </c>
      <c r="J309" s="89">
        <f t="shared" si="34"/>
        <v>0.42289849524696987</v>
      </c>
      <c r="K309" s="89">
        <f t="shared" si="35"/>
        <v>0.35623182858030322</v>
      </c>
      <c r="L309" s="89">
        <f t="shared" si="36"/>
        <v>0.59685159678122934</v>
      </c>
      <c r="M309" s="89" t="str">
        <f t="shared" si="37"/>
        <v>OK</v>
      </c>
      <c r="N309" s="117">
        <f t="shared" si="38"/>
        <v>1</v>
      </c>
      <c r="O309" s="89">
        <f t="shared" si="33"/>
        <v>-4.0000000000000924E-2</v>
      </c>
      <c r="P309" s="89">
        <f>IF(G309="","",ABS(O309-Components!$C$2))</f>
        <v>2.7933333333333308</v>
      </c>
      <c r="Q309" s="89">
        <f>IF(G309="","",ABS(O309-Components!$C$3))</f>
        <v>4.0760000000000005</v>
      </c>
      <c r="R309" s="89">
        <f>IF(G309="","",ABS(O309-Components!$C$4))</f>
        <v>1.0333333333333339</v>
      </c>
      <c r="S309" s="89">
        <f>IF(G309="","",ABS(O309-Components!$C$5))</f>
        <v>4.6026666666666713</v>
      </c>
      <c r="T309" s="89">
        <f>IF(G309="","",ABS(O309-Components!$C$6))</f>
        <v>1.1956666666666709</v>
      </c>
      <c r="U309" s="89">
        <f>IF(G309="","",ABS(O309-Components!$C$7))</f>
        <v>1.414333333333331</v>
      </c>
      <c r="V309" s="89" t="str">
        <f>IF(G309="","",IF(M309="OK","NONE",INDEX({"S1","S2","W1","W2","N1","N2"},MATCH(MIN(P309:U309),P309:U309,0))))</f>
        <v>NONE</v>
      </c>
      <c r="W309" s="139">
        <f t="shared" si="39"/>
        <v>1</v>
      </c>
      <c r="X309" s="125"/>
    </row>
    <row r="310" spans="1:24" ht="15.75">
      <c r="A310" s="115">
        <v>296</v>
      </c>
      <c r="B310" s="135">
        <f>'Runs Z-Score'!B298</f>
        <v>10</v>
      </c>
      <c r="C310" s="89" t="str">
        <f>'Runs Z-Score'!C298</f>
        <v>R6</v>
      </c>
      <c r="D310" s="89" t="str">
        <f>'Runs Z-Score'!D298</f>
        <v>OK</v>
      </c>
      <c r="E310" s="89" t="str">
        <f>'Runs Z-Score'!E298</f>
        <v>NONE</v>
      </c>
      <c r="F310" s="89">
        <f>'Runs Z-Score'!F298</f>
        <v>8.66</v>
      </c>
      <c r="G310" s="89">
        <f t="shared" si="32"/>
        <v>9.6300000000000008</v>
      </c>
      <c r="H310" s="89">
        <v>9.61</v>
      </c>
      <c r="I310" s="89">
        <f>VLOOKUP(C310,Recipes!$A$2:$N$4,12,FALSE())</f>
        <v>6.1509461004819709E-2</v>
      </c>
      <c r="J310" s="89">
        <f t="shared" si="34"/>
        <v>0.10572462381175186</v>
      </c>
      <c r="K310" s="89">
        <f t="shared" si="35"/>
        <v>3.9057957145085198E-2</v>
      </c>
      <c r="L310" s="89">
        <f t="shared" si="36"/>
        <v>0.19763086081147649</v>
      </c>
      <c r="M310" s="89" t="str">
        <f t="shared" si="37"/>
        <v>OK</v>
      </c>
      <c r="N310" s="117">
        <f t="shared" si="38"/>
        <v>1</v>
      </c>
      <c r="O310" s="89">
        <f t="shared" si="33"/>
        <v>-2.000000000000135E-2</v>
      </c>
      <c r="P310" s="89">
        <f>IF(G310="","",ABS(O310-Components!$C$2))</f>
        <v>2.7733333333333312</v>
      </c>
      <c r="Q310" s="89">
        <f>IF(G310="","",ABS(O310-Components!$C$3))</f>
        <v>4.0560000000000009</v>
      </c>
      <c r="R310" s="89">
        <f>IF(G310="","",ABS(O310-Components!$C$4))</f>
        <v>1.0133333333333343</v>
      </c>
      <c r="S310" s="89">
        <f>IF(G310="","",ABS(O310-Components!$C$5))</f>
        <v>4.5826666666666718</v>
      </c>
      <c r="T310" s="89">
        <f>IF(G310="","",ABS(O310-Components!$C$6))</f>
        <v>1.1756666666666713</v>
      </c>
      <c r="U310" s="89">
        <f>IF(G310="","",ABS(O310-Components!$C$7))</f>
        <v>1.3943333333333314</v>
      </c>
      <c r="V310" s="89" t="str">
        <f>IF(G310="","",IF(M310="OK","NONE",INDEX({"S1","S2","W1","W2","N1","N2"},MATCH(MIN(P310:U310),P310:U310,0))))</f>
        <v>NONE</v>
      </c>
      <c r="W310" s="139">
        <f t="shared" si="39"/>
        <v>1</v>
      </c>
      <c r="X310" s="125"/>
    </row>
    <row r="311" spans="1:24" ht="15.75">
      <c r="A311" s="115">
        <v>297</v>
      </c>
      <c r="B311" s="135">
        <f>'Runs Z-Score'!B299</f>
        <v>10</v>
      </c>
      <c r="C311" s="89" t="str">
        <f>'Runs Z-Score'!C299</f>
        <v>R6</v>
      </c>
      <c r="D311" s="89" t="str">
        <f>'Runs Z-Score'!D299</f>
        <v>OK</v>
      </c>
      <c r="E311" s="89" t="str">
        <f>'Runs Z-Score'!E299</f>
        <v>NONE</v>
      </c>
      <c r="F311" s="89">
        <f>'Runs Z-Score'!F299</f>
        <v>8.58</v>
      </c>
      <c r="G311" s="89">
        <f t="shared" si="32"/>
        <v>9.5500000000000007</v>
      </c>
      <c r="H311" s="89">
        <v>9.61</v>
      </c>
      <c r="I311" s="89">
        <f>VLOOKUP(C311,Recipes!$A$2:$N$4,12,FALSE())</f>
        <v>6.1509461004819709E-2</v>
      </c>
      <c r="J311" s="89">
        <f t="shared" si="34"/>
        <v>0.95152161430559778</v>
      </c>
      <c r="K311" s="89">
        <f t="shared" si="35"/>
        <v>0.88485494763893113</v>
      </c>
      <c r="L311" s="89">
        <f t="shared" si="36"/>
        <v>0.94066728849202108</v>
      </c>
      <c r="M311" s="89" t="str">
        <f t="shared" si="37"/>
        <v>OK</v>
      </c>
      <c r="N311" s="117">
        <f t="shared" si="38"/>
        <v>1</v>
      </c>
      <c r="O311" s="89">
        <f t="shared" si="33"/>
        <v>5.9999999999998721E-2</v>
      </c>
      <c r="P311" s="89">
        <f>IF(G311="","",ABS(O311-Components!$C$2))</f>
        <v>2.6933333333333311</v>
      </c>
      <c r="Q311" s="89">
        <f>IF(G311="","",ABS(O311-Components!$C$3))</f>
        <v>3.9760000000000009</v>
      </c>
      <c r="R311" s="89">
        <f>IF(G311="","",ABS(O311-Components!$C$4))</f>
        <v>0.93333333333333424</v>
      </c>
      <c r="S311" s="89">
        <f>IF(G311="","",ABS(O311-Components!$C$5))</f>
        <v>4.5026666666666717</v>
      </c>
      <c r="T311" s="89">
        <f>IF(G311="","",ABS(O311-Components!$C$6))</f>
        <v>1.0956666666666712</v>
      </c>
      <c r="U311" s="89">
        <f>IF(G311="","",ABS(O311-Components!$C$7))</f>
        <v>1.3143333333333314</v>
      </c>
      <c r="V311" s="89" t="str">
        <f>IF(G311="","",IF(M311="OK","NONE",INDEX({"S1","S2","W1","W2","N1","N2"},MATCH(MIN(P311:U311),P311:U311,0))))</f>
        <v>NONE</v>
      </c>
      <c r="W311" s="139">
        <f t="shared" si="39"/>
        <v>1</v>
      </c>
      <c r="X311" s="125"/>
    </row>
    <row r="312" spans="1:24" ht="15.75">
      <c r="A312" s="115">
        <v>298</v>
      </c>
      <c r="B312" s="135">
        <f>'Runs Z-Score'!B300</f>
        <v>10</v>
      </c>
      <c r="C312" s="89" t="str">
        <f>'Runs Z-Score'!C300</f>
        <v>R6</v>
      </c>
      <c r="D312" s="89" t="str">
        <f>'Runs Z-Score'!D300</f>
        <v>OK</v>
      </c>
      <c r="E312" s="89" t="str">
        <f>'Runs Z-Score'!E300</f>
        <v>NONE</v>
      </c>
      <c r="F312" s="89">
        <f>'Runs Z-Score'!F300</f>
        <v>8.6300000000000008</v>
      </c>
      <c r="G312" s="89">
        <f t="shared" si="32"/>
        <v>9.6000000000000014</v>
      </c>
      <c r="H312" s="89">
        <v>9.61</v>
      </c>
      <c r="I312" s="89">
        <f>VLOOKUP(C312,Recipes!$A$2:$N$4,12,FALSE())</f>
        <v>6.1509461004819709E-2</v>
      </c>
      <c r="J312" s="89">
        <f t="shared" si="34"/>
        <v>2.6431155952923877E-2</v>
      </c>
      <c r="K312" s="89">
        <f t="shared" si="35"/>
        <v>0</v>
      </c>
      <c r="L312" s="89">
        <f t="shared" si="36"/>
        <v>0</v>
      </c>
      <c r="M312" s="89" t="str">
        <f t="shared" si="37"/>
        <v>OK</v>
      </c>
      <c r="N312" s="117">
        <f t="shared" si="38"/>
        <v>1</v>
      </c>
      <c r="O312" s="89">
        <f t="shared" si="33"/>
        <v>9.9999999999980105E-3</v>
      </c>
      <c r="P312" s="89">
        <f>IF(G312="","",ABS(O312-Components!$C$2))</f>
        <v>2.7433333333333318</v>
      </c>
      <c r="Q312" s="89">
        <f>IF(G312="","",ABS(O312-Components!$C$3))</f>
        <v>4.0260000000000016</v>
      </c>
      <c r="R312" s="89">
        <f>IF(G312="","",ABS(O312-Components!$C$4))</f>
        <v>0.98333333333333495</v>
      </c>
      <c r="S312" s="89">
        <f>IF(G312="","",ABS(O312-Components!$C$5))</f>
        <v>4.5526666666666724</v>
      </c>
      <c r="T312" s="89">
        <f>IF(G312="","",ABS(O312-Components!$C$6))</f>
        <v>1.1456666666666719</v>
      </c>
      <c r="U312" s="89">
        <f>IF(G312="","",ABS(O312-Components!$C$7))</f>
        <v>1.3643333333333321</v>
      </c>
      <c r="V312" s="89" t="str">
        <f>IF(G312="","",IF(M312="OK","NONE",INDEX({"S1","S2","W1","W2","N1","N2"},MATCH(MIN(P312:U312),P312:U312,0))))</f>
        <v>NONE</v>
      </c>
      <c r="W312" s="139">
        <f t="shared" si="39"/>
        <v>1</v>
      </c>
      <c r="X312" s="125"/>
    </row>
    <row r="313" spans="1:24" ht="15.75">
      <c r="A313" s="115">
        <v>299</v>
      </c>
      <c r="B313" s="135">
        <f>'Runs Z-Score'!B301</f>
        <v>10</v>
      </c>
      <c r="C313" s="89" t="str">
        <f>'Runs Z-Score'!C301</f>
        <v>R6</v>
      </c>
      <c r="D313" s="89" t="str">
        <f>'Runs Z-Score'!D301</f>
        <v>OK</v>
      </c>
      <c r="E313" s="89" t="str">
        <f>'Runs Z-Score'!E301</f>
        <v>NONE</v>
      </c>
      <c r="F313" s="89">
        <f>'Runs Z-Score'!F301</f>
        <v>8.6199999999999992</v>
      </c>
      <c r="G313" s="89">
        <f t="shared" si="32"/>
        <v>9.59</v>
      </c>
      <c r="H313" s="89">
        <v>9.61</v>
      </c>
      <c r="I313" s="89">
        <f>VLOOKUP(C313,Recipes!$A$2:$N$4,12,FALSE())</f>
        <v>6.1509461004819709E-2</v>
      </c>
      <c r="J313" s="89">
        <f t="shared" si="34"/>
        <v>0.10572462381173309</v>
      </c>
      <c r="K313" s="89">
        <f t="shared" si="35"/>
        <v>3.9057957145066421E-2</v>
      </c>
      <c r="L313" s="89">
        <f t="shared" si="36"/>
        <v>0.197630860811429</v>
      </c>
      <c r="M313" s="89" t="str">
        <f t="shared" si="37"/>
        <v>OK</v>
      </c>
      <c r="N313" s="117">
        <f t="shared" si="38"/>
        <v>1</v>
      </c>
      <c r="O313" s="89">
        <f t="shared" si="33"/>
        <v>1.9999999999999574E-2</v>
      </c>
      <c r="P313" s="89">
        <f>IF(G313="","",ABS(O313-Components!$C$2))</f>
        <v>2.7333333333333303</v>
      </c>
      <c r="Q313" s="89">
        <f>IF(G313="","",ABS(O313-Components!$C$3))</f>
        <v>4.016</v>
      </c>
      <c r="R313" s="89">
        <f>IF(G313="","",ABS(O313-Components!$C$4))</f>
        <v>0.97333333333333338</v>
      </c>
      <c r="S313" s="89">
        <f>IF(G313="","",ABS(O313-Components!$C$5))</f>
        <v>4.5426666666666708</v>
      </c>
      <c r="T313" s="89">
        <f>IF(G313="","",ABS(O313-Components!$C$6))</f>
        <v>1.1356666666666704</v>
      </c>
      <c r="U313" s="89">
        <f>IF(G313="","",ABS(O313-Components!$C$7))</f>
        <v>1.3543333333333305</v>
      </c>
      <c r="V313" s="89" t="str">
        <f>IF(G313="","",IF(M313="OK","NONE",INDEX({"S1","S2","W1","W2","N1","N2"},MATCH(MIN(P313:U313),P313:U313,0))))</f>
        <v>NONE</v>
      </c>
      <c r="W313" s="139">
        <f t="shared" si="39"/>
        <v>1</v>
      </c>
      <c r="X313" s="125"/>
    </row>
    <row r="314" spans="1:24" ht="15.75">
      <c r="A314" s="115">
        <v>300</v>
      </c>
      <c r="B314" s="135">
        <f>'Runs Z-Score'!B302</f>
        <v>10</v>
      </c>
      <c r="C314" s="89" t="str">
        <f>'Runs Z-Score'!C302</f>
        <v>R6</v>
      </c>
      <c r="D314" s="89" t="str">
        <f>'Runs Z-Score'!D302</f>
        <v>OK</v>
      </c>
      <c r="E314" s="89" t="str">
        <f>'Runs Z-Score'!E302</f>
        <v>NONE</v>
      </c>
      <c r="F314" s="89">
        <f>'Runs Z-Score'!F302</f>
        <v>8.58</v>
      </c>
      <c r="G314" s="89">
        <f t="shared" si="32"/>
        <v>9.5500000000000007</v>
      </c>
      <c r="H314" s="89">
        <v>9.61</v>
      </c>
      <c r="I314" s="89">
        <f>VLOOKUP(C314,Recipes!$A$2:$N$4,12,FALSE())</f>
        <v>6.1509461004819709E-2</v>
      </c>
      <c r="J314" s="89">
        <f t="shared" si="34"/>
        <v>0.95152161430559778</v>
      </c>
      <c r="K314" s="89">
        <f t="shared" si="35"/>
        <v>0.88485494763893113</v>
      </c>
      <c r="L314" s="89">
        <f t="shared" si="36"/>
        <v>0.94066728849202108</v>
      </c>
      <c r="M314" s="89" t="str">
        <f t="shared" si="37"/>
        <v>OK</v>
      </c>
      <c r="N314" s="117">
        <f t="shared" si="38"/>
        <v>1</v>
      </c>
      <c r="O314" s="89">
        <f t="shared" si="33"/>
        <v>5.9999999999998721E-2</v>
      </c>
      <c r="P314" s="89">
        <f>IF(G314="","",ABS(O314-Components!$C$2))</f>
        <v>2.6933333333333311</v>
      </c>
      <c r="Q314" s="89">
        <f>IF(G314="","",ABS(O314-Components!$C$3))</f>
        <v>3.9760000000000009</v>
      </c>
      <c r="R314" s="89">
        <f>IF(G314="","",ABS(O314-Components!$C$4))</f>
        <v>0.93333333333333424</v>
      </c>
      <c r="S314" s="89">
        <f>IF(G314="","",ABS(O314-Components!$C$5))</f>
        <v>4.5026666666666717</v>
      </c>
      <c r="T314" s="89">
        <f>IF(G314="","",ABS(O314-Components!$C$6))</f>
        <v>1.0956666666666712</v>
      </c>
      <c r="U314" s="89">
        <f>IF(G314="","",ABS(O314-Components!$C$7))</f>
        <v>1.3143333333333314</v>
      </c>
      <c r="V314" s="89" t="str">
        <f>IF(G314="","",IF(M314="OK","NONE",INDEX({"S1","S2","W1","W2","N1","N2"},MATCH(MIN(P314:U314),P314:U314,0))))</f>
        <v>NONE</v>
      </c>
      <c r="W314" s="139">
        <f t="shared" si="39"/>
        <v>1</v>
      </c>
      <c r="X314" s="125"/>
    </row>
    <row r="315" spans="1:24" ht="15.75">
      <c r="A315" s="115">
        <v>301</v>
      </c>
      <c r="B315" s="135">
        <f>'Runs Z-Score'!B303</f>
        <v>11</v>
      </c>
      <c r="C315" s="89" t="str">
        <f>'Runs Z-Score'!C303</f>
        <v>R6</v>
      </c>
      <c r="D315" s="89" t="str">
        <f>'Runs Z-Score'!D303</f>
        <v>NG</v>
      </c>
      <c r="E315" s="89" t="str">
        <f>'Runs Z-Score'!E303</f>
        <v>S1</v>
      </c>
      <c r="F315" s="89">
        <f>'Runs Z-Score'!F303</f>
        <v>5.89</v>
      </c>
      <c r="G315" s="89">
        <f t="shared" si="32"/>
        <v>6.8599999999999994</v>
      </c>
      <c r="H315" s="89">
        <v>9.61</v>
      </c>
      <c r="I315" s="89">
        <f>VLOOKUP(C315,Recipes!$A$2:$N$4,12,FALSE())</f>
        <v>6.1509461004819709E-2</v>
      </c>
      <c r="J315" s="89">
        <f t="shared" si="34"/>
        <v>1998.8561689406636</v>
      </c>
      <c r="K315" s="89">
        <f t="shared" si="35"/>
        <v>1998.789502273997</v>
      </c>
      <c r="L315" s="89">
        <f t="shared" si="36"/>
        <v>44.707823725540443</v>
      </c>
      <c r="M315" s="89" t="str">
        <f t="shared" si="37"/>
        <v>NG</v>
      </c>
      <c r="N315" s="117">
        <f t="shared" si="38"/>
        <v>1</v>
      </c>
      <c r="O315" s="89">
        <f t="shared" si="33"/>
        <v>2.75</v>
      </c>
      <c r="P315" s="89">
        <f>IF(G315="","",ABS(O315-Components!$C$2))</f>
        <v>3.3333333333298576E-3</v>
      </c>
      <c r="Q315" s="89">
        <f>IF(G315="","",ABS(O315-Components!$C$3))</f>
        <v>1.2859999999999996</v>
      </c>
      <c r="R315" s="89">
        <f>IF(G315="","",ABS(O315-Components!$C$4))</f>
        <v>1.756666666666667</v>
      </c>
      <c r="S315" s="89">
        <f>IF(G315="","",ABS(O315-Components!$C$5))</f>
        <v>1.8126666666666704</v>
      </c>
      <c r="T315" s="89">
        <f>IF(G315="","",ABS(O315-Components!$C$6))</f>
        <v>1.59433333333333</v>
      </c>
      <c r="U315" s="89">
        <f>IF(G315="","",ABS(O315-Components!$C$7))</f>
        <v>1.3756666666666699</v>
      </c>
      <c r="V315" s="89" t="str">
        <f>IF(G315="","",IF(M315="OK","NONE",INDEX({"S1","S2","W1","W2","N1","N2"},MATCH(MIN(P315:U315),P315:U315,0))))</f>
        <v>S1</v>
      </c>
      <c r="W315" s="139">
        <f t="shared" si="39"/>
        <v>1</v>
      </c>
      <c r="X315" s="125"/>
    </row>
    <row r="316" spans="1:24" ht="15.75">
      <c r="A316" s="115">
        <v>302</v>
      </c>
      <c r="B316" s="135">
        <f>'Runs Z-Score'!B304</f>
        <v>11</v>
      </c>
      <c r="C316" s="89" t="str">
        <f>'Runs Z-Score'!C304</f>
        <v>R6</v>
      </c>
      <c r="D316" s="89" t="str">
        <f>'Runs Z-Score'!D304</f>
        <v>NG</v>
      </c>
      <c r="E316" s="89" t="str">
        <f>'Runs Z-Score'!E304</f>
        <v>S1</v>
      </c>
      <c r="F316" s="89">
        <f>'Runs Z-Score'!F304</f>
        <v>5.89</v>
      </c>
      <c r="G316" s="89">
        <f t="shared" si="32"/>
        <v>6.8599999999999994</v>
      </c>
      <c r="H316" s="89">
        <v>9.61</v>
      </c>
      <c r="I316" s="89">
        <f>VLOOKUP(C316,Recipes!$A$2:$N$4,12,FALSE())</f>
        <v>6.1509461004819709E-2</v>
      </c>
      <c r="J316" s="89">
        <f t="shared" si="34"/>
        <v>1998.8561689406636</v>
      </c>
      <c r="K316" s="89">
        <f t="shared" si="35"/>
        <v>1998.789502273997</v>
      </c>
      <c r="L316" s="89">
        <f t="shared" si="36"/>
        <v>44.707823725540443</v>
      </c>
      <c r="M316" s="89" t="str">
        <f t="shared" si="37"/>
        <v>NG</v>
      </c>
      <c r="N316" s="117">
        <f t="shared" si="38"/>
        <v>1</v>
      </c>
      <c r="O316" s="89">
        <f t="shared" si="33"/>
        <v>2.75</v>
      </c>
      <c r="P316" s="89">
        <f>IF(G316="","",ABS(O316-Components!$C$2))</f>
        <v>3.3333333333298576E-3</v>
      </c>
      <c r="Q316" s="89">
        <f>IF(G316="","",ABS(O316-Components!$C$3))</f>
        <v>1.2859999999999996</v>
      </c>
      <c r="R316" s="89">
        <f>IF(G316="","",ABS(O316-Components!$C$4))</f>
        <v>1.756666666666667</v>
      </c>
      <c r="S316" s="89">
        <f>IF(G316="","",ABS(O316-Components!$C$5))</f>
        <v>1.8126666666666704</v>
      </c>
      <c r="T316" s="89">
        <f>IF(G316="","",ABS(O316-Components!$C$6))</f>
        <v>1.59433333333333</v>
      </c>
      <c r="U316" s="89">
        <f>IF(G316="","",ABS(O316-Components!$C$7))</f>
        <v>1.3756666666666699</v>
      </c>
      <c r="V316" s="89" t="str">
        <f>IF(G316="","",IF(M316="OK","NONE",INDEX({"S1","S2","W1","W2","N1","N2"},MATCH(MIN(P316:U316),P316:U316,0))))</f>
        <v>S1</v>
      </c>
      <c r="W316" s="139">
        <f t="shared" si="39"/>
        <v>1</v>
      </c>
      <c r="X316" s="125"/>
    </row>
    <row r="317" spans="1:24" ht="15.75">
      <c r="A317" s="115">
        <v>303</v>
      </c>
      <c r="B317" s="135">
        <f>'Runs Z-Score'!B305</f>
        <v>11</v>
      </c>
      <c r="C317" s="89" t="str">
        <f>'Runs Z-Score'!C305</f>
        <v>R6</v>
      </c>
      <c r="D317" s="89" t="str">
        <f>'Runs Z-Score'!D305</f>
        <v>NG</v>
      </c>
      <c r="E317" s="89" t="str">
        <f>'Runs Z-Score'!E305</f>
        <v>S1</v>
      </c>
      <c r="F317" s="89">
        <f>'Runs Z-Score'!F305</f>
        <v>5.9</v>
      </c>
      <c r="G317" s="89">
        <f t="shared" si="32"/>
        <v>6.87</v>
      </c>
      <c r="H317" s="89">
        <v>9.61</v>
      </c>
      <c r="I317" s="89">
        <f>VLOOKUP(C317,Recipes!$A$2:$N$4,12,FALSE())</f>
        <v>6.1509461004819709E-2</v>
      </c>
      <c r="J317" s="89">
        <f t="shared" si="34"/>
        <v>1984.3454643225018</v>
      </c>
      <c r="K317" s="89">
        <f t="shared" si="35"/>
        <v>1984.2787976558352</v>
      </c>
      <c r="L317" s="89">
        <f t="shared" si="36"/>
        <v>44.545244388776624</v>
      </c>
      <c r="M317" s="89" t="str">
        <f t="shared" si="37"/>
        <v>NG</v>
      </c>
      <c r="N317" s="117">
        <f t="shared" si="38"/>
        <v>1</v>
      </c>
      <c r="O317" s="89">
        <f t="shared" si="33"/>
        <v>2.7399999999999993</v>
      </c>
      <c r="P317" s="89">
        <f>IF(G317="","",ABS(O317-Components!$C$2))</f>
        <v>1.3333333333330533E-2</v>
      </c>
      <c r="Q317" s="89">
        <f>IF(G317="","",ABS(O317-Components!$C$3))</f>
        <v>1.2960000000000003</v>
      </c>
      <c r="R317" s="89">
        <f>IF(G317="","",ABS(O317-Components!$C$4))</f>
        <v>1.7466666666666664</v>
      </c>
      <c r="S317" s="89">
        <f>IF(G317="","",ABS(O317-Components!$C$5))</f>
        <v>1.8226666666666711</v>
      </c>
      <c r="T317" s="89">
        <f>IF(G317="","",ABS(O317-Components!$C$6))</f>
        <v>1.5843333333333294</v>
      </c>
      <c r="U317" s="89">
        <f>IF(G317="","",ABS(O317-Components!$C$7))</f>
        <v>1.3656666666666692</v>
      </c>
      <c r="V317" s="89" t="str">
        <f>IF(G317="","",IF(M317="OK","NONE",INDEX({"S1","S2","W1","W2","N1","N2"},MATCH(MIN(P317:U317),P317:U317,0))))</f>
        <v>S1</v>
      </c>
      <c r="W317" s="139">
        <f t="shared" si="39"/>
        <v>1</v>
      </c>
      <c r="X317" s="125"/>
    </row>
    <row r="318" spans="1:24" ht="15.75">
      <c r="A318" s="115">
        <v>304</v>
      </c>
      <c r="B318" s="135">
        <f>'Runs Z-Score'!B306</f>
        <v>11</v>
      </c>
      <c r="C318" s="89" t="str">
        <f>'Runs Z-Score'!C306</f>
        <v>R6</v>
      </c>
      <c r="D318" s="89" t="str">
        <f>'Runs Z-Score'!D306</f>
        <v>NG</v>
      </c>
      <c r="E318" s="89" t="str">
        <f>'Runs Z-Score'!E306</f>
        <v>S1</v>
      </c>
      <c r="F318" s="89">
        <f>'Runs Z-Score'!F306</f>
        <v>5.88</v>
      </c>
      <c r="G318" s="89">
        <f t="shared" si="32"/>
        <v>6.85</v>
      </c>
      <c r="H318" s="89">
        <v>9.61</v>
      </c>
      <c r="I318" s="89">
        <f>VLOOKUP(C318,Recipes!$A$2:$N$4,12,FALSE())</f>
        <v>6.1509461004819709E-2</v>
      </c>
      <c r="J318" s="89">
        <f t="shared" si="34"/>
        <v>2013.4197358707302</v>
      </c>
      <c r="K318" s="89">
        <f t="shared" si="35"/>
        <v>2013.3530692040636</v>
      </c>
      <c r="L318" s="89">
        <f t="shared" si="36"/>
        <v>44.870403042585473</v>
      </c>
      <c r="M318" s="89" t="str">
        <f t="shared" si="37"/>
        <v>NG</v>
      </c>
      <c r="N318" s="117">
        <f t="shared" si="38"/>
        <v>1</v>
      </c>
      <c r="O318" s="89">
        <f t="shared" si="33"/>
        <v>2.76</v>
      </c>
      <c r="P318" s="89">
        <f>IF(G318="","",ABS(O318-Components!$C$2))</f>
        <v>6.6666666666699292E-3</v>
      </c>
      <c r="Q318" s="89">
        <f>IF(G318="","",ABS(O318-Components!$C$3))</f>
        <v>1.2759999999999998</v>
      </c>
      <c r="R318" s="89">
        <f>IF(G318="","",ABS(O318-Components!$C$4))</f>
        <v>1.7666666666666668</v>
      </c>
      <c r="S318" s="89">
        <f>IF(G318="","",ABS(O318-Components!$C$5))</f>
        <v>1.8026666666666706</v>
      </c>
      <c r="T318" s="89">
        <f>IF(G318="","",ABS(O318-Components!$C$6))</f>
        <v>1.6043333333333298</v>
      </c>
      <c r="U318" s="89">
        <f>IF(G318="","",ABS(O318-Components!$C$7))</f>
        <v>1.3856666666666697</v>
      </c>
      <c r="V318" s="89" t="str">
        <f>IF(G318="","",IF(M318="OK","NONE",INDEX({"S1","S2","W1","W2","N1","N2"},MATCH(MIN(P318:U318),P318:U318,0))))</f>
        <v>S1</v>
      </c>
      <c r="W318" s="139">
        <f t="shared" si="39"/>
        <v>1</v>
      </c>
      <c r="X318" s="125"/>
    </row>
    <row r="319" spans="1:24" ht="15.75">
      <c r="A319" s="115">
        <v>305</v>
      </c>
      <c r="B319" s="135">
        <f>'Runs Z-Score'!B307</f>
        <v>11</v>
      </c>
      <c r="C319" s="89" t="str">
        <f>'Runs Z-Score'!C307</f>
        <v>R6</v>
      </c>
      <c r="D319" s="89" t="str">
        <f>'Runs Z-Score'!D307</f>
        <v>NG</v>
      </c>
      <c r="E319" s="89" t="str">
        <f>'Runs Z-Score'!E307</f>
        <v>S1</v>
      </c>
      <c r="F319" s="89">
        <f>'Runs Z-Score'!F307</f>
        <v>5.91</v>
      </c>
      <c r="G319" s="89">
        <f t="shared" si="32"/>
        <v>6.88</v>
      </c>
      <c r="H319" s="89">
        <v>9.61</v>
      </c>
      <c r="I319" s="89">
        <f>VLOOKUP(C319,Recipes!$A$2:$N$4,12,FALSE())</f>
        <v>6.1509461004819709E-2</v>
      </c>
      <c r="J319" s="89">
        <f t="shared" si="34"/>
        <v>1969.8876220162472</v>
      </c>
      <c r="K319" s="89">
        <f t="shared" si="35"/>
        <v>1969.8209553495806</v>
      </c>
      <c r="L319" s="89">
        <f t="shared" si="36"/>
        <v>44.382665032077341</v>
      </c>
      <c r="M319" s="89" t="str">
        <f t="shared" si="37"/>
        <v>NG</v>
      </c>
      <c r="N319" s="117">
        <f t="shared" si="38"/>
        <v>1</v>
      </c>
      <c r="O319" s="89">
        <f t="shared" si="33"/>
        <v>2.7299999999999995</v>
      </c>
      <c r="P319" s="89">
        <f>IF(G319="","",ABS(O319-Components!$C$2))</f>
        <v>2.3333333333330319E-2</v>
      </c>
      <c r="Q319" s="89">
        <f>IF(G319="","",ABS(O319-Components!$C$3))</f>
        <v>1.306</v>
      </c>
      <c r="R319" s="89">
        <f>IF(G319="","",ABS(O319-Components!$C$4))</f>
        <v>1.7366666666666666</v>
      </c>
      <c r="S319" s="89">
        <f>IF(G319="","",ABS(O319-Components!$C$5))</f>
        <v>1.8326666666666709</v>
      </c>
      <c r="T319" s="89">
        <f>IF(G319="","",ABS(O319-Components!$C$6))</f>
        <v>1.5743333333333296</v>
      </c>
      <c r="U319" s="89">
        <f>IF(G319="","",ABS(O319-Components!$C$7))</f>
        <v>1.3556666666666695</v>
      </c>
      <c r="V319" s="89" t="str">
        <f>IF(G319="","",IF(M319="OK","NONE",INDEX({"S1","S2","W1","W2","N1","N2"},MATCH(MIN(P319:U319),P319:U319,0))))</f>
        <v>S1</v>
      </c>
      <c r="W319" s="139">
        <f t="shared" si="39"/>
        <v>1</v>
      </c>
      <c r="X319" s="125"/>
    </row>
    <row r="320" spans="1:24" ht="15.75">
      <c r="A320" s="115">
        <v>306</v>
      </c>
      <c r="B320" s="135">
        <f>'Runs Z-Score'!B308</f>
        <v>11</v>
      </c>
      <c r="C320" s="89" t="str">
        <f>'Runs Z-Score'!C308</f>
        <v>R6</v>
      </c>
      <c r="D320" s="89" t="str">
        <f>'Runs Z-Score'!D308</f>
        <v>NG</v>
      </c>
      <c r="E320" s="89" t="str">
        <f>'Runs Z-Score'!E308</f>
        <v>S1</v>
      </c>
      <c r="F320" s="89">
        <f>'Runs Z-Score'!F308</f>
        <v>5.86</v>
      </c>
      <c r="G320" s="89">
        <f t="shared" si="32"/>
        <v>6.83</v>
      </c>
      <c r="H320" s="89">
        <v>9.61</v>
      </c>
      <c r="I320" s="89">
        <f>VLOOKUP(C320,Recipes!$A$2:$N$4,12,FALSE())</f>
        <v>6.1509461004819709E-2</v>
      </c>
      <c r="J320" s="89">
        <f t="shared" si="34"/>
        <v>2042.7054566665811</v>
      </c>
      <c r="K320" s="89">
        <f t="shared" si="35"/>
        <v>2042.6387899999145</v>
      </c>
      <c r="L320" s="89">
        <f t="shared" si="36"/>
        <v>45.195561618370384</v>
      </c>
      <c r="M320" s="89" t="str">
        <f t="shared" si="37"/>
        <v>NG</v>
      </c>
      <c r="N320" s="117">
        <f t="shared" si="38"/>
        <v>1</v>
      </c>
      <c r="O320" s="89">
        <f t="shared" si="33"/>
        <v>2.7799999999999994</v>
      </c>
      <c r="P320" s="89">
        <f>IF(G320="","",ABS(O320-Components!$C$2))</f>
        <v>2.6666666666669503E-2</v>
      </c>
      <c r="Q320" s="89">
        <f>IF(G320="","",ABS(O320-Components!$C$3))</f>
        <v>1.2560000000000002</v>
      </c>
      <c r="R320" s="89">
        <f>IF(G320="","",ABS(O320-Components!$C$4))</f>
        <v>1.7866666666666664</v>
      </c>
      <c r="S320" s="89">
        <f>IF(G320="","",ABS(O320-Components!$C$5))</f>
        <v>1.7826666666666711</v>
      </c>
      <c r="T320" s="89">
        <f>IF(G320="","",ABS(O320-Components!$C$6))</f>
        <v>1.6243333333333294</v>
      </c>
      <c r="U320" s="89">
        <f>IF(G320="","",ABS(O320-Components!$C$7))</f>
        <v>1.4056666666666693</v>
      </c>
      <c r="V320" s="89" t="str">
        <f>IF(G320="","",IF(M320="OK","NONE",INDEX({"S1","S2","W1","W2","N1","N2"},MATCH(MIN(P320:U320),P320:U320,0))))</f>
        <v>S1</v>
      </c>
      <c r="W320" s="139">
        <f t="shared" si="39"/>
        <v>1</v>
      </c>
      <c r="X320" s="125"/>
    </row>
    <row r="321" spans="1:24" ht="15.75">
      <c r="A321" s="115">
        <v>307</v>
      </c>
      <c r="B321" s="135">
        <f>'Runs Z-Score'!B309</f>
        <v>11</v>
      </c>
      <c r="C321" s="89" t="str">
        <f>'Runs Z-Score'!C309</f>
        <v>R6</v>
      </c>
      <c r="D321" s="89" t="str">
        <f>'Runs Z-Score'!D309</f>
        <v>NG</v>
      </c>
      <c r="E321" s="89" t="str">
        <f>'Runs Z-Score'!E309</f>
        <v>S1</v>
      </c>
      <c r="F321" s="89">
        <f>'Runs Z-Score'!F309</f>
        <v>5.9</v>
      </c>
      <c r="G321" s="89">
        <f t="shared" si="32"/>
        <v>6.87</v>
      </c>
      <c r="H321" s="89">
        <v>9.61</v>
      </c>
      <c r="I321" s="89">
        <f>VLOOKUP(C321,Recipes!$A$2:$N$4,12,FALSE())</f>
        <v>6.1509461004819709E-2</v>
      </c>
      <c r="J321" s="89">
        <f t="shared" si="34"/>
        <v>1984.3454643225018</v>
      </c>
      <c r="K321" s="89">
        <f t="shared" si="35"/>
        <v>1984.2787976558352</v>
      </c>
      <c r="L321" s="89">
        <f t="shared" si="36"/>
        <v>44.545244388776624</v>
      </c>
      <c r="M321" s="89" t="str">
        <f t="shared" si="37"/>
        <v>NG</v>
      </c>
      <c r="N321" s="117">
        <f t="shared" si="38"/>
        <v>1</v>
      </c>
      <c r="O321" s="89">
        <f t="shared" si="33"/>
        <v>2.7399999999999993</v>
      </c>
      <c r="P321" s="89">
        <f>IF(G321="","",ABS(O321-Components!$C$2))</f>
        <v>1.3333333333330533E-2</v>
      </c>
      <c r="Q321" s="89">
        <f>IF(G321="","",ABS(O321-Components!$C$3))</f>
        <v>1.2960000000000003</v>
      </c>
      <c r="R321" s="89">
        <f>IF(G321="","",ABS(O321-Components!$C$4))</f>
        <v>1.7466666666666664</v>
      </c>
      <c r="S321" s="89">
        <f>IF(G321="","",ABS(O321-Components!$C$5))</f>
        <v>1.8226666666666711</v>
      </c>
      <c r="T321" s="89">
        <f>IF(G321="","",ABS(O321-Components!$C$6))</f>
        <v>1.5843333333333294</v>
      </c>
      <c r="U321" s="89">
        <f>IF(G321="","",ABS(O321-Components!$C$7))</f>
        <v>1.3656666666666692</v>
      </c>
      <c r="V321" s="89" t="str">
        <f>IF(G321="","",IF(M321="OK","NONE",INDEX({"S1","S2","W1","W2","N1","N2"},MATCH(MIN(P321:U321),P321:U321,0))))</f>
        <v>S1</v>
      </c>
      <c r="W321" s="139">
        <f t="shared" si="39"/>
        <v>1</v>
      </c>
      <c r="X321" s="125"/>
    </row>
    <row r="322" spans="1:24" ht="15.75">
      <c r="A322" s="115">
        <v>308</v>
      </c>
      <c r="B322" s="135">
        <f>'Runs Z-Score'!B310</f>
        <v>11</v>
      </c>
      <c r="C322" s="89" t="str">
        <f>'Runs Z-Score'!C310</f>
        <v>R6</v>
      </c>
      <c r="D322" s="89" t="str">
        <f>'Runs Z-Score'!D310</f>
        <v>NG</v>
      </c>
      <c r="E322" s="89" t="str">
        <f>'Runs Z-Score'!E310</f>
        <v>S1</v>
      </c>
      <c r="F322" s="89">
        <f>'Runs Z-Score'!F310</f>
        <v>5.8</v>
      </c>
      <c r="G322" s="89">
        <f t="shared" si="32"/>
        <v>6.77</v>
      </c>
      <c r="H322" s="89">
        <v>9.61</v>
      </c>
      <c r="I322" s="89">
        <f>VLOOKUP(C322,Recipes!$A$2:$N$4,12,FALSE())</f>
        <v>6.1509461004819709E-2</v>
      </c>
      <c r="J322" s="89">
        <f t="shared" si="34"/>
        <v>2131.8313145398765</v>
      </c>
      <c r="K322" s="89">
        <f t="shared" si="35"/>
        <v>2131.7646478732099</v>
      </c>
      <c r="L322" s="89">
        <f t="shared" si="36"/>
        <v>46.17103689406607</v>
      </c>
      <c r="M322" s="89" t="str">
        <f t="shared" si="37"/>
        <v>NG</v>
      </c>
      <c r="N322" s="117">
        <f t="shared" si="38"/>
        <v>1</v>
      </c>
      <c r="O322" s="89">
        <f t="shared" si="33"/>
        <v>2.84</v>
      </c>
      <c r="P322" s="89">
        <f>IF(G322="","",ABS(O322-Components!$C$2))</f>
        <v>8.666666666667E-2</v>
      </c>
      <c r="Q322" s="89">
        <f>IF(G322="","",ABS(O322-Components!$C$3))</f>
        <v>1.1959999999999997</v>
      </c>
      <c r="R322" s="89">
        <f>IF(G322="","",ABS(O322-Components!$C$4))</f>
        <v>1.8466666666666669</v>
      </c>
      <c r="S322" s="89">
        <f>IF(G322="","",ABS(O322-Components!$C$5))</f>
        <v>1.7226666666666706</v>
      </c>
      <c r="T322" s="89">
        <f>IF(G322="","",ABS(O322-Components!$C$6))</f>
        <v>1.6843333333333299</v>
      </c>
      <c r="U322" s="89">
        <f>IF(G322="","",ABS(O322-Components!$C$7))</f>
        <v>1.4656666666666698</v>
      </c>
      <c r="V322" s="89" t="str">
        <f>IF(G322="","",IF(M322="OK","NONE",INDEX({"S1","S2","W1","W2","N1","N2"},MATCH(MIN(P322:U322),P322:U322,0))))</f>
        <v>S1</v>
      </c>
      <c r="W322" s="139">
        <f t="shared" si="39"/>
        <v>1</v>
      </c>
      <c r="X322" s="125"/>
    </row>
    <row r="323" spans="1:24" ht="15.75">
      <c r="A323" s="115">
        <v>309</v>
      </c>
      <c r="B323" s="135">
        <f>'Runs Z-Score'!B311</f>
        <v>11</v>
      </c>
      <c r="C323" s="89" t="str">
        <f>'Runs Z-Score'!C311</f>
        <v>R6</v>
      </c>
      <c r="D323" s="89" t="str">
        <f>'Runs Z-Score'!D311</f>
        <v>NG</v>
      </c>
      <c r="E323" s="89" t="str">
        <f>'Runs Z-Score'!E311</f>
        <v>S1</v>
      </c>
      <c r="F323" s="89">
        <f>'Runs Z-Score'!F311</f>
        <v>5.94</v>
      </c>
      <c r="G323" s="89">
        <f t="shared" si="32"/>
        <v>6.91</v>
      </c>
      <c r="H323" s="89">
        <v>9.61</v>
      </c>
      <c r="I323" s="89">
        <f>VLOOKUP(C323,Recipes!$A$2:$N$4,12,FALSE())</f>
        <v>6.1509461004819709E-2</v>
      </c>
      <c r="J323" s="89">
        <f t="shared" si="34"/>
        <v>1926.8312689689164</v>
      </c>
      <c r="K323" s="89">
        <f t="shared" si="35"/>
        <v>1926.7646023022498</v>
      </c>
      <c r="L323" s="89">
        <f t="shared" si="36"/>
        <v>43.89492684015147</v>
      </c>
      <c r="M323" s="89" t="str">
        <f t="shared" si="37"/>
        <v>NG</v>
      </c>
      <c r="N323" s="117">
        <f t="shared" si="38"/>
        <v>1</v>
      </c>
      <c r="O323" s="89">
        <f t="shared" si="33"/>
        <v>2.6999999999999993</v>
      </c>
      <c r="P323" s="89">
        <f>IF(G323="","",ABS(O323-Components!$C$2))</f>
        <v>5.3333333333330568E-2</v>
      </c>
      <c r="Q323" s="89">
        <f>IF(G323="","",ABS(O323-Components!$C$3))</f>
        <v>1.3360000000000003</v>
      </c>
      <c r="R323" s="89">
        <f>IF(G323="","",ABS(O323-Components!$C$4))</f>
        <v>1.7066666666666663</v>
      </c>
      <c r="S323" s="89">
        <f>IF(G323="","",ABS(O323-Components!$C$5))</f>
        <v>1.8626666666666711</v>
      </c>
      <c r="T323" s="89">
        <f>IF(G323="","",ABS(O323-Components!$C$6))</f>
        <v>1.5443333333333293</v>
      </c>
      <c r="U323" s="89">
        <f>IF(G323="","",ABS(O323-Components!$C$7))</f>
        <v>1.3256666666666692</v>
      </c>
      <c r="V323" s="89" t="str">
        <f>IF(G323="","",IF(M323="OK","NONE",INDEX({"S1","S2","W1","W2","N1","N2"},MATCH(MIN(P323:U323),P323:U323,0))))</f>
        <v>S1</v>
      </c>
      <c r="W323" s="139">
        <f t="shared" si="39"/>
        <v>1</v>
      </c>
      <c r="X323" s="125"/>
    </row>
    <row r="324" spans="1:24" ht="15.75">
      <c r="A324" s="115">
        <v>310</v>
      </c>
      <c r="B324" s="135">
        <f>'Runs Z-Score'!B312</f>
        <v>11</v>
      </c>
      <c r="C324" s="89" t="str">
        <f>'Runs Z-Score'!C312</f>
        <v>R6</v>
      </c>
      <c r="D324" s="89" t="str">
        <f>'Runs Z-Score'!D312</f>
        <v>NG</v>
      </c>
      <c r="E324" s="89" t="str">
        <f>'Runs Z-Score'!E312</f>
        <v>S1</v>
      </c>
      <c r="F324" s="89">
        <f>'Runs Z-Score'!F312</f>
        <v>5.94</v>
      </c>
      <c r="G324" s="89">
        <f t="shared" si="32"/>
        <v>6.91</v>
      </c>
      <c r="H324" s="89">
        <v>9.61</v>
      </c>
      <c r="I324" s="89">
        <f>VLOOKUP(C324,Recipes!$A$2:$N$4,12,FALSE())</f>
        <v>6.1509461004819709E-2</v>
      </c>
      <c r="J324" s="89">
        <f t="shared" si="34"/>
        <v>1926.8312689689164</v>
      </c>
      <c r="K324" s="89">
        <f t="shared" si="35"/>
        <v>1926.7646023022498</v>
      </c>
      <c r="L324" s="89">
        <f t="shared" si="36"/>
        <v>43.89492684015147</v>
      </c>
      <c r="M324" s="89" t="str">
        <f t="shared" si="37"/>
        <v>NG</v>
      </c>
      <c r="N324" s="117">
        <f t="shared" si="38"/>
        <v>1</v>
      </c>
      <c r="O324" s="89">
        <f t="shared" si="33"/>
        <v>2.6999999999999993</v>
      </c>
      <c r="P324" s="89">
        <f>IF(G324="","",ABS(O324-Components!$C$2))</f>
        <v>5.3333333333330568E-2</v>
      </c>
      <c r="Q324" s="89">
        <f>IF(G324="","",ABS(O324-Components!$C$3))</f>
        <v>1.3360000000000003</v>
      </c>
      <c r="R324" s="89">
        <f>IF(G324="","",ABS(O324-Components!$C$4))</f>
        <v>1.7066666666666663</v>
      </c>
      <c r="S324" s="89">
        <f>IF(G324="","",ABS(O324-Components!$C$5))</f>
        <v>1.8626666666666711</v>
      </c>
      <c r="T324" s="89">
        <f>IF(G324="","",ABS(O324-Components!$C$6))</f>
        <v>1.5443333333333293</v>
      </c>
      <c r="U324" s="89">
        <f>IF(G324="","",ABS(O324-Components!$C$7))</f>
        <v>1.3256666666666692</v>
      </c>
      <c r="V324" s="89" t="str">
        <f>IF(G324="","",IF(M324="OK","NONE",INDEX({"S1","S2","W1","W2","N1","N2"},MATCH(MIN(P324:U324),P324:U324,0))))</f>
        <v>S1</v>
      </c>
      <c r="W324" s="139">
        <f t="shared" si="39"/>
        <v>1</v>
      </c>
      <c r="X324" s="125"/>
    </row>
    <row r="325" spans="1:24" ht="15.75">
      <c r="A325" s="115">
        <v>311</v>
      </c>
      <c r="B325" s="135">
        <f>'Runs Z-Score'!B313</f>
        <v>11</v>
      </c>
      <c r="C325" s="89" t="str">
        <f>'Runs Z-Score'!C313</f>
        <v>R6</v>
      </c>
      <c r="D325" s="89" t="str">
        <f>'Runs Z-Score'!D313</f>
        <v>NG</v>
      </c>
      <c r="E325" s="89" t="str">
        <f>'Runs Z-Score'!E313</f>
        <v>S1</v>
      </c>
      <c r="F325" s="89">
        <f>'Runs Z-Score'!F313</f>
        <v>5.87</v>
      </c>
      <c r="G325" s="89">
        <f t="shared" si="32"/>
        <v>6.84</v>
      </c>
      <c r="H325" s="89">
        <v>9.61</v>
      </c>
      <c r="I325" s="89">
        <f>VLOOKUP(C325,Recipes!$A$2:$N$4,12,FALSE())</f>
        <v>6.1509461004819709E-2</v>
      </c>
      <c r="J325" s="89">
        <f t="shared" si="34"/>
        <v>2028.036165112703</v>
      </c>
      <c r="K325" s="89">
        <f t="shared" si="35"/>
        <v>2027.9694984460364</v>
      </c>
      <c r="L325" s="89">
        <f t="shared" si="36"/>
        <v>45.032982340125294</v>
      </c>
      <c r="M325" s="89" t="str">
        <f t="shared" si="37"/>
        <v>NG</v>
      </c>
      <c r="N325" s="117">
        <f t="shared" si="38"/>
        <v>1</v>
      </c>
      <c r="O325" s="89">
        <f t="shared" si="33"/>
        <v>2.7699999999999996</v>
      </c>
      <c r="P325" s="89">
        <f>IF(G325="","",ABS(O325-Components!$C$2))</f>
        <v>1.6666666666669716E-2</v>
      </c>
      <c r="Q325" s="89">
        <f>IF(G325="","",ABS(O325-Components!$C$3))</f>
        <v>1.266</v>
      </c>
      <c r="R325" s="89">
        <f>IF(G325="","",ABS(O325-Components!$C$4))</f>
        <v>1.7766666666666666</v>
      </c>
      <c r="S325" s="89">
        <f>IF(G325="","",ABS(O325-Components!$C$5))</f>
        <v>1.7926666666666708</v>
      </c>
      <c r="T325" s="89">
        <f>IF(G325="","",ABS(O325-Components!$C$6))</f>
        <v>1.6143333333333296</v>
      </c>
      <c r="U325" s="89">
        <f>IF(G325="","",ABS(O325-Components!$C$7))</f>
        <v>1.3956666666666695</v>
      </c>
      <c r="V325" s="89" t="str">
        <f>IF(G325="","",IF(M325="OK","NONE",INDEX({"S1","S2","W1","W2","N1","N2"},MATCH(MIN(P325:U325),P325:U325,0))))</f>
        <v>S1</v>
      </c>
      <c r="W325" s="139">
        <f t="shared" si="39"/>
        <v>1</v>
      </c>
      <c r="X325" s="125"/>
    </row>
    <row r="326" spans="1:24" ht="15.75">
      <c r="A326" s="115">
        <v>312</v>
      </c>
      <c r="B326" s="135">
        <f>'Runs Z-Score'!B314</f>
        <v>11</v>
      </c>
      <c r="C326" s="89" t="str">
        <f>'Runs Z-Score'!C314</f>
        <v>R6</v>
      </c>
      <c r="D326" s="89" t="str">
        <f>'Runs Z-Score'!D314</f>
        <v>NG</v>
      </c>
      <c r="E326" s="89" t="str">
        <f>'Runs Z-Score'!E314</f>
        <v>S1</v>
      </c>
      <c r="F326" s="89">
        <f>'Runs Z-Score'!F314</f>
        <v>5.88</v>
      </c>
      <c r="G326" s="89">
        <f t="shared" si="32"/>
        <v>6.85</v>
      </c>
      <c r="H326" s="89">
        <v>9.61</v>
      </c>
      <c r="I326" s="89">
        <f>VLOOKUP(C326,Recipes!$A$2:$N$4,12,FALSE())</f>
        <v>6.1509461004819709E-2</v>
      </c>
      <c r="J326" s="89">
        <f t="shared" si="34"/>
        <v>2013.4197358707302</v>
      </c>
      <c r="K326" s="89">
        <f t="shared" si="35"/>
        <v>2013.3530692040636</v>
      </c>
      <c r="L326" s="89">
        <f t="shared" si="36"/>
        <v>44.870403042585473</v>
      </c>
      <c r="M326" s="89" t="str">
        <f t="shared" si="37"/>
        <v>NG</v>
      </c>
      <c r="N326" s="117">
        <f t="shared" si="38"/>
        <v>1</v>
      </c>
      <c r="O326" s="89">
        <f t="shared" si="33"/>
        <v>2.76</v>
      </c>
      <c r="P326" s="89">
        <f>IF(G326="","",ABS(O326-Components!$C$2))</f>
        <v>6.6666666666699292E-3</v>
      </c>
      <c r="Q326" s="89">
        <f>IF(G326="","",ABS(O326-Components!$C$3))</f>
        <v>1.2759999999999998</v>
      </c>
      <c r="R326" s="89">
        <f>IF(G326="","",ABS(O326-Components!$C$4))</f>
        <v>1.7666666666666668</v>
      </c>
      <c r="S326" s="89">
        <f>IF(G326="","",ABS(O326-Components!$C$5))</f>
        <v>1.8026666666666706</v>
      </c>
      <c r="T326" s="89">
        <f>IF(G326="","",ABS(O326-Components!$C$6))</f>
        <v>1.6043333333333298</v>
      </c>
      <c r="U326" s="89">
        <f>IF(G326="","",ABS(O326-Components!$C$7))</f>
        <v>1.3856666666666697</v>
      </c>
      <c r="V326" s="89" t="str">
        <f>IF(G326="","",IF(M326="OK","NONE",INDEX({"S1","S2","W1","W2","N1","N2"},MATCH(MIN(P326:U326),P326:U326,0))))</f>
        <v>S1</v>
      </c>
      <c r="W326" s="139">
        <f t="shared" si="39"/>
        <v>1</v>
      </c>
      <c r="X326" s="125"/>
    </row>
    <row r="327" spans="1:24" ht="15.75">
      <c r="A327" s="115">
        <v>313</v>
      </c>
      <c r="B327" s="135">
        <f>'Runs Z-Score'!B315</f>
        <v>11</v>
      </c>
      <c r="C327" s="89" t="str">
        <f>'Runs Z-Score'!C315</f>
        <v>R6</v>
      </c>
      <c r="D327" s="89" t="str">
        <f>'Runs Z-Score'!D315</f>
        <v>NG</v>
      </c>
      <c r="E327" s="89" t="str">
        <f>'Runs Z-Score'!E315</f>
        <v>S1</v>
      </c>
      <c r="F327" s="89">
        <f>'Runs Z-Score'!F315</f>
        <v>5.87</v>
      </c>
      <c r="G327" s="89">
        <f t="shared" si="32"/>
        <v>6.84</v>
      </c>
      <c r="H327" s="89">
        <v>9.61</v>
      </c>
      <c r="I327" s="89">
        <f>VLOOKUP(C327,Recipes!$A$2:$N$4,12,FALSE())</f>
        <v>6.1509461004819709E-2</v>
      </c>
      <c r="J327" s="89">
        <f t="shared" si="34"/>
        <v>2028.036165112703</v>
      </c>
      <c r="K327" s="89">
        <f t="shared" si="35"/>
        <v>2027.9694984460364</v>
      </c>
      <c r="L327" s="89">
        <f t="shared" si="36"/>
        <v>45.032982340125294</v>
      </c>
      <c r="M327" s="89" t="str">
        <f t="shared" si="37"/>
        <v>NG</v>
      </c>
      <c r="N327" s="117">
        <f t="shared" si="38"/>
        <v>1</v>
      </c>
      <c r="O327" s="89">
        <f t="shared" si="33"/>
        <v>2.7699999999999996</v>
      </c>
      <c r="P327" s="89">
        <f>IF(G327="","",ABS(O327-Components!$C$2))</f>
        <v>1.6666666666669716E-2</v>
      </c>
      <c r="Q327" s="89">
        <f>IF(G327="","",ABS(O327-Components!$C$3))</f>
        <v>1.266</v>
      </c>
      <c r="R327" s="89">
        <f>IF(G327="","",ABS(O327-Components!$C$4))</f>
        <v>1.7766666666666666</v>
      </c>
      <c r="S327" s="89">
        <f>IF(G327="","",ABS(O327-Components!$C$5))</f>
        <v>1.7926666666666708</v>
      </c>
      <c r="T327" s="89">
        <f>IF(G327="","",ABS(O327-Components!$C$6))</f>
        <v>1.6143333333333296</v>
      </c>
      <c r="U327" s="89">
        <f>IF(G327="","",ABS(O327-Components!$C$7))</f>
        <v>1.3956666666666695</v>
      </c>
      <c r="V327" s="89" t="str">
        <f>IF(G327="","",IF(M327="OK","NONE",INDEX({"S1","S2","W1","W2","N1","N2"},MATCH(MIN(P327:U327),P327:U327,0))))</f>
        <v>S1</v>
      </c>
      <c r="W327" s="139">
        <f t="shared" si="39"/>
        <v>1</v>
      </c>
      <c r="X327" s="125"/>
    </row>
    <row r="328" spans="1:24" ht="15.75">
      <c r="A328" s="115">
        <v>314</v>
      </c>
      <c r="B328" s="135">
        <f>'Runs Z-Score'!B316</f>
        <v>11</v>
      </c>
      <c r="C328" s="89" t="str">
        <f>'Runs Z-Score'!C316</f>
        <v>R6</v>
      </c>
      <c r="D328" s="89" t="str">
        <f>'Runs Z-Score'!D316</f>
        <v>NG</v>
      </c>
      <c r="E328" s="89" t="str">
        <f>'Runs Z-Score'!E316</f>
        <v>S1</v>
      </c>
      <c r="F328" s="89">
        <f>'Runs Z-Score'!F316</f>
        <v>5.87</v>
      </c>
      <c r="G328" s="89">
        <f t="shared" si="32"/>
        <v>6.84</v>
      </c>
      <c r="H328" s="89">
        <v>9.61</v>
      </c>
      <c r="I328" s="89">
        <f>VLOOKUP(C328,Recipes!$A$2:$N$4,12,FALSE())</f>
        <v>6.1509461004819709E-2</v>
      </c>
      <c r="J328" s="89">
        <f t="shared" si="34"/>
        <v>2028.036165112703</v>
      </c>
      <c r="K328" s="89">
        <f t="shared" si="35"/>
        <v>2027.9694984460364</v>
      </c>
      <c r="L328" s="89">
        <f t="shared" si="36"/>
        <v>45.032982340125294</v>
      </c>
      <c r="M328" s="89" t="str">
        <f t="shared" si="37"/>
        <v>NG</v>
      </c>
      <c r="N328" s="117">
        <f t="shared" si="38"/>
        <v>1</v>
      </c>
      <c r="O328" s="89">
        <f t="shared" si="33"/>
        <v>2.7699999999999996</v>
      </c>
      <c r="P328" s="89">
        <f>IF(G328="","",ABS(O328-Components!$C$2))</f>
        <v>1.6666666666669716E-2</v>
      </c>
      <c r="Q328" s="89">
        <f>IF(G328="","",ABS(O328-Components!$C$3))</f>
        <v>1.266</v>
      </c>
      <c r="R328" s="89">
        <f>IF(G328="","",ABS(O328-Components!$C$4))</f>
        <v>1.7766666666666666</v>
      </c>
      <c r="S328" s="89">
        <f>IF(G328="","",ABS(O328-Components!$C$5))</f>
        <v>1.7926666666666708</v>
      </c>
      <c r="T328" s="89">
        <f>IF(G328="","",ABS(O328-Components!$C$6))</f>
        <v>1.6143333333333296</v>
      </c>
      <c r="U328" s="89">
        <f>IF(G328="","",ABS(O328-Components!$C$7))</f>
        <v>1.3956666666666695</v>
      </c>
      <c r="V328" s="89" t="str">
        <f>IF(G328="","",IF(M328="OK","NONE",INDEX({"S1","S2","W1","W2","N1","N2"},MATCH(MIN(P328:U328),P328:U328,0))))</f>
        <v>S1</v>
      </c>
      <c r="W328" s="139">
        <f t="shared" si="39"/>
        <v>1</v>
      </c>
      <c r="X328" s="125"/>
    </row>
    <row r="329" spans="1:24" ht="15.75">
      <c r="A329" s="115">
        <v>315</v>
      </c>
      <c r="B329" s="135">
        <f>'Runs Z-Score'!B317</f>
        <v>11</v>
      </c>
      <c r="C329" s="89" t="str">
        <f>'Runs Z-Score'!C317</f>
        <v>R6</v>
      </c>
      <c r="D329" s="89" t="str">
        <f>'Runs Z-Score'!D317</f>
        <v>NG</v>
      </c>
      <c r="E329" s="89" t="str">
        <f>'Runs Z-Score'!E317</f>
        <v>S1</v>
      </c>
      <c r="F329" s="89">
        <f>'Runs Z-Score'!F317</f>
        <v>5.82</v>
      </c>
      <c r="G329" s="89">
        <f t="shared" si="32"/>
        <v>6.79</v>
      </c>
      <c r="H329" s="89">
        <v>9.61</v>
      </c>
      <c r="I329" s="89">
        <f>VLOOKUP(C329,Recipes!$A$2:$N$4,12,FALSE())</f>
        <v>6.1509461004819709E-2</v>
      </c>
      <c r="J329" s="89">
        <f t="shared" si="34"/>
        <v>2101.9112460011538</v>
      </c>
      <c r="K329" s="89">
        <f t="shared" si="35"/>
        <v>2101.8445793344872</v>
      </c>
      <c r="L329" s="89">
        <f t="shared" si="36"/>
        <v>45.845878542508999</v>
      </c>
      <c r="M329" s="89" t="str">
        <f t="shared" si="37"/>
        <v>NG</v>
      </c>
      <c r="N329" s="117">
        <f t="shared" si="38"/>
        <v>1</v>
      </c>
      <c r="O329" s="89">
        <f t="shared" si="33"/>
        <v>2.8199999999999994</v>
      </c>
      <c r="P329" s="89">
        <f>IF(G329="","",ABS(O329-Components!$C$2))</f>
        <v>6.6666666666669538E-2</v>
      </c>
      <c r="Q329" s="89">
        <f>IF(G329="","",ABS(O329-Components!$C$3))</f>
        <v>1.2160000000000002</v>
      </c>
      <c r="R329" s="89">
        <f>IF(G329="","",ABS(O329-Components!$C$4))</f>
        <v>1.8266666666666664</v>
      </c>
      <c r="S329" s="89">
        <f>IF(G329="","",ABS(O329-Components!$C$5))</f>
        <v>1.742666666666671</v>
      </c>
      <c r="T329" s="89">
        <f>IF(G329="","",ABS(O329-Components!$C$6))</f>
        <v>1.6643333333333294</v>
      </c>
      <c r="U329" s="89">
        <f>IF(G329="","",ABS(O329-Components!$C$7))</f>
        <v>1.4456666666666693</v>
      </c>
      <c r="V329" s="89" t="str">
        <f>IF(G329="","",IF(M329="OK","NONE",INDEX({"S1","S2","W1","W2","N1","N2"},MATCH(MIN(P329:U329),P329:U329,0))))</f>
        <v>S1</v>
      </c>
      <c r="W329" s="139">
        <f t="shared" si="39"/>
        <v>1</v>
      </c>
      <c r="X329" s="125"/>
    </row>
    <row r="330" spans="1:24" ht="15.75">
      <c r="A330" s="115">
        <v>316</v>
      </c>
      <c r="B330" s="135">
        <f>'Runs Z-Score'!B318</f>
        <v>11</v>
      </c>
      <c r="C330" s="89" t="str">
        <f>'Runs Z-Score'!C318</f>
        <v>R6</v>
      </c>
      <c r="D330" s="89" t="str">
        <f>'Runs Z-Score'!D318</f>
        <v>NG</v>
      </c>
      <c r="E330" s="89" t="str">
        <f>'Runs Z-Score'!E318</f>
        <v>S1</v>
      </c>
      <c r="F330" s="89">
        <f>'Runs Z-Score'!F318</f>
        <v>5.92</v>
      </c>
      <c r="G330" s="89">
        <f t="shared" si="32"/>
        <v>6.89</v>
      </c>
      <c r="H330" s="89">
        <v>9.61</v>
      </c>
      <c r="I330" s="89">
        <f>VLOOKUP(C330,Recipes!$A$2:$N$4,12,FALSE())</f>
        <v>6.1509461004819709E-2</v>
      </c>
      <c r="J330" s="89">
        <f t="shared" si="34"/>
        <v>1955.4826420218983</v>
      </c>
      <c r="K330" s="89">
        <f t="shared" si="35"/>
        <v>1955.4159753552317</v>
      </c>
      <c r="L330" s="89">
        <f t="shared" si="36"/>
        <v>44.22008565522269</v>
      </c>
      <c r="M330" s="89" t="str">
        <f t="shared" si="37"/>
        <v>NG</v>
      </c>
      <c r="N330" s="117">
        <f t="shared" si="38"/>
        <v>1</v>
      </c>
      <c r="O330" s="89">
        <f t="shared" si="33"/>
        <v>2.7199999999999998</v>
      </c>
      <c r="P330" s="89">
        <f>IF(G330="","",ABS(O330-Components!$C$2))</f>
        <v>3.3333333333330106E-2</v>
      </c>
      <c r="Q330" s="89">
        <f>IF(G330="","",ABS(O330-Components!$C$3))</f>
        <v>1.3159999999999998</v>
      </c>
      <c r="R330" s="89">
        <f>IF(G330="","",ABS(O330-Components!$C$4))</f>
        <v>1.7266666666666668</v>
      </c>
      <c r="S330" s="89">
        <f>IF(G330="","",ABS(O330-Components!$C$5))</f>
        <v>1.8426666666666707</v>
      </c>
      <c r="T330" s="89">
        <f>IF(G330="","",ABS(O330-Components!$C$6))</f>
        <v>1.5643333333333298</v>
      </c>
      <c r="U330" s="89">
        <f>IF(G330="","",ABS(O330-Components!$C$7))</f>
        <v>1.3456666666666697</v>
      </c>
      <c r="V330" s="89" t="str">
        <f>IF(G330="","",IF(M330="OK","NONE",INDEX({"S1","S2","W1","W2","N1","N2"},MATCH(MIN(P330:U330),P330:U330,0))))</f>
        <v>S1</v>
      </c>
      <c r="W330" s="139">
        <f t="shared" si="39"/>
        <v>1</v>
      </c>
      <c r="X330" s="125"/>
    </row>
    <row r="331" spans="1:24" ht="15.75">
      <c r="A331" s="115">
        <v>317</v>
      </c>
      <c r="B331" s="135">
        <f>'Runs Z-Score'!B319</f>
        <v>11</v>
      </c>
      <c r="C331" s="89" t="str">
        <f>'Runs Z-Score'!C319</f>
        <v>R6</v>
      </c>
      <c r="D331" s="89" t="str">
        <f>'Runs Z-Score'!D319</f>
        <v>NG</v>
      </c>
      <c r="E331" s="89" t="str">
        <f>'Runs Z-Score'!E319</f>
        <v>S1</v>
      </c>
      <c r="F331" s="89">
        <f>'Runs Z-Score'!F319</f>
        <v>5.84</v>
      </c>
      <c r="G331" s="89">
        <f t="shared" si="32"/>
        <v>6.81</v>
      </c>
      <c r="H331" s="89">
        <v>9.61</v>
      </c>
      <c r="I331" s="89">
        <f>VLOOKUP(C331,Recipes!$A$2:$N$4,12,FALSE())</f>
        <v>6.1509461004819709E-2</v>
      </c>
      <c r="J331" s="89">
        <f t="shared" si="34"/>
        <v>2072.2026267100564</v>
      </c>
      <c r="K331" s="89">
        <f t="shared" si="35"/>
        <v>2072.1359600433898</v>
      </c>
      <c r="L331" s="89">
        <f t="shared" si="36"/>
        <v>45.520720117803386</v>
      </c>
      <c r="M331" s="89" t="str">
        <f t="shared" si="37"/>
        <v>NG</v>
      </c>
      <c r="N331" s="117">
        <f t="shared" si="38"/>
        <v>1</v>
      </c>
      <c r="O331" s="89">
        <f t="shared" si="33"/>
        <v>2.8</v>
      </c>
      <c r="P331" s="89">
        <f>IF(G331="","",ABS(O331-Components!$C$2))</f>
        <v>4.6666666666669965E-2</v>
      </c>
      <c r="Q331" s="89">
        <f>IF(G331="","",ABS(O331-Components!$C$3))</f>
        <v>1.2359999999999998</v>
      </c>
      <c r="R331" s="89">
        <f>IF(G331="","",ABS(O331-Components!$C$4))</f>
        <v>1.8066666666666669</v>
      </c>
      <c r="S331" s="89">
        <f>IF(G331="","",ABS(O331-Components!$C$5))</f>
        <v>1.7626666666666706</v>
      </c>
      <c r="T331" s="89">
        <f>IF(G331="","",ABS(O331-Components!$C$6))</f>
        <v>1.6443333333333299</v>
      </c>
      <c r="U331" s="89">
        <f>IF(G331="","",ABS(O331-Components!$C$7))</f>
        <v>1.4256666666666697</v>
      </c>
      <c r="V331" s="89" t="str">
        <f>IF(G331="","",IF(M331="OK","NONE",INDEX({"S1","S2","W1","W2","N1","N2"},MATCH(MIN(P331:U331),P331:U331,0))))</f>
        <v>S1</v>
      </c>
      <c r="W331" s="139">
        <f t="shared" si="39"/>
        <v>1</v>
      </c>
      <c r="X331" s="125"/>
    </row>
    <row r="332" spans="1:24" ht="15.75">
      <c r="A332" s="115">
        <v>318</v>
      </c>
      <c r="B332" s="135">
        <f>'Runs Z-Score'!B320</f>
        <v>11</v>
      </c>
      <c r="C332" s="89" t="str">
        <f>'Runs Z-Score'!C320</f>
        <v>R6</v>
      </c>
      <c r="D332" s="89" t="str">
        <f>'Runs Z-Score'!D320</f>
        <v>NG</v>
      </c>
      <c r="E332" s="89" t="str">
        <f>'Runs Z-Score'!E320</f>
        <v>S1</v>
      </c>
      <c r="F332" s="89">
        <f>'Runs Z-Score'!F320</f>
        <v>5.92</v>
      </c>
      <c r="G332" s="89">
        <f t="shared" si="32"/>
        <v>6.89</v>
      </c>
      <c r="H332" s="89">
        <v>9.61</v>
      </c>
      <c r="I332" s="89">
        <f>VLOOKUP(C332,Recipes!$A$2:$N$4,12,FALSE())</f>
        <v>6.1509461004819709E-2</v>
      </c>
      <c r="J332" s="89">
        <f t="shared" si="34"/>
        <v>1955.4826420218983</v>
      </c>
      <c r="K332" s="89">
        <f t="shared" si="35"/>
        <v>1955.4159753552317</v>
      </c>
      <c r="L332" s="89">
        <f t="shared" si="36"/>
        <v>44.22008565522269</v>
      </c>
      <c r="M332" s="89" t="str">
        <f t="shared" si="37"/>
        <v>NG</v>
      </c>
      <c r="N332" s="117">
        <f t="shared" si="38"/>
        <v>1</v>
      </c>
      <c r="O332" s="89">
        <f t="shared" si="33"/>
        <v>2.7199999999999998</v>
      </c>
      <c r="P332" s="89">
        <f>IF(G332="","",ABS(O332-Components!$C$2))</f>
        <v>3.3333333333330106E-2</v>
      </c>
      <c r="Q332" s="89">
        <f>IF(G332="","",ABS(O332-Components!$C$3))</f>
        <v>1.3159999999999998</v>
      </c>
      <c r="R332" s="89">
        <f>IF(G332="","",ABS(O332-Components!$C$4))</f>
        <v>1.7266666666666668</v>
      </c>
      <c r="S332" s="89">
        <f>IF(G332="","",ABS(O332-Components!$C$5))</f>
        <v>1.8426666666666707</v>
      </c>
      <c r="T332" s="89">
        <f>IF(G332="","",ABS(O332-Components!$C$6))</f>
        <v>1.5643333333333298</v>
      </c>
      <c r="U332" s="89">
        <f>IF(G332="","",ABS(O332-Components!$C$7))</f>
        <v>1.3456666666666697</v>
      </c>
      <c r="V332" s="89" t="str">
        <f>IF(G332="","",IF(M332="OK","NONE",INDEX({"S1","S2","W1","W2","N1","N2"},MATCH(MIN(P332:U332),P332:U332,0))))</f>
        <v>S1</v>
      </c>
      <c r="W332" s="139">
        <f t="shared" si="39"/>
        <v>1</v>
      </c>
      <c r="X332" s="125"/>
    </row>
    <row r="333" spans="1:24" ht="15.75">
      <c r="A333" s="115">
        <v>319</v>
      </c>
      <c r="B333" s="135">
        <f>'Runs Z-Score'!B321</f>
        <v>11</v>
      </c>
      <c r="C333" s="89" t="str">
        <f>'Runs Z-Score'!C321</f>
        <v>R6</v>
      </c>
      <c r="D333" s="89" t="str">
        <f>'Runs Z-Score'!D321</f>
        <v>NG</v>
      </c>
      <c r="E333" s="89" t="str">
        <f>'Runs Z-Score'!E321</f>
        <v>S1</v>
      </c>
      <c r="F333" s="89">
        <f>'Runs Z-Score'!F321</f>
        <v>5.87</v>
      </c>
      <c r="G333" s="89">
        <f t="shared" si="32"/>
        <v>6.84</v>
      </c>
      <c r="H333" s="89">
        <v>9.61</v>
      </c>
      <c r="I333" s="89">
        <f>VLOOKUP(C333,Recipes!$A$2:$N$4,12,FALSE())</f>
        <v>6.1509461004819709E-2</v>
      </c>
      <c r="J333" s="89">
        <f t="shared" si="34"/>
        <v>2028.036165112703</v>
      </c>
      <c r="K333" s="89">
        <f t="shared" si="35"/>
        <v>2027.9694984460364</v>
      </c>
      <c r="L333" s="89">
        <f t="shared" si="36"/>
        <v>45.032982340125294</v>
      </c>
      <c r="M333" s="89" t="str">
        <f t="shared" si="37"/>
        <v>NG</v>
      </c>
      <c r="N333" s="117">
        <f t="shared" si="38"/>
        <v>1</v>
      </c>
      <c r="O333" s="89">
        <f t="shared" si="33"/>
        <v>2.7699999999999996</v>
      </c>
      <c r="P333" s="89">
        <f>IF(G333="","",ABS(O333-Components!$C$2))</f>
        <v>1.6666666666669716E-2</v>
      </c>
      <c r="Q333" s="89">
        <f>IF(G333="","",ABS(O333-Components!$C$3))</f>
        <v>1.266</v>
      </c>
      <c r="R333" s="89">
        <f>IF(G333="","",ABS(O333-Components!$C$4))</f>
        <v>1.7766666666666666</v>
      </c>
      <c r="S333" s="89">
        <f>IF(G333="","",ABS(O333-Components!$C$5))</f>
        <v>1.7926666666666708</v>
      </c>
      <c r="T333" s="89">
        <f>IF(G333="","",ABS(O333-Components!$C$6))</f>
        <v>1.6143333333333296</v>
      </c>
      <c r="U333" s="89">
        <f>IF(G333="","",ABS(O333-Components!$C$7))</f>
        <v>1.3956666666666695</v>
      </c>
      <c r="V333" s="89" t="str">
        <f>IF(G333="","",IF(M333="OK","NONE",INDEX({"S1","S2","W1","W2","N1","N2"},MATCH(MIN(P333:U333),P333:U333,0))))</f>
        <v>S1</v>
      </c>
      <c r="W333" s="139">
        <f t="shared" si="39"/>
        <v>1</v>
      </c>
      <c r="X333" s="125"/>
    </row>
    <row r="334" spans="1:24" ht="15.75">
      <c r="A334" s="115">
        <v>320</v>
      </c>
      <c r="B334" s="135">
        <f>'Runs Z-Score'!B322</f>
        <v>11</v>
      </c>
      <c r="C334" s="89" t="str">
        <f>'Runs Z-Score'!C322</f>
        <v>R6</v>
      </c>
      <c r="D334" s="89" t="str">
        <f>'Runs Z-Score'!D322</f>
        <v>NG</v>
      </c>
      <c r="E334" s="89" t="str">
        <f>'Runs Z-Score'!E322</f>
        <v>S1</v>
      </c>
      <c r="F334" s="89">
        <f>'Runs Z-Score'!F322</f>
        <v>5.82</v>
      </c>
      <c r="G334" s="89">
        <f t="shared" si="32"/>
        <v>6.79</v>
      </c>
      <c r="H334" s="89">
        <v>9.61</v>
      </c>
      <c r="I334" s="89">
        <f>VLOOKUP(C334,Recipes!$A$2:$N$4,12,FALSE())</f>
        <v>6.1509461004819709E-2</v>
      </c>
      <c r="J334" s="89">
        <f t="shared" si="34"/>
        <v>2101.9112460011538</v>
      </c>
      <c r="K334" s="89">
        <f t="shared" si="35"/>
        <v>2101.8445793344872</v>
      </c>
      <c r="L334" s="89">
        <f t="shared" si="36"/>
        <v>45.845878542508999</v>
      </c>
      <c r="M334" s="89" t="str">
        <f t="shared" si="37"/>
        <v>NG</v>
      </c>
      <c r="N334" s="117">
        <f t="shared" si="38"/>
        <v>1</v>
      </c>
      <c r="O334" s="89">
        <f t="shared" si="33"/>
        <v>2.8199999999999994</v>
      </c>
      <c r="P334" s="89">
        <f>IF(G334="","",ABS(O334-Components!$C$2))</f>
        <v>6.6666666666669538E-2</v>
      </c>
      <c r="Q334" s="89">
        <f>IF(G334="","",ABS(O334-Components!$C$3))</f>
        <v>1.2160000000000002</v>
      </c>
      <c r="R334" s="89">
        <f>IF(G334="","",ABS(O334-Components!$C$4))</f>
        <v>1.8266666666666664</v>
      </c>
      <c r="S334" s="89">
        <f>IF(G334="","",ABS(O334-Components!$C$5))</f>
        <v>1.742666666666671</v>
      </c>
      <c r="T334" s="89">
        <f>IF(G334="","",ABS(O334-Components!$C$6))</f>
        <v>1.6643333333333294</v>
      </c>
      <c r="U334" s="89">
        <f>IF(G334="","",ABS(O334-Components!$C$7))</f>
        <v>1.4456666666666693</v>
      </c>
      <c r="V334" s="89" t="str">
        <f>IF(G334="","",IF(M334="OK","NONE",INDEX({"S1","S2","W1","W2","N1","N2"},MATCH(MIN(P334:U334),P334:U334,0))))</f>
        <v>S1</v>
      </c>
      <c r="W334" s="139">
        <f t="shared" si="39"/>
        <v>1</v>
      </c>
      <c r="X334" s="125"/>
    </row>
    <row r="335" spans="1:24" ht="15.75">
      <c r="A335" s="115">
        <v>321</v>
      </c>
      <c r="B335" s="135">
        <f>'Runs Z-Score'!B323</f>
        <v>11</v>
      </c>
      <c r="C335" s="89" t="str">
        <f>'Runs Z-Score'!C323</f>
        <v>R6</v>
      </c>
      <c r="D335" s="89" t="str">
        <f>'Runs Z-Score'!D323</f>
        <v>NG</v>
      </c>
      <c r="E335" s="89" t="str">
        <f>'Runs Z-Score'!E323</f>
        <v>S1</v>
      </c>
      <c r="F335" s="89">
        <f>'Runs Z-Score'!F323</f>
        <v>5.77</v>
      </c>
      <c r="G335" s="89">
        <f t="shared" ref="G335:G398" si="40">0.97+F335</f>
        <v>6.7399999999999993</v>
      </c>
      <c r="H335" s="89">
        <v>9.61</v>
      </c>
      <c r="I335" s="89">
        <f>VLOOKUP(C335,Recipes!$A$2:$N$4,12,FALSE())</f>
        <v>6.1509461004819709E-2</v>
      </c>
      <c r="J335" s="89">
        <f t="shared" si="34"/>
        <v>2177.1078846872533</v>
      </c>
      <c r="K335" s="89">
        <f t="shared" si="35"/>
        <v>2177.0412180205867</v>
      </c>
      <c r="L335" s="89">
        <f t="shared" si="36"/>
        <v>46.658774287593396</v>
      </c>
      <c r="M335" s="89" t="str">
        <f t="shared" si="37"/>
        <v>NG</v>
      </c>
      <c r="N335" s="117">
        <f t="shared" si="38"/>
        <v>1</v>
      </c>
      <c r="O335" s="89">
        <f t="shared" ref="O335:O398" si="41">IF(G335="","",H335-G335)</f>
        <v>2.87</v>
      </c>
      <c r="P335" s="89">
        <f>IF(G335="","",ABS(O335-Components!$C$2))</f>
        <v>0.11666666666667025</v>
      </c>
      <c r="Q335" s="89">
        <f>IF(G335="","",ABS(O335-Components!$C$3))</f>
        <v>1.1659999999999995</v>
      </c>
      <c r="R335" s="89">
        <f>IF(G335="","",ABS(O335-Components!$C$4))</f>
        <v>1.8766666666666671</v>
      </c>
      <c r="S335" s="89">
        <f>IF(G335="","",ABS(O335-Components!$C$5))</f>
        <v>1.6926666666666703</v>
      </c>
      <c r="T335" s="89">
        <f>IF(G335="","",ABS(O335-Components!$C$6))</f>
        <v>1.7143333333333302</v>
      </c>
      <c r="U335" s="89">
        <f>IF(G335="","",ABS(O335-Components!$C$7))</f>
        <v>1.49566666666667</v>
      </c>
      <c r="V335" s="89" t="str">
        <f>IF(G335="","",IF(M335="OK","NONE",INDEX({"S1","S2","W1","W2","N1","N2"},MATCH(MIN(P335:U335),P335:U335,0))))</f>
        <v>S1</v>
      </c>
      <c r="W335" s="139">
        <f t="shared" si="39"/>
        <v>1</v>
      </c>
      <c r="X335" s="125"/>
    </row>
    <row r="336" spans="1:24" ht="15.75">
      <c r="A336" s="115">
        <v>322</v>
      </c>
      <c r="B336" s="135">
        <f>'Runs Z-Score'!B324</f>
        <v>11</v>
      </c>
      <c r="C336" s="89" t="str">
        <f>'Runs Z-Score'!C324</f>
        <v>R6</v>
      </c>
      <c r="D336" s="89" t="str">
        <f>'Runs Z-Score'!D324</f>
        <v>NG</v>
      </c>
      <c r="E336" s="89" t="str">
        <f>'Runs Z-Score'!E324</f>
        <v>S1</v>
      </c>
      <c r="F336" s="89">
        <f>'Runs Z-Score'!F324</f>
        <v>5.83</v>
      </c>
      <c r="G336" s="89">
        <f t="shared" si="40"/>
        <v>6.8</v>
      </c>
      <c r="H336" s="89">
        <v>9.61</v>
      </c>
      <c r="I336" s="89">
        <f>VLOOKUP(C336,Recipes!$A$2:$N$4,12,FALSE())</f>
        <v>6.1509461004819709E-2</v>
      </c>
      <c r="J336" s="89">
        <f t="shared" ref="J336:J399" si="42">IF(G336="","",((G336-H336)/I336)^2)</f>
        <v>2087.030505199652</v>
      </c>
      <c r="K336" s="89">
        <f t="shared" ref="K336:K399" si="43">IF(G336="","",MAX(0, J336-$B$12))</f>
        <v>2086.9638385329854</v>
      </c>
      <c r="L336" s="89">
        <f t="shared" ref="L336:L399" si="44">IF(G336="","",SQRT(K336))</f>
        <v>45.683299339397387</v>
      </c>
      <c r="M336" s="89" t="str">
        <f t="shared" ref="M336:M399" si="45">IF(G336="","",IF(K336&lt;=$B$10,"OK","NG"))</f>
        <v>NG</v>
      </c>
      <c r="N336" s="117">
        <f t="shared" ref="N336:N399" si="46">IF(M336="","",IF(M336=D336,1,0))</f>
        <v>1</v>
      </c>
      <c r="O336" s="89">
        <f t="shared" si="41"/>
        <v>2.8099999999999996</v>
      </c>
      <c r="P336" s="89">
        <f>IF(G336="","",ABS(O336-Components!$C$2))</f>
        <v>5.6666666666669752E-2</v>
      </c>
      <c r="Q336" s="89">
        <f>IF(G336="","",ABS(O336-Components!$C$3))</f>
        <v>1.226</v>
      </c>
      <c r="R336" s="89">
        <f>IF(G336="","",ABS(O336-Components!$C$4))</f>
        <v>1.8166666666666667</v>
      </c>
      <c r="S336" s="89">
        <f>IF(G336="","",ABS(O336-Components!$C$5))</f>
        <v>1.7526666666666708</v>
      </c>
      <c r="T336" s="89">
        <f>IF(G336="","",ABS(O336-Components!$C$6))</f>
        <v>1.6543333333333297</v>
      </c>
      <c r="U336" s="89">
        <f>IF(G336="","",ABS(O336-Components!$C$7))</f>
        <v>1.4356666666666695</v>
      </c>
      <c r="V336" s="89" t="str">
        <f>IF(G336="","",IF(M336="OK","NONE",INDEX({"S1","S2","W1","W2","N1","N2"},MATCH(MIN(P336:U336),P336:U336,0))))</f>
        <v>S1</v>
      </c>
      <c r="W336" s="139">
        <f t="shared" ref="W336:W399" si="47">IF(G336="","",IF(V336=E336,1,0))</f>
        <v>1</v>
      </c>
      <c r="X336" s="125"/>
    </row>
    <row r="337" spans="1:24" ht="15.75">
      <c r="A337" s="115">
        <v>323</v>
      </c>
      <c r="B337" s="135">
        <f>'Runs Z-Score'!B325</f>
        <v>11</v>
      </c>
      <c r="C337" s="89" t="str">
        <f>'Runs Z-Score'!C325</f>
        <v>R6</v>
      </c>
      <c r="D337" s="89" t="str">
        <f>'Runs Z-Score'!D325</f>
        <v>NG</v>
      </c>
      <c r="E337" s="89" t="str">
        <f>'Runs Z-Score'!E325</f>
        <v>S1</v>
      </c>
      <c r="F337" s="89">
        <f>'Runs Z-Score'!F325</f>
        <v>5.85</v>
      </c>
      <c r="G337" s="89">
        <f t="shared" si="40"/>
        <v>6.8199999999999994</v>
      </c>
      <c r="H337" s="89">
        <v>9.61</v>
      </c>
      <c r="I337" s="89">
        <f>VLOOKUP(C337,Recipes!$A$2:$N$4,12,FALSE())</f>
        <v>6.1509461004819709E-2</v>
      </c>
      <c r="J337" s="89">
        <f t="shared" si="42"/>
        <v>2057.4276105323665</v>
      </c>
      <c r="K337" s="89">
        <f t="shared" si="43"/>
        <v>2057.3609438656999</v>
      </c>
      <c r="L337" s="89">
        <f t="shared" si="44"/>
        <v>45.358140877528257</v>
      </c>
      <c r="M337" s="89" t="str">
        <f t="shared" si="45"/>
        <v>NG</v>
      </c>
      <c r="N337" s="117">
        <f t="shared" si="46"/>
        <v>1</v>
      </c>
      <c r="O337" s="89">
        <f t="shared" si="41"/>
        <v>2.79</v>
      </c>
      <c r="P337" s="89">
        <f>IF(G337="","",ABS(O337-Components!$C$2))</f>
        <v>3.6666666666670178E-2</v>
      </c>
      <c r="Q337" s="89">
        <f>IF(G337="","",ABS(O337-Components!$C$3))</f>
        <v>1.2459999999999996</v>
      </c>
      <c r="R337" s="89">
        <f>IF(G337="","",ABS(O337-Components!$C$4))</f>
        <v>1.7966666666666671</v>
      </c>
      <c r="S337" s="89">
        <f>IF(G337="","",ABS(O337-Components!$C$5))</f>
        <v>1.7726666666666704</v>
      </c>
      <c r="T337" s="89">
        <f>IF(G337="","",ABS(O337-Components!$C$6))</f>
        <v>1.6343333333333301</v>
      </c>
      <c r="U337" s="89">
        <f>IF(G337="","",ABS(O337-Components!$C$7))</f>
        <v>1.41566666666667</v>
      </c>
      <c r="V337" s="89" t="str">
        <f>IF(G337="","",IF(M337="OK","NONE",INDEX({"S1","S2","W1","W2","N1","N2"},MATCH(MIN(P337:U337),P337:U337,0))))</f>
        <v>S1</v>
      </c>
      <c r="W337" s="139">
        <f t="shared" si="47"/>
        <v>1</v>
      </c>
      <c r="X337" s="125"/>
    </row>
    <row r="338" spans="1:24" ht="15.75">
      <c r="A338" s="115">
        <v>324</v>
      </c>
      <c r="B338" s="135">
        <f>'Runs Z-Score'!B326</f>
        <v>11</v>
      </c>
      <c r="C338" s="89" t="str">
        <f>'Runs Z-Score'!C326</f>
        <v>R6</v>
      </c>
      <c r="D338" s="89" t="str">
        <f>'Runs Z-Score'!D326</f>
        <v>NG</v>
      </c>
      <c r="E338" s="89" t="str">
        <f>'Runs Z-Score'!E326</f>
        <v>S1</v>
      </c>
      <c r="F338" s="89">
        <f>'Runs Z-Score'!F326</f>
        <v>5.86</v>
      </c>
      <c r="G338" s="89">
        <f t="shared" si="40"/>
        <v>6.83</v>
      </c>
      <c r="H338" s="89">
        <v>9.61</v>
      </c>
      <c r="I338" s="89">
        <f>VLOOKUP(C338,Recipes!$A$2:$N$4,12,FALSE())</f>
        <v>6.1509461004819709E-2</v>
      </c>
      <c r="J338" s="89">
        <f t="shared" si="42"/>
        <v>2042.7054566665811</v>
      </c>
      <c r="K338" s="89">
        <f t="shared" si="43"/>
        <v>2042.6387899999145</v>
      </c>
      <c r="L338" s="89">
        <f t="shared" si="44"/>
        <v>45.195561618370384</v>
      </c>
      <c r="M338" s="89" t="str">
        <f t="shared" si="45"/>
        <v>NG</v>
      </c>
      <c r="N338" s="117">
        <f t="shared" si="46"/>
        <v>1</v>
      </c>
      <c r="O338" s="89">
        <f t="shared" si="41"/>
        <v>2.7799999999999994</v>
      </c>
      <c r="P338" s="89">
        <f>IF(G338="","",ABS(O338-Components!$C$2))</f>
        <v>2.6666666666669503E-2</v>
      </c>
      <c r="Q338" s="89">
        <f>IF(G338="","",ABS(O338-Components!$C$3))</f>
        <v>1.2560000000000002</v>
      </c>
      <c r="R338" s="89">
        <f>IF(G338="","",ABS(O338-Components!$C$4))</f>
        <v>1.7866666666666664</v>
      </c>
      <c r="S338" s="89">
        <f>IF(G338="","",ABS(O338-Components!$C$5))</f>
        <v>1.7826666666666711</v>
      </c>
      <c r="T338" s="89">
        <f>IF(G338="","",ABS(O338-Components!$C$6))</f>
        <v>1.6243333333333294</v>
      </c>
      <c r="U338" s="89">
        <f>IF(G338="","",ABS(O338-Components!$C$7))</f>
        <v>1.4056666666666693</v>
      </c>
      <c r="V338" s="89" t="str">
        <f>IF(G338="","",IF(M338="OK","NONE",INDEX({"S1","S2","W1","W2","N1","N2"},MATCH(MIN(P338:U338),P338:U338,0))))</f>
        <v>S1</v>
      </c>
      <c r="W338" s="139">
        <f t="shared" si="47"/>
        <v>1</v>
      </c>
      <c r="X338" s="125"/>
    </row>
    <row r="339" spans="1:24" ht="15.75">
      <c r="A339" s="115">
        <v>325</v>
      </c>
      <c r="B339" s="135">
        <f>'Runs Z-Score'!B327</f>
        <v>11</v>
      </c>
      <c r="C339" s="89" t="str">
        <f>'Runs Z-Score'!C327</f>
        <v>R6</v>
      </c>
      <c r="D339" s="89" t="str">
        <f>'Runs Z-Score'!D327</f>
        <v>NG</v>
      </c>
      <c r="E339" s="89" t="str">
        <f>'Runs Z-Score'!E327</f>
        <v>S1</v>
      </c>
      <c r="F339" s="89">
        <f>'Runs Z-Score'!F327</f>
        <v>5.87</v>
      </c>
      <c r="G339" s="89">
        <f t="shared" si="40"/>
        <v>6.84</v>
      </c>
      <c r="H339" s="89">
        <v>9.61</v>
      </c>
      <c r="I339" s="89">
        <f>VLOOKUP(C339,Recipes!$A$2:$N$4,12,FALSE())</f>
        <v>6.1509461004819709E-2</v>
      </c>
      <c r="J339" s="89">
        <f t="shared" si="42"/>
        <v>2028.036165112703</v>
      </c>
      <c r="K339" s="89">
        <f t="shared" si="43"/>
        <v>2027.9694984460364</v>
      </c>
      <c r="L339" s="89">
        <f t="shared" si="44"/>
        <v>45.032982340125294</v>
      </c>
      <c r="M339" s="89" t="str">
        <f t="shared" si="45"/>
        <v>NG</v>
      </c>
      <c r="N339" s="117">
        <f t="shared" si="46"/>
        <v>1</v>
      </c>
      <c r="O339" s="89">
        <f t="shared" si="41"/>
        <v>2.7699999999999996</v>
      </c>
      <c r="P339" s="89">
        <f>IF(G339="","",ABS(O339-Components!$C$2))</f>
        <v>1.6666666666669716E-2</v>
      </c>
      <c r="Q339" s="89">
        <f>IF(G339="","",ABS(O339-Components!$C$3))</f>
        <v>1.266</v>
      </c>
      <c r="R339" s="89">
        <f>IF(G339="","",ABS(O339-Components!$C$4))</f>
        <v>1.7766666666666666</v>
      </c>
      <c r="S339" s="89">
        <f>IF(G339="","",ABS(O339-Components!$C$5))</f>
        <v>1.7926666666666708</v>
      </c>
      <c r="T339" s="89">
        <f>IF(G339="","",ABS(O339-Components!$C$6))</f>
        <v>1.6143333333333296</v>
      </c>
      <c r="U339" s="89">
        <f>IF(G339="","",ABS(O339-Components!$C$7))</f>
        <v>1.3956666666666695</v>
      </c>
      <c r="V339" s="89" t="str">
        <f>IF(G339="","",IF(M339="OK","NONE",INDEX({"S1","S2","W1","W2","N1","N2"},MATCH(MIN(P339:U339),P339:U339,0))))</f>
        <v>S1</v>
      </c>
      <c r="W339" s="139">
        <f t="shared" si="47"/>
        <v>1</v>
      </c>
      <c r="X339" s="125"/>
    </row>
    <row r="340" spans="1:24" ht="15.75">
      <c r="A340" s="115">
        <v>326</v>
      </c>
      <c r="B340" s="135">
        <f>'Runs Z-Score'!B328</f>
        <v>11</v>
      </c>
      <c r="C340" s="89" t="str">
        <f>'Runs Z-Score'!C328</f>
        <v>R6</v>
      </c>
      <c r="D340" s="89" t="str">
        <f>'Runs Z-Score'!D328</f>
        <v>NG</v>
      </c>
      <c r="E340" s="89" t="str">
        <f>'Runs Z-Score'!E328</f>
        <v>S1</v>
      </c>
      <c r="F340" s="89">
        <f>'Runs Z-Score'!F328</f>
        <v>5.81</v>
      </c>
      <c r="G340" s="89">
        <f t="shared" si="40"/>
        <v>6.7799999999999994</v>
      </c>
      <c r="H340" s="89">
        <v>9.61</v>
      </c>
      <c r="I340" s="89">
        <f>VLOOKUP(C340,Recipes!$A$2:$N$4,12,FALSE())</f>
        <v>6.1509461004819709E-2</v>
      </c>
      <c r="J340" s="89">
        <f t="shared" si="42"/>
        <v>2116.8448491145632</v>
      </c>
      <c r="K340" s="89">
        <f t="shared" si="43"/>
        <v>2116.7781824478966</v>
      </c>
      <c r="L340" s="89">
        <f t="shared" si="44"/>
        <v>46.008457727334182</v>
      </c>
      <c r="M340" s="89" t="str">
        <f t="shared" si="45"/>
        <v>NG</v>
      </c>
      <c r="N340" s="117">
        <f t="shared" si="46"/>
        <v>1</v>
      </c>
      <c r="O340" s="89">
        <f t="shared" si="41"/>
        <v>2.83</v>
      </c>
      <c r="P340" s="89">
        <f>IF(G340="","",ABS(O340-Components!$C$2))</f>
        <v>7.6666666666670213E-2</v>
      </c>
      <c r="Q340" s="89">
        <f>IF(G340="","",ABS(O340-Components!$C$3))</f>
        <v>1.2059999999999995</v>
      </c>
      <c r="R340" s="89">
        <f>IF(G340="","",ABS(O340-Components!$C$4))</f>
        <v>1.8366666666666671</v>
      </c>
      <c r="S340" s="89">
        <f>IF(G340="","",ABS(O340-Components!$C$5))</f>
        <v>1.7326666666666704</v>
      </c>
      <c r="T340" s="89">
        <f>IF(G340="","",ABS(O340-Components!$C$6))</f>
        <v>1.6743333333333301</v>
      </c>
      <c r="U340" s="89">
        <f>IF(G340="","",ABS(O340-Components!$C$7))</f>
        <v>1.45566666666667</v>
      </c>
      <c r="V340" s="89" t="str">
        <f>IF(G340="","",IF(M340="OK","NONE",INDEX({"S1","S2","W1","W2","N1","N2"},MATCH(MIN(P340:U340),P340:U340,0))))</f>
        <v>S1</v>
      </c>
      <c r="W340" s="139">
        <f t="shared" si="47"/>
        <v>1</v>
      </c>
      <c r="X340" s="125"/>
    </row>
    <row r="341" spans="1:24" ht="15.75">
      <c r="A341" s="115">
        <v>327</v>
      </c>
      <c r="B341" s="135">
        <f>'Runs Z-Score'!B329</f>
        <v>11</v>
      </c>
      <c r="C341" s="89" t="str">
        <f>'Runs Z-Score'!C329</f>
        <v>R6</v>
      </c>
      <c r="D341" s="89" t="str">
        <f>'Runs Z-Score'!D329</f>
        <v>NG</v>
      </c>
      <c r="E341" s="89" t="str">
        <f>'Runs Z-Score'!E329</f>
        <v>S1</v>
      </c>
      <c r="F341" s="89">
        <f>'Runs Z-Score'!F329</f>
        <v>5.83</v>
      </c>
      <c r="G341" s="89">
        <f t="shared" si="40"/>
        <v>6.8</v>
      </c>
      <c r="H341" s="89">
        <v>9.61</v>
      </c>
      <c r="I341" s="89">
        <f>VLOOKUP(C341,Recipes!$A$2:$N$4,12,FALSE())</f>
        <v>6.1509461004819709E-2</v>
      </c>
      <c r="J341" s="89">
        <f t="shared" si="42"/>
        <v>2087.030505199652</v>
      </c>
      <c r="K341" s="89">
        <f t="shared" si="43"/>
        <v>2086.9638385329854</v>
      </c>
      <c r="L341" s="89">
        <f t="shared" si="44"/>
        <v>45.683299339397387</v>
      </c>
      <c r="M341" s="89" t="str">
        <f t="shared" si="45"/>
        <v>NG</v>
      </c>
      <c r="N341" s="117">
        <f t="shared" si="46"/>
        <v>1</v>
      </c>
      <c r="O341" s="89">
        <f t="shared" si="41"/>
        <v>2.8099999999999996</v>
      </c>
      <c r="P341" s="89">
        <f>IF(G341="","",ABS(O341-Components!$C$2))</f>
        <v>5.6666666666669752E-2</v>
      </c>
      <c r="Q341" s="89">
        <f>IF(G341="","",ABS(O341-Components!$C$3))</f>
        <v>1.226</v>
      </c>
      <c r="R341" s="89">
        <f>IF(G341="","",ABS(O341-Components!$C$4))</f>
        <v>1.8166666666666667</v>
      </c>
      <c r="S341" s="89">
        <f>IF(G341="","",ABS(O341-Components!$C$5))</f>
        <v>1.7526666666666708</v>
      </c>
      <c r="T341" s="89">
        <f>IF(G341="","",ABS(O341-Components!$C$6))</f>
        <v>1.6543333333333297</v>
      </c>
      <c r="U341" s="89">
        <f>IF(G341="","",ABS(O341-Components!$C$7))</f>
        <v>1.4356666666666695</v>
      </c>
      <c r="V341" s="89" t="str">
        <f>IF(G341="","",IF(M341="OK","NONE",INDEX({"S1","S2","W1","W2","N1","N2"},MATCH(MIN(P341:U341),P341:U341,0))))</f>
        <v>S1</v>
      </c>
      <c r="W341" s="139">
        <f t="shared" si="47"/>
        <v>1</v>
      </c>
      <c r="X341" s="125"/>
    </row>
    <row r="342" spans="1:24" ht="15.75">
      <c r="A342" s="115">
        <v>328</v>
      </c>
      <c r="B342" s="135">
        <f>'Runs Z-Score'!B330</f>
        <v>11</v>
      </c>
      <c r="C342" s="89" t="str">
        <f>'Runs Z-Score'!C330</f>
        <v>R6</v>
      </c>
      <c r="D342" s="89" t="str">
        <f>'Runs Z-Score'!D330</f>
        <v>NG</v>
      </c>
      <c r="E342" s="89" t="str">
        <f>'Runs Z-Score'!E330</f>
        <v>S1</v>
      </c>
      <c r="F342" s="89">
        <f>'Runs Z-Score'!F330</f>
        <v>5.87</v>
      </c>
      <c r="G342" s="89">
        <f t="shared" si="40"/>
        <v>6.84</v>
      </c>
      <c r="H342" s="89">
        <v>9.61</v>
      </c>
      <c r="I342" s="89">
        <f>VLOOKUP(C342,Recipes!$A$2:$N$4,12,FALSE())</f>
        <v>6.1509461004819709E-2</v>
      </c>
      <c r="J342" s="89">
        <f t="shared" si="42"/>
        <v>2028.036165112703</v>
      </c>
      <c r="K342" s="89">
        <f t="shared" si="43"/>
        <v>2027.9694984460364</v>
      </c>
      <c r="L342" s="89">
        <f t="shared" si="44"/>
        <v>45.032982340125294</v>
      </c>
      <c r="M342" s="89" t="str">
        <f t="shared" si="45"/>
        <v>NG</v>
      </c>
      <c r="N342" s="117">
        <f t="shared" si="46"/>
        <v>1</v>
      </c>
      <c r="O342" s="89">
        <f t="shared" si="41"/>
        <v>2.7699999999999996</v>
      </c>
      <c r="P342" s="89">
        <f>IF(G342="","",ABS(O342-Components!$C$2))</f>
        <v>1.6666666666669716E-2</v>
      </c>
      <c r="Q342" s="89">
        <f>IF(G342="","",ABS(O342-Components!$C$3))</f>
        <v>1.266</v>
      </c>
      <c r="R342" s="89">
        <f>IF(G342="","",ABS(O342-Components!$C$4))</f>
        <v>1.7766666666666666</v>
      </c>
      <c r="S342" s="89">
        <f>IF(G342="","",ABS(O342-Components!$C$5))</f>
        <v>1.7926666666666708</v>
      </c>
      <c r="T342" s="89">
        <f>IF(G342="","",ABS(O342-Components!$C$6))</f>
        <v>1.6143333333333296</v>
      </c>
      <c r="U342" s="89">
        <f>IF(G342="","",ABS(O342-Components!$C$7))</f>
        <v>1.3956666666666695</v>
      </c>
      <c r="V342" s="89" t="str">
        <f>IF(G342="","",IF(M342="OK","NONE",INDEX({"S1","S2","W1","W2","N1","N2"},MATCH(MIN(P342:U342),P342:U342,0))))</f>
        <v>S1</v>
      </c>
      <c r="W342" s="139">
        <f t="shared" si="47"/>
        <v>1</v>
      </c>
      <c r="X342" s="125"/>
    </row>
    <row r="343" spans="1:24" ht="15.75">
      <c r="A343" s="115">
        <v>329</v>
      </c>
      <c r="B343" s="135">
        <f>'Runs Z-Score'!B331</f>
        <v>11</v>
      </c>
      <c r="C343" s="89" t="str">
        <f>'Runs Z-Score'!C331</f>
        <v>R6</v>
      </c>
      <c r="D343" s="89" t="str">
        <f>'Runs Z-Score'!D331</f>
        <v>NG</v>
      </c>
      <c r="E343" s="89" t="str">
        <f>'Runs Z-Score'!E331</f>
        <v>S1</v>
      </c>
      <c r="F343" s="89">
        <f>'Runs Z-Score'!F331</f>
        <v>5.8</v>
      </c>
      <c r="G343" s="89">
        <f t="shared" si="40"/>
        <v>6.77</v>
      </c>
      <c r="H343" s="89">
        <v>9.61</v>
      </c>
      <c r="I343" s="89">
        <f>VLOOKUP(C343,Recipes!$A$2:$N$4,12,FALSE())</f>
        <v>6.1509461004819709E-2</v>
      </c>
      <c r="J343" s="89">
        <f t="shared" si="42"/>
        <v>2131.8313145398765</v>
      </c>
      <c r="K343" s="89">
        <f t="shared" si="43"/>
        <v>2131.7646478732099</v>
      </c>
      <c r="L343" s="89">
        <f t="shared" si="44"/>
        <v>46.17103689406607</v>
      </c>
      <c r="M343" s="89" t="str">
        <f t="shared" si="45"/>
        <v>NG</v>
      </c>
      <c r="N343" s="117">
        <f t="shared" si="46"/>
        <v>1</v>
      </c>
      <c r="O343" s="89">
        <f t="shared" si="41"/>
        <v>2.84</v>
      </c>
      <c r="P343" s="89">
        <f>IF(G343="","",ABS(O343-Components!$C$2))</f>
        <v>8.666666666667E-2</v>
      </c>
      <c r="Q343" s="89">
        <f>IF(G343="","",ABS(O343-Components!$C$3))</f>
        <v>1.1959999999999997</v>
      </c>
      <c r="R343" s="89">
        <f>IF(G343="","",ABS(O343-Components!$C$4))</f>
        <v>1.8466666666666669</v>
      </c>
      <c r="S343" s="89">
        <f>IF(G343="","",ABS(O343-Components!$C$5))</f>
        <v>1.7226666666666706</v>
      </c>
      <c r="T343" s="89">
        <f>IF(G343="","",ABS(O343-Components!$C$6))</f>
        <v>1.6843333333333299</v>
      </c>
      <c r="U343" s="89">
        <f>IF(G343="","",ABS(O343-Components!$C$7))</f>
        <v>1.4656666666666698</v>
      </c>
      <c r="V343" s="89" t="str">
        <f>IF(G343="","",IF(M343="OK","NONE",INDEX({"S1","S2","W1","W2","N1","N2"},MATCH(MIN(P343:U343),P343:U343,0))))</f>
        <v>S1</v>
      </c>
      <c r="W343" s="139">
        <f t="shared" si="47"/>
        <v>1</v>
      </c>
      <c r="X343" s="125"/>
    </row>
    <row r="344" spans="1:24" ht="15.75">
      <c r="A344" s="115">
        <v>330</v>
      </c>
      <c r="B344" s="135">
        <f>'Runs Z-Score'!B332</f>
        <v>11</v>
      </c>
      <c r="C344" s="89" t="str">
        <f>'Runs Z-Score'!C332</f>
        <v>R6</v>
      </c>
      <c r="D344" s="89" t="str">
        <f>'Runs Z-Score'!D332</f>
        <v>NG</v>
      </c>
      <c r="E344" s="89" t="str">
        <f>'Runs Z-Score'!E332</f>
        <v>S1</v>
      </c>
      <c r="F344" s="89">
        <f>'Runs Z-Score'!F332</f>
        <v>5.86</v>
      </c>
      <c r="G344" s="89">
        <f t="shared" si="40"/>
        <v>6.83</v>
      </c>
      <c r="H344" s="89">
        <v>9.61</v>
      </c>
      <c r="I344" s="89">
        <f>VLOOKUP(C344,Recipes!$A$2:$N$4,12,FALSE())</f>
        <v>6.1509461004819709E-2</v>
      </c>
      <c r="J344" s="89">
        <f t="shared" si="42"/>
        <v>2042.7054566665811</v>
      </c>
      <c r="K344" s="89">
        <f t="shared" si="43"/>
        <v>2042.6387899999145</v>
      </c>
      <c r="L344" s="89">
        <f t="shared" si="44"/>
        <v>45.195561618370384</v>
      </c>
      <c r="M344" s="89" t="str">
        <f t="shared" si="45"/>
        <v>NG</v>
      </c>
      <c r="N344" s="117">
        <f t="shared" si="46"/>
        <v>1</v>
      </c>
      <c r="O344" s="89">
        <f t="shared" si="41"/>
        <v>2.7799999999999994</v>
      </c>
      <c r="P344" s="89">
        <f>IF(G344="","",ABS(O344-Components!$C$2))</f>
        <v>2.6666666666669503E-2</v>
      </c>
      <c r="Q344" s="89">
        <f>IF(G344="","",ABS(O344-Components!$C$3))</f>
        <v>1.2560000000000002</v>
      </c>
      <c r="R344" s="89">
        <f>IF(G344="","",ABS(O344-Components!$C$4))</f>
        <v>1.7866666666666664</v>
      </c>
      <c r="S344" s="89">
        <f>IF(G344="","",ABS(O344-Components!$C$5))</f>
        <v>1.7826666666666711</v>
      </c>
      <c r="T344" s="89">
        <f>IF(G344="","",ABS(O344-Components!$C$6))</f>
        <v>1.6243333333333294</v>
      </c>
      <c r="U344" s="89">
        <f>IF(G344="","",ABS(O344-Components!$C$7))</f>
        <v>1.4056666666666693</v>
      </c>
      <c r="V344" s="89" t="str">
        <f>IF(G344="","",IF(M344="OK","NONE",INDEX({"S1","S2","W1","W2","N1","N2"},MATCH(MIN(P344:U344),P344:U344,0))))</f>
        <v>S1</v>
      </c>
      <c r="W344" s="139">
        <f t="shared" si="47"/>
        <v>1</v>
      </c>
      <c r="X344" s="125"/>
    </row>
    <row r="345" spans="1:24" ht="15.75">
      <c r="A345" s="115">
        <v>331</v>
      </c>
      <c r="B345" s="135">
        <f>'Runs Z-Score'!B333</f>
        <v>12</v>
      </c>
      <c r="C345" s="89" t="str">
        <f>'Runs Z-Score'!C333</f>
        <v>R6</v>
      </c>
      <c r="D345" s="89" t="str">
        <f>'Runs Z-Score'!D333</f>
        <v>NG</v>
      </c>
      <c r="E345" s="89" t="str">
        <f>'Runs Z-Score'!E333</f>
        <v>W1</v>
      </c>
      <c r="F345" s="89">
        <f>'Runs Z-Score'!F333</f>
        <v>7.6</v>
      </c>
      <c r="G345" s="89">
        <f t="shared" si="40"/>
        <v>8.57</v>
      </c>
      <c r="H345" s="89">
        <v>9.61</v>
      </c>
      <c r="I345" s="89">
        <f>VLOOKUP(C345,Recipes!$A$2:$N$4,12,FALSE())</f>
        <v>6.1509461004819709E-2</v>
      </c>
      <c r="J345" s="89">
        <f t="shared" si="42"/>
        <v>285.87938278693798</v>
      </c>
      <c r="K345" s="89">
        <f t="shared" si="43"/>
        <v>285.81271612027132</v>
      </c>
      <c r="L345" s="89">
        <f t="shared" si="44"/>
        <v>16.905996454520842</v>
      </c>
      <c r="M345" s="89" t="str">
        <f t="shared" si="45"/>
        <v>NG</v>
      </c>
      <c r="N345" s="117">
        <f t="shared" si="46"/>
        <v>1</v>
      </c>
      <c r="O345" s="89">
        <f t="shared" si="41"/>
        <v>1.0399999999999991</v>
      </c>
      <c r="P345" s="89">
        <f>IF(G345="","",ABS(O345-Components!$C$2))</f>
        <v>1.7133333333333307</v>
      </c>
      <c r="Q345" s="89">
        <f>IF(G345="","",ABS(O345-Components!$C$3))</f>
        <v>2.9960000000000004</v>
      </c>
      <c r="R345" s="89">
        <f>IF(G345="","",ABS(O345-Components!$C$4))</f>
        <v>4.666666666666619E-2</v>
      </c>
      <c r="S345" s="89">
        <f>IF(G345="","",ABS(O345-Components!$C$5))</f>
        <v>3.5226666666666713</v>
      </c>
      <c r="T345" s="89">
        <f>IF(G345="","",ABS(O345-Components!$C$6))</f>
        <v>0.1156666666666708</v>
      </c>
      <c r="U345" s="89">
        <f>IF(G345="","",ABS(O345-Components!$C$7))</f>
        <v>0.33433333333333093</v>
      </c>
      <c r="V345" s="89" t="str">
        <f>IF(G345="","",IF(M345="OK","NONE",INDEX({"S1","S2","W1","W2","N1","N2"},MATCH(MIN(P345:U345),P345:U345,0))))</f>
        <v>W1</v>
      </c>
      <c r="W345" s="139">
        <f t="shared" si="47"/>
        <v>1</v>
      </c>
      <c r="X345" s="125"/>
    </row>
    <row r="346" spans="1:24" ht="15.75">
      <c r="A346" s="115">
        <v>332</v>
      </c>
      <c r="B346" s="135">
        <f>'Runs Z-Score'!B334</f>
        <v>12</v>
      </c>
      <c r="C346" s="89" t="str">
        <f>'Runs Z-Score'!C334</f>
        <v>R6</v>
      </c>
      <c r="D346" s="89" t="str">
        <f>'Runs Z-Score'!D334</f>
        <v>NG</v>
      </c>
      <c r="E346" s="89" t="str">
        <f>'Runs Z-Score'!E334</f>
        <v>W1</v>
      </c>
      <c r="F346" s="89">
        <f>'Runs Z-Score'!F334</f>
        <v>7.68</v>
      </c>
      <c r="G346" s="89">
        <f t="shared" si="40"/>
        <v>8.65</v>
      </c>
      <c r="H346" s="89">
        <v>9.61</v>
      </c>
      <c r="I346" s="89">
        <f>VLOOKUP(C346,Recipes!$A$2:$N$4,12,FALSE())</f>
        <v>6.1509461004819709E-2</v>
      </c>
      <c r="J346" s="89">
        <f t="shared" si="42"/>
        <v>243.58953326224295</v>
      </c>
      <c r="K346" s="89">
        <f t="shared" si="43"/>
        <v>243.52286659557629</v>
      </c>
      <c r="L346" s="89">
        <f t="shared" si="44"/>
        <v>15.605219210109682</v>
      </c>
      <c r="M346" s="89" t="str">
        <f t="shared" si="45"/>
        <v>NG</v>
      </c>
      <c r="N346" s="117">
        <f t="shared" si="46"/>
        <v>1</v>
      </c>
      <c r="O346" s="89">
        <f t="shared" si="41"/>
        <v>0.95999999999999908</v>
      </c>
      <c r="P346" s="89">
        <f>IF(G346="","",ABS(O346-Components!$C$2))</f>
        <v>1.7933333333333308</v>
      </c>
      <c r="Q346" s="89">
        <f>IF(G346="","",ABS(O346-Components!$C$3))</f>
        <v>3.0760000000000005</v>
      </c>
      <c r="R346" s="89">
        <f>IF(G346="","",ABS(O346-Components!$C$4))</f>
        <v>3.3333333333333881E-2</v>
      </c>
      <c r="S346" s="89">
        <f>IF(G346="","",ABS(O346-Components!$C$5))</f>
        <v>3.6026666666666713</v>
      </c>
      <c r="T346" s="89">
        <f>IF(G346="","",ABS(O346-Components!$C$6))</f>
        <v>0.19566666666667087</v>
      </c>
      <c r="U346" s="89">
        <f>IF(G346="","",ABS(O346-Components!$C$7))</f>
        <v>0.414333333333331</v>
      </c>
      <c r="V346" s="89" t="str">
        <f>IF(G346="","",IF(M346="OK","NONE",INDEX({"S1","S2","W1","W2","N1","N2"},MATCH(MIN(P346:U346),P346:U346,0))))</f>
        <v>W1</v>
      </c>
      <c r="W346" s="139">
        <f t="shared" si="47"/>
        <v>1</v>
      </c>
      <c r="X346" s="125"/>
    </row>
    <row r="347" spans="1:24" ht="15.75">
      <c r="A347" s="115">
        <v>333</v>
      </c>
      <c r="B347" s="135">
        <f>'Runs Z-Score'!B335</f>
        <v>12</v>
      </c>
      <c r="C347" s="89" t="str">
        <f>'Runs Z-Score'!C335</f>
        <v>R6</v>
      </c>
      <c r="D347" s="89" t="str">
        <f>'Runs Z-Score'!D335</f>
        <v>NG</v>
      </c>
      <c r="E347" s="89" t="str">
        <f>'Runs Z-Score'!E335</f>
        <v>W1</v>
      </c>
      <c r="F347" s="89">
        <f>'Runs Z-Score'!F335</f>
        <v>7.4</v>
      </c>
      <c r="G347" s="89">
        <f t="shared" si="40"/>
        <v>8.370000000000001</v>
      </c>
      <c r="H347" s="89">
        <v>9.61</v>
      </c>
      <c r="I347" s="89">
        <f>VLOOKUP(C347,Recipes!$A$2:$N$4,12,FALSE())</f>
        <v>6.1509461004819709E-2</v>
      </c>
      <c r="J347" s="89">
        <f t="shared" si="42"/>
        <v>406.40545393231821</v>
      </c>
      <c r="K347" s="89">
        <f t="shared" si="43"/>
        <v>406.33878726565155</v>
      </c>
      <c r="L347" s="89">
        <f t="shared" si="44"/>
        <v>20.157846791402388</v>
      </c>
      <c r="M347" s="89" t="str">
        <f t="shared" si="45"/>
        <v>NG</v>
      </c>
      <c r="N347" s="117">
        <f t="shared" si="46"/>
        <v>1</v>
      </c>
      <c r="O347" s="89">
        <f t="shared" si="41"/>
        <v>1.2399999999999984</v>
      </c>
      <c r="P347" s="89">
        <f>IF(G347="","",ABS(O347-Components!$C$2))</f>
        <v>1.5133333333333314</v>
      </c>
      <c r="Q347" s="89">
        <f>IF(G347="","",ABS(O347-Components!$C$3))</f>
        <v>2.7960000000000012</v>
      </c>
      <c r="R347" s="89">
        <f>IF(G347="","",ABS(O347-Components!$C$4))</f>
        <v>0.24666666666666548</v>
      </c>
      <c r="S347" s="89">
        <f>IF(G347="","",ABS(O347-Components!$C$5))</f>
        <v>3.322666666666672</v>
      </c>
      <c r="T347" s="89">
        <f>IF(G347="","",ABS(O347-Components!$C$6))</f>
        <v>8.4333333333328486E-2</v>
      </c>
      <c r="U347" s="89">
        <f>IF(G347="","",ABS(O347-Components!$C$7))</f>
        <v>0.13433333333333164</v>
      </c>
      <c r="V347" s="89" t="str">
        <f>IF(G347="","",IF(M347="OK","NONE",INDEX({"S1","S2","W1","W2","N1","N2"},MATCH(MIN(P347:U347),P347:U347,0))))</f>
        <v>N1</v>
      </c>
      <c r="W347" s="140">
        <f t="shared" si="47"/>
        <v>0</v>
      </c>
      <c r="X347" s="125"/>
    </row>
    <row r="348" spans="1:24" ht="15.75">
      <c r="A348" s="115">
        <v>334</v>
      </c>
      <c r="B348" s="135">
        <f>'Runs Z-Score'!B336</f>
        <v>12</v>
      </c>
      <c r="C348" s="89" t="str">
        <f>'Runs Z-Score'!C336</f>
        <v>R6</v>
      </c>
      <c r="D348" s="89" t="str">
        <f>'Runs Z-Score'!D336</f>
        <v>NG</v>
      </c>
      <c r="E348" s="89" t="str">
        <f>'Runs Z-Score'!E336</f>
        <v>W1</v>
      </c>
      <c r="F348" s="89">
        <f>'Runs Z-Score'!F336</f>
        <v>7.59</v>
      </c>
      <c r="G348" s="89">
        <f t="shared" si="40"/>
        <v>8.56</v>
      </c>
      <c r="H348" s="89">
        <v>9.61</v>
      </c>
      <c r="I348" s="89">
        <f>VLOOKUP(C348,Recipes!$A$2:$N$4,12,FALSE())</f>
        <v>6.1509461004819709E-2</v>
      </c>
      <c r="J348" s="89">
        <f t="shared" si="42"/>
        <v>291.40349438110121</v>
      </c>
      <c r="K348" s="89">
        <f t="shared" si="43"/>
        <v>291.33682771443455</v>
      </c>
      <c r="L348" s="89">
        <f t="shared" si="44"/>
        <v>17.068591849195837</v>
      </c>
      <c r="M348" s="89" t="str">
        <f t="shared" si="45"/>
        <v>NG</v>
      </c>
      <c r="N348" s="117">
        <f t="shared" si="46"/>
        <v>1</v>
      </c>
      <c r="O348" s="89">
        <f t="shared" si="41"/>
        <v>1.0499999999999989</v>
      </c>
      <c r="P348" s="89">
        <f>IF(G348="","",ABS(O348-Components!$C$2))</f>
        <v>1.7033333333333309</v>
      </c>
      <c r="Q348" s="89">
        <f>IF(G348="","",ABS(O348-Components!$C$3))</f>
        <v>2.9860000000000007</v>
      </c>
      <c r="R348" s="89">
        <f>IF(G348="","",ABS(O348-Components!$C$4))</f>
        <v>5.6666666666665977E-2</v>
      </c>
      <c r="S348" s="89">
        <f>IF(G348="","",ABS(O348-Components!$C$5))</f>
        <v>3.5126666666666715</v>
      </c>
      <c r="T348" s="89">
        <f>IF(G348="","",ABS(O348-Components!$C$6))</f>
        <v>0.10566666666667102</v>
      </c>
      <c r="U348" s="89">
        <f>IF(G348="","",ABS(O348-Components!$C$7))</f>
        <v>0.32433333333333114</v>
      </c>
      <c r="V348" s="89" t="str">
        <f>IF(G348="","",IF(M348="OK","NONE",INDEX({"S1","S2","W1","W2","N1","N2"},MATCH(MIN(P348:U348),P348:U348,0))))</f>
        <v>W1</v>
      </c>
      <c r="W348" s="139">
        <f t="shared" si="47"/>
        <v>1</v>
      </c>
      <c r="X348" s="125"/>
    </row>
    <row r="349" spans="1:24" ht="15.75">
      <c r="A349" s="115">
        <v>335</v>
      </c>
      <c r="B349" s="135">
        <f>'Runs Z-Score'!B337</f>
        <v>12</v>
      </c>
      <c r="C349" s="89" t="str">
        <f>'Runs Z-Score'!C337</f>
        <v>R6</v>
      </c>
      <c r="D349" s="89" t="str">
        <f>'Runs Z-Score'!D337</f>
        <v>NG</v>
      </c>
      <c r="E349" s="89" t="str">
        <f>'Runs Z-Score'!E337</f>
        <v>W1</v>
      </c>
      <c r="F349" s="89">
        <f>'Runs Z-Score'!F337</f>
        <v>7.53</v>
      </c>
      <c r="G349" s="89">
        <f t="shared" si="40"/>
        <v>8.5</v>
      </c>
      <c r="H349" s="89">
        <v>9.61</v>
      </c>
      <c r="I349" s="89">
        <f>VLOOKUP(C349,Recipes!$A$2:$N$4,12,FALSE())</f>
        <v>6.1509461004819709E-2</v>
      </c>
      <c r="J349" s="89">
        <f t="shared" si="42"/>
        <v>325.65827249610442</v>
      </c>
      <c r="K349" s="89">
        <f t="shared" si="43"/>
        <v>325.59160582943775</v>
      </c>
      <c r="L349" s="89">
        <f t="shared" si="44"/>
        <v>18.044157110528541</v>
      </c>
      <c r="M349" s="89" t="str">
        <f t="shared" si="45"/>
        <v>NG</v>
      </c>
      <c r="N349" s="117">
        <f t="shared" si="46"/>
        <v>1</v>
      </c>
      <c r="O349" s="89">
        <f t="shared" si="41"/>
        <v>1.1099999999999994</v>
      </c>
      <c r="P349" s="89">
        <f>IF(G349="","",ABS(O349-Components!$C$2))</f>
        <v>1.6433333333333304</v>
      </c>
      <c r="Q349" s="89">
        <f>IF(G349="","",ABS(O349-Components!$C$3))</f>
        <v>2.9260000000000002</v>
      </c>
      <c r="R349" s="89">
        <f>IF(G349="","",ABS(O349-Components!$C$4))</f>
        <v>0.11666666666666647</v>
      </c>
      <c r="S349" s="89">
        <f>IF(G349="","",ABS(O349-Components!$C$5))</f>
        <v>3.452666666666671</v>
      </c>
      <c r="T349" s="89">
        <f>IF(G349="","",ABS(O349-Components!$C$6))</f>
        <v>4.5666666666670519E-2</v>
      </c>
      <c r="U349" s="89">
        <f>IF(G349="","",ABS(O349-Components!$C$7))</f>
        <v>0.26433333333333064</v>
      </c>
      <c r="V349" s="89" t="str">
        <f>IF(G349="","",IF(M349="OK","NONE",INDEX({"S1","S2","W1","W2","N1","N2"},MATCH(MIN(P349:U349),P349:U349,0))))</f>
        <v>N1</v>
      </c>
      <c r="W349" s="140">
        <f t="shared" si="47"/>
        <v>0</v>
      </c>
      <c r="X349" s="125"/>
    </row>
    <row r="350" spans="1:24" ht="15.75">
      <c r="A350" s="115">
        <v>336</v>
      </c>
      <c r="B350" s="135">
        <f>'Runs Z-Score'!B338</f>
        <v>12</v>
      </c>
      <c r="C350" s="89" t="str">
        <f>'Runs Z-Score'!C338</f>
        <v>R6</v>
      </c>
      <c r="D350" s="89" t="str">
        <f>'Runs Z-Score'!D338</f>
        <v>NG</v>
      </c>
      <c r="E350" s="89" t="str">
        <f>'Runs Z-Score'!E338</f>
        <v>W1</v>
      </c>
      <c r="F350" s="89">
        <f>'Runs Z-Score'!F338</f>
        <v>7.53</v>
      </c>
      <c r="G350" s="89">
        <f t="shared" si="40"/>
        <v>8.5</v>
      </c>
      <c r="H350" s="89">
        <v>9.61</v>
      </c>
      <c r="I350" s="89">
        <f>VLOOKUP(C350,Recipes!$A$2:$N$4,12,FALSE())</f>
        <v>6.1509461004819709E-2</v>
      </c>
      <c r="J350" s="89">
        <f t="shared" si="42"/>
        <v>325.65827249610442</v>
      </c>
      <c r="K350" s="89">
        <f t="shared" si="43"/>
        <v>325.59160582943775</v>
      </c>
      <c r="L350" s="89">
        <f t="shared" si="44"/>
        <v>18.044157110528541</v>
      </c>
      <c r="M350" s="89" t="str">
        <f t="shared" si="45"/>
        <v>NG</v>
      </c>
      <c r="N350" s="117">
        <f t="shared" si="46"/>
        <v>1</v>
      </c>
      <c r="O350" s="89">
        <f t="shared" si="41"/>
        <v>1.1099999999999994</v>
      </c>
      <c r="P350" s="89">
        <f>IF(G350="","",ABS(O350-Components!$C$2))</f>
        <v>1.6433333333333304</v>
      </c>
      <c r="Q350" s="89">
        <f>IF(G350="","",ABS(O350-Components!$C$3))</f>
        <v>2.9260000000000002</v>
      </c>
      <c r="R350" s="89">
        <f>IF(G350="","",ABS(O350-Components!$C$4))</f>
        <v>0.11666666666666647</v>
      </c>
      <c r="S350" s="89">
        <f>IF(G350="","",ABS(O350-Components!$C$5))</f>
        <v>3.452666666666671</v>
      </c>
      <c r="T350" s="89">
        <f>IF(G350="","",ABS(O350-Components!$C$6))</f>
        <v>4.5666666666670519E-2</v>
      </c>
      <c r="U350" s="89">
        <f>IF(G350="","",ABS(O350-Components!$C$7))</f>
        <v>0.26433333333333064</v>
      </c>
      <c r="V350" s="89" t="str">
        <f>IF(G350="","",IF(M350="OK","NONE",INDEX({"S1","S2","W1","W2","N1","N2"},MATCH(MIN(P350:U350),P350:U350,0))))</f>
        <v>N1</v>
      </c>
      <c r="W350" s="140">
        <f t="shared" si="47"/>
        <v>0</v>
      </c>
      <c r="X350" s="125"/>
    </row>
    <row r="351" spans="1:24" ht="15.75">
      <c r="A351" s="115">
        <v>337</v>
      </c>
      <c r="B351" s="135">
        <f>'Runs Z-Score'!B339</f>
        <v>12</v>
      </c>
      <c r="C351" s="89" t="str">
        <f>'Runs Z-Score'!C339</f>
        <v>R6</v>
      </c>
      <c r="D351" s="89" t="str">
        <f>'Runs Z-Score'!D339</f>
        <v>NG</v>
      </c>
      <c r="E351" s="89" t="str">
        <f>'Runs Z-Score'!E339</f>
        <v>W1</v>
      </c>
      <c r="F351" s="89">
        <f>'Runs Z-Score'!F339</f>
        <v>7.63</v>
      </c>
      <c r="G351" s="89">
        <f t="shared" si="40"/>
        <v>8.6</v>
      </c>
      <c r="H351" s="89">
        <v>9.61</v>
      </c>
      <c r="I351" s="89">
        <f>VLOOKUP(C351,Recipes!$A$2:$N$4,12,FALSE())</f>
        <v>6.1509461004819709E-2</v>
      </c>
      <c r="J351" s="89">
        <f t="shared" si="42"/>
        <v>269.62422187588368</v>
      </c>
      <c r="K351" s="89">
        <f t="shared" si="43"/>
        <v>269.55755520921701</v>
      </c>
      <c r="L351" s="89">
        <f t="shared" si="44"/>
        <v>16.418208038918774</v>
      </c>
      <c r="M351" s="89" t="str">
        <f t="shared" si="45"/>
        <v>NG</v>
      </c>
      <c r="N351" s="117">
        <f t="shared" si="46"/>
        <v>1</v>
      </c>
      <c r="O351" s="89">
        <f t="shared" si="41"/>
        <v>1.0099999999999998</v>
      </c>
      <c r="P351" s="89">
        <f>IF(G351="","",ABS(O351-Components!$C$2))</f>
        <v>1.7433333333333301</v>
      </c>
      <c r="Q351" s="89">
        <f>IF(G351="","",ABS(O351-Components!$C$3))</f>
        <v>3.0259999999999998</v>
      </c>
      <c r="R351" s="89">
        <f>IF(G351="","",ABS(O351-Components!$C$4))</f>
        <v>1.6666666666666829E-2</v>
      </c>
      <c r="S351" s="89">
        <f>IF(G351="","",ABS(O351-Components!$C$5))</f>
        <v>3.5526666666666706</v>
      </c>
      <c r="T351" s="89">
        <f>IF(G351="","",ABS(O351-Components!$C$6))</f>
        <v>0.14566666666667016</v>
      </c>
      <c r="U351" s="89">
        <f>IF(G351="","",ABS(O351-Components!$C$7))</f>
        <v>0.36433333333333029</v>
      </c>
      <c r="V351" s="89" t="str">
        <f>IF(G351="","",IF(M351="OK","NONE",INDEX({"S1","S2","W1","W2","N1","N2"},MATCH(MIN(P351:U351),P351:U351,0))))</f>
        <v>W1</v>
      </c>
      <c r="W351" s="139">
        <f t="shared" si="47"/>
        <v>1</v>
      </c>
      <c r="X351" s="125"/>
    </row>
    <row r="352" spans="1:24" ht="15.75">
      <c r="A352" s="115">
        <v>338</v>
      </c>
      <c r="B352" s="135">
        <f>'Runs Z-Score'!B340</f>
        <v>12</v>
      </c>
      <c r="C352" s="89" t="str">
        <f>'Runs Z-Score'!C340</f>
        <v>R6</v>
      </c>
      <c r="D352" s="89" t="str">
        <f>'Runs Z-Score'!D340</f>
        <v>NG</v>
      </c>
      <c r="E352" s="89" t="str">
        <f>'Runs Z-Score'!E340</f>
        <v>W1</v>
      </c>
      <c r="F352" s="89">
        <f>'Runs Z-Score'!F340</f>
        <v>7.62</v>
      </c>
      <c r="G352" s="89">
        <f t="shared" si="40"/>
        <v>8.59</v>
      </c>
      <c r="H352" s="89">
        <v>9.61</v>
      </c>
      <c r="I352" s="89">
        <f>VLOOKUP(C352,Recipes!$A$2:$N$4,12,FALSE())</f>
        <v>6.1509461004819709E-2</v>
      </c>
      <c r="J352" s="89">
        <f t="shared" si="42"/>
        <v>274.98974653432919</v>
      </c>
      <c r="K352" s="89">
        <f t="shared" si="43"/>
        <v>274.92307986766252</v>
      </c>
      <c r="L352" s="89">
        <f t="shared" si="44"/>
        <v>16.58080456032404</v>
      </c>
      <c r="M352" s="89" t="str">
        <f t="shared" si="45"/>
        <v>NG</v>
      </c>
      <c r="N352" s="117">
        <f t="shared" si="46"/>
        <v>1</v>
      </c>
      <c r="O352" s="89">
        <f t="shared" si="41"/>
        <v>1.0199999999999996</v>
      </c>
      <c r="P352" s="89">
        <f>IF(G352="","",ABS(O352-Components!$C$2))</f>
        <v>1.7333333333333303</v>
      </c>
      <c r="Q352" s="89">
        <f>IF(G352="","",ABS(O352-Components!$C$3))</f>
        <v>3.016</v>
      </c>
      <c r="R352" s="89">
        <f>IF(G352="","",ABS(O352-Components!$C$4))</f>
        <v>2.6666666666666616E-2</v>
      </c>
      <c r="S352" s="89">
        <f>IF(G352="","",ABS(O352-Components!$C$5))</f>
        <v>3.5426666666666708</v>
      </c>
      <c r="T352" s="89">
        <f>IF(G352="","",ABS(O352-Components!$C$6))</f>
        <v>0.13566666666667038</v>
      </c>
      <c r="U352" s="89">
        <f>IF(G352="","",ABS(O352-Components!$C$7))</f>
        <v>0.3543333333333305</v>
      </c>
      <c r="V352" s="89" t="str">
        <f>IF(G352="","",IF(M352="OK","NONE",INDEX({"S1","S2","W1","W2","N1","N2"},MATCH(MIN(P352:U352),P352:U352,0))))</f>
        <v>W1</v>
      </c>
      <c r="W352" s="139">
        <f t="shared" si="47"/>
        <v>1</v>
      </c>
      <c r="X352" s="125"/>
    </row>
    <row r="353" spans="1:24" ht="15.75">
      <c r="A353" s="115">
        <v>339</v>
      </c>
      <c r="B353" s="135">
        <f>'Runs Z-Score'!B341</f>
        <v>12</v>
      </c>
      <c r="C353" s="89" t="str">
        <f>'Runs Z-Score'!C341</f>
        <v>R6</v>
      </c>
      <c r="D353" s="89" t="str">
        <f>'Runs Z-Score'!D341</f>
        <v>NG</v>
      </c>
      <c r="E353" s="89" t="str">
        <f>'Runs Z-Score'!E341</f>
        <v>W1</v>
      </c>
      <c r="F353" s="89">
        <f>'Runs Z-Score'!F341</f>
        <v>7.59</v>
      </c>
      <c r="G353" s="89">
        <f t="shared" si="40"/>
        <v>8.56</v>
      </c>
      <c r="H353" s="89">
        <v>9.61</v>
      </c>
      <c r="I353" s="89">
        <f>VLOOKUP(C353,Recipes!$A$2:$N$4,12,FALSE())</f>
        <v>6.1509461004819709E-2</v>
      </c>
      <c r="J353" s="89">
        <f t="shared" si="42"/>
        <v>291.40349438110121</v>
      </c>
      <c r="K353" s="89">
        <f t="shared" si="43"/>
        <v>291.33682771443455</v>
      </c>
      <c r="L353" s="89">
        <f t="shared" si="44"/>
        <v>17.068591849195837</v>
      </c>
      <c r="M353" s="89" t="str">
        <f t="shared" si="45"/>
        <v>NG</v>
      </c>
      <c r="N353" s="117">
        <f t="shared" si="46"/>
        <v>1</v>
      </c>
      <c r="O353" s="89">
        <f t="shared" si="41"/>
        <v>1.0499999999999989</v>
      </c>
      <c r="P353" s="89">
        <f>IF(G353="","",ABS(O353-Components!$C$2))</f>
        <v>1.7033333333333309</v>
      </c>
      <c r="Q353" s="89">
        <f>IF(G353="","",ABS(O353-Components!$C$3))</f>
        <v>2.9860000000000007</v>
      </c>
      <c r="R353" s="89">
        <f>IF(G353="","",ABS(O353-Components!$C$4))</f>
        <v>5.6666666666665977E-2</v>
      </c>
      <c r="S353" s="89">
        <f>IF(G353="","",ABS(O353-Components!$C$5))</f>
        <v>3.5126666666666715</v>
      </c>
      <c r="T353" s="89">
        <f>IF(G353="","",ABS(O353-Components!$C$6))</f>
        <v>0.10566666666667102</v>
      </c>
      <c r="U353" s="89">
        <f>IF(G353="","",ABS(O353-Components!$C$7))</f>
        <v>0.32433333333333114</v>
      </c>
      <c r="V353" s="89" t="str">
        <f>IF(G353="","",IF(M353="OK","NONE",INDEX({"S1","S2","W1","W2","N1","N2"},MATCH(MIN(P353:U353),P353:U353,0))))</f>
        <v>W1</v>
      </c>
      <c r="W353" s="139">
        <f t="shared" si="47"/>
        <v>1</v>
      </c>
      <c r="X353" s="125"/>
    </row>
    <row r="354" spans="1:24" ht="15.75">
      <c r="A354" s="115">
        <v>340</v>
      </c>
      <c r="B354" s="135">
        <f>'Runs Z-Score'!B342</f>
        <v>12</v>
      </c>
      <c r="C354" s="89" t="str">
        <f>'Runs Z-Score'!C342</f>
        <v>R6</v>
      </c>
      <c r="D354" s="89" t="str">
        <f>'Runs Z-Score'!D342</f>
        <v>NG</v>
      </c>
      <c r="E354" s="89" t="str">
        <f>'Runs Z-Score'!E342</f>
        <v>W1</v>
      </c>
      <c r="F354" s="89">
        <f>'Runs Z-Score'!F342</f>
        <v>7.64</v>
      </c>
      <c r="G354" s="89">
        <f t="shared" si="40"/>
        <v>8.61</v>
      </c>
      <c r="H354" s="89">
        <v>9.61</v>
      </c>
      <c r="I354" s="89">
        <f>VLOOKUP(C354,Recipes!$A$2:$N$4,12,FALSE())</f>
        <v>6.1509461004819709E-2</v>
      </c>
      <c r="J354" s="89">
        <f t="shared" si="42"/>
        <v>264.31155952934398</v>
      </c>
      <c r="K354" s="89">
        <f t="shared" si="43"/>
        <v>264.24489286267732</v>
      </c>
      <c r="L354" s="89">
        <f t="shared" si="44"/>
        <v>16.255611119323607</v>
      </c>
      <c r="M354" s="89" t="str">
        <f t="shared" si="45"/>
        <v>NG</v>
      </c>
      <c r="N354" s="117">
        <f t="shared" si="46"/>
        <v>1</v>
      </c>
      <c r="O354" s="89">
        <f t="shared" si="41"/>
        <v>1</v>
      </c>
      <c r="P354" s="89">
        <f>IF(G354="","",ABS(O354-Components!$C$2))</f>
        <v>1.7533333333333299</v>
      </c>
      <c r="Q354" s="89">
        <f>IF(G354="","",ABS(O354-Components!$C$3))</f>
        <v>3.0359999999999996</v>
      </c>
      <c r="R354" s="89">
        <f>IF(G354="","",ABS(O354-Components!$C$4))</f>
        <v>6.6666666666670427E-3</v>
      </c>
      <c r="S354" s="89">
        <f>IF(G354="","",ABS(O354-Components!$C$5))</f>
        <v>3.5626666666666704</v>
      </c>
      <c r="T354" s="89">
        <f>IF(G354="","",ABS(O354-Components!$C$6))</f>
        <v>0.15566666666666995</v>
      </c>
      <c r="U354" s="89">
        <f>IF(G354="","",ABS(O354-Components!$C$7))</f>
        <v>0.37433333333333008</v>
      </c>
      <c r="V354" s="89" t="str">
        <f>IF(G354="","",IF(M354="OK","NONE",INDEX({"S1","S2","W1","W2","N1","N2"},MATCH(MIN(P354:U354),P354:U354,0))))</f>
        <v>W1</v>
      </c>
      <c r="W354" s="139">
        <f t="shared" si="47"/>
        <v>1</v>
      </c>
      <c r="X354" s="125"/>
    </row>
    <row r="355" spans="1:24" ht="15.75">
      <c r="A355" s="115">
        <v>341</v>
      </c>
      <c r="B355" s="135">
        <f>'Runs Z-Score'!B343</f>
        <v>12</v>
      </c>
      <c r="C355" s="89" t="str">
        <f>'Runs Z-Score'!C343</f>
        <v>R6</v>
      </c>
      <c r="D355" s="89" t="str">
        <f>'Runs Z-Score'!D343</f>
        <v>NG</v>
      </c>
      <c r="E355" s="89" t="str">
        <f>'Runs Z-Score'!E343</f>
        <v>W1</v>
      </c>
      <c r="F355" s="89">
        <f>'Runs Z-Score'!F343</f>
        <v>7.65</v>
      </c>
      <c r="G355" s="89">
        <f t="shared" si="40"/>
        <v>8.620000000000001</v>
      </c>
      <c r="H355" s="89">
        <v>9.61</v>
      </c>
      <c r="I355" s="89">
        <f>VLOOKUP(C355,Recipes!$A$2:$N$4,12,FALSE())</f>
        <v>6.1509461004819709E-2</v>
      </c>
      <c r="J355" s="89">
        <f t="shared" si="42"/>
        <v>259.05175949470919</v>
      </c>
      <c r="K355" s="89">
        <f t="shared" si="43"/>
        <v>258.98509282804253</v>
      </c>
      <c r="L355" s="89">
        <f t="shared" si="44"/>
        <v>16.093013789469097</v>
      </c>
      <c r="M355" s="89" t="str">
        <f t="shared" si="45"/>
        <v>NG</v>
      </c>
      <c r="N355" s="117">
        <f t="shared" si="46"/>
        <v>1</v>
      </c>
      <c r="O355" s="89">
        <f t="shared" si="41"/>
        <v>0.98999999999999844</v>
      </c>
      <c r="P355" s="89">
        <f>IF(G355="","",ABS(O355-Components!$C$2))</f>
        <v>1.7633333333333314</v>
      </c>
      <c r="Q355" s="89">
        <f>IF(G355="","",ABS(O355-Components!$C$3))</f>
        <v>3.0460000000000012</v>
      </c>
      <c r="R355" s="89">
        <f>IF(G355="","",ABS(O355-Components!$C$4))</f>
        <v>3.3333333333345205E-3</v>
      </c>
      <c r="S355" s="89">
        <f>IF(G355="","",ABS(O355-Components!$C$5))</f>
        <v>3.572666666666672</v>
      </c>
      <c r="T355" s="89">
        <f>IF(G355="","",ABS(O355-Components!$C$6))</f>
        <v>0.16566666666667151</v>
      </c>
      <c r="U355" s="89">
        <f>IF(G355="","",ABS(O355-Components!$C$7))</f>
        <v>0.38433333333333164</v>
      </c>
      <c r="V355" s="89" t="str">
        <f>IF(G355="","",IF(M355="OK","NONE",INDEX({"S1","S2","W1","W2","N1","N2"},MATCH(MIN(P355:U355),P355:U355,0))))</f>
        <v>W1</v>
      </c>
      <c r="W355" s="139">
        <f t="shared" si="47"/>
        <v>1</v>
      </c>
      <c r="X355" s="125"/>
    </row>
    <row r="356" spans="1:24" ht="15.75">
      <c r="A356" s="115">
        <v>342</v>
      </c>
      <c r="B356" s="135">
        <f>'Runs Z-Score'!B344</f>
        <v>12</v>
      </c>
      <c r="C356" s="89" t="str">
        <f>'Runs Z-Score'!C344</f>
        <v>R6</v>
      </c>
      <c r="D356" s="89" t="str">
        <f>'Runs Z-Score'!D344</f>
        <v>NG</v>
      </c>
      <c r="E356" s="89" t="str">
        <f>'Runs Z-Score'!E344</f>
        <v>W1</v>
      </c>
      <c r="F356" s="89">
        <f>'Runs Z-Score'!F344</f>
        <v>7.6</v>
      </c>
      <c r="G356" s="89">
        <f t="shared" si="40"/>
        <v>8.57</v>
      </c>
      <c r="H356" s="89">
        <v>9.61</v>
      </c>
      <c r="I356" s="89">
        <f>VLOOKUP(C356,Recipes!$A$2:$N$4,12,FALSE())</f>
        <v>6.1509461004819709E-2</v>
      </c>
      <c r="J356" s="89">
        <f t="shared" si="42"/>
        <v>285.87938278693798</v>
      </c>
      <c r="K356" s="89">
        <f t="shared" si="43"/>
        <v>285.81271612027132</v>
      </c>
      <c r="L356" s="89">
        <f t="shared" si="44"/>
        <v>16.905996454520842</v>
      </c>
      <c r="M356" s="89" t="str">
        <f t="shared" si="45"/>
        <v>NG</v>
      </c>
      <c r="N356" s="117">
        <f t="shared" si="46"/>
        <v>1</v>
      </c>
      <c r="O356" s="89">
        <f t="shared" si="41"/>
        <v>1.0399999999999991</v>
      </c>
      <c r="P356" s="89">
        <f>IF(G356="","",ABS(O356-Components!$C$2))</f>
        <v>1.7133333333333307</v>
      </c>
      <c r="Q356" s="89">
        <f>IF(G356="","",ABS(O356-Components!$C$3))</f>
        <v>2.9960000000000004</v>
      </c>
      <c r="R356" s="89">
        <f>IF(G356="","",ABS(O356-Components!$C$4))</f>
        <v>4.666666666666619E-2</v>
      </c>
      <c r="S356" s="89">
        <f>IF(G356="","",ABS(O356-Components!$C$5))</f>
        <v>3.5226666666666713</v>
      </c>
      <c r="T356" s="89">
        <f>IF(G356="","",ABS(O356-Components!$C$6))</f>
        <v>0.1156666666666708</v>
      </c>
      <c r="U356" s="89">
        <f>IF(G356="","",ABS(O356-Components!$C$7))</f>
        <v>0.33433333333333093</v>
      </c>
      <c r="V356" s="89" t="str">
        <f>IF(G356="","",IF(M356="OK","NONE",INDEX({"S1","S2","W1","W2","N1","N2"},MATCH(MIN(P356:U356),P356:U356,0))))</f>
        <v>W1</v>
      </c>
      <c r="W356" s="139">
        <f t="shared" si="47"/>
        <v>1</v>
      </c>
      <c r="X356" s="125"/>
    </row>
    <row r="357" spans="1:24" ht="15.75">
      <c r="A357" s="115">
        <v>343</v>
      </c>
      <c r="B357" s="135">
        <f>'Runs Z-Score'!B345</f>
        <v>12</v>
      </c>
      <c r="C357" s="89" t="str">
        <f>'Runs Z-Score'!C345</f>
        <v>R6</v>
      </c>
      <c r="D357" s="89" t="str">
        <f>'Runs Z-Score'!D345</f>
        <v>NG</v>
      </c>
      <c r="E357" s="89" t="str">
        <f>'Runs Z-Score'!E345</f>
        <v>W1</v>
      </c>
      <c r="F357" s="89">
        <f>'Runs Z-Score'!F345</f>
        <v>7.6</v>
      </c>
      <c r="G357" s="89">
        <f t="shared" si="40"/>
        <v>8.57</v>
      </c>
      <c r="H357" s="89">
        <v>9.61</v>
      </c>
      <c r="I357" s="89">
        <f>VLOOKUP(C357,Recipes!$A$2:$N$4,12,FALSE())</f>
        <v>6.1509461004819709E-2</v>
      </c>
      <c r="J357" s="89">
        <f t="shared" si="42"/>
        <v>285.87938278693798</v>
      </c>
      <c r="K357" s="89">
        <f t="shared" si="43"/>
        <v>285.81271612027132</v>
      </c>
      <c r="L357" s="89">
        <f t="shared" si="44"/>
        <v>16.905996454520842</v>
      </c>
      <c r="M357" s="89" t="str">
        <f t="shared" si="45"/>
        <v>NG</v>
      </c>
      <c r="N357" s="117">
        <f t="shared" si="46"/>
        <v>1</v>
      </c>
      <c r="O357" s="89">
        <f t="shared" si="41"/>
        <v>1.0399999999999991</v>
      </c>
      <c r="P357" s="89">
        <f>IF(G357="","",ABS(O357-Components!$C$2))</f>
        <v>1.7133333333333307</v>
      </c>
      <c r="Q357" s="89">
        <f>IF(G357="","",ABS(O357-Components!$C$3))</f>
        <v>2.9960000000000004</v>
      </c>
      <c r="R357" s="89">
        <f>IF(G357="","",ABS(O357-Components!$C$4))</f>
        <v>4.666666666666619E-2</v>
      </c>
      <c r="S357" s="89">
        <f>IF(G357="","",ABS(O357-Components!$C$5))</f>
        <v>3.5226666666666713</v>
      </c>
      <c r="T357" s="89">
        <f>IF(G357="","",ABS(O357-Components!$C$6))</f>
        <v>0.1156666666666708</v>
      </c>
      <c r="U357" s="89">
        <f>IF(G357="","",ABS(O357-Components!$C$7))</f>
        <v>0.33433333333333093</v>
      </c>
      <c r="V357" s="89" t="str">
        <f>IF(G357="","",IF(M357="OK","NONE",INDEX({"S1","S2","W1","W2","N1","N2"},MATCH(MIN(P357:U357),P357:U357,0))))</f>
        <v>W1</v>
      </c>
      <c r="W357" s="139">
        <f t="shared" si="47"/>
        <v>1</v>
      </c>
      <c r="X357" s="125"/>
    </row>
    <row r="358" spans="1:24" ht="15.75">
      <c r="A358" s="115">
        <v>344</v>
      </c>
      <c r="B358" s="135">
        <f>'Runs Z-Score'!B346</f>
        <v>12</v>
      </c>
      <c r="C358" s="89" t="str">
        <f>'Runs Z-Score'!C346</f>
        <v>R6</v>
      </c>
      <c r="D358" s="89" t="str">
        <f>'Runs Z-Score'!D346</f>
        <v>NG</v>
      </c>
      <c r="E358" s="89" t="str">
        <f>'Runs Z-Score'!E346</f>
        <v>W1</v>
      </c>
      <c r="F358" s="89">
        <f>'Runs Z-Score'!F346</f>
        <v>7.59</v>
      </c>
      <c r="G358" s="89">
        <f t="shared" si="40"/>
        <v>8.56</v>
      </c>
      <c r="H358" s="89">
        <v>9.61</v>
      </c>
      <c r="I358" s="89">
        <f>VLOOKUP(C358,Recipes!$A$2:$N$4,12,FALSE())</f>
        <v>6.1509461004819709E-2</v>
      </c>
      <c r="J358" s="89">
        <f t="shared" si="42"/>
        <v>291.40349438110121</v>
      </c>
      <c r="K358" s="89">
        <f t="shared" si="43"/>
        <v>291.33682771443455</v>
      </c>
      <c r="L358" s="89">
        <f t="shared" si="44"/>
        <v>17.068591849195837</v>
      </c>
      <c r="M358" s="89" t="str">
        <f t="shared" si="45"/>
        <v>NG</v>
      </c>
      <c r="N358" s="117">
        <f t="shared" si="46"/>
        <v>1</v>
      </c>
      <c r="O358" s="89">
        <f t="shared" si="41"/>
        <v>1.0499999999999989</v>
      </c>
      <c r="P358" s="89">
        <f>IF(G358="","",ABS(O358-Components!$C$2))</f>
        <v>1.7033333333333309</v>
      </c>
      <c r="Q358" s="89">
        <f>IF(G358="","",ABS(O358-Components!$C$3))</f>
        <v>2.9860000000000007</v>
      </c>
      <c r="R358" s="89">
        <f>IF(G358="","",ABS(O358-Components!$C$4))</f>
        <v>5.6666666666665977E-2</v>
      </c>
      <c r="S358" s="89">
        <f>IF(G358="","",ABS(O358-Components!$C$5))</f>
        <v>3.5126666666666715</v>
      </c>
      <c r="T358" s="89">
        <f>IF(G358="","",ABS(O358-Components!$C$6))</f>
        <v>0.10566666666667102</v>
      </c>
      <c r="U358" s="89">
        <f>IF(G358="","",ABS(O358-Components!$C$7))</f>
        <v>0.32433333333333114</v>
      </c>
      <c r="V358" s="89" t="str">
        <f>IF(G358="","",IF(M358="OK","NONE",INDEX({"S1","S2","W1","W2","N1","N2"},MATCH(MIN(P358:U358),P358:U358,0))))</f>
        <v>W1</v>
      </c>
      <c r="W358" s="139">
        <f t="shared" si="47"/>
        <v>1</v>
      </c>
      <c r="X358" s="125"/>
    </row>
    <row r="359" spans="1:24" ht="15.75">
      <c r="A359" s="115">
        <v>345</v>
      </c>
      <c r="B359" s="135">
        <f>'Runs Z-Score'!B347</f>
        <v>12</v>
      </c>
      <c r="C359" s="89" t="str">
        <f>'Runs Z-Score'!C347</f>
        <v>R6</v>
      </c>
      <c r="D359" s="89" t="str">
        <f>'Runs Z-Score'!D347</f>
        <v>NG</v>
      </c>
      <c r="E359" s="89" t="str">
        <f>'Runs Z-Score'!E347</f>
        <v>W1</v>
      </c>
      <c r="F359" s="89">
        <f>'Runs Z-Score'!F347</f>
        <v>7.63</v>
      </c>
      <c r="G359" s="89">
        <f t="shared" si="40"/>
        <v>8.6</v>
      </c>
      <c r="H359" s="89">
        <v>9.61</v>
      </c>
      <c r="I359" s="89">
        <f>VLOOKUP(C359,Recipes!$A$2:$N$4,12,FALSE())</f>
        <v>6.1509461004819709E-2</v>
      </c>
      <c r="J359" s="89">
        <f t="shared" si="42"/>
        <v>269.62422187588368</v>
      </c>
      <c r="K359" s="89">
        <f t="shared" si="43"/>
        <v>269.55755520921701</v>
      </c>
      <c r="L359" s="89">
        <f t="shared" si="44"/>
        <v>16.418208038918774</v>
      </c>
      <c r="M359" s="89" t="str">
        <f t="shared" si="45"/>
        <v>NG</v>
      </c>
      <c r="N359" s="117">
        <f t="shared" si="46"/>
        <v>1</v>
      </c>
      <c r="O359" s="89">
        <f t="shared" si="41"/>
        <v>1.0099999999999998</v>
      </c>
      <c r="P359" s="89">
        <f>IF(G359="","",ABS(O359-Components!$C$2))</f>
        <v>1.7433333333333301</v>
      </c>
      <c r="Q359" s="89">
        <f>IF(G359="","",ABS(O359-Components!$C$3))</f>
        <v>3.0259999999999998</v>
      </c>
      <c r="R359" s="89">
        <f>IF(G359="","",ABS(O359-Components!$C$4))</f>
        <v>1.6666666666666829E-2</v>
      </c>
      <c r="S359" s="89">
        <f>IF(G359="","",ABS(O359-Components!$C$5))</f>
        <v>3.5526666666666706</v>
      </c>
      <c r="T359" s="89">
        <f>IF(G359="","",ABS(O359-Components!$C$6))</f>
        <v>0.14566666666667016</v>
      </c>
      <c r="U359" s="89">
        <f>IF(G359="","",ABS(O359-Components!$C$7))</f>
        <v>0.36433333333333029</v>
      </c>
      <c r="V359" s="89" t="str">
        <f>IF(G359="","",IF(M359="OK","NONE",INDEX({"S1","S2","W1","W2","N1","N2"},MATCH(MIN(P359:U359),P359:U359,0))))</f>
        <v>W1</v>
      </c>
      <c r="W359" s="139">
        <f t="shared" si="47"/>
        <v>1</v>
      </c>
      <c r="X359" s="125"/>
    </row>
    <row r="360" spans="1:24" ht="15.75">
      <c r="A360" s="115">
        <v>346</v>
      </c>
      <c r="B360" s="135">
        <f>'Runs Z-Score'!B348</f>
        <v>12</v>
      </c>
      <c r="C360" s="89" t="str">
        <f>'Runs Z-Score'!C348</f>
        <v>R6</v>
      </c>
      <c r="D360" s="89" t="str">
        <f>'Runs Z-Score'!D348</f>
        <v>NG</v>
      </c>
      <c r="E360" s="89" t="str">
        <f>'Runs Z-Score'!E348</f>
        <v>W1</v>
      </c>
      <c r="F360" s="89">
        <f>'Runs Z-Score'!F348</f>
        <v>7.6</v>
      </c>
      <c r="G360" s="89">
        <f t="shared" si="40"/>
        <v>8.57</v>
      </c>
      <c r="H360" s="89">
        <v>9.61</v>
      </c>
      <c r="I360" s="89">
        <f>VLOOKUP(C360,Recipes!$A$2:$N$4,12,FALSE())</f>
        <v>6.1509461004819709E-2</v>
      </c>
      <c r="J360" s="89">
        <f t="shared" si="42"/>
        <v>285.87938278693798</v>
      </c>
      <c r="K360" s="89">
        <f t="shared" si="43"/>
        <v>285.81271612027132</v>
      </c>
      <c r="L360" s="89">
        <f t="shared" si="44"/>
        <v>16.905996454520842</v>
      </c>
      <c r="M360" s="89" t="str">
        <f t="shared" si="45"/>
        <v>NG</v>
      </c>
      <c r="N360" s="117">
        <f t="shared" si="46"/>
        <v>1</v>
      </c>
      <c r="O360" s="89">
        <f t="shared" si="41"/>
        <v>1.0399999999999991</v>
      </c>
      <c r="P360" s="89">
        <f>IF(G360="","",ABS(O360-Components!$C$2))</f>
        <v>1.7133333333333307</v>
      </c>
      <c r="Q360" s="89">
        <f>IF(G360="","",ABS(O360-Components!$C$3))</f>
        <v>2.9960000000000004</v>
      </c>
      <c r="R360" s="89">
        <f>IF(G360="","",ABS(O360-Components!$C$4))</f>
        <v>4.666666666666619E-2</v>
      </c>
      <c r="S360" s="89">
        <f>IF(G360="","",ABS(O360-Components!$C$5))</f>
        <v>3.5226666666666713</v>
      </c>
      <c r="T360" s="89">
        <f>IF(G360="","",ABS(O360-Components!$C$6))</f>
        <v>0.1156666666666708</v>
      </c>
      <c r="U360" s="89">
        <f>IF(G360="","",ABS(O360-Components!$C$7))</f>
        <v>0.33433333333333093</v>
      </c>
      <c r="V360" s="89" t="str">
        <f>IF(G360="","",IF(M360="OK","NONE",INDEX({"S1","S2","W1","W2","N1","N2"},MATCH(MIN(P360:U360),P360:U360,0))))</f>
        <v>W1</v>
      </c>
      <c r="W360" s="139">
        <f t="shared" si="47"/>
        <v>1</v>
      </c>
      <c r="X360" s="125"/>
    </row>
    <row r="361" spans="1:24" ht="15.75">
      <c r="A361" s="115">
        <v>347</v>
      </c>
      <c r="B361" s="135">
        <f>'Runs Z-Score'!B349</f>
        <v>12</v>
      </c>
      <c r="C361" s="89" t="str">
        <f>'Runs Z-Score'!C349</f>
        <v>R6</v>
      </c>
      <c r="D361" s="89" t="str">
        <f>'Runs Z-Score'!D349</f>
        <v>NG</v>
      </c>
      <c r="E361" s="89" t="str">
        <f>'Runs Z-Score'!E349</f>
        <v>W1</v>
      </c>
      <c r="F361" s="89">
        <f>'Runs Z-Score'!F349</f>
        <v>7.56</v>
      </c>
      <c r="G361" s="89">
        <f t="shared" si="40"/>
        <v>8.5299999999999994</v>
      </c>
      <c r="H361" s="89">
        <v>9.61</v>
      </c>
      <c r="I361" s="89">
        <f>VLOOKUP(C361,Recipes!$A$2:$N$4,12,FALSE())</f>
        <v>6.1509461004819709E-2</v>
      </c>
      <c r="J361" s="89">
        <f t="shared" si="42"/>
        <v>308.29300303502691</v>
      </c>
      <c r="K361" s="89">
        <f t="shared" si="43"/>
        <v>308.22633636836025</v>
      </c>
      <c r="L361" s="89">
        <f t="shared" si="44"/>
        <v>17.556375946315352</v>
      </c>
      <c r="M361" s="89" t="str">
        <f t="shared" si="45"/>
        <v>NG</v>
      </c>
      <c r="N361" s="117">
        <f t="shared" si="46"/>
        <v>1</v>
      </c>
      <c r="O361" s="89">
        <f t="shared" si="41"/>
        <v>1.08</v>
      </c>
      <c r="P361" s="89">
        <f>IF(G361="","",ABS(O361-Components!$C$2))</f>
        <v>1.6733333333333298</v>
      </c>
      <c r="Q361" s="89">
        <f>IF(G361="","",ABS(O361-Components!$C$3))</f>
        <v>2.9559999999999995</v>
      </c>
      <c r="R361" s="89">
        <f>IF(G361="","",ABS(O361-Components!$C$4))</f>
        <v>8.6666666666667114E-2</v>
      </c>
      <c r="S361" s="89">
        <f>IF(G361="","",ABS(O361-Components!$C$5))</f>
        <v>3.4826666666666704</v>
      </c>
      <c r="T361" s="89">
        <f>IF(G361="","",ABS(O361-Components!$C$6))</f>
        <v>7.566666666666988E-2</v>
      </c>
      <c r="U361" s="89">
        <f>IF(G361="","",ABS(O361-Components!$C$7))</f>
        <v>0.29433333333333001</v>
      </c>
      <c r="V361" s="89" t="str">
        <f>IF(G361="","",IF(M361="OK","NONE",INDEX({"S1","S2","W1","W2","N1","N2"},MATCH(MIN(P361:U361),P361:U361,0))))</f>
        <v>N1</v>
      </c>
      <c r="W361" s="140">
        <f t="shared" si="47"/>
        <v>0</v>
      </c>
      <c r="X361" s="125"/>
    </row>
    <row r="362" spans="1:24" ht="15.75">
      <c r="A362" s="115">
        <v>348</v>
      </c>
      <c r="B362" s="135">
        <f>'Runs Z-Score'!B350</f>
        <v>12</v>
      </c>
      <c r="C362" s="89" t="str">
        <f>'Runs Z-Score'!C350</f>
        <v>R6</v>
      </c>
      <c r="D362" s="89" t="str">
        <f>'Runs Z-Score'!D350</f>
        <v>NG</v>
      </c>
      <c r="E362" s="89" t="str">
        <f>'Runs Z-Score'!E350</f>
        <v>W1</v>
      </c>
      <c r="F362" s="89">
        <f>'Runs Z-Score'!F350</f>
        <v>7.63</v>
      </c>
      <c r="G362" s="89">
        <f t="shared" si="40"/>
        <v>8.6</v>
      </c>
      <c r="H362" s="89">
        <v>9.61</v>
      </c>
      <c r="I362" s="89">
        <f>VLOOKUP(C362,Recipes!$A$2:$N$4,12,FALSE())</f>
        <v>6.1509461004819709E-2</v>
      </c>
      <c r="J362" s="89">
        <f t="shared" si="42"/>
        <v>269.62422187588368</v>
      </c>
      <c r="K362" s="89">
        <f t="shared" si="43"/>
        <v>269.55755520921701</v>
      </c>
      <c r="L362" s="89">
        <f t="shared" si="44"/>
        <v>16.418208038918774</v>
      </c>
      <c r="M362" s="89" t="str">
        <f t="shared" si="45"/>
        <v>NG</v>
      </c>
      <c r="N362" s="117">
        <f t="shared" si="46"/>
        <v>1</v>
      </c>
      <c r="O362" s="89">
        <f t="shared" si="41"/>
        <v>1.0099999999999998</v>
      </c>
      <c r="P362" s="89">
        <f>IF(G362="","",ABS(O362-Components!$C$2))</f>
        <v>1.7433333333333301</v>
      </c>
      <c r="Q362" s="89">
        <f>IF(G362="","",ABS(O362-Components!$C$3))</f>
        <v>3.0259999999999998</v>
      </c>
      <c r="R362" s="89">
        <f>IF(G362="","",ABS(O362-Components!$C$4))</f>
        <v>1.6666666666666829E-2</v>
      </c>
      <c r="S362" s="89">
        <f>IF(G362="","",ABS(O362-Components!$C$5))</f>
        <v>3.5526666666666706</v>
      </c>
      <c r="T362" s="89">
        <f>IF(G362="","",ABS(O362-Components!$C$6))</f>
        <v>0.14566666666667016</v>
      </c>
      <c r="U362" s="89">
        <f>IF(G362="","",ABS(O362-Components!$C$7))</f>
        <v>0.36433333333333029</v>
      </c>
      <c r="V362" s="89" t="str">
        <f>IF(G362="","",IF(M362="OK","NONE",INDEX({"S1","S2","W1","W2","N1","N2"},MATCH(MIN(P362:U362),P362:U362,0))))</f>
        <v>W1</v>
      </c>
      <c r="W362" s="139">
        <f t="shared" si="47"/>
        <v>1</v>
      </c>
      <c r="X362" s="125"/>
    </row>
    <row r="363" spans="1:24" ht="15.75">
      <c r="A363" s="115">
        <v>349</v>
      </c>
      <c r="B363" s="135">
        <f>'Runs Z-Score'!B351</f>
        <v>12</v>
      </c>
      <c r="C363" s="89" t="str">
        <f>'Runs Z-Score'!C351</f>
        <v>R6</v>
      </c>
      <c r="D363" s="89" t="str">
        <f>'Runs Z-Score'!D351</f>
        <v>NG</v>
      </c>
      <c r="E363" s="89" t="str">
        <f>'Runs Z-Score'!E351</f>
        <v>W1</v>
      </c>
      <c r="F363" s="89">
        <f>'Runs Z-Score'!F351</f>
        <v>7.6</v>
      </c>
      <c r="G363" s="89">
        <f t="shared" si="40"/>
        <v>8.57</v>
      </c>
      <c r="H363" s="89">
        <v>9.61</v>
      </c>
      <c r="I363" s="89">
        <f>VLOOKUP(C363,Recipes!$A$2:$N$4,12,FALSE())</f>
        <v>6.1509461004819709E-2</v>
      </c>
      <c r="J363" s="89">
        <f t="shared" si="42"/>
        <v>285.87938278693798</v>
      </c>
      <c r="K363" s="89">
        <f t="shared" si="43"/>
        <v>285.81271612027132</v>
      </c>
      <c r="L363" s="89">
        <f t="shared" si="44"/>
        <v>16.905996454520842</v>
      </c>
      <c r="M363" s="89" t="str">
        <f t="shared" si="45"/>
        <v>NG</v>
      </c>
      <c r="N363" s="117">
        <f t="shared" si="46"/>
        <v>1</v>
      </c>
      <c r="O363" s="89">
        <f t="shared" si="41"/>
        <v>1.0399999999999991</v>
      </c>
      <c r="P363" s="89">
        <f>IF(G363="","",ABS(O363-Components!$C$2))</f>
        <v>1.7133333333333307</v>
      </c>
      <c r="Q363" s="89">
        <f>IF(G363="","",ABS(O363-Components!$C$3))</f>
        <v>2.9960000000000004</v>
      </c>
      <c r="R363" s="89">
        <f>IF(G363="","",ABS(O363-Components!$C$4))</f>
        <v>4.666666666666619E-2</v>
      </c>
      <c r="S363" s="89">
        <f>IF(G363="","",ABS(O363-Components!$C$5))</f>
        <v>3.5226666666666713</v>
      </c>
      <c r="T363" s="89">
        <f>IF(G363="","",ABS(O363-Components!$C$6))</f>
        <v>0.1156666666666708</v>
      </c>
      <c r="U363" s="89">
        <f>IF(G363="","",ABS(O363-Components!$C$7))</f>
        <v>0.33433333333333093</v>
      </c>
      <c r="V363" s="89" t="str">
        <f>IF(G363="","",IF(M363="OK","NONE",INDEX({"S1","S2","W1","W2","N1","N2"},MATCH(MIN(P363:U363),P363:U363,0))))</f>
        <v>W1</v>
      </c>
      <c r="W363" s="139">
        <f t="shared" si="47"/>
        <v>1</v>
      </c>
      <c r="X363" s="125"/>
    </row>
    <row r="364" spans="1:24" ht="15.75">
      <c r="A364" s="115">
        <v>350</v>
      </c>
      <c r="B364" s="135">
        <f>'Runs Z-Score'!B352</f>
        <v>12</v>
      </c>
      <c r="C364" s="89" t="str">
        <f>'Runs Z-Score'!C352</f>
        <v>R6</v>
      </c>
      <c r="D364" s="89" t="str">
        <f>'Runs Z-Score'!D352</f>
        <v>NG</v>
      </c>
      <c r="E364" s="89" t="str">
        <f>'Runs Z-Score'!E352</f>
        <v>W1</v>
      </c>
      <c r="F364" s="89">
        <f>'Runs Z-Score'!F352</f>
        <v>7.58</v>
      </c>
      <c r="G364" s="89">
        <f t="shared" si="40"/>
        <v>8.5500000000000007</v>
      </c>
      <c r="H364" s="89">
        <v>9.61</v>
      </c>
      <c r="I364" s="89">
        <f>VLOOKUP(C364,Recipes!$A$2:$N$4,12,FALSE())</f>
        <v>6.1509461004819709E-2</v>
      </c>
      <c r="J364" s="89">
        <f t="shared" si="42"/>
        <v>296.9804682871702</v>
      </c>
      <c r="K364" s="89">
        <f t="shared" si="43"/>
        <v>296.91380162050353</v>
      </c>
      <c r="L364" s="89">
        <f t="shared" si="44"/>
        <v>17.231186889489173</v>
      </c>
      <c r="M364" s="89" t="str">
        <f t="shared" si="45"/>
        <v>NG</v>
      </c>
      <c r="N364" s="117">
        <f t="shared" si="46"/>
        <v>1</v>
      </c>
      <c r="O364" s="89">
        <f t="shared" si="41"/>
        <v>1.0599999999999987</v>
      </c>
      <c r="P364" s="89">
        <f>IF(G364="","",ABS(O364-Components!$C$2))</f>
        <v>1.6933333333333311</v>
      </c>
      <c r="Q364" s="89">
        <f>IF(G364="","",ABS(O364-Components!$C$3))</f>
        <v>2.9760000000000009</v>
      </c>
      <c r="R364" s="89">
        <f>IF(G364="","",ABS(O364-Components!$C$4))</f>
        <v>6.6666666666665764E-2</v>
      </c>
      <c r="S364" s="89">
        <f>IF(G364="","",ABS(O364-Components!$C$5))</f>
        <v>3.5026666666666717</v>
      </c>
      <c r="T364" s="89">
        <f>IF(G364="","",ABS(O364-Components!$C$6))</f>
        <v>9.566666666667123E-2</v>
      </c>
      <c r="U364" s="89">
        <f>IF(G364="","",ABS(O364-Components!$C$7))</f>
        <v>0.31433333333333136</v>
      </c>
      <c r="V364" s="89" t="str">
        <f>IF(G364="","",IF(M364="OK","NONE",INDEX({"S1","S2","W1","W2","N1","N2"},MATCH(MIN(P364:U364),P364:U364,0))))</f>
        <v>W1</v>
      </c>
      <c r="W364" s="139">
        <f t="shared" si="47"/>
        <v>1</v>
      </c>
      <c r="X364" s="125"/>
    </row>
    <row r="365" spans="1:24" ht="15.75">
      <c r="A365" s="115">
        <v>351</v>
      </c>
      <c r="B365" s="135">
        <f>'Runs Z-Score'!B353</f>
        <v>12</v>
      </c>
      <c r="C365" s="89" t="str">
        <f>'Runs Z-Score'!C353</f>
        <v>R6</v>
      </c>
      <c r="D365" s="89" t="str">
        <f>'Runs Z-Score'!D353</f>
        <v>NG</v>
      </c>
      <c r="E365" s="89" t="str">
        <f>'Runs Z-Score'!E353</f>
        <v>W1</v>
      </c>
      <c r="F365" s="89">
        <f>'Runs Z-Score'!F353</f>
        <v>7.61</v>
      </c>
      <c r="G365" s="89">
        <f t="shared" si="40"/>
        <v>8.58</v>
      </c>
      <c r="H365" s="89">
        <v>9.61</v>
      </c>
      <c r="I365" s="89">
        <f>VLOOKUP(C365,Recipes!$A$2:$N$4,12,FALSE())</f>
        <v>6.1509461004819709E-2</v>
      </c>
      <c r="J365" s="89">
        <f t="shared" si="42"/>
        <v>280.40813350468068</v>
      </c>
      <c r="K365" s="89">
        <f t="shared" si="43"/>
        <v>280.34146683801401</v>
      </c>
      <c r="L365" s="89">
        <f t="shared" si="44"/>
        <v>16.743400695139982</v>
      </c>
      <c r="M365" s="89" t="str">
        <f t="shared" si="45"/>
        <v>NG</v>
      </c>
      <c r="N365" s="117">
        <f t="shared" si="46"/>
        <v>1</v>
      </c>
      <c r="O365" s="89">
        <f t="shared" si="41"/>
        <v>1.0299999999999994</v>
      </c>
      <c r="P365" s="89">
        <f>IF(G365="","",ABS(O365-Components!$C$2))</f>
        <v>1.7233333333333305</v>
      </c>
      <c r="Q365" s="89">
        <f>IF(G365="","",ABS(O365-Components!$C$3))</f>
        <v>3.0060000000000002</v>
      </c>
      <c r="R365" s="89">
        <f>IF(G365="","",ABS(O365-Components!$C$4))</f>
        <v>3.6666666666666403E-2</v>
      </c>
      <c r="S365" s="89">
        <f>IF(G365="","",ABS(O365-Components!$C$5))</f>
        <v>3.5326666666666711</v>
      </c>
      <c r="T365" s="89">
        <f>IF(G365="","",ABS(O365-Components!$C$6))</f>
        <v>0.12566666666667059</v>
      </c>
      <c r="U365" s="89">
        <f>IF(G365="","",ABS(O365-Components!$C$7))</f>
        <v>0.34433333333333072</v>
      </c>
      <c r="V365" s="89" t="str">
        <f>IF(G365="","",IF(M365="OK","NONE",INDEX({"S1","S2","W1","W2","N1","N2"},MATCH(MIN(P365:U365),P365:U365,0))))</f>
        <v>W1</v>
      </c>
      <c r="W365" s="139">
        <f t="shared" si="47"/>
        <v>1</v>
      </c>
      <c r="X365" s="125"/>
    </row>
    <row r="366" spans="1:24" ht="15.75">
      <c r="A366" s="115">
        <v>352</v>
      </c>
      <c r="B366" s="135">
        <f>'Runs Z-Score'!B354</f>
        <v>12</v>
      </c>
      <c r="C366" s="89" t="str">
        <f>'Runs Z-Score'!C354</f>
        <v>R6</v>
      </c>
      <c r="D366" s="89" t="str">
        <f>'Runs Z-Score'!D354</f>
        <v>NG</v>
      </c>
      <c r="E366" s="89" t="str">
        <f>'Runs Z-Score'!E354</f>
        <v>W1</v>
      </c>
      <c r="F366" s="89">
        <f>'Runs Z-Score'!F354</f>
        <v>7.67</v>
      </c>
      <c r="G366" s="89">
        <f t="shared" si="40"/>
        <v>8.64</v>
      </c>
      <c r="H366" s="89">
        <v>9.61</v>
      </c>
      <c r="I366" s="89">
        <f>VLOOKUP(C366,Recipes!$A$2:$N$4,12,FALSE())</f>
        <v>6.1509461004819709E-2</v>
      </c>
      <c r="J366" s="89">
        <f t="shared" si="42"/>
        <v>248.69074636115914</v>
      </c>
      <c r="K366" s="89">
        <f t="shared" si="43"/>
        <v>248.62407969449248</v>
      </c>
      <c r="L366" s="89">
        <f t="shared" si="44"/>
        <v>15.767817848215158</v>
      </c>
      <c r="M366" s="89" t="str">
        <f t="shared" si="45"/>
        <v>NG</v>
      </c>
      <c r="N366" s="117">
        <f t="shared" si="46"/>
        <v>1</v>
      </c>
      <c r="O366" s="89">
        <f t="shared" si="41"/>
        <v>0.96999999999999886</v>
      </c>
      <c r="P366" s="89">
        <f>IF(G366="","",ABS(O366-Components!$C$2))</f>
        <v>1.783333333333331</v>
      </c>
      <c r="Q366" s="89">
        <f>IF(G366="","",ABS(O366-Components!$C$3))</f>
        <v>3.0660000000000007</v>
      </c>
      <c r="R366" s="89">
        <f>IF(G366="","",ABS(O366-Components!$C$4))</f>
        <v>2.3333333333334094E-2</v>
      </c>
      <c r="S366" s="89">
        <f>IF(G366="","",ABS(O366-Components!$C$5))</f>
        <v>3.5926666666666716</v>
      </c>
      <c r="T366" s="89">
        <f>IF(G366="","",ABS(O366-Components!$C$6))</f>
        <v>0.18566666666667109</v>
      </c>
      <c r="U366" s="89">
        <f>IF(G366="","",ABS(O366-Components!$C$7))</f>
        <v>0.40433333333333121</v>
      </c>
      <c r="V366" s="89" t="str">
        <f>IF(G366="","",IF(M366="OK","NONE",INDEX({"S1","S2","W1","W2","N1","N2"},MATCH(MIN(P366:U366),P366:U366,0))))</f>
        <v>W1</v>
      </c>
      <c r="W366" s="139">
        <f t="shared" si="47"/>
        <v>1</v>
      </c>
      <c r="X366" s="125"/>
    </row>
    <row r="367" spans="1:24" ht="15.75">
      <c r="A367" s="115">
        <v>353</v>
      </c>
      <c r="B367" s="135">
        <f>'Runs Z-Score'!B355</f>
        <v>12</v>
      </c>
      <c r="C367" s="89" t="str">
        <f>'Runs Z-Score'!C355</f>
        <v>R6</v>
      </c>
      <c r="D367" s="89" t="str">
        <f>'Runs Z-Score'!D355</f>
        <v>NG</v>
      </c>
      <c r="E367" s="89" t="str">
        <f>'Runs Z-Score'!E355</f>
        <v>W1</v>
      </c>
      <c r="F367" s="89">
        <f>'Runs Z-Score'!F355</f>
        <v>7.42</v>
      </c>
      <c r="G367" s="89">
        <f t="shared" si="40"/>
        <v>8.39</v>
      </c>
      <c r="H367" s="89">
        <v>9.61</v>
      </c>
      <c r="I367" s="89">
        <f>VLOOKUP(C367,Recipes!$A$2:$N$4,12,FALSE())</f>
        <v>6.1509461004819709E-2</v>
      </c>
      <c r="J367" s="89">
        <f t="shared" si="42"/>
        <v>393.40132520347487</v>
      </c>
      <c r="K367" s="89">
        <f t="shared" si="43"/>
        <v>393.33465853680821</v>
      </c>
      <c r="L367" s="89">
        <f t="shared" si="44"/>
        <v>19.832666450500504</v>
      </c>
      <c r="M367" s="89" t="str">
        <f t="shared" si="45"/>
        <v>NG</v>
      </c>
      <c r="N367" s="117">
        <f t="shared" si="46"/>
        <v>1</v>
      </c>
      <c r="O367" s="89">
        <f t="shared" si="41"/>
        <v>1.2199999999999989</v>
      </c>
      <c r="P367" s="89">
        <f>IF(G367="","",ABS(O367-Components!$C$2))</f>
        <v>1.533333333333331</v>
      </c>
      <c r="Q367" s="89">
        <f>IF(G367="","",ABS(O367-Components!$C$3))</f>
        <v>2.8160000000000007</v>
      </c>
      <c r="R367" s="89">
        <f>IF(G367="","",ABS(O367-Components!$C$4))</f>
        <v>0.22666666666666591</v>
      </c>
      <c r="S367" s="89">
        <f>IF(G367="","",ABS(O367-Components!$C$5))</f>
        <v>3.3426666666666716</v>
      </c>
      <c r="T367" s="89">
        <f>IF(G367="","",ABS(O367-Components!$C$6))</f>
        <v>6.4333333333328913E-2</v>
      </c>
      <c r="U367" s="89">
        <f>IF(G367="","",ABS(O367-Components!$C$7))</f>
        <v>0.15433333333333121</v>
      </c>
      <c r="V367" s="89" t="str">
        <f>IF(G367="","",IF(M367="OK","NONE",INDEX({"S1","S2","W1","W2","N1","N2"},MATCH(MIN(P367:U367),P367:U367,0))))</f>
        <v>N1</v>
      </c>
      <c r="W367" s="140">
        <f t="shared" si="47"/>
        <v>0</v>
      </c>
      <c r="X367" s="125"/>
    </row>
    <row r="368" spans="1:24" ht="15.75">
      <c r="A368" s="115">
        <v>354</v>
      </c>
      <c r="B368" s="135">
        <f>'Runs Z-Score'!B356</f>
        <v>12</v>
      </c>
      <c r="C368" s="89" t="str">
        <f>'Runs Z-Score'!C356</f>
        <v>R6</v>
      </c>
      <c r="D368" s="89" t="str">
        <f>'Runs Z-Score'!D356</f>
        <v>NG</v>
      </c>
      <c r="E368" s="89" t="str">
        <f>'Runs Z-Score'!E356</f>
        <v>W1</v>
      </c>
      <c r="F368" s="89">
        <f>'Runs Z-Score'!F356</f>
        <v>7.69</v>
      </c>
      <c r="G368" s="89">
        <f t="shared" si="40"/>
        <v>8.66</v>
      </c>
      <c r="H368" s="89">
        <v>9.61</v>
      </c>
      <c r="I368" s="89">
        <f>VLOOKUP(C368,Recipes!$A$2:$N$4,12,FALSE())</f>
        <v>6.1509461004819709E-2</v>
      </c>
      <c r="J368" s="89">
        <f t="shared" si="42"/>
        <v>238.54118247523257</v>
      </c>
      <c r="K368" s="89">
        <f t="shared" si="43"/>
        <v>238.47451580856591</v>
      </c>
      <c r="L368" s="89">
        <f t="shared" si="44"/>
        <v>15.442620108277154</v>
      </c>
      <c r="M368" s="89" t="str">
        <f t="shared" si="45"/>
        <v>NG</v>
      </c>
      <c r="N368" s="117">
        <f t="shared" si="46"/>
        <v>1</v>
      </c>
      <c r="O368" s="89">
        <f t="shared" si="41"/>
        <v>0.94999999999999929</v>
      </c>
      <c r="P368" s="89">
        <f>IF(G368="","",ABS(O368-Components!$C$2))</f>
        <v>1.8033333333333306</v>
      </c>
      <c r="Q368" s="89">
        <f>IF(G368="","",ABS(O368-Components!$C$3))</f>
        <v>3.0860000000000003</v>
      </c>
      <c r="R368" s="89">
        <f>IF(G368="","",ABS(O368-Components!$C$4))</f>
        <v>4.3333333333333668E-2</v>
      </c>
      <c r="S368" s="89">
        <f>IF(G368="","",ABS(O368-Components!$C$5))</f>
        <v>3.6126666666666711</v>
      </c>
      <c r="T368" s="89">
        <f>IF(G368="","",ABS(O368-Components!$C$6))</f>
        <v>0.20566666666667066</v>
      </c>
      <c r="U368" s="89">
        <f>IF(G368="","",ABS(O368-Components!$C$7))</f>
        <v>0.42433333333333079</v>
      </c>
      <c r="V368" s="89" t="str">
        <f>IF(G368="","",IF(M368="OK","NONE",INDEX({"S1","S2","W1","W2","N1","N2"},MATCH(MIN(P368:U368),P368:U368,0))))</f>
        <v>W1</v>
      </c>
      <c r="W368" s="139">
        <f t="shared" si="47"/>
        <v>1</v>
      </c>
      <c r="X368" s="125"/>
    </row>
    <row r="369" spans="1:24" ht="15.75">
      <c r="A369" s="115">
        <v>355</v>
      </c>
      <c r="B369" s="135">
        <f>'Runs Z-Score'!B357</f>
        <v>12</v>
      </c>
      <c r="C369" s="89" t="str">
        <f>'Runs Z-Score'!C357</f>
        <v>R6</v>
      </c>
      <c r="D369" s="89" t="str">
        <f>'Runs Z-Score'!D357</f>
        <v>NG</v>
      </c>
      <c r="E369" s="89" t="str">
        <f>'Runs Z-Score'!E357</f>
        <v>W1</v>
      </c>
      <c r="F369" s="89">
        <f>'Runs Z-Score'!F357</f>
        <v>7.63</v>
      </c>
      <c r="G369" s="89">
        <f t="shared" si="40"/>
        <v>8.6</v>
      </c>
      <c r="H369" s="89">
        <v>9.61</v>
      </c>
      <c r="I369" s="89">
        <f>VLOOKUP(C369,Recipes!$A$2:$N$4,12,FALSE())</f>
        <v>6.1509461004819709E-2</v>
      </c>
      <c r="J369" s="89">
        <f t="shared" si="42"/>
        <v>269.62422187588368</v>
      </c>
      <c r="K369" s="89">
        <f t="shared" si="43"/>
        <v>269.55755520921701</v>
      </c>
      <c r="L369" s="89">
        <f t="shared" si="44"/>
        <v>16.418208038918774</v>
      </c>
      <c r="M369" s="89" t="str">
        <f t="shared" si="45"/>
        <v>NG</v>
      </c>
      <c r="N369" s="117">
        <f t="shared" si="46"/>
        <v>1</v>
      </c>
      <c r="O369" s="89">
        <f t="shared" si="41"/>
        <v>1.0099999999999998</v>
      </c>
      <c r="P369" s="89">
        <f>IF(G369="","",ABS(O369-Components!$C$2))</f>
        <v>1.7433333333333301</v>
      </c>
      <c r="Q369" s="89">
        <f>IF(G369="","",ABS(O369-Components!$C$3))</f>
        <v>3.0259999999999998</v>
      </c>
      <c r="R369" s="89">
        <f>IF(G369="","",ABS(O369-Components!$C$4))</f>
        <v>1.6666666666666829E-2</v>
      </c>
      <c r="S369" s="89">
        <f>IF(G369="","",ABS(O369-Components!$C$5))</f>
        <v>3.5526666666666706</v>
      </c>
      <c r="T369" s="89">
        <f>IF(G369="","",ABS(O369-Components!$C$6))</f>
        <v>0.14566666666667016</v>
      </c>
      <c r="U369" s="89">
        <f>IF(G369="","",ABS(O369-Components!$C$7))</f>
        <v>0.36433333333333029</v>
      </c>
      <c r="V369" s="89" t="str">
        <f>IF(G369="","",IF(M369="OK","NONE",INDEX({"S1","S2","W1","W2","N1","N2"},MATCH(MIN(P369:U369),P369:U369,0))))</f>
        <v>W1</v>
      </c>
      <c r="W369" s="139">
        <f t="shared" si="47"/>
        <v>1</v>
      </c>
      <c r="X369" s="125"/>
    </row>
    <row r="370" spans="1:24" ht="15.75">
      <c r="A370" s="115">
        <v>356</v>
      </c>
      <c r="B370" s="135">
        <f>'Runs Z-Score'!B358</f>
        <v>12</v>
      </c>
      <c r="C370" s="89" t="str">
        <f>'Runs Z-Score'!C358</f>
        <v>R6</v>
      </c>
      <c r="D370" s="89" t="str">
        <f>'Runs Z-Score'!D358</f>
        <v>NG</v>
      </c>
      <c r="E370" s="89" t="str">
        <f>'Runs Z-Score'!E358</f>
        <v>W1</v>
      </c>
      <c r="F370" s="89">
        <f>'Runs Z-Score'!F358</f>
        <v>7.38</v>
      </c>
      <c r="G370" s="89">
        <f t="shared" si="40"/>
        <v>8.35</v>
      </c>
      <c r="H370" s="89">
        <v>9.61</v>
      </c>
      <c r="I370" s="89">
        <f>VLOOKUP(C370,Recipes!$A$2:$N$4,12,FALSE())</f>
        <v>6.1509461004819709E-2</v>
      </c>
      <c r="J370" s="89">
        <f t="shared" si="42"/>
        <v>419.62103190878634</v>
      </c>
      <c r="K370" s="89">
        <f t="shared" si="43"/>
        <v>419.55436524211967</v>
      </c>
      <c r="L370" s="89">
        <f t="shared" si="44"/>
        <v>20.483026271577149</v>
      </c>
      <c r="M370" s="89" t="str">
        <f t="shared" si="45"/>
        <v>NG</v>
      </c>
      <c r="N370" s="117">
        <f t="shared" si="46"/>
        <v>1</v>
      </c>
      <c r="O370" s="89">
        <f t="shared" si="41"/>
        <v>1.2599999999999998</v>
      </c>
      <c r="P370" s="89">
        <f>IF(G370="","",ABS(O370-Components!$C$2))</f>
        <v>1.4933333333333301</v>
      </c>
      <c r="Q370" s="89">
        <f>IF(G370="","",ABS(O370-Components!$C$3))</f>
        <v>2.7759999999999998</v>
      </c>
      <c r="R370" s="89">
        <f>IF(G370="","",ABS(O370-Components!$C$4))</f>
        <v>0.26666666666666683</v>
      </c>
      <c r="S370" s="89">
        <f>IF(G370="","",ABS(O370-Components!$C$5))</f>
        <v>3.3026666666666706</v>
      </c>
      <c r="T370" s="89">
        <f>IF(G370="","",ABS(O370-Components!$C$6))</f>
        <v>0.10433333333332984</v>
      </c>
      <c r="U370" s="89">
        <f>IF(G370="","",ABS(O370-Components!$C$7))</f>
        <v>0.11433333333333029</v>
      </c>
      <c r="V370" s="89" t="str">
        <f>IF(G370="","",IF(M370="OK","NONE",INDEX({"S1","S2","W1","W2","N1","N2"},MATCH(MIN(P370:U370),P370:U370,0))))</f>
        <v>N1</v>
      </c>
      <c r="W370" s="140">
        <f t="shared" si="47"/>
        <v>0</v>
      </c>
      <c r="X370" s="125"/>
    </row>
    <row r="371" spans="1:24" ht="15.75">
      <c r="A371" s="115">
        <v>357</v>
      </c>
      <c r="B371" s="135">
        <f>'Runs Z-Score'!B359</f>
        <v>12</v>
      </c>
      <c r="C371" s="89" t="str">
        <f>'Runs Z-Score'!C359</f>
        <v>R6</v>
      </c>
      <c r="D371" s="89" t="str">
        <f>'Runs Z-Score'!D359</f>
        <v>NG</v>
      </c>
      <c r="E371" s="89" t="str">
        <f>'Runs Z-Score'!E359</f>
        <v>W1</v>
      </c>
      <c r="F371" s="89">
        <f>'Runs Z-Score'!F359</f>
        <v>7.54</v>
      </c>
      <c r="G371" s="89">
        <f t="shared" si="40"/>
        <v>8.51</v>
      </c>
      <c r="H371" s="89">
        <v>9.61</v>
      </c>
      <c r="I371" s="89">
        <f>VLOOKUP(C371,Recipes!$A$2:$N$4,12,FALSE())</f>
        <v>6.1509461004819709E-2</v>
      </c>
      <c r="J371" s="89">
        <f t="shared" si="42"/>
        <v>319.81698703050597</v>
      </c>
      <c r="K371" s="89">
        <f t="shared" si="43"/>
        <v>319.75032036383931</v>
      </c>
      <c r="L371" s="89">
        <f t="shared" si="44"/>
        <v>17.881563700186831</v>
      </c>
      <c r="M371" s="89" t="str">
        <f t="shared" si="45"/>
        <v>NG</v>
      </c>
      <c r="N371" s="117">
        <f t="shared" si="46"/>
        <v>1</v>
      </c>
      <c r="O371" s="89">
        <f t="shared" si="41"/>
        <v>1.0999999999999996</v>
      </c>
      <c r="P371" s="89">
        <f>IF(G371="","",ABS(O371-Components!$C$2))</f>
        <v>1.6533333333333302</v>
      </c>
      <c r="Q371" s="89">
        <f>IF(G371="","",ABS(O371-Components!$C$3))</f>
        <v>2.9359999999999999</v>
      </c>
      <c r="R371" s="89">
        <f>IF(G371="","",ABS(O371-Components!$C$4))</f>
        <v>0.10666666666666669</v>
      </c>
      <c r="S371" s="89">
        <f>IF(G371="","",ABS(O371-Components!$C$5))</f>
        <v>3.4626666666666708</v>
      </c>
      <c r="T371" s="89">
        <f>IF(G371="","",ABS(O371-Components!$C$6))</f>
        <v>5.5666666666670306E-2</v>
      </c>
      <c r="U371" s="89">
        <f>IF(G371="","",ABS(O371-Components!$C$7))</f>
        <v>0.27433333333333043</v>
      </c>
      <c r="V371" s="89" t="str">
        <f>IF(G371="","",IF(M371="OK","NONE",INDEX({"S1","S2","W1","W2","N1","N2"},MATCH(MIN(P371:U371),P371:U371,0))))</f>
        <v>N1</v>
      </c>
      <c r="W371" s="140">
        <f t="shared" si="47"/>
        <v>0</v>
      </c>
      <c r="X371" s="125"/>
    </row>
    <row r="372" spans="1:24" ht="15.75">
      <c r="A372" s="115">
        <v>358</v>
      </c>
      <c r="B372" s="135">
        <f>'Runs Z-Score'!B360</f>
        <v>12</v>
      </c>
      <c r="C372" s="89" t="str">
        <f>'Runs Z-Score'!C360</f>
        <v>R6</v>
      </c>
      <c r="D372" s="89" t="str">
        <f>'Runs Z-Score'!D360</f>
        <v>NG</v>
      </c>
      <c r="E372" s="89" t="str">
        <f>'Runs Z-Score'!E360</f>
        <v>W1</v>
      </c>
      <c r="F372" s="89">
        <f>'Runs Z-Score'!F360</f>
        <v>7.65</v>
      </c>
      <c r="G372" s="89">
        <f t="shared" si="40"/>
        <v>8.620000000000001</v>
      </c>
      <c r="H372" s="89">
        <v>9.61</v>
      </c>
      <c r="I372" s="89">
        <f>VLOOKUP(C372,Recipes!$A$2:$N$4,12,FALSE())</f>
        <v>6.1509461004819709E-2</v>
      </c>
      <c r="J372" s="89">
        <f t="shared" si="42"/>
        <v>259.05175949470919</v>
      </c>
      <c r="K372" s="89">
        <f t="shared" si="43"/>
        <v>258.98509282804253</v>
      </c>
      <c r="L372" s="89">
        <f t="shared" si="44"/>
        <v>16.093013789469097</v>
      </c>
      <c r="M372" s="89" t="str">
        <f t="shared" si="45"/>
        <v>NG</v>
      </c>
      <c r="N372" s="117">
        <f t="shared" si="46"/>
        <v>1</v>
      </c>
      <c r="O372" s="89">
        <f t="shared" si="41"/>
        <v>0.98999999999999844</v>
      </c>
      <c r="P372" s="89">
        <f>IF(G372="","",ABS(O372-Components!$C$2))</f>
        <v>1.7633333333333314</v>
      </c>
      <c r="Q372" s="89">
        <f>IF(G372="","",ABS(O372-Components!$C$3))</f>
        <v>3.0460000000000012</v>
      </c>
      <c r="R372" s="89">
        <f>IF(G372="","",ABS(O372-Components!$C$4))</f>
        <v>3.3333333333345205E-3</v>
      </c>
      <c r="S372" s="89">
        <f>IF(G372="","",ABS(O372-Components!$C$5))</f>
        <v>3.572666666666672</v>
      </c>
      <c r="T372" s="89">
        <f>IF(G372="","",ABS(O372-Components!$C$6))</f>
        <v>0.16566666666667151</v>
      </c>
      <c r="U372" s="89">
        <f>IF(G372="","",ABS(O372-Components!$C$7))</f>
        <v>0.38433333333333164</v>
      </c>
      <c r="V372" s="89" t="str">
        <f>IF(G372="","",IF(M372="OK","NONE",INDEX({"S1","S2","W1","W2","N1","N2"},MATCH(MIN(P372:U372),P372:U372,0))))</f>
        <v>W1</v>
      </c>
      <c r="W372" s="139">
        <f t="shared" si="47"/>
        <v>1</v>
      </c>
      <c r="X372" s="125"/>
    </row>
    <row r="373" spans="1:24" ht="15.75">
      <c r="A373" s="115">
        <v>359</v>
      </c>
      <c r="B373" s="135">
        <f>'Runs Z-Score'!B361</f>
        <v>12</v>
      </c>
      <c r="C373" s="89" t="str">
        <f>'Runs Z-Score'!C361</f>
        <v>R6</v>
      </c>
      <c r="D373" s="89" t="str">
        <f>'Runs Z-Score'!D361</f>
        <v>NG</v>
      </c>
      <c r="E373" s="89" t="str">
        <f>'Runs Z-Score'!E361</f>
        <v>W1</v>
      </c>
      <c r="F373" s="89">
        <f>'Runs Z-Score'!F361</f>
        <v>7.34</v>
      </c>
      <c r="G373" s="89">
        <f t="shared" si="40"/>
        <v>8.31</v>
      </c>
      <c r="H373" s="89">
        <v>9.61</v>
      </c>
      <c r="I373" s="89">
        <f>VLOOKUP(C373,Recipes!$A$2:$N$4,12,FALSE())</f>
        <v>6.1509461004819709E-2</v>
      </c>
      <c r="J373" s="89">
        <f t="shared" si="42"/>
        <v>446.68653560459052</v>
      </c>
      <c r="K373" s="89">
        <f t="shared" si="43"/>
        <v>446.61986893792385</v>
      </c>
      <c r="L373" s="89">
        <f t="shared" si="44"/>
        <v>21.133382808673197</v>
      </c>
      <c r="M373" s="89" t="str">
        <f t="shared" si="45"/>
        <v>NG</v>
      </c>
      <c r="N373" s="117">
        <f t="shared" si="46"/>
        <v>1</v>
      </c>
      <c r="O373" s="89">
        <f t="shared" si="41"/>
        <v>1.2999999999999989</v>
      </c>
      <c r="P373" s="89">
        <f>IF(G373="","",ABS(O373-Components!$C$2))</f>
        <v>1.4533333333333309</v>
      </c>
      <c r="Q373" s="89">
        <f>IF(G373="","",ABS(O373-Components!$C$3))</f>
        <v>2.7360000000000007</v>
      </c>
      <c r="R373" s="89">
        <f>IF(G373="","",ABS(O373-Components!$C$4))</f>
        <v>0.30666666666666598</v>
      </c>
      <c r="S373" s="89">
        <f>IF(G373="","",ABS(O373-Components!$C$5))</f>
        <v>3.2626666666666715</v>
      </c>
      <c r="T373" s="89">
        <f>IF(G373="","",ABS(O373-Components!$C$6))</f>
        <v>0.14433333333332898</v>
      </c>
      <c r="U373" s="89">
        <f>IF(G373="","",ABS(O373-Components!$C$7))</f>
        <v>7.4333333333331142E-2</v>
      </c>
      <c r="V373" s="89" t="str">
        <f>IF(G373="","",IF(M373="OK","NONE",INDEX({"S1","S2","W1","W2","N1","N2"},MATCH(MIN(P373:U373),P373:U373,0))))</f>
        <v>N2</v>
      </c>
      <c r="W373" s="140">
        <f t="shared" si="47"/>
        <v>0</v>
      </c>
      <c r="X373" s="125"/>
    </row>
    <row r="374" spans="1:24" ht="15.75">
      <c r="A374" s="115">
        <v>360</v>
      </c>
      <c r="B374" s="135">
        <f>'Runs Z-Score'!B362</f>
        <v>12</v>
      </c>
      <c r="C374" s="89" t="str">
        <f>'Runs Z-Score'!C362</f>
        <v>R6</v>
      </c>
      <c r="D374" s="89" t="str">
        <f>'Runs Z-Score'!D362</f>
        <v>NG</v>
      </c>
      <c r="E374" s="89" t="str">
        <f>'Runs Z-Score'!E362</f>
        <v>W1</v>
      </c>
      <c r="F374" s="89">
        <f>'Runs Z-Score'!F362</f>
        <v>7.68</v>
      </c>
      <c r="G374" s="89">
        <f t="shared" si="40"/>
        <v>8.65</v>
      </c>
      <c r="H374" s="89">
        <v>9.61</v>
      </c>
      <c r="I374" s="89">
        <f>VLOOKUP(C374,Recipes!$A$2:$N$4,12,FALSE())</f>
        <v>6.1509461004819709E-2</v>
      </c>
      <c r="J374" s="89">
        <f t="shared" si="42"/>
        <v>243.58953326224295</v>
      </c>
      <c r="K374" s="89">
        <f t="shared" si="43"/>
        <v>243.52286659557629</v>
      </c>
      <c r="L374" s="89">
        <f t="shared" si="44"/>
        <v>15.605219210109682</v>
      </c>
      <c r="M374" s="89" t="str">
        <f t="shared" si="45"/>
        <v>NG</v>
      </c>
      <c r="N374" s="117">
        <f t="shared" si="46"/>
        <v>1</v>
      </c>
      <c r="O374" s="89">
        <f t="shared" si="41"/>
        <v>0.95999999999999908</v>
      </c>
      <c r="P374" s="89">
        <f>IF(G374="","",ABS(O374-Components!$C$2))</f>
        <v>1.7933333333333308</v>
      </c>
      <c r="Q374" s="89">
        <f>IF(G374="","",ABS(O374-Components!$C$3))</f>
        <v>3.0760000000000005</v>
      </c>
      <c r="R374" s="89">
        <f>IF(G374="","",ABS(O374-Components!$C$4))</f>
        <v>3.3333333333333881E-2</v>
      </c>
      <c r="S374" s="89">
        <f>IF(G374="","",ABS(O374-Components!$C$5))</f>
        <v>3.6026666666666713</v>
      </c>
      <c r="T374" s="89">
        <f>IF(G374="","",ABS(O374-Components!$C$6))</f>
        <v>0.19566666666667087</v>
      </c>
      <c r="U374" s="89">
        <f>IF(G374="","",ABS(O374-Components!$C$7))</f>
        <v>0.414333333333331</v>
      </c>
      <c r="V374" s="89" t="str">
        <f>IF(G374="","",IF(M374="OK","NONE",INDEX({"S1","S2","W1","W2","N1","N2"},MATCH(MIN(P374:U374),P374:U374,0))))</f>
        <v>W1</v>
      </c>
      <c r="W374" s="139">
        <f t="shared" si="47"/>
        <v>1</v>
      </c>
      <c r="X374" s="125"/>
    </row>
    <row r="375" spans="1:24" ht="15.75">
      <c r="A375" s="115">
        <v>361</v>
      </c>
      <c r="B375" s="135">
        <f>'Runs Z-Score'!B363</f>
        <v>13</v>
      </c>
      <c r="C375" s="89" t="str">
        <f>'Runs Z-Score'!C363</f>
        <v>R6</v>
      </c>
      <c r="D375" s="89" t="str">
        <f>'Runs Z-Score'!D363</f>
        <v>NG</v>
      </c>
      <c r="E375" s="89" t="str">
        <f>'Runs Z-Score'!E363</f>
        <v>N2</v>
      </c>
      <c r="F375" s="89">
        <f>'Runs Z-Score'!F363</f>
        <v>7.21</v>
      </c>
      <c r="G375" s="89">
        <f t="shared" si="40"/>
        <v>8.18</v>
      </c>
      <c r="H375" s="89">
        <v>9.61</v>
      </c>
      <c r="I375" s="89">
        <f>VLOOKUP(C375,Recipes!$A$2:$N$4,12,FALSE())</f>
        <v>6.1509461004819709E-2</v>
      </c>
      <c r="J375" s="89">
        <f t="shared" si="42"/>
        <v>540.49070808155523</v>
      </c>
      <c r="K375" s="89">
        <f t="shared" si="43"/>
        <v>540.42404141488851</v>
      </c>
      <c r="L375" s="89">
        <f t="shared" si="44"/>
        <v>23.247022205325319</v>
      </c>
      <c r="M375" s="89" t="str">
        <f t="shared" si="45"/>
        <v>NG</v>
      </c>
      <c r="N375" s="117">
        <f t="shared" si="46"/>
        <v>1</v>
      </c>
      <c r="O375" s="89">
        <f t="shared" si="41"/>
        <v>1.4299999999999997</v>
      </c>
      <c r="P375" s="89">
        <f>IF(G375="","",ABS(O375-Components!$C$2))</f>
        <v>1.3233333333333301</v>
      </c>
      <c r="Q375" s="89">
        <f>IF(G375="","",ABS(O375-Components!$C$3))</f>
        <v>2.6059999999999999</v>
      </c>
      <c r="R375" s="89">
        <f>IF(G375="","",ABS(O375-Components!$C$4))</f>
        <v>0.43666666666666676</v>
      </c>
      <c r="S375" s="89">
        <f>IF(G375="","",ABS(O375-Components!$C$5))</f>
        <v>3.1326666666666707</v>
      </c>
      <c r="T375" s="89">
        <f>IF(G375="","",ABS(O375-Components!$C$6))</f>
        <v>0.27433333333332977</v>
      </c>
      <c r="U375" s="89">
        <f>IF(G375="","",ABS(O375-Components!$C$7))</f>
        <v>5.566666666666964E-2</v>
      </c>
      <c r="V375" s="89" t="str">
        <f>IF(G375="","",IF(M375="OK","NONE",INDEX({"S1","S2","W1","W2","N1","N2"},MATCH(MIN(P375:U375),P375:U375,0))))</f>
        <v>N2</v>
      </c>
      <c r="W375" s="139">
        <f t="shared" si="47"/>
        <v>1</v>
      </c>
      <c r="X375" s="125"/>
    </row>
    <row r="376" spans="1:24" ht="15.75">
      <c r="A376" s="115">
        <v>362</v>
      </c>
      <c r="B376" s="135">
        <f>'Runs Z-Score'!B364</f>
        <v>13</v>
      </c>
      <c r="C376" s="89" t="str">
        <f>'Runs Z-Score'!C364</f>
        <v>R6</v>
      </c>
      <c r="D376" s="89" t="str">
        <f>'Runs Z-Score'!D364</f>
        <v>NG</v>
      </c>
      <c r="E376" s="89" t="str">
        <f>'Runs Z-Score'!E364</f>
        <v>N2</v>
      </c>
      <c r="F376" s="89">
        <f>'Runs Z-Score'!F364</f>
        <v>7.27</v>
      </c>
      <c r="G376" s="89">
        <f t="shared" si="40"/>
        <v>8.24</v>
      </c>
      <c r="H376" s="89">
        <v>9.61</v>
      </c>
      <c r="I376" s="89">
        <f>VLOOKUP(C376,Recipes!$A$2:$N$4,12,FALSE())</f>
        <v>6.1509461004819709E-2</v>
      </c>
      <c r="J376" s="89">
        <f t="shared" si="42"/>
        <v>496.08636608062517</v>
      </c>
      <c r="K376" s="89">
        <f t="shared" si="43"/>
        <v>496.01969941395851</v>
      </c>
      <c r="L376" s="89">
        <f t="shared" si="44"/>
        <v>22.271499711828085</v>
      </c>
      <c r="M376" s="89" t="str">
        <f t="shared" si="45"/>
        <v>NG</v>
      </c>
      <c r="N376" s="117">
        <f t="shared" si="46"/>
        <v>1</v>
      </c>
      <c r="O376" s="89">
        <f t="shared" si="41"/>
        <v>1.3699999999999992</v>
      </c>
      <c r="P376" s="89">
        <f>IF(G376="","",ABS(O376-Components!$C$2))</f>
        <v>1.3833333333333306</v>
      </c>
      <c r="Q376" s="89">
        <f>IF(G376="","",ABS(O376-Components!$C$3))</f>
        <v>2.6660000000000004</v>
      </c>
      <c r="R376" s="89">
        <f>IF(G376="","",ABS(O376-Components!$C$4))</f>
        <v>0.37666666666666626</v>
      </c>
      <c r="S376" s="89">
        <f>IF(G376="","",ABS(O376-Components!$C$5))</f>
        <v>3.1926666666666712</v>
      </c>
      <c r="T376" s="89">
        <f>IF(G376="","",ABS(O376-Components!$C$6))</f>
        <v>0.21433333333332927</v>
      </c>
      <c r="U376" s="89">
        <f>IF(G376="","",ABS(O376-Components!$C$7))</f>
        <v>4.3333333333308577E-3</v>
      </c>
      <c r="V376" s="89" t="str">
        <f>IF(G376="","",IF(M376="OK","NONE",INDEX({"S1","S2","W1","W2","N1","N2"},MATCH(MIN(P376:U376),P376:U376,0))))</f>
        <v>N2</v>
      </c>
      <c r="W376" s="139">
        <f t="shared" si="47"/>
        <v>1</v>
      </c>
      <c r="X376" s="125"/>
    </row>
    <row r="377" spans="1:24" ht="15.75">
      <c r="A377" s="115">
        <v>363</v>
      </c>
      <c r="B377" s="135">
        <f>'Runs Z-Score'!B365</f>
        <v>13</v>
      </c>
      <c r="C377" s="89" t="str">
        <f>'Runs Z-Score'!C365</f>
        <v>R6</v>
      </c>
      <c r="D377" s="89" t="str">
        <f>'Runs Z-Score'!D365</f>
        <v>NG</v>
      </c>
      <c r="E377" s="89" t="str">
        <f>'Runs Z-Score'!E365</f>
        <v>N2</v>
      </c>
      <c r="F377" s="89">
        <f>'Runs Z-Score'!F365</f>
        <v>7.3</v>
      </c>
      <c r="G377" s="89">
        <f t="shared" si="40"/>
        <v>8.27</v>
      </c>
      <c r="H377" s="89">
        <v>9.61</v>
      </c>
      <c r="I377" s="89">
        <f>VLOOKUP(C377,Recipes!$A$2:$N$4,12,FALSE())</f>
        <v>6.1509461004819709E-2</v>
      </c>
      <c r="J377" s="89">
        <f t="shared" si="42"/>
        <v>474.59783629088997</v>
      </c>
      <c r="K377" s="89">
        <f t="shared" si="43"/>
        <v>474.53116962422331</v>
      </c>
      <c r="L377" s="89">
        <f t="shared" si="44"/>
        <v>21.783736355919828</v>
      </c>
      <c r="M377" s="89" t="str">
        <f t="shared" si="45"/>
        <v>NG</v>
      </c>
      <c r="N377" s="117">
        <f t="shared" si="46"/>
        <v>1</v>
      </c>
      <c r="O377" s="89">
        <f t="shared" si="41"/>
        <v>1.3399999999999999</v>
      </c>
      <c r="P377" s="89">
        <f>IF(G377="","",ABS(O377-Components!$C$2))</f>
        <v>1.41333333333333</v>
      </c>
      <c r="Q377" s="89">
        <f>IF(G377="","",ABS(O377-Components!$C$3))</f>
        <v>2.6959999999999997</v>
      </c>
      <c r="R377" s="89">
        <f>IF(G377="","",ABS(O377-Components!$C$4))</f>
        <v>0.3466666666666669</v>
      </c>
      <c r="S377" s="89">
        <f>IF(G377="","",ABS(O377-Components!$C$5))</f>
        <v>3.2226666666666706</v>
      </c>
      <c r="T377" s="89">
        <f>IF(G377="","",ABS(O377-Components!$C$6))</f>
        <v>0.18433333333332991</v>
      </c>
      <c r="U377" s="89">
        <f>IF(G377="","",ABS(O377-Components!$C$7))</f>
        <v>3.4333333333330218E-2</v>
      </c>
      <c r="V377" s="89" t="str">
        <f>IF(G377="","",IF(M377="OK","NONE",INDEX({"S1","S2","W1","W2","N1","N2"},MATCH(MIN(P377:U377),P377:U377,0))))</f>
        <v>N2</v>
      </c>
      <c r="W377" s="139">
        <f t="shared" si="47"/>
        <v>1</v>
      </c>
      <c r="X377" s="125"/>
    </row>
    <row r="378" spans="1:24" ht="15.75">
      <c r="A378" s="115">
        <v>364</v>
      </c>
      <c r="B378" s="135">
        <f>'Runs Z-Score'!B366</f>
        <v>13</v>
      </c>
      <c r="C378" s="89" t="str">
        <f>'Runs Z-Score'!C366</f>
        <v>R6</v>
      </c>
      <c r="D378" s="89" t="str">
        <f>'Runs Z-Score'!D366</f>
        <v>NG</v>
      </c>
      <c r="E378" s="89" t="str">
        <f>'Runs Z-Score'!E366</f>
        <v>N2</v>
      </c>
      <c r="F378" s="89">
        <f>'Runs Z-Score'!F366</f>
        <v>7.31</v>
      </c>
      <c r="G378" s="89">
        <f t="shared" si="40"/>
        <v>8.2799999999999994</v>
      </c>
      <c r="H378" s="89">
        <v>9.61</v>
      </c>
      <c r="I378" s="89">
        <f>VLOOKUP(C378,Recipes!$A$2:$N$4,12,FALSE())</f>
        <v>6.1509461004819709E-2</v>
      </c>
      <c r="J378" s="89">
        <f t="shared" si="42"/>
        <v>467.54071765145665</v>
      </c>
      <c r="K378" s="89">
        <f t="shared" si="43"/>
        <v>467.47405098478998</v>
      </c>
      <c r="L378" s="89">
        <f t="shared" si="44"/>
        <v>21.621148234651876</v>
      </c>
      <c r="M378" s="89" t="str">
        <f t="shared" si="45"/>
        <v>NG</v>
      </c>
      <c r="N378" s="117">
        <f t="shared" si="46"/>
        <v>1</v>
      </c>
      <c r="O378" s="89">
        <f t="shared" si="41"/>
        <v>1.33</v>
      </c>
      <c r="P378" s="89">
        <f>IF(G378="","",ABS(O378-Components!$C$2))</f>
        <v>1.4233333333333298</v>
      </c>
      <c r="Q378" s="89">
        <f>IF(G378="","",ABS(O378-Components!$C$3))</f>
        <v>2.7059999999999995</v>
      </c>
      <c r="R378" s="89">
        <f>IF(G378="","",ABS(O378-Components!$C$4))</f>
        <v>0.33666666666666711</v>
      </c>
      <c r="S378" s="89">
        <f>IF(G378="","",ABS(O378-Components!$C$5))</f>
        <v>3.2326666666666704</v>
      </c>
      <c r="T378" s="89">
        <f>IF(G378="","",ABS(O378-Components!$C$6))</f>
        <v>0.17433333333333012</v>
      </c>
      <c r="U378" s="89">
        <f>IF(G378="","",ABS(O378-Components!$C$7))</f>
        <v>4.4333333333330005E-2</v>
      </c>
      <c r="V378" s="89" t="str">
        <f>IF(G378="","",IF(M378="OK","NONE",INDEX({"S1","S2","W1","W2","N1","N2"},MATCH(MIN(P378:U378),P378:U378,0))))</f>
        <v>N2</v>
      </c>
      <c r="W378" s="139">
        <f t="shared" si="47"/>
        <v>1</v>
      </c>
      <c r="X378" s="125"/>
    </row>
    <row r="379" spans="1:24" ht="15.75">
      <c r="A379" s="115">
        <v>365</v>
      </c>
      <c r="B379" s="135">
        <f>'Runs Z-Score'!B367</f>
        <v>13</v>
      </c>
      <c r="C379" s="89" t="str">
        <f>'Runs Z-Score'!C367</f>
        <v>R6</v>
      </c>
      <c r="D379" s="89" t="str">
        <f>'Runs Z-Score'!D367</f>
        <v>NG</v>
      </c>
      <c r="E379" s="89" t="str">
        <f>'Runs Z-Score'!E367</f>
        <v>N2</v>
      </c>
      <c r="F379" s="89">
        <f>'Runs Z-Score'!F367</f>
        <v>7.17</v>
      </c>
      <c r="G379" s="89">
        <f t="shared" si="40"/>
        <v>8.14</v>
      </c>
      <c r="H379" s="89">
        <v>9.61</v>
      </c>
      <c r="I379" s="89">
        <f>VLOOKUP(C379,Recipes!$A$2:$N$4,12,FALSE())</f>
        <v>6.1509461004819709E-2</v>
      </c>
      <c r="J379" s="89">
        <f t="shared" si="42"/>
        <v>571.15084898695864</v>
      </c>
      <c r="K379" s="89">
        <f t="shared" si="43"/>
        <v>571.08418232029192</v>
      </c>
      <c r="L379" s="89">
        <f t="shared" si="44"/>
        <v>23.897367686008682</v>
      </c>
      <c r="M379" s="89" t="str">
        <f t="shared" si="45"/>
        <v>NG</v>
      </c>
      <c r="N379" s="117">
        <f t="shared" si="46"/>
        <v>1</v>
      </c>
      <c r="O379" s="89">
        <f t="shared" si="41"/>
        <v>1.4699999999999989</v>
      </c>
      <c r="P379" s="89">
        <f>IF(G379="","",ABS(O379-Components!$C$2))</f>
        <v>1.283333333333331</v>
      </c>
      <c r="Q379" s="89">
        <f>IF(G379="","",ABS(O379-Components!$C$3))</f>
        <v>2.5660000000000007</v>
      </c>
      <c r="R379" s="89">
        <f>IF(G379="","",ABS(O379-Components!$C$4))</f>
        <v>0.47666666666666591</v>
      </c>
      <c r="S379" s="89">
        <f>IF(G379="","",ABS(O379-Components!$C$5))</f>
        <v>3.0926666666666716</v>
      </c>
      <c r="T379" s="89">
        <f>IF(G379="","",ABS(O379-Components!$C$6))</f>
        <v>0.31433333333332891</v>
      </c>
      <c r="U379" s="89">
        <f>IF(G379="","",ABS(O379-Components!$C$7))</f>
        <v>9.5666666666668787E-2</v>
      </c>
      <c r="V379" s="89" t="str">
        <f>IF(G379="","",IF(M379="OK","NONE",INDEX({"S1","S2","W1","W2","N1","N2"},MATCH(MIN(P379:U379),P379:U379,0))))</f>
        <v>N2</v>
      </c>
      <c r="W379" s="139">
        <f t="shared" si="47"/>
        <v>1</v>
      </c>
      <c r="X379" s="125"/>
    </row>
    <row r="380" spans="1:24" ht="15.75">
      <c r="A380" s="115">
        <v>366</v>
      </c>
      <c r="B380" s="135">
        <f>'Runs Z-Score'!B368</f>
        <v>13</v>
      </c>
      <c r="C380" s="89" t="str">
        <f>'Runs Z-Score'!C368</f>
        <v>R6</v>
      </c>
      <c r="D380" s="89" t="str">
        <f>'Runs Z-Score'!D368</f>
        <v>NG</v>
      </c>
      <c r="E380" s="89" t="str">
        <f>'Runs Z-Score'!E368</f>
        <v>N2</v>
      </c>
      <c r="F380" s="89">
        <f>'Runs Z-Score'!F368</f>
        <v>7.23</v>
      </c>
      <c r="G380" s="89">
        <f t="shared" si="40"/>
        <v>8.2000000000000011</v>
      </c>
      <c r="H380" s="89">
        <v>9.61</v>
      </c>
      <c r="I380" s="89">
        <f>VLOOKUP(C380,Recipes!$A$2:$N$4,12,FALSE())</f>
        <v>6.1509461004819709E-2</v>
      </c>
      <c r="J380" s="89">
        <f t="shared" si="42"/>
        <v>525.47781150028743</v>
      </c>
      <c r="K380" s="89">
        <f t="shared" si="43"/>
        <v>525.41114483362071</v>
      </c>
      <c r="L380" s="89">
        <f t="shared" si="44"/>
        <v>22.921848634733209</v>
      </c>
      <c r="M380" s="89" t="str">
        <f t="shared" si="45"/>
        <v>NG</v>
      </c>
      <c r="N380" s="117">
        <f t="shared" si="46"/>
        <v>1</v>
      </c>
      <c r="O380" s="89">
        <f t="shared" si="41"/>
        <v>1.4099999999999984</v>
      </c>
      <c r="P380" s="89">
        <f>IF(G380="","",ABS(O380-Components!$C$2))</f>
        <v>1.3433333333333315</v>
      </c>
      <c r="Q380" s="89">
        <f>IF(G380="","",ABS(O380-Components!$C$3))</f>
        <v>2.6260000000000012</v>
      </c>
      <c r="R380" s="89">
        <f>IF(G380="","",ABS(O380-Components!$C$4))</f>
        <v>0.41666666666666541</v>
      </c>
      <c r="S380" s="89">
        <f>IF(G380="","",ABS(O380-Components!$C$5))</f>
        <v>3.1526666666666721</v>
      </c>
      <c r="T380" s="89">
        <f>IF(G380="","",ABS(O380-Components!$C$6))</f>
        <v>0.25433333333332842</v>
      </c>
      <c r="U380" s="89">
        <f>IF(G380="","",ABS(O380-Components!$C$7))</f>
        <v>3.566666666666829E-2</v>
      </c>
      <c r="V380" s="89" t="str">
        <f>IF(G380="","",IF(M380="OK","NONE",INDEX({"S1","S2","W1","W2","N1","N2"},MATCH(MIN(P380:U380),P380:U380,0))))</f>
        <v>N2</v>
      </c>
      <c r="W380" s="139">
        <f t="shared" si="47"/>
        <v>1</v>
      </c>
      <c r="X380" s="125"/>
    </row>
    <row r="381" spans="1:24" ht="15.75">
      <c r="A381" s="115">
        <v>367</v>
      </c>
      <c r="B381" s="135">
        <f>'Runs Z-Score'!B369</f>
        <v>13</v>
      </c>
      <c r="C381" s="89" t="str">
        <f>'Runs Z-Score'!C369</f>
        <v>R6</v>
      </c>
      <c r="D381" s="89" t="str">
        <f>'Runs Z-Score'!D369</f>
        <v>NG</v>
      </c>
      <c r="E381" s="89" t="str">
        <f>'Runs Z-Score'!E369</f>
        <v>N2</v>
      </c>
      <c r="F381" s="89">
        <f>'Runs Z-Score'!F369</f>
        <v>7.23</v>
      </c>
      <c r="G381" s="89">
        <f t="shared" si="40"/>
        <v>8.2000000000000011</v>
      </c>
      <c r="H381" s="89">
        <v>9.61</v>
      </c>
      <c r="I381" s="89">
        <f>VLOOKUP(C381,Recipes!$A$2:$N$4,12,FALSE())</f>
        <v>6.1509461004819709E-2</v>
      </c>
      <c r="J381" s="89">
        <f t="shared" si="42"/>
        <v>525.47781150028743</v>
      </c>
      <c r="K381" s="89">
        <f t="shared" si="43"/>
        <v>525.41114483362071</v>
      </c>
      <c r="L381" s="89">
        <f t="shared" si="44"/>
        <v>22.921848634733209</v>
      </c>
      <c r="M381" s="89" t="str">
        <f t="shared" si="45"/>
        <v>NG</v>
      </c>
      <c r="N381" s="117">
        <f t="shared" si="46"/>
        <v>1</v>
      </c>
      <c r="O381" s="89">
        <f t="shared" si="41"/>
        <v>1.4099999999999984</v>
      </c>
      <c r="P381" s="89">
        <f>IF(G381="","",ABS(O381-Components!$C$2))</f>
        <v>1.3433333333333315</v>
      </c>
      <c r="Q381" s="89">
        <f>IF(G381="","",ABS(O381-Components!$C$3))</f>
        <v>2.6260000000000012</v>
      </c>
      <c r="R381" s="89">
        <f>IF(G381="","",ABS(O381-Components!$C$4))</f>
        <v>0.41666666666666541</v>
      </c>
      <c r="S381" s="89">
        <f>IF(G381="","",ABS(O381-Components!$C$5))</f>
        <v>3.1526666666666721</v>
      </c>
      <c r="T381" s="89">
        <f>IF(G381="","",ABS(O381-Components!$C$6))</f>
        <v>0.25433333333332842</v>
      </c>
      <c r="U381" s="89">
        <f>IF(G381="","",ABS(O381-Components!$C$7))</f>
        <v>3.566666666666829E-2</v>
      </c>
      <c r="V381" s="89" t="str">
        <f>IF(G381="","",IF(M381="OK","NONE",INDEX({"S1","S2","W1","W2","N1","N2"},MATCH(MIN(P381:U381),P381:U381,0))))</f>
        <v>N2</v>
      </c>
      <c r="W381" s="139">
        <f t="shared" si="47"/>
        <v>1</v>
      </c>
      <c r="X381" s="125"/>
    </row>
    <row r="382" spans="1:24" ht="15.75">
      <c r="A382" s="115">
        <v>368</v>
      </c>
      <c r="B382" s="135">
        <f>'Runs Z-Score'!B370</f>
        <v>13</v>
      </c>
      <c r="C382" s="89" t="str">
        <f>'Runs Z-Score'!C370</f>
        <v>R6</v>
      </c>
      <c r="D382" s="89" t="str">
        <f>'Runs Z-Score'!D370</f>
        <v>NG</v>
      </c>
      <c r="E382" s="89" t="str">
        <f>'Runs Z-Score'!E370</f>
        <v>N2</v>
      </c>
      <c r="F382" s="89">
        <f>'Runs Z-Score'!F370</f>
        <v>7.3</v>
      </c>
      <c r="G382" s="89">
        <f t="shared" si="40"/>
        <v>8.27</v>
      </c>
      <c r="H382" s="89">
        <v>9.61</v>
      </c>
      <c r="I382" s="89">
        <f>VLOOKUP(C382,Recipes!$A$2:$N$4,12,FALSE())</f>
        <v>6.1509461004819709E-2</v>
      </c>
      <c r="J382" s="89">
        <f t="shared" si="42"/>
        <v>474.59783629088997</v>
      </c>
      <c r="K382" s="89">
        <f t="shared" si="43"/>
        <v>474.53116962422331</v>
      </c>
      <c r="L382" s="89">
        <f t="shared" si="44"/>
        <v>21.783736355919828</v>
      </c>
      <c r="M382" s="89" t="str">
        <f t="shared" si="45"/>
        <v>NG</v>
      </c>
      <c r="N382" s="117">
        <f t="shared" si="46"/>
        <v>1</v>
      </c>
      <c r="O382" s="89">
        <f t="shared" si="41"/>
        <v>1.3399999999999999</v>
      </c>
      <c r="P382" s="89">
        <f>IF(G382="","",ABS(O382-Components!$C$2))</f>
        <v>1.41333333333333</v>
      </c>
      <c r="Q382" s="89">
        <f>IF(G382="","",ABS(O382-Components!$C$3))</f>
        <v>2.6959999999999997</v>
      </c>
      <c r="R382" s="89">
        <f>IF(G382="","",ABS(O382-Components!$C$4))</f>
        <v>0.3466666666666669</v>
      </c>
      <c r="S382" s="89">
        <f>IF(G382="","",ABS(O382-Components!$C$5))</f>
        <v>3.2226666666666706</v>
      </c>
      <c r="T382" s="89">
        <f>IF(G382="","",ABS(O382-Components!$C$6))</f>
        <v>0.18433333333332991</v>
      </c>
      <c r="U382" s="89">
        <f>IF(G382="","",ABS(O382-Components!$C$7))</f>
        <v>3.4333333333330218E-2</v>
      </c>
      <c r="V382" s="89" t="str">
        <f>IF(G382="","",IF(M382="OK","NONE",INDEX({"S1","S2","W1","W2","N1","N2"},MATCH(MIN(P382:U382),P382:U382,0))))</f>
        <v>N2</v>
      </c>
      <c r="W382" s="139">
        <f t="shared" si="47"/>
        <v>1</v>
      </c>
      <c r="X382" s="125"/>
    </row>
    <row r="383" spans="1:24" ht="15.75">
      <c r="A383" s="115">
        <v>369</v>
      </c>
      <c r="B383" s="135">
        <f>'Runs Z-Score'!B371</f>
        <v>13</v>
      </c>
      <c r="C383" s="89" t="str">
        <f>'Runs Z-Score'!C371</f>
        <v>R6</v>
      </c>
      <c r="D383" s="89" t="str">
        <f>'Runs Z-Score'!D371</f>
        <v>NG</v>
      </c>
      <c r="E383" s="89" t="str">
        <f>'Runs Z-Score'!E371</f>
        <v>N2</v>
      </c>
      <c r="F383" s="89">
        <f>'Runs Z-Score'!F371</f>
        <v>7.25</v>
      </c>
      <c r="G383" s="89">
        <f t="shared" si="40"/>
        <v>8.2200000000000006</v>
      </c>
      <c r="H383" s="89">
        <v>9.61</v>
      </c>
      <c r="I383" s="89">
        <f>VLOOKUP(C383,Recipes!$A$2:$N$4,12,FALSE())</f>
        <v>6.1509461004819709E-2</v>
      </c>
      <c r="J383" s="89">
        <f t="shared" si="42"/>
        <v>510.67636416664465</v>
      </c>
      <c r="K383" s="89">
        <f t="shared" si="43"/>
        <v>510.60969749997798</v>
      </c>
      <c r="L383" s="89">
        <f t="shared" si="44"/>
        <v>22.596674478780677</v>
      </c>
      <c r="M383" s="89" t="str">
        <f t="shared" si="45"/>
        <v>NG</v>
      </c>
      <c r="N383" s="117">
        <f t="shared" si="46"/>
        <v>1</v>
      </c>
      <c r="O383" s="89">
        <f t="shared" si="41"/>
        <v>1.3899999999999988</v>
      </c>
      <c r="P383" s="89">
        <f>IF(G383="","",ABS(O383-Components!$C$2))</f>
        <v>1.3633333333333311</v>
      </c>
      <c r="Q383" s="89">
        <f>IF(G383="","",ABS(O383-Components!$C$3))</f>
        <v>2.6460000000000008</v>
      </c>
      <c r="R383" s="89">
        <f>IF(G383="","",ABS(O383-Components!$C$4))</f>
        <v>0.39666666666666583</v>
      </c>
      <c r="S383" s="89">
        <f>IF(G383="","",ABS(O383-Components!$C$5))</f>
        <v>3.1726666666666716</v>
      </c>
      <c r="T383" s="89">
        <f>IF(G383="","",ABS(O383-Components!$C$6))</f>
        <v>0.23433333333332884</v>
      </c>
      <c r="U383" s="89">
        <f>IF(G383="","",ABS(O383-Components!$C$7))</f>
        <v>1.5666666666668716E-2</v>
      </c>
      <c r="V383" s="89" t="str">
        <f>IF(G383="","",IF(M383="OK","NONE",INDEX({"S1","S2","W1","W2","N1","N2"},MATCH(MIN(P383:U383),P383:U383,0))))</f>
        <v>N2</v>
      </c>
      <c r="W383" s="139">
        <f t="shared" si="47"/>
        <v>1</v>
      </c>
      <c r="X383" s="125"/>
    </row>
    <row r="384" spans="1:24" ht="15.75">
      <c r="A384" s="115">
        <v>370</v>
      </c>
      <c r="B384" s="135">
        <f>'Runs Z-Score'!B372</f>
        <v>13</v>
      </c>
      <c r="C384" s="89" t="str">
        <f>'Runs Z-Score'!C372</f>
        <v>R6</v>
      </c>
      <c r="D384" s="89" t="str">
        <f>'Runs Z-Score'!D372</f>
        <v>NG</v>
      </c>
      <c r="E384" s="89" t="str">
        <f>'Runs Z-Score'!E372</f>
        <v>N2</v>
      </c>
      <c r="F384" s="89">
        <f>'Runs Z-Score'!F372</f>
        <v>7.25</v>
      </c>
      <c r="G384" s="89">
        <f t="shared" si="40"/>
        <v>8.2200000000000006</v>
      </c>
      <c r="H384" s="89">
        <v>9.61</v>
      </c>
      <c r="I384" s="89">
        <f>VLOOKUP(C384,Recipes!$A$2:$N$4,12,FALSE())</f>
        <v>6.1509461004819709E-2</v>
      </c>
      <c r="J384" s="89">
        <f t="shared" si="42"/>
        <v>510.67636416664465</v>
      </c>
      <c r="K384" s="89">
        <f t="shared" si="43"/>
        <v>510.60969749997798</v>
      </c>
      <c r="L384" s="89">
        <f t="shared" si="44"/>
        <v>22.596674478780677</v>
      </c>
      <c r="M384" s="89" t="str">
        <f t="shared" si="45"/>
        <v>NG</v>
      </c>
      <c r="N384" s="117">
        <f t="shared" si="46"/>
        <v>1</v>
      </c>
      <c r="O384" s="89">
        <f t="shared" si="41"/>
        <v>1.3899999999999988</v>
      </c>
      <c r="P384" s="89">
        <f>IF(G384="","",ABS(O384-Components!$C$2))</f>
        <v>1.3633333333333311</v>
      </c>
      <c r="Q384" s="89">
        <f>IF(G384="","",ABS(O384-Components!$C$3))</f>
        <v>2.6460000000000008</v>
      </c>
      <c r="R384" s="89">
        <f>IF(G384="","",ABS(O384-Components!$C$4))</f>
        <v>0.39666666666666583</v>
      </c>
      <c r="S384" s="89">
        <f>IF(G384="","",ABS(O384-Components!$C$5))</f>
        <v>3.1726666666666716</v>
      </c>
      <c r="T384" s="89">
        <f>IF(G384="","",ABS(O384-Components!$C$6))</f>
        <v>0.23433333333332884</v>
      </c>
      <c r="U384" s="89">
        <f>IF(G384="","",ABS(O384-Components!$C$7))</f>
        <v>1.5666666666668716E-2</v>
      </c>
      <c r="V384" s="89" t="str">
        <f>IF(G384="","",IF(M384="OK","NONE",INDEX({"S1","S2","W1","W2","N1","N2"},MATCH(MIN(P384:U384),P384:U384,0))))</f>
        <v>N2</v>
      </c>
      <c r="W384" s="139">
        <f t="shared" si="47"/>
        <v>1</v>
      </c>
      <c r="X384" s="125"/>
    </row>
    <row r="385" spans="1:24" ht="15.75">
      <c r="A385" s="115">
        <v>371</v>
      </c>
      <c r="B385" s="135">
        <f>'Runs Z-Score'!B373</f>
        <v>13</v>
      </c>
      <c r="C385" s="89" t="str">
        <f>'Runs Z-Score'!C373</f>
        <v>R6</v>
      </c>
      <c r="D385" s="89" t="str">
        <f>'Runs Z-Score'!D373</f>
        <v>NG</v>
      </c>
      <c r="E385" s="89" t="str">
        <f>'Runs Z-Score'!E373</f>
        <v>N2</v>
      </c>
      <c r="F385" s="89">
        <f>'Runs Z-Score'!F373</f>
        <v>7.19</v>
      </c>
      <c r="G385" s="89">
        <f t="shared" si="40"/>
        <v>8.16</v>
      </c>
      <c r="H385" s="89">
        <v>9.61</v>
      </c>
      <c r="I385" s="89">
        <f>VLOOKUP(C385,Recipes!$A$2:$N$4,12,FALSE())</f>
        <v>6.1509461004819709E-2</v>
      </c>
      <c r="J385" s="89">
        <f t="shared" si="42"/>
        <v>555.71505391044514</v>
      </c>
      <c r="K385" s="89">
        <f t="shared" si="43"/>
        <v>555.64838724377842</v>
      </c>
      <c r="L385" s="89">
        <f t="shared" si="44"/>
        <v>23.572195214781726</v>
      </c>
      <c r="M385" s="89" t="str">
        <f t="shared" si="45"/>
        <v>NG</v>
      </c>
      <c r="N385" s="117">
        <f t="shared" si="46"/>
        <v>1</v>
      </c>
      <c r="O385" s="89">
        <f t="shared" si="41"/>
        <v>1.4499999999999993</v>
      </c>
      <c r="P385" s="89">
        <f>IF(G385="","",ABS(O385-Components!$C$2))</f>
        <v>1.3033333333333306</v>
      </c>
      <c r="Q385" s="89">
        <f>IF(G385="","",ABS(O385-Components!$C$3))</f>
        <v>2.5860000000000003</v>
      </c>
      <c r="R385" s="89">
        <f>IF(G385="","",ABS(O385-Components!$C$4))</f>
        <v>0.45666666666666633</v>
      </c>
      <c r="S385" s="89">
        <f>IF(G385="","",ABS(O385-Components!$C$5))</f>
        <v>3.1126666666666711</v>
      </c>
      <c r="T385" s="89">
        <f>IF(G385="","",ABS(O385-Components!$C$6))</f>
        <v>0.29433333333332934</v>
      </c>
      <c r="U385" s="89">
        <f>IF(G385="","",ABS(O385-Components!$C$7))</f>
        <v>7.5666666666669213E-2</v>
      </c>
      <c r="V385" s="89" t="str">
        <f>IF(G385="","",IF(M385="OK","NONE",INDEX({"S1","S2","W1","W2","N1","N2"},MATCH(MIN(P385:U385),P385:U385,0))))</f>
        <v>N2</v>
      </c>
      <c r="W385" s="139">
        <f t="shared" si="47"/>
        <v>1</v>
      </c>
      <c r="X385" s="125"/>
    </row>
    <row r="386" spans="1:24" ht="15.75">
      <c r="A386" s="115">
        <v>372</v>
      </c>
      <c r="B386" s="135">
        <f>'Runs Z-Score'!B374</f>
        <v>13</v>
      </c>
      <c r="C386" s="89" t="str">
        <f>'Runs Z-Score'!C374</f>
        <v>R6</v>
      </c>
      <c r="D386" s="89" t="str">
        <f>'Runs Z-Score'!D374</f>
        <v>NG</v>
      </c>
      <c r="E386" s="89" t="str">
        <f>'Runs Z-Score'!E374</f>
        <v>N2</v>
      </c>
      <c r="F386" s="89">
        <f>'Runs Z-Score'!F374</f>
        <v>7.26</v>
      </c>
      <c r="G386" s="89">
        <f t="shared" si="40"/>
        <v>8.23</v>
      </c>
      <c r="H386" s="89">
        <v>9.61</v>
      </c>
      <c r="I386" s="89">
        <f>VLOOKUP(C386,Recipes!$A$2:$N$4,12,FALSE())</f>
        <v>6.1509461004819709E-2</v>
      </c>
      <c r="J386" s="89">
        <f t="shared" si="42"/>
        <v>503.35493396768186</v>
      </c>
      <c r="K386" s="89">
        <f t="shared" si="43"/>
        <v>503.2882673010152</v>
      </c>
      <c r="L386" s="89">
        <f t="shared" si="44"/>
        <v>22.434087173339929</v>
      </c>
      <c r="M386" s="89" t="str">
        <f t="shared" si="45"/>
        <v>NG</v>
      </c>
      <c r="N386" s="117">
        <f t="shared" si="46"/>
        <v>1</v>
      </c>
      <c r="O386" s="89">
        <f t="shared" si="41"/>
        <v>1.379999999999999</v>
      </c>
      <c r="P386" s="89">
        <f>IF(G386="","",ABS(O386-Components!$C$2))</f>
        <v>1.3733333333333309</v>
      </c>
      <c r="Q386" s="89">
        <f>IF(G386="","",ABS(O386-Components!$C$3))</f>
        <v>2.6560000000000006</v>
      </c>
      <c r="R386" s="89">
        <f>IF(G386="","",ABS(O386-Components!$C$4))</f>
        <v>0.38666666666666605</v>
      </c>
      <c r="S386" s="89">
        <f>IF(G386="","",ABS(O386-Components!$C$5))</f>
        <v>3.1826666666666714</v>
      </c>
      <c r="T386" s="89">
        <f>IF(G386="","",ABS(O386-Components!$C$6))</f>
        <v>0.22433333333332905</v>
      </c>
      <c r="U386" s="89">
        <f>IF(G386="","",ABS(O386-Components!$C$7))</f>
        <v>5.6666666666689292E-3</v>
      </c>
      <c r="V386" s="89" t="str">
        <f>IF(G386="","",IF(M386="OK","NONE",INDEX({"S1","S2","W1","W2","N1","N2"},MATCH(MIN(P386:U386),P386:U386,0))))</f>
        <v>N2</v>
      </c>
      <c r="W386" s="139">
        <f t="shared" si="47"/>
        <v>1</v>
      </c>
      <c r="X386" s="125"/>
    </row>
    <row r="387" spans="1:24" ht="15.75">
      <c r="A387" s="115">
        <v>373</v>
      </c>
      <c r="B387" s="135">
        <f>'Runs Z-Score'!B375</f>
        <v>13</v>
      </c>
      <c r="C387" s="89" t="str">
        <f>'Runs Z-Score'!C375</f>
        <v>R6</v>
      </c>
      <c r="D387" s="89" t="str">
        <f>'Runs Z-Score'!D375</f>
        <v>NG</v>
      </c>
      <c r="E387" s="89" t="str">
        <f>'Runs Z-Score'!E375</f>
        <v>N2</v>
      </c>
      <c r="F387" s="89">
        <f>'Runs Z-Score'!F375</f>
        <v>7.23</v>
      </c>
      <c r="G387" s="89">
        <f t="shared" si="40"/>
        <v>8.2000000000000011</v>
      </c>
      <c r="H387" s="89">
        <v>9.61</v>
      </c>
      <c r="I387" s="89">
        <f>VLOOKUP(C387,Recipes!$A$2:$N$4,12,FALSE())</f>
        <v>6.1509461004819709E-2</v>
      </c>
      <c r="J387" s="89">
        <f t="shared" si="42"/>
        <v>525.47781150028743</v>
      </c>
      <c r="K387" s="89">
        <f t="shared" si="43"/>
        <v>525.41114483362071</v>
      </c>
      <c r="L387" s="89">
        <f t="shared" si="44"/>
        <v>22.921848634733209</v>
      </c>
      <c r="M387" s="89" t="str">
        <f t="shared" si="45"/>
        <v>NG</v>
      </c>
      <c r="N387" s="117">
        <f t="shared" si="46"/>
        <v>1</v>
      </c>
      <c r="O387" s="89">
        <f t="shared" si="41"/>
        <v>1.4099999999999984</v>
      </c>
      <c r="P387" s="89">
        <f>IF(G387="","",ABS(O387-Components!$C$2))</f>
        <v>1.3433333333333315</v>
      </c>
      <c r="Q387" s="89">
        <f>IF(G387="","",ABS(O387-Components!$C$3))</f>
        <v>2.6260000000000012</v>
      </c>
      <c r="R387" s="89">
        <f>IF(G387="","",ABS(O387-Components!$C$4))</f>
        <v>0.41666666666666541</v>
      </c>
      <c r="S387" s="89">
        <f>IF(G387="","",ABS(O387-Components!$C$5))</f>
        <v>3.1526666666666721</v>
      </c>
      <c r="T387" s="89">
        <f>IF(G387="","",ABS(O387-Components!$C$6))</f>
        <v>0.25433333333332842</v>
      </c>
      <c r="U387" s="89">
        <f>IF(G387="","",ABS(O387-Components!$C$7))</f>
        <v>3.566666666666829E-2</v>
      </c>
      <c r="V387" s="89" t="str">
        <f>IF(G387="","",IF(M387="OK","NONE",INDEX({"S1","S2","W1","W2","N1","N2"},MATCH(MIN(P387:U387),P387:U387,0))))</f>
        <v>N2</v>
      </c>
      <c r="W387" s="139">
        <f t="shared" si="47"/>
        <v>1</v>
      </c>
      <c r="X387" s="125"/>
    </row>
    <row r="388" spans="1:24" ht="15.75">
      <c r="A388" s="115">
        <v>374</v>
      </c>
      <c r="B388" s="135">
        <f>'Runs Z-Score'!B376</f>
        <v>13</v>
      </c>
      <c r="C388" s="89" t="str">
        <f>'Runs Z-Score'!C376</f>
        <v>R6</v>
      </c>
      <c r="D388" s="89" t="str">
        <f>'Runs Z-Score'!D376</f>
        <v>NG</v>
      </c>
      <c r="E388" s="89" t="str">
        <f>'Runs Z-Score'!E376</f>
        <v>N2</v>
      </c>
      <c r="F388" s="89">
        <f>'Runs Z-Score'!F376</f>
        <v>7.06</v>
      </c>
      <c r="G388" s="89">
        <f t="shared" si="40"/>
        <v>8.0299999999999994</v>
      </c>
      <c r="H388" s="89">
        <v>9.61</v>
      </c>
      <c r="I388" s="89">
        <f>VLOOKUP(C388,Recipes!$A$2:$N$4,12,FALSE())</f>
        <v>6.1509461004819709E-2</v>
      </c>
      <c r="J388" s="89">
        <f t="shared" si="42"/>
        <v>659.82737720905448</v>
      </c>
      <c r="K388" s="89">
        <f t="shared" si="43"/>
        <v>659.76071054238776</v>
      </c>
      <c r="L388" s="89">
        <f t="shared" si="44"/>
        <v>25.685807570376053</v>
      </c>
      <c r="M388" s="89" t="str">
        <f t="shared" si="45"/>
        <v>NG</v>
      </c>
      <c r="N388" s="117">
        <f t="shared" si="46"/>
        <v>1</v>
      </c>
      <c r="O388" s="89">
        <f t="shared" si="41"/>
        <v>1.58</v>
      </c>
      <c r="P388" s="89">
        <f>IF(G388="","",ABS(O388-Components!$C$2))</f>
        <v>1.1733333333333298</v>
      </c>
      <c r="Q388" s="89">
        <f>IF(G388="","",ABS(O388-Components!$C$3))</f>
        <v>2.4559999999999995</v>
      </c>
      <c r="R388" s="89">
        <f>IF(G388="","",ABS(O388-Components!$C$4))</f>
        <v>0.58666666666666711</v>
      </c>
      <c r="S388" s="89">
        <f>IF(G388="","",ABS(O388-Components!$C$5))</f>
        <v>2.9826666666666704</v>
      </c>
      <c r="T388" s="89">
        <f>IF(G388="","",ABS(O388-Components!$C$6))</f>
        <v>0.42433333333333012</v>
      </c>
      <c r="U388" s="89">
        <f>IF(G388="","",ABS(O388-Components!$C$7))</f>
        <v>0.20566666666666999</v>
      </c>
      <c r="V388" s="89" t="str">
        <f>IF(G388="","",IF(M388="OK","NONE",INDEX({"S1","S2","W1","W2","N1","N2"},MATCH(MIN(P388:U388),P388:U388,0))))</f>
        <v>N2</v>
      </c>
      <c r="W388" s="139">
        <f t="shared" si="47"/>
        <v>1</v>
      </c>
      <c r="X388" s="125"/>
    </row>
    <row r="389" spans="1:24" ht="15.75">
      <c r="A389" s="115">
        <v>375</v>
      </c>
      <c r="B389" s="135">
        <f>'Runs Z-Score'!B377</f>
        <v>13</v>
      </c>
      <c r="C389" s="89" t="str">
        <f>'Runs Z-Score'!C377</f>
        <v>R6</v>
      </c>
      <c r="D389" s="89" t="str">
        <f>'Runs Z-Score'!D377</f>
        <v>NG</v>
      </c>
      <c r="E389" s="89" t="str">
        <f>'Runs Z-Score'!E377</f>
        <v>N2</v>
      </c>
      <c r="F389" s="89">
        <f>'Runs Z-Score'!F377</f>
        <v>7.2</v>
      </c>
      <c r="G389" s="89">
        <f t="shared" si="40"/>
        <v>8.17</v>
      </c>
      <c r="H389" s="89">
        <v>9.61</v>
      </c>
      <c r="I389" s="89">
        <f>VLOOKUP(C389,Recipes!$A$2:$N$4,12,FALSE())</f>
        <v>6.1509461004819709E-2</v>
      </c>
      <c r="J389" s="89">
        <f t="shared" si="42"/>
        <v>548.07644984004742</v>
      </c>
      <c r="K389" s="89">
        <f t="shared" si="43"/>
        <v>548.0097831733807</v>
      </c>
      <c r="L389" s="89">
        <f t="shared" si="44"/>
        <v>23.409608778734015</v>
      </c>
      <c r="M389" s="89" t="str">
        <f t="shared" si="45"/>
        <v>NG</v>
      </c>
      <c r="N389" s="117">
        <f t="shared" si="46"/>
        <v>1</v>
      </c>
      <c r="O389" s="89">
        <f t="shared" si="41"/>
        <v>1.4399999999999995</v>
      </c>
      <c r="P389" s="89">
        <f>IF(G389="","",ABS(O389-Components!$C$2))</f>
        <v>1.3133333333333304</v>
      </c>
      <c r="Q389" s="89">
        <f>IF(G389="","",ABS(O389-Components!$C$3))</f>
        <v>2.5960000000000001</v>
      </c>
      <c r="R389" s="89">
        <f>IF(G389="","",ABS(O389-Components!$C$4))</f>
        <v>0.44666666666666655</v>
      </c>
      <c r="S389" s="89">
        <f>IF(G389="","",ABS(O389-Components!$C$5))</f>
        <v>3.1226666666666709</v>
      </c>
      <c r="T389" s="89">
        <f>IF(G389="","",ABS(O389-Components!$C$6))</f>
        <v>0.28433333333332955</v>
      </c>
      <c r="U389" s="89">
        <f>IF(G389="","",ABS(O389-Components!$C$7))</f>
        <v>6.5666666666669427E-2</v>
      </c>
      <c r="V389" s="89" t="str">
        <f>IF(G389="","",IF(M389="OK","NONE",INDEX({"S1","S2","W1","W2","N1","N2"},MATCH(MIN(P389:U389),P389:U389,0))))</f>
        <v>N2</v>
      </c>
      <c r="W389" s="139">
        <f t="shared" si="47"/>
        <v>1</v>
      </c>
      <c r="X389" s="125"/>
    </row>
    <row r="390" spans="1:24" ht="15.75">
      <c r="A390" s="115">
        <v>376</v>
      </c>
      <c r="B390" s="135">
        <f>'Runs Z-Score'!B378</f>
        <v>13</v>
      </c>
      <c r="C390" s="89" t="str">
        <f>'Runs Z-Score'!C378</f>
        <v>R6</v>
      </c>
      <c r="D390" s="89" t="str">
        <f>'Runs Z-Score'!D378</f>
        <v>NG</v>
      </c>
      <c r="E390" s="89" t="str">
        <f>'Runs Z-Score'!E378</f>
        <v>N2</v>
      </c>
      <c r="F390" s="89">
        <f>'Runs Z-Score'!F378</f>
        <v>7.21</v>
      </c>
      <c r="G390" s="89">
        <f t="shared" si="40"/>
        <v>8.18</v>
      </c>
      <c r="H390" s="89">
        <v>9.61</v>
      </c>
      <c r="I390" s="89">
        <f>VLOOKUP(C390,Recipes!$A$2:$N$4,12,FALSE())</f>
        <v>6.1509461004819709E-2</v>
      </c>
      <c r="J390" s="89">
        <f t="shared" si="42"/>
        <v>540.49070808155523</v>
      </c>
      <c r="K390" s="89">
        <f t="shared" si="43"/>
        <v>540.42404141488851</v>
      </c>
      <c r="L390" s="89">
        <f t="shared" si="44"/>
        <v>23.247022205325319</v>
      </c>
      <c r="M390" s="89" t="str">
        <f t="shared" si="45"/>
        <v>NG</v>
      </c>
      <c r="N390" s="117">
        <f t="shared" si="46"/>
        <v>1</v>
      </c>
      <c r="O390" s="89">
        <f t="shared" si="41"/>
        <v>1.4299999999999997</v>
      </c>
      <c r="P390" s="89">
        <f>IF(G390="","",ABS(O390-Components!$C$2))</f>
        <v>1.3233333333333301</v>
      </c>
      <c r="Q390" s="89">
        <f>IF(G390="","",ABS(O390-Components!$C$3))</f>
        <v>2.6059999999999999</v>
      </c>
      <c r="R390" s="89">
        <f>IF(G390="","",ABS(O390-Components!$C$4))</f>
        <v>0.43666666666666676</v>
      </c>
      <c r="S390" s="89">
        <f>IF(G390="","",ABS(O390-Components!$C$5))</f>
        <v>3.1326666666666707</v>
      </c>
      <c r="T390" s="89">
        <f>IF(G390="","",ABS(O390-Components!$C$6))</f>
        <v>0.27433333333332977</v>
      </c>
      <c r="U390" s="89">
        <f>IF(G390="","",ABS(O390-Components!$C$7))</f>
        <v>5.566666666666964E-2</v>
      </c>
      <c r="V390" s="89" t="str">
        <f>IF(G390="","",IF(M390="OK","NONE",INDEX({"S1","S2","W1","W2","N1","N2"},MATCH(MIN(P390:U390),P390:U390,0))))</f>
        <v>N2</v>
      </c>
      <c r="W390" s="139">
        <f t="shared" si="47"/>
        <v>1</v>
      </c>
      <c r="X390" s="125"/>
    </row>
    <row r="391" spans="1:24" ht="15.75">
      <c r="A391" s="115">
        <v>377</v>
      </c>
      <c r="B391" s="135">
        <f>'Runs Z-Score'!B379</f>
        <v>13</v>
      </c>
      <c r="C391" s="89" t="str">
        <f>'Runs Z-Score'!C379</f>
        <v>R6</v>
      </c>
      <c r="D391" s="89" t="str">
        <f>'Runs Z-Score'!D379</f>
        <v>NG</v>
      </c>
      <c r="E391" s="89" t="str">
        <f>'Runs Z-Score'!E379</f>
        <v>N2</v>
      </c>
      <c r="F391" s="89">
        <f>'Runs Z-Score'!F379</f>
        <v>7.22</v>
      </c>
      <c r="G391" s="89">
        <f t="shared" si="40"/>
        <v>8.19</v>
      </c>
      <c r="H391" s="89">
        <v>9.61</v>
      </c>
      <c r="I391" s="89">
        <f>VLOOKUP(C391,Recipes!$A$2:$N$4,12,FALSE())</f>
        <v>6.1509461004819709E-2</v>
      </c>
      <c r="J391" s="89">
        <f t="shared" si="42"/>
        <v>532.95782863496913</v>
      </c>
      <c r="K391" s="89">
        <f t="shared" si="43"/>
        <v>532.89116196830241</v>
      </c>
      <c r="L391" s="89">
        <f t="shared" si="44"/>
        <v>23.084435491653299</v>
      </c>
      <c r="M391" s="89" t="str">
        <f t="shared" si="45"/>
        <v>NG</v>
      </c>
      <c r="N391" s="117">
        <f t="shared" si="46"/>
        <v>1</v>
      </c>
      <c r="O391" s="89">
        <f t="shared" si="41"/>
        <v>1.42</v>
      </c>
      <c r="P391" s="89">
        <f>IF(G391="","",ABS(O391-Components!$C$2))</f>
        <v>1.3333333333333299</v>
      </c>
      <c r="Q391" s="89">
        <f>IF(G391="","",ABS(O391-Components!$C$3))</f>
        <v>2.6159999999999997</v>
      </c>
      <c r="R391" s="89">
        <f>IF(G391="","",ABS(O391-Components!$C$4))</f>
        <v>0.42666666666666697</v>
      </c>
      <c r="S391" s="89">
        <f>IF(G391="","",ABS(O391-Components!$C$5))</f>
        <v>3.1426666666666705</v>
      </c>
      <c r="T391" s="89">
        <f>IF(G391="","",ABS(O391-Components!$C$6))</f>
        <v>0.26433333333332998</v>
      </c>
      <c r="U391" s="89">
        <f>IF(G391="","",ABS(O391-Components!$C$7))</f>
        <v>4.5666666666669853E-2</v>
      </c>
      <c r="V391" s="89" t="str">
        <f>IF(G391="","",IF(M391="OK","NONE",INDEX({"S1","S2","W1","W2","N1","N2"},MATCH(MIN(P391:U391),P391:U391,0))))</f>
        <v>N2</v>
      </c>
      <c r="W391" s="139">
        <f t="shared" si="47"/>
        <v>1</v>
      </c>
      <c r="X391" s="125"/>
    </row>
    <row r="392" spans="1:24" ht="15.75">
      <c r="A392" s="115">
        <v>378</v>
      </c>
      <c r="B392" s="135">
        <f>'Runs Z-Score'!B380</f>
        <v>13</v>
      </c>
      <c r="C392" s="89" t="str">
        <f>'Runs Z-Score'!C380</f>
        <v>R6</v>
      </c>
      <c r="D392" s="89" t="str">
        <f>'Runs Z-Score'!D380</f>
        <v>NG</v>
      </c>
      <c r="E392" s="89" t="str">
        <f>'Runs Z-Score'!E380</f>
        <v>N2</v>
      </c>
      <c r="F392" s="89">
        <f>'Runs Z-Score'!F380</f>
        <v>7.15</v>
      </c>
      <c r="G392" s="89">
        <f t="shared" si="40"/>
        <v>8.120000000000001</v>
      </c>
      <c r="H392" s="89">
        <v>9.61</v>
      </c>
      <c r="I392" s="89">
        <f>VLOOKUP(C392,Recipes!$A$2:$N$4,12,FALSE())</f>
        <v>6.1509461004819709E-2</v>
      </c>
      <c r="J392" s="89">
        <f t="shared" si="42"/>
        <v>586.79809331109527</v>
      </c>
      <c r="K392" s="89">
        <f t="shared" si="43"/>
        <v>586.73142664442855</v>
      </c>
      <c r="L392" s="89">
        <f t="shared" si="44"/>
        <v>24.222539640682363</v>
      </c>
      <c r="M392" s="89" t="str">
        <f t="shared" si="45"/>
        <v>NG</v>
      </c>
      <c r="N392" s="117">
        <f t="shared" si="46"/>
        <v>1</v>
      </c>
      <c r="O392" s="89">
        <f t="shared" si="41"/>
        <v>1.4899999999999984</v>
      </c>
      <c r="P392" s="89">
        <f>IF(G392="","",ABS(O392-Components!$C$2))</f>
        <v>1.2633333333333314</v>
      </c>
      <c r="Q392" s="89">
        <f>IF(G392="","",ABS(O392-Components!$C$3))</f>
        <v>2.5460000000000012</v>
      </c>
      <c r="R392" s="89">
        <f>IF(G392="","",ABS(O392-Components!$C$4))</f>
        <v>0.49666666666666548</v>
      </c>
      <c r="S392" s="89">
        <f>IF(G392="","",ABS(O392-Components!$C$5))</f>
        <v>3.072666666666672</v>
      </c>
      <c r="T392" s="89">
        <f>IF(G392="","",ABS(O392-Components!$C$6))</f>
        <v>0.33433333333332849</v>
      </c>
      <c r="U392" s="89">
        <f>IF(G392="","",ABS(O392-Components!$C$7))</f>
        <v>0.11566666666666836</v>
      </c>
      <c r="V392" s="89" t="str">
        <f>IF(G392="","",IF(M392="OK","NONE",INDEX({"S1","S2","W1","W2","N1","N2"},MATCH(MIN(P392:U392),P392:U392,0))))</f>
        <v>N2</v>
      </c>
      <c r="W392" s="139">
        <f t="shared" si="47"/>
        <v>1</v>
      </c>
      <c r="X392" s="125"/>
    </row>
    <row r="393" spans="1:24" ht="15.75">
      <c r="A393" s="115">
        <v>379</v>
      </c>
      <c r="B393" s="135">
        <f>'Runs Z-Score'!B381</f>
        <v>13</v>
      </c>
      <c r="C393" s="89" t="str">
        <f>'Runs Z-Score'!C381</f>
        <v>R6</v>
      </c>
      <c r="D393" s="89" t="str">
        <f>'Runs Z-Score'!D381</f>
        <v>NG</v>
      </c>
      <c r="E393" s="89" t="str">
        <f>'Runs Z-Score'!E381</f>
        <v>N2</v>
      </c>
      <c r="F393" s="89">
        <f>'Runs Z-Score'!F381</f>
        <v>7.28</v>
      </c>
      <c r="G393" s="89">
        <f t="shared" si="40"/>
        <v>8.25</v>
      </c>
      <c r="H393" s="89">
        <v>9.61</v>
      </c>
      <c r="I393" s="89">
        <f>VLOOKUP(C393,Recipes!$A$2:$N$4,12,FALSE())</f>
        <v>6.1509461004819709E-2</v>
      </c>
      <c r="J393" s="89">
        <f t="shared" si="42"/>
        <v>488.87066050547423</v>
      </c>
      <c r="K393" s="89">
        <f t="shared" si="43"/>
        <v>488.80399383880757</v>
      </c>
      <c r="L393" s="89">
        <f t="shared" si="44"/>
        <v>22.108912090801926</v>
      </c>
      <c r="M393" s="89" t="str">
        <f t="shared" si="45"/>
        <v>NG</v>
      </c>
      <c r="N393" s="117">
        <f t="shared" si="46"/>
        <v>1</v>
      </c>
      <c r="O393" s="89">
        <f t="shared" si="41"/>
        <v>1.3599999999999994</v>
      </c>
      <c r="P393" s="89">
        <f>IF(G393="","",ABS(O393-Components!$C$2))</f>
        <v>1.3933333333333304</v>
      </c>
      <c r="Q393" s="89">
        <f>IF(G393="","",ABS(O393-Components!$C$3))</f>
        <v>2.6760000000000002</v>
      </c>
      <c r="R393" s="89">
        <f>IF(G393="","",ABS(O393-Components!$C$4))</f>
        <v>0.36666666666666647</v>
      </c>
      <c r="S393" s="89">
        <f>IF(G393="","",ABS(O393-Components!$C$5))</f>
        <v>3.202666666666671</v>
      </c>
      <c r="T393" s="89">
        <f>IF(G393="","",ABS(O393-Components!$C$6))</f>
        <v>0.20433333333332948</v>
      </c>
      <c r="U393" s="89">
        <f>IF(G393="","",ABS(O393-Components!$C$7))</f>
        <v>1.4333333333330645E-2</v>
      </c>
      <c r="V393" s="89" t="str">
        <f>IF(G393="","",IF(M393="OK","NONE",INDEX({"S1","S2","W1","W2","N1","N2"},MATCH(MIN(P393:U393),P393:U393,0))))</f>
        <v>N2</v>
      </c>
      <c r="W393" s="139">
        <f t="shared" si="47"/>
        <v>1</v>
      </c>
      <c r="X393" s="125"/>
    </row>
    <row r="394" spans="1:24" ht="15.75">
      <c r="A394" s="115">
        <v>380</v>
      </c>
      <c r="B394" s="135">
        <f>'Runs Z-Score'!B382</f>
        <v>13</v>
      </c>
      <c r="C394" s="89" t="str">
        <f>'Runs Z-Score'!C382</f>
        <v>R6</v>
      </c>
      <c r="D394" s="89" t="str">
        <f>'Runs Z-Score'!D382</f>
        <v>NG</v>
      </c>
      <c r="E394" s="89" t="str">
        <f>'Runs Z-Score'!E382</f>
        <v>N2</v>
      </c>
      <c r="F394" s="89">
        <f>'Runs Z-Score'!F382</f>
        <v>7.23</v>
      </c>
      <c r="G394" s="89">
        <f t="shared" si="40"/>
        <v>8.2000000000000011</v>
      </c>
      <c r="H394" s="89">
        <v>9.61</v>
      </c>
      <c r="I394" s="89">
        <f>VLOOKUP(C394,Recipes!$A$2:$N$4,12,FALSE())</f>
        <v>6.1509461004819709E-2</v>
      </c>
      <c r="J394" s="89">
        <f t="shared" si="42"/>
        <v>525.47781150028743</v>
      </c>
      <c r="K394" s="89">
        <f t="shared" si="43"/>
        <v>525.41114483362071</v>
      </c>
      <c r="L394" s="89">
        <f t="shared" si="44"/>
        <v>22.921848634733209</v>
      </c>
      <c r="M394" s="89" t="str">
        <f t="shared" si="45"/>
        <v>NG</v>
      </c>
      <c r="N394" s="117">
        <f t="shared" si="46"/>
        <v>1</v>
      </c>
      <c r="O394" s="89">
        <f t="shared" si="41"/>
        <v>1.4099999999999984</v>
      </c>
      <c r="P394" s="89">
        <f>IF(G394="","",ABS(O394-Components!$C$2))</f>
        <v>1.3433333333333315</v>
      </c>
      <c r="Q394" s="89">
        <f>IF(G394="","",ABS(O394-Components!$C$3))</f>
        <v>2.6260000000000012</v>
      </c>
      <c r="R394" s="89">
        <f>IF(G394="","",ABS(O394-Components!$C$4))</f>
        <v>0.41666666666666541</v>
      </c>
      <c r="S394" s="89">
        <f>IF(G394="","",ABS(O394-Components!$C$5))</f>
        <v>3.1526666666666721</v>
      </c>
      <c r="T394" s="89">
        <f>IF(G394="","",ABS(O394-Components!$C$6))</f>
        <v>0.25433333333332842</v>
      </c>
      <c r="U394" s="89">
        <f>IF(G394="","",ABS(O394-Components!$C$7))</f>
        <v>3.566666666666829E-2</v>
      </c>
      <c r="V394" s="89" t="str">
        <f>IF(G394="","",IF(M394="OK","NONE",INDEX({"S1","S2","W1","W2","N1","N2"},MATCH(MIN(P394:U394),P394:U394,0))))</f>
        <v>N2</v>
      </c>
      <c r="W394" s="139">
        <f t="shared" si="47"/>
        <v>1</v>
      </c>
      <c r="X394" s="125"/>
    </row>
    <row r="395" spans="1:24" ht="15.75">
      <c r="A395" s="115">
        <v>381</v>
      </c>
      <c r="B395" s="135">
        <f>'Runs Z-Score'!B383</f>
        <v>13</v>
      </c>
      <c r="C395" s="89" t="str">
        <f>'Runs Z-Score'!C383</f>
        <v>R6</v>
      </c>
      <c r="D395" s="89" t="str">
        <f>'Runs Z-Score'!D383</f>
        <v>NG</v>
      </c>
      <c r="E395" s="89" t="str">
        <f>'Runs Z-Score'!E383</f>
        <v>N2</v>
      </c>
      <c r="F395" s="89">
        <f>'Runs Z-Score'!F383</f>
        <v>7.26</v>
      </c>
      <c r="G395" s="89">
        <f t="shared" si="40"/>
        <v>8.23</v>
      </c>
      <c r="H395" s="89">
        <v>9.61</v>
      </c>
      <c r="I395" s="89">
        <f>VLOOKUP(C395,Recipes!$A$2:$N$4,12,FALSE())</f>
        <v>6.1509461004819709E-2</v>
      </c>
      <c r="J395" s="89">
        <f t="shared" si="42"/>
        <v>503.35493396768186</v>
      </c>
      <c r="K395" s="89">
        <f t="shared" si="43"/>
        <v>503.2882673010152</v>
      </c>
      <c r="L395" s="89">
        <f t="shared" si="44"/>
        <v>22.434087173339929</v>
      </c>
      <c r="M395" s="89" t="str">
        <f t="shared" si="45"/>
        <v>NG</v>
      </c>
      <c r="N395" s="117">
        <f t="shared" si="46"/>
        <v>1</v>
      </c>
      <c r="O395" s="89">
        <f t="shared" si="41"/>
        <v>1.379999999999999</v>
      </c>
      <c r="P395" s="89">
        <f>IF(G395="","",ABS(O395-Components!$C$2))</f>
        <v>1.3733333333333309</v>
      </c>
      <c r="Q395" s="89">
        <f>IF(G395="","",ABS(O395-Components!$C$3))</f>
        <v>2.6560000000000006</v>
      </c>
      <c r="R395" s="89">
        <f>IF(G395="","",ABS(O395-Components!$C$4))</f>
        <v>0.38666666666666605</v>
      </c>
      <c r="S395" s="89">
        <f>IF(G395="","",ABS(O395-Components!$C$5))</f>
        <v>3.1826666666666714</v>
      </c>
      <c r="T395" s="89">
        <f>IF(G395="","",ABS(O395-Components!$C$6))</f>
        <v>0.22433333333332905</v>
      </c>
      <c r="U395" s="89">
        <f>IF(G395="","",ABS(O395-Components!$C$7))</f>
        <v>5.6666666666689292E-3</v>
      </c>
      <c r="V395" s="89" t="str">
        <f>IF(G395="","",IF(M395="OK","NONE",INDEX({"S1","S2","W1","W2","N1","N2"},MATCH(MIN(P395:U395),P395:U395,0))))</f>
        <v>N2</v>
      </c>
      <c r="W395" s="139">
        <f t="shared" si="47"/>
        <v>1</v>
      </c>
      <c r="X395" s="125"/>
    </row>
    <row r="396" spans="1:24" ht="15.75">
      <c r="A396" s="115">
        <v>382</v>
      </c>
      <c r="B396" s="135">
        <f>'Runs Z-Score'!B384</f>
        <v>13</v>
      </c>
      <c r="C396" s="89" t="str">
        <f>'Runs Z-Score'!C384</f>
        <v>R6</v>
      </c>
      <c r="D396" s="89" t="str">
        <f>'Runs Z-Score'!D384</f>
        <v>NG</v>
      </c>
      <c r="E396" s="89" t="str">
        <f>'Runs Z-Score'!E384</f>
        <v>N2</v>
      </c>
      <c r="F396" s="89">
        <f>'Runs Z-Score'!F384</f>
        <v>7.26</v>
      </c>
      <c r="G396" s="89">
        <f t="shared" si="40"/>
        <v>8.23</v>
      </c>
      <c r="H396" s="89">
        <v>9.61</v>
      </c>
      <c r="I396" s="89">
        <f>VLOOKUP(C396,Recipes!$A$2:$N$4,12,FALSE())</f>
        <v>6.1509461004819709E-2</v>
      </c>
      <c r="J396" s="89">
        <f t="shared" si="42"/>
        <v>503.35493396768186</v>
      </c>
      <c r="K396" s="89">
        <f t="shared" si="43"/>
        <v>503.2882673010152</v>
      </c>
      <c r="L396" s="89">
        <f t="shared" si="44"/>
        <v>22.434087173339929</v>
      </c>
      <c r="M396" s="89" t="str">
        <f t="shared" si="45"/>
        <v>NG</v>
      </c>
      <c r="N396" s="117">
        <f t="shared" si="46"/>
        <v>1</v>
      </c>
      <c r="O396" s="89">
        <f t="shared" si="41"/>
        <v>1.379999999999999</v>
      </c>
      <c r="P396" s="89">
        <f>IF(G396="","",ABS(O396-Components!$C$2))</f>
        <v>1.3733333333333309</v>
      </c>
      <c r="Q396" s="89">
        <f>IF(G396="","",ABS(O396-Components!$C$3))</f>
        <v>2.6560000000000006</v>
      </c>
      <c r="R396" s="89">
        <f>IF(G396="","",ABS(O396-Components!$C$4))</f>
        <v>0.38666666666666605</v>
      </c>
      <c r="S396" s="89">
        <f>IF(G396="","",ABS(O396-Components!$C$5))</f>
        <v>3.1826666666666714</v>
      </c>
      <c r="T396" s="89">
        <f>IF(G396="","",ABS(O396-Components!$C$6))</f>
        <v>0.22433333333332905</v>
      </c>
      <c r="U396" s="89">
        <f>IF(G396="","",ABS(O396-Components!$C$7))</f>
        <v>5.6666666666689292E-3</v>
      </c>
      <c r="V396" s="89" t="str">
        <f>IF(G396="","",IF(M396="OK","NONE",INDEX({"S1","S2","W1","W2","N1","N2"},MATCH(MIN(P396:U396),P396:U396,0))))</f>
        <v>N2</v>
      </c>
      <c r="W396" s="139">
        <f t="shared" si="47"/>
        <v>1</v>
      </c>
      <c r="X396" s="125"/>
    </row>
    <row r="397" spans="1:24" ht="15.75">
      <c r="A397" s="115">
        <v>383</v>
      </c>
      <c r="B397" s="135">
        <f>'Runs Z-Score'!B385</f>
        <v>13</v>
      </c>
      <c r="C397" s="89" t="str">
        <f>'Runs Z-Score'!C385</f>
        <v>R6</v>
      </c>
      <c r="D397" s="89" t="str">
        <f>'Runs Z-Score'!D385</f>
        <v>NG</v>
      </c>
      <c r="E397" s="89" t="str">
        <f>'Runs Z-Score'!E385</f>
        <v>N2</v>
      </c>
      <c r="F397" s="89">
        <f>'Runs Z-Score'!F385</f>
        <v>7.27</v>
      </c>
      <c r="G397" s="89">
        <f t="shared" si="40"/>
        <v>8.24</v>
      </c>
      <c r="H397" s="89">
        <v>9.61</v>
      </c>
      <c r="I397" s="89">
        <f>VLOOKUP(C397,Recipes!$A$2:$N$4,12,FALSE())</f>
        <v>6.1509461004819709E-2</v>
      </c>
      <c r="J397" s="89">
        <f t="shared" si="42"/>
        <v>496.08636608062517</v>
      </c>
      <c r="K397" s="89">
        <f t="shared" si="43"/>
        <v>496.01969941395851</v>
      </c>
      <c r="L397" s="89">
        <f t="shared" si="44"/>
        <v>22.271499711828085</v>
      </c>
      <c r="M397" s="89" t="str">
        <f t="shared" si="45"/>
        <v>NG</v>
      </c>
      <c r="N397" s="117">
        <f t="shared" si="46"/>
        <v>1</v>
      </c>
      <c r="O397" s="89">
        <f t="shared" si="41"/>
        <v>1.3699999999999992</v>
      </c>
      <c r="P397" s="89">
        <f>IF(G397="","",ABS(O397-Components!$C$2))</f>
        <v>1.3833333333333306</v>
      </c>
      <c r="Q397" s="89">
        <f>IF(G397="","",ABS(O397-Components!$C$3))</f>
        <v>2.6660000000000004</v>
      </c>
      <c r="R397" s="89">
        <f>IF(G397="","",ABS(O397-Components!$C$4))</f>
        <v>0.37666666666666626</v>
      </c>
      <c r="S397" s="89">
        <f>IF(G397="","",ABS(O397-Components!$C$5))</f>
        <v>3.1926666666666712</v>
      </c>
      <c r="T397" s="89">
        <f>IF(G397="","",ABS(O397-Components!$C$6))</f>
        <v>0.21433333333332927</v>
      </c>
      <c r="U397" s="89">
        <f>IF(G397="","",ABS(O397-Components!$C$7))</f>
        <v>4.3333333333308577E-3</v>
      </c>
      <c r="V397" s="89" t="str">
        <f>IF(G397="","",IF(M397="OK","NONE",INDEX({"S1","S2","W1","W2","N1","N2"},MATCH(MIN(P397:U397),P397:U397,0))))</f>
        <v>N2</v>
      </c>
      <c r="W397" s="139">
        <f t="shared" si="47"/>
        <v>1</v>
      </c>
      <c r="X397" s="125"/>
    </row>
    <row r="398" spans="1:24" ht="15.75">
      <c r="A398" s="115">
        <v>384</v>
      </c>
      <c r="B398" s="135">
        <f>'Runs Z-Score'!B386</f>
        <v>13</v>
      </c>
      <c r="C398" s="89" t="str">
        <f>'Runs Z-Score'!C386</f>
        <v>R6</v>
      </c>
      <c r="D398" s="89" t="str">
        <f>'Runs Z-Score'!D386</f>
        <v>NG</v>
      </c>
      <c r="E398" s="89" t="str">
        <f>'Runs Z-Score'!E386</f>
        <v>N2</v>
      </c>
      <c r="F398" s="89">
        <f>'Runs Z-Score'!F386</f>
        <v>7.14</v>
      </c>
      <c r="G398" s="89">
        <f t="shared" si="40"/>
        <v>8.11</v>
      </c>
      <c r="H398" s="89">
        <v>9.61</v>
      </c>
      <c r="I398" s="89">
        <f>VLOOKUP(C398,Recipes!$A$2:$N$4,12,FALSE())</f>
        <v>6.1509461004819709E-2</v>
      </c>
      <c r="J398" s="89">
        <f t="shared" si="42"/>
        <v>594.70100894102404</v>
      </c>
      <c r="K398" s="89">
        <f t="shared" si="43"/>
        <v>594.63434227435732</v>
      </c>
      <c r="L398" s="89">
        <f t="shared" si="44"/>
        <v>24.385125430769417</v>
      </c>
      <c r="M398" s="89" t="str">
        <f t="shared" si="45"/>
        <v>NG</v>
      </c>
      <c r="N398" s="117">
        <f t="shared" si="46"/>
        <v>1</v>
      </c>
      <c r="O398" s="89">
        <f t="shared" si="41"/>
        <v>1.5</v>
      </c>
      <c r="P398" s="89">
        <f>IF(G398="","",ABS(O398-Components!$C$2))</f>
        <v>1.2533333333333299</v>
      </c>
      <c r="Q398" s="89">
        <f>IF(G398="","",ABS(O398-Components!$C$3))</f>
        <v>2.5359999999999996</v>
      </c>
      <c r="R398" s="89">
        <f>IF(G398="","",ABS(O398-Components!$C$4))</f>
        <v>0.50666666666666704</v>
      </c>
      <c r="S398" s="89">
        <f>IF(G398="","",ABS(O398-Components!$C$5))</f>
        <v>3.0626666666666704</v>
      </c>
      <c r="T398" s="89">
        <f>IF(G398="","",ABS(O398-Components!$C$6))</f>
        <v>0.34433333333333005</v>
      </c>
      <c r="U398" s="89">
        <f>IF(G398="","",ABS(O398-Components!$C$7))</f>
        <v>0.12566666666666992</v>
      </c>
      <c r="V398" s="89" t="str">
        <f>IF(G398="","",IF(M398="OK","NONE",INDEX({"S1","S2","W1","W2","N1","N2"},MATCH(MIN(P398:U398),P398:U398,0))))</f>
        <v>N2</v>
      </c>
      <c r="W398" s="139">
        <f t="shared" si="47"/>
        <v>1</v>
      </c>
      <c r="X398" s="125"/>
    </row>
    <row r="399" spans="1:24" ht="15.75">
      <c r="A399" s="115">
        <v>385</v>
      </c>
      <c r="B399" s="135">
        <f>'Runs Z-Score'!B387</f>
        <v>13</v>
      </c>
      <c r="C399" s="89" t="str">
        <f>'Runs Z-Score'!C387</f>
        <v>R6</v>
      </c>
      <c r="D399" s="89" t="str">
        <f>'Runs Z-Score'!D387</f>
        <v>NG</v>
      </c>
      <c r="E399" s="89" t="str">
        <f>'Runs Z-Score'!E387</f>
        <v>N2</v>
      </c>
      <c r="F399" s="89">
        <f>'Runs Z-Score'!F387</f>
        <v>6.97</v>
      </c>
      <c r="G399" s="89">
        <f t="shared" ref="G399:G434" si="48">0.97+F399</f>
        <v>7.9399999999999995</v>
      </c>
      <c r="H399" s="89">
        <v>9.61</v>
      </c>
      <c r="I399" s="89">
        <f>VLOOKUP(C399,Recipes!$A$2:$N$4,12,FALSE())</f>
        <v>6.1509461004819709E-2</v>
      </c>
      <c r="J399" s="89">
        <f t="shared" si="42"/>
        <v>737.13850837138739</v>
      </c>
      <c r="K399" s="89">
        <f t="shared" si="43"/>
        <v>737.07184170472067</v>
      </c>
      <c r="L399" s="89">
        <f t="shared" si="44"/>
        <v>27.149067050355903</v>
      </c>
      <c r="M399" s="89" t="str">
        <f t="shared" si="45"/>
        <v>NG</v>
      </c>
      <c r="N399" s="117">
        <f t="shared" si="46"/>
        <v>1</v>
      </c>
      <c r="O399" s="89">
        <f t="shared" ref="O399:O434" si="49">IF(G399="","",H399-G399)</f>
        <v>1.67</v>
      </c>
      <c r="P399" s="89">
        <f>IF(G399="","",ABS(O399-Components!$C$2))</f>
        <v>1.0833333333333299</v>
      </c>
      <c r="Q399" s="89">
        <f>IF(G399="","",ABS(O399-Components!$C$3))</f>
        <v>2.3659999999999997</v>
      </c>
      <c r="R399" s="89">
        <f>IF(G399="","",ABS(O399-Components!$C$4))</f>
        <v>0.67666666666666697</v>
      </c>
      <c r="S399" s="89">
        <f>IF(G399="","",ABS(O399-Components!$C$5))</f>
        <v>2.8926666666666705</v>
      </c>
      <c r="T399" s="89">
        <f>IF(G399="","",ABS(O399-Components!$C$6))</f>
        <v>0.51433333333332998</v>
      </c>
      <c r="U399" s="89">
        <f>IF(G399="","",ABS(O399-Components!$C$7))</f>
        <v>0.29566666666666985</v>
      </c>
      <c r="V399" s="89" t="str">
        <f>IF(G399="","",IF(M399="OK","NONE",INDEX({"S1","S2","W1","W2","N1","N2"},MATCH(MIN(P399:U399),P399:U399,0))))</f>
        <v>N2</v>
      </c>
      <c r="W399" s="139">
        <f t="shared" si="47"/>
        <v>1</v>
      </c>
      <c r="X399" s="125"/>
    </row>
    <row r="400" spans="1:24" ht="15.75">
      <c r="A400" s="115">
        <v>386</v>
      </c>
      <c r="B400" s="135">
        <f>'Runs Z-Score'!B388</f>
        <v>13</v>
      </c>
      <c r="C400" s="89" t="str">
        <f>'Runs Z-Score'!C388</f>
        <v>R6</v>
      </c>
      <c r="D400" s="89" t="str">
        <f>'Runs Z-Score'!D388</f>
        <v>NG</v>
      </c>
      <c r="E400" s="89" t="str">
        <f>'Runs Z-Score'!E388</f>
        <v>N2</v>
      </c>
      <c r="F400" s="89">
        <f>'Runs Z-Score'!F388</f>
        <v>7.29</v>
      </c>
      <c r="G400" s="89">
        <f t="shared" si="48"/>
        <v>8.26</v>
      </c>
      <c r="H400" s="89">
        <v>9.61</v>
      </c>
      <c r="I400" s="89">
        <f>VLOOKUP(C400,Recipes!$A$2:$N$4,12,FALSE())</f>
        <v>6.1509461004819709E-2</v>
      </c>
      <c r="J400" s="89">
        <f t="shared" ref="J400:J434" si="50">IF(G400="","",((G400-H400)/I400)^2)</f>
        <v>481.70781724222911</v>
      </c>
      <c r="K400" s="89">
        <f t="shared" ref="K400:K434" si="51">IF(G400="","",MAX(0, J400-$B$12))</f>
        <v>481.64115057556245</v>
      </c>
      <c r="L400" s="89">
        <f t="shared" ref="L400:L434" si="52">IF(G400="","",SQRT(K400))</f>
        <v>21.946324306716203</v>
      </c>
      <c r="M400" s="89" t="str">
        <f t="shared" ref="M400:M434" si="53">IF(G400="","",IF(K400&lt;=$B$10,"OK","NG"))</f>
        <v>NG</v>
      </c>
      <c r="N400" s="117">
        <f t="shared" ref="N400:N434" si="54">IF(M400="","",IF(M400=D400,1,0))</f>
        <v>1</v>
      </c>
      <c r="O400" s="89">
        <f t="shared" si="49"/>
        <v>1.3499999999999996</v>
      </c>
      <c r="P400" s="89">
        <f>IF(G400="","",ABS(O400-Components!$C$2))</f>
        <v>1.4033333333333302</v>
      </c>
      <c r="Q400" s="89">
        <f>IF(G400="","",ABS(O400-Components!$C$3))</f>
        <v>2.6859999999999999</v>
      </c>
      <c r="R400" s="89">
        <f>IF(G400="","",ABS(O400-Components!$C$4))</f>
        <v>0.35666666666666669</v>
      </c>
      <c r="S400" s="89">
        <f>IF(G400="","",ABS(O400-Components!$C$5))</f>
        <v>3.2126666666666708</v>
      </c>
      <c r="T400" s="89">
        <f>IF(G400="","",ABS(O400-Components!$C$6))</f>
        <v>0.19433333333332969</v>
      </c>
      <c r="U400" s="89">
        <f>IF(G400="","",ABS(O400-Components!$C$7))</f>
        <v>2.4333333333330431E-2</v>
      </c>
      <c r="V400" s="89" t="str">
        <f>IF(G400="","",IF(M400="OK","NONE",INDEX({"S1","S2","W1","W2","N1","N2"},MATCH(MIN(P400:U400),P400:U400,0))))</f>
        <v>N2</v>
      </c>
      <c r="W400" s="139">
        <f t="shared" ref="W400:W434" si="55">IF(G400="","",IF(V400=E400,1,0))</f>
        <v>1</v>
      </c>
      <c r="X400" s="125"/>
    </row>
    <row r="401" spans="1:24" ht="15.75">
      <c r="A401" s="115">
        <v>387</v>
      </c>
      <c r="B401" s="135">
        <f>'Runs Z-Score'!B389</f>
        <v>13</v>
      </c>
      <c r="C401" s="89" t="str">
        <f>'Runs Z-Score'!C389</f>
        <v>R6</v>
      </c>
      <c r="D401" s="89" t="str">
        <f>'Runs Z-Score'!D389</f>
        <v>NG</v>
      </c>
      <c r="E401" s="89" t="str">
        <f>'Runs Z-Score'!E389</f>
        <v>N2</v>
      </c>
      <c r="F401" s="89">
        <f>'Runs Z-Score'!F389</f>
        <v>7.16</v>
      </c>
      <c r="G401" s="89">
        <f t="shared" si="48"/>
        <v>8.1300000000000008</v>
      </c>
      <c r="H401" s="89">
        <v>9.61</v>
      </c>
      <c r="I401" s="89">
        <f>VLOOKUP(C401,Recipes!$A$2:$N$4,12,FALSE())</f>
        <v>6.1509461004819709E-2</v>
      </c>
      <c r="J401" s="89">
        <f t="shared" si="50"/>
        <v>578.94803999307396</v>
      </c>
      <c r="K401" s="89">
        <f t="shared" si="51"/>
        <v>578.88137332640724</v>
      </c>
      <c r="L401" s="89">
        <f t="shared" si="52"/>
        <v>24.059953726605695</v>
      </c>
      <c r="M401" s="89" t="str">
        <f t="shared" si="53"/>
        <v>NG</v>
      </c>
      <c r="N401" s="117">
        <f t="shared" si="54"/>
        <v>1</v>
      </c>
      <c r="O401" s="89">
        <f t="shared" si="49"/>
        <v>1.4799999999999986</v>
      </c>
      <c r="P401" s="89">
        <f>IF(G401="","",ABS(O401-Components!$C$2))</f>
        <v>1.2733333333333312</v>
      </c>
      <c r="Q401" s="89">
        <f>IF(G401="","",ABS(O401-Components!$C$3))</f>
        <v>2.5560000000000009</v>
      </c>
      <c r="R401" s="89">
        <f>IF(G401="","",ABS(O401-Components!$C$4))</f>
        <v>0.48666666666666569</v>
      </c>
      <c r="S401" s="89">
        <f>IF(G401="","",ABS(O401-Components!$C$5))</f>
        <v>3.0826666666666718</v>
      </c>
      <c r="T401" s="89">
        <f>IF(G401="","",ABS(O401-Components!$C$6))</f>
        <v>0.3243333333333287</v>
      </c>
      <c r="U401" s="89">
        <f>IF(G401="","",ABS(O401-Components!$C$7))</f>
        <v>0.10566666666666857</v>
      </c>
      <c r="V401" s="89" t="str">
        <f>IF(G401="","",IF(M401="OK","NONE",INDEX({"S1","S2","W1","W2","N1","N2"},MATCH(MIN(P401:U401),P401:U401,0))))</f>
        <v>N2</v>
      </c>
      <c r="W401" s="139">
        <f t="shared" si="55"/>
        <v>1</v>
      </c>
      <c r="X401" s="125"/>
    </row>
    <row r="402" spans="1:24" ht="15.75">
      <c r="A402" s="115">
        <v>388</v>
      </c>
      <c r="B402" s="135">
        <f>'Runs Z-Score'!B390</f>
        <v>13</v>
      </c>
      <c r="C402" s="89" t="str">
        <f>'Runs Z-Score'!C390</f>
        <v>R6</v>
      </c>
      <c r="D402" s="89" t="str">
        <f>'Runs Z-Score'!D390</f>
        <v>NG</v>
      </c>
      <c r="E402" s="89" t="str">
        <f>'Runs Z-Score'!E390</f>
        <v>N2</v>
      </c>
      <c r="F402" s="89">
        <f>'Runs Z-Score'!F390</f>
        <v>7.23</v>
      </c>
      <c r="G402" s="89">
        <f t="shared" si="48"/>
        <v>8.2000000000000011</v>
      </c>
      <c r="H402" s="89">
        <v>9.61</v>
      </c>
      <c r="I402" s="89">
        <f>VLOOKUP(C402,Recipes!$A$2:$N$4,12,FALSE())</f>
        <v>6.1509461004819709E-2</v>
      </c>
      <c r="J402" s="89">
        <f t="shared" si="50"/>
        <v>525.47781150028743</v>
      </c>
      <c r="K402" s="89">
        <f t="shared" si="51"/>
        <v>525.41114483362071</v>
      </c>
      <c r="L402" s="89">
        <f t="shared" si="52"/>
        <v>22.921848634733209</v>
      </c>
      <c r="M402" s="89" t="str">
        <f t="shared" si="53"/>
        <v>NG</v>
      </c>
      <c r="N402" s="117">
        <f t="shared" si="54"/>
        <v>1</v>
      </c>
      <c r="O402" s="89">
        <f t="shared" si="49"/>
        <v>1.4099999999999984</v>
      </c>
      <c r="P402" s="89">
        <f>IF(G402="","",ABS(O402-Components!$C$2))</f>
        <v>1.3433333333333315</v>
      </c>
      <c r="Q402" s="89">
        <f>IF(G402="","",ABS(O402-Components!$C$3))</f>
        <v>2.6260000000000012</v>
      </c>
      <c r="R402" s="89">
        <f>IF(G402="","",ABS(O402-Components!$C$4))</f>
        <v>0.41666666666666541</v>
      </c>
      <c r="S402" s="89">
        <f>IF(G402="","",ABS(O402-Components!$C$5))</f>
        <v>3.1526666666666721</v>
      </c>
      <c r="T402" s="89">
        <f>IF(G402="","",ABS(O402-Components!$C$6))</f>
        <v>0.25433333333332842</v>
      </c>
      <c r="U402" s="89">
        <f>IF(G402="","",ABS(O402-Components!$C$7))</f>
        <v>3.566666666666829E-2</v>
      </c>
      <c r="V402" s="89" t="str">
        <f>IF(G402="","",IF(M402="OK","NONE",INDEX({"S1","S2","W1","W2","N1","N2"},MATCH(MIN(P402:U402),P402:U402,0))))</f>
        <v>N2</v>
      </c>
      <c r="W402" s="139">
        <f t="shared" si="55"/>
        <v>1</v>
      </c>
      <c r="X402" s="125"/>
    </row>
    <row r="403" spans="1:24" ht="15.75">
      <c r="A403" s="115">
        <v>389</v>
      </c>
      <c r="B403" s="135">
        <f>'Runs Z-Score'!B391</f>
        <v>13</v>
      </c>
      <c r="C403" s="89" t="str">
        <f>'Runs Z-Score'!C391</f>
        <v>R6</v>
      </c>
      <c r="D403" s="89" t="str">
        <f>'Runs Z-Score'!D391</f>
        <v>NG</v>
      </c>
      <c r="E403" s="89" t="str">
        <f>'Runs Z-Score'!E391</f>
        <v>N2</v>
      </c>
      <c r="F403" s="89">
        <f>'Runs Z-Score'!F391</f>
        <v>7.25</v>
      </c>
      <c r="G403" s="89">
        <f t="shared" si="48"/>
        <v>8.2200000000000006</v>
      </c>
      <c r="H403" s="89">
        <v>9.61</v>
      </c>
      <c r="I403" s="89">
        <f>VLOOKUP(C403,Recipes!$A$2:$N$4,12,FALSE())</f>
        <v>6.1509461004819709E-2</v>
      </c>
      <c r="J403" s="89">
        <f t="shared" si="50"/>
        <v>510.67636416664465</v>
      </c>
      <c r="K403" s="89">
        <f t="shared" si="51"/>
        <v>510.60969749997798</v>
      </c>
      <c r="L403" s="89">
        <f t="shared" si="52"/>
        <v>22.596674478780677</v>
      </c>
      <c r="M403" s="89" t="str">
        <f t="shared" si="53"/>
        <v>NG</v>
      </c>
      <c r="N403" s="117">
        <f t="shared" si="54"/>
        <v>1</v>
      </c>
      <c r="O403" s="89">
        <f t="shared" si="49"/>
        <v>1.3899999999999988</v>
      </c>
      <c r="P403" s="89">
        <f>IF(G403="","",ABS(O403-Components!$C$2))</f>
        <v>1.3633333333333311</v>
      </c>
      <c r="Q403" s="89">
        <f>IF(G403="","",ABS(O403-Components!$C$3))</f>
        <v>2.6460000000000008</v>
      </c>
      <c r="R403" s="89">
        <f>IF(G403="","",ABS(O403-Components!$C$4))</f>
        <v>0.39666666666666583</v>
      </c>
      <c r="S403" s="89">
        <f>IF(G403="","",ABS(O403-Components!$C$5))</f>
        <v>3.1726666666666716</v>
      </c>
      <c r="T403" s="89">
        <f>IF(G403="","",ABS(O403-Components!$C$6))</f>
        <v>0.23433333333332884</v>
      </c>
      <c r="U403" s="89">
        <f>IF(G403="","",ABS(O403-Components!$C$7))</f>
        <v>1.5666666666668716E-2</v>
      </c>
      <c r="V403" s="89" t="str">
        <f>IF(G403="","",IF(M403="OK","NONE",INDEX({"S1","S2","W1","W2","N1","N2"},MATCH(MIN(P403:U403),P403:U403,0))))</f>
        <v>N2</v>
      </c>
      <c r="W403" s="139">
        <f t="shared" si="55"/>
        <v>1</v>
      </c>
      <c r="X403" s="125"/>
    </row>
    <row r="404" spans="1:24" ht="15.75">
      <c r="A404" s="115">
        <v>390</v>
      </c>
      <c r="B404" s="135">
        <f>'Runs Z-Score'!B392</f>
        <v>13</v>
      </c>
      <c r="C404" s="89" t="str">
        <f>'Runs Z-Score'!C392</f>
        <v>R6</v>
      </c>
      <c r="D404" s="89" t="str">
        <f>'Runs Z-Score'!D392</f>
        <v>NG</v>
      </c>
      <c r="E404" s="89" t="str">
        <f>'Runs Z-Score'!E392</f>
        <v>N2</v>
      </c>
      <c r="F404" s="89">
        <f>'Runs Z-Score'!F392</f>
        <v>7.2</v>
      </c>
      <c r="G404" s="89">
        <f t="shared" si="48"/>
        <v>8.17</v>
      </c>
      <c r="H404" s="89">
        <v>9.61</v>
      </c>
      <c r="I404" s="89">
        <f>VLOOKUP(C404,Recipes!$A$2:$N$4,12,FALSE())</f>
        <v>6.1509461004819709E-2</v>
      </c>
      <c r="J404" s="89">
        <f t="shared" si="50"/>
        <v>548.07644984004742</v>
      </c>
      <c r="K404" s="89">
        <f t="shared" si="51"/>
        <v>548.0097831733807</v>
      </c>
      <c r="L404" s="89">
        <f t="shared" si="52"/>
        <v>23.409608778734015</v>
      </c>
      <c r="M404" s="89" t="str">
        <f t="shared" si="53"/>
        <v>NG</v>
      </c>
      <c r="N404" s="117">
        <f t="shared" si="54"/>
        <v>1</v>
      </c>
      <c r="O404" s="89">
        <f t="shared" si="49"/>
        <v>1.4399999999999995</v>
      </c>
      <c r="P404" s="89">
        <f>IF(G404="","",ABS(O404-Components!$C$2))</f>
        <v>1.3133333333333304</v>
      </c>
      <c r="Q404" s="89">
        <f>IF(G404="","",ABS(O404-Components!$C$3))</f>
        <v>2.5960000000000001</v>
      </c>
      <c r="R404" s="89">
        <f>IF(G404="","",ABS(O404-Components!$C$4))</f>
        <v>0.44666666666666655</v>
      </c>
      <c r="S404" s="89">
        <f>IF(G404="","",ABS(O404-Components!$C$5))</f>
        <v>3.1226666666666709</v>
      </c>
      <c r="T404" s="89">
        <f>IF(G404="","",ABS(O404-Components!$C$6))</f>
        <v>0.28433333333332955</v>
      </c>
      <c r="U404" s="89">
        <f>IF(G404="","",ABS(O404-Components!$C$7))</f>
        <v>6.5666666666669427E-2</v>
      </c>
      <c r="V404" s="89" t="str">
        <f>IF(G404="","",IF(M404="OK","NONE",INDEX({"S1","S2","W1","W2","N1","N2"},MATCH(MIN(P404:U404),P404:U404,0))))</f>
        <v>N2</v>
      </c>
      <c r="W404" s="139">
        <f t="shared" si="55"/>
        <v>1</v>
      </c>
      <c r="X404" s="125"/>
    </row>
    <row r="405" spans="1:24" ht="15.75">
      <c r="A405" s="115">
        <v>391</v>
      </c>
      <c r="B405" s="135">
        <f>'Runs Z-Score'!B393</f>
        <v>14</v>
      </c>
      <c r="C405" s="89" t="str">
        <f>'Runs Z-Score'!C393</f>
        <v>R6</v>
      </c>
      <c r="D405" s="89" t="str">
        <f>'Runs Z-Score'!D393</f>
        <v>NG</v>
      </c>
      <c r="E405" s="89" t="str">
        <f>'Runs Z-Score'!E393</f>
        <v>N1</v>
      </c>
      <c r="F405" s="89">
        <f>'Runs Z-Score'!F393</f>
        <v>7.39</v>
      </c>
      <c r="G405" s="89">
        <f t="shared" si="48"/>
        <v>8.36</v>
      </c>
      <c r="H405" s="89">
        <v>9.61</v>
      </c>
      <c r="I405" s="89">
        <f>VLOOKUP(C405,Recipes!$A$2:$N$4,12,FALSE())</f>
        <v>6.1509461004819709E-2</v>
      </c>
      <c r="J405" s="89">
        <f t="shared" si="50"/>
        <v>412.98681176460002</v>
      </c>
      <c r="K405" s="89">
        <f t="shared" si="51"/>
        <v>412.92014509793336</v>
      </c>
      <c r="L405" s="89">
        <f t="shared" si="52"/>
        <v>20.32043663649808</v>
      </c>
      <c r="M405" s="89" t="str">
        <f t="shared" si="53"/>
        <v>NG</v>
      </c>
      <c r="N405" s="117">
        <f t="shared" si="54"/>
        <v>1</v>
      </c>
      <c r="O405" s="89">
        <f t="shared" si="49"/>
        <v>1.25</v>
      </c>
      <c r="P405" s="89">
        <f>IF(G405="","",ABS(O405-Components!$C$2))</f>
        <v>1.5033333333333299</v>
      </c>
      <c r="Q405" s="89">
        <f>IF(G405="","",ABS(O405-Components!$C$3))</f>
        <v>2.7859999999999996</v>
      </c>
      <c r="R405" s="89">
        <f>IF(G405="","",ABS(O405-Components!$C$4))</f>
        <v>0.25666666666666704</v>
      </c>
      <c r="S405" s="89">
        <f>IF(G405="","",ABS(O405-Components!$C$5))</f>
        <v>3.3126666666666704</v>
      </c>
      <c r="T405" s="89">
        <f>IF(G405="","",ABS(O405-Components!$C$6))</f>
        <v>9.4333333333330049E-2</v>
      </c>
      <c r="U405" s="89">
        <f>IF(G405="","",ABS(O405-Components!$C$7))</f>
        <v>0.12433333333333008</v>
      </c>
      <c r="V405" s="89" t="str">
        <f>IF(G405="","",IF(M405="OK","NONE",INDEX({"S1","S2","W1","W2","N1","N2"},MATCH(MIN(P405:U405),P405:U405,0))))</f>
        <v>N1</v>
      </c>
      <c r="W405" s="139">
        <f t="shared" si="55"/>
        <v>1</v>
      </c>
      <c r="X405" s="125"/>
    </row>
    <row r="406" spans="1:24" ht="15.75">
      <c r="A406" s="115">
        <v>392</v>
      </c>
      <c r="B406" s="135">
        <f>'Runs Z-Score'!B394</f>
        <v>14</v>
      </c>
      <c r="C406" s="89" t="str">
        <f>'Runs Z-Score'!C394</f>
        <v>R6</v>
      </c>
      <c r="D406" s="89" t="str">
        <f>'Runs Z-Score'!D394</f>
        <v>NG</v>
      </c>
      <c r="E406" s="89" t="str">
        <f>'Runs Z-Score'!E394</f>
        <v>N1</v>
      </c>
      <c r="F406" s="89">
        <f>'Runs Z-Score'!F394</f>
        <v>7.49</v>
      </c>
      <c r="G406" s="89">
        <f t="shared" si="48"/>
        <v>8.4600000000000009</v>
      </c>
      <c r="H406" s="89">
        <v>9.61</v>
      </c>
      <c r="I406" s="89">
        <f>VLOOKUP(C406,Recipes!$A$2:$N$4,12,FALSE())</f>
        <v>6.1509461004819709E-2</v>
      </c>
      <c r="J406" s="89">
        <f t="shared" si="50"/>
        <v>349.55203747755655</v>
      </c>
      <c r="K406" s="89">
        <f t="shared" si="51"/>
        <v>349.48537081088989</v>
      </c>
      <c r="L406" s="89">
        <f t="shared" si="52"/>
        <v>18.694527830648461</v>
      </c>
      <c r="M406" s="89" t="str">
        <f t="shared" si="53"/>
        <v>NG</v>
      </c>
      <c r="N406" s="117">
        <f t="shared" si="54"/>
        <v>1</v>
      </c>
      <c r="O406" s="89">
        <f t="shared" si="49"/>
        <v>1.1499999999999986</v>
      </c>
      <c r="P406" s="89">
        <f>IF(G406="","",ABS(O406-Components!$C$2))</f>
        <v>1.6033333333333313</v>
      </c>
      <c r="Q406" s="89">
        <f>IF(G406="","",ABS(O406-Components!$C$3))</f>
        <v>2.886000000000001</v>
      </c>
      <c r="R406" s="89">
        <f>IF(G406="","",ABS(O406-Components!$C$4))</f>
        <v>0.15666666666666562</v>
      </c>
      <c r="S406" s="89">
        <f>IF(G406="","",ABS(O406-Components!$C$5))</f>
        <v>3.4126666666666718</v>
      </c>
      <c r="T406" s="89">
        <f>IF(G406="","",ABS(O406-Components!$C$6))</f>
        <v>5.6666666666713716E-3</v>
      </c>
      <c r="U406" s="89">
        <f>IF(G406="","",ABS(O406-Components!$C$7))</f>
        <v>0.2243333333333315</v>
      </c>
      <c r="V406" s="89" t="str">
        <f>IF(G406="","",IF(M406="OK","NONE",INDEX({"S1","S2","W1","W2","N1","N2"},MATCH(MIN(P406:U406),P406:U406,0))))</f>
        <v>N1</v>
      </c>
      <c r="W406" s="139">
        <f t="shared" si="55"/>
        <v>1</v>
      </c>
      <c r="X406" s="125"/>
    </row>
    <row r="407" spans="1:24" ht="15.75">
      <c r="A407" s="115">
        <v>393</v>
      </c>
      <c r="B407" s="135">
        <f>'Runs Z-Score'!B395</f>
        <v>14</v>
      </c>
      <c r="C407" s="89" t="str">
        <f>'Runs Z-Score'!C395</f>
        <v>R6</v>
      </c>
      <c r="D407" s="89" t="str">
        <f>'Runs Z-Score'!D395</f>
        <v>NG</v>
      </c>
      <c r="E407" s="89" t="str">
        <f>'Runs Z-Score'!E395</f>
        <v>N1</v>
      </c>
      <c r="F407" s="89">
        <f>'Runs Z-Score'!F395</f>
        <v>7.43</v>
      </c>
      <c r="G407" s="89">
        <f t="shared" si="48"/>
        <v>8.4</v>
      </c>
      <c r="H407" s="89">
        <v>9.61</v>
      </c>
      <c r="I407" s="89">
        <f>VLOOKUP(C407,Recipes!$A$2:$N$4,12,FALSE())</f>
        <v>6.1509461004819709E-2</v>
      </c>
      <c r="J407" s="89">
        <f t="shared" si="50"/>
        <v>386.97855430691186</v>
      </c>
      <c r="K407" s="89">
        <f t="shared" si="51"/>
        <v>386.9118876402452</v>
      </c>
      <c r="L407" s="89">
        <f t="shared" si="52"/>
        <v>19.670075943936901</v>
      </c>
      <c r="M407" s="89" t="str">
        <f t="shared" si="53"/>
        <v>NG</v>
      </c>
      <c r="N407" s="117">
        <f t="shared" si="54"/>
        <v>1</v>
      </c>
      <c r="O407" s="89">
        <f t="shared" si="49"/>
        <v>1.2099999999999991</v>
      </c>
      <c r="P407" s="89">
        <f>IF(G407="","",ABS(O407-Components!$C$2))</f>
        <v>1.5433333333333308</v>
      </c>
      <c r="Q407" s="89">
        <f>IF(G407="","",ABS(O407-Components!$C$3))</f>
        <v>2.8260000000000005</v>
      </c>
      <c r="R407" s="89">
        <f>IF(G407="","",ABS(O407-Components!$C$4))</f>
        <v>0.21666666666666612</v>
      </c>
      <c r="S407" s="89">
        <f>IF(G407="","",ABS(O407-Components!$C$5))</f>
        <v>3.3526666666666713</v>
      </c>
      <c r="T407" s="89">
        <f>IF(G407="","",ABS(O407-Components!$C$6))</f>
        <v>5.4333333333329126E-2</v>
      </c>
      <c r="U407" s="89">
        <f>IF(G407="","",ABS(O407-Components!$C$7))</f>
        <v>0.164333333333331</v>
      </c>
      <c r="V407" s="89" t="str">
        <f>IF(G407="","",IF(M407="OK","NONE",INDEX({"S1","S2","W1","W2","N1","N2"},MATCH(MIN(P407:U407),P407:U407,0))))</f>
        <v>N1</v>
      </c>
      <c r="W407" s="139">
        <f t="shared" si="55"/>
        <v>1</v>
      </c>
      <c r="X407" s="125"/>
    </row>
    <row r="408" spans="1:24" ht="15.75">
      <c r="A408" s="115">
        <v>394</v>
      </c>
      <c r="B408" s="135">
        <f>'Runs Z-Score'!B396</f>
        <v>14</v>
      </c>
      <c r="C408" s="89" t="str">
        <f>'Runs Z-Score'!C396</f>
        <v>R6</v>
      </c>
      <c r="D408" s="89" t="str">
        <f>'Runs Z-Score'!D396</f>
        <v>NG</v>
      </c>
      <c r="E408" s="89" t="str">
        <f>'Runs Z-Score'!E396</f>
        <v>N1</v>
      </c>
      <c r="F408" s="89">
        <f>'Runs Z-Score'!F396</f>
        <v>7.39</v>
      </c>
      <c r="G408" s="89">
        <f t="shared" si="48"/>
        <v>8.36</v>
      </c>
      <c r="H408" s="89">
        <v>9.61</v>
      </c>
      <c r="I408" s="89">
        <f>VLOOKUP(C408,Recipes!$A$2:$N$4,12,FALSE())</f>
        <v>6.1509461004819709E-2</v>
      </c>
      <c r="J408" s="89">
        <f t="shared" si="50"/>
        <v>412.98681176460002</v>
      </c>
      <c r="K408" s="89">
        <f t="shared" si="51"/>
        <v>412.92014509793336</v>
      </c>
      <c r="L408" s="89">
        <f t="shared" si="52"/>
        <v>20.32043663649808</v>
      </c>
      <c r="M408" s="89" t="str">
        <f t="shared" si="53"/>
        <v>NG</v>
      </c>
      <c r="N408" s="117">
        <f t="shared" si="54"/>
        <v>1</v>
      </c>
      <c r="O408" s="89">
        <f t="shared" si="49"/>
        <v>1.25</v>
      </c>
      <c r="P408" s="89">
        <f>IF(G408="","",ABS(O408-Components!$C$2))</f>
        <v>1.5033333333333299</v>
      </c>
      <c r="Q408" s="89">
        <f>IF(G408="","",ABS(O408-Components!$C$3))</f>
        <v>2.7859999999999996</v>
      </c>
      <c r="R408" s="89">
        <f>IF(G408="","",ABS(O408-Components!$C$4))</f>
        <v>0.25666666666666704</v>
      </c>
      <c r="S408" s="89">
        <f>IF(G408="","",ABS(O408-Components!$C$5))</f>
        <v>3.3126666666666704</v>
      </c>
      <c r="T408" s="89">
        <f>IF(G408="","",ABS(O408-Components!$C$6))</f>
        <v>9.4333333333330049E-2</v>
      </c>
      <c r="U408" s="89">
        <f>IF(G408="","",ABS(O408-Components!$C$7))</f>
        <v>0.12433333333333008</v>
      </c>
      <c r="V408" s="89" t="str">
        <f>IF(G408="","",IF(M408="OK","NONE",INDEX({"S1","S2","W1","W2","N1","N2"},MATCH(MIN(P408:U408),P408:U408,0))))</f>
        <v>N1</v>
      </c>
      <c r="W408" s="139">
        <f t="shared" si="55"/>
        <v>1</v>
      </c>
      <c r="X408" s="125"/>
    </row>
    <row r="409" spans="1:24" ht="15.75">
      <c r="A409" s="115">
        <v>395</v>
      </c>
      <c r="B409" s="135">
        <f>'Runs Z-Score'!B397</f>
        <v>14</v>
      </c>
      <c r="C409" s="89" t="str">
        <f>'Runs Z-Score'!C397</f>
        <v>R6</v>
      </c>
      <c r="D409" s="89" t="str">
        <f>'Runs Z-Score'!D397</f>
        <v>NG</v>
      </c>
      <c r="E409" s="89" t="str">
        <f>'Runs Z-Score'!E397</f>
        <v>N1</v>
      </c>
      <c r="F409" s="89">
        <f>'Runs Z-Score'!F397</f>
        <v>7.49</v>
      </c>
      <c r="G409" s="89">
        <f t="shared" si="48"/>
        <v>8.4600000000000009</v>
      </c>
      <c r="H409" s="89">
        <v>9.61</v>
      </c>
      <c r="I409" s="89">
        <f>VLOOKUP(C409,Recipes!$A$2:$N$4,12,FALSE())</f>
        <v>6.1509461004819709E-2</v>
      </c>
      <c r="J409" s="89">
        <f t="shared" si="50"/>
        <v>349.55203747755655</v>
      </c>
      <c r="K409" s="89">
        <f t="shared" si="51"/>
        <v>349.48537081088989</v>
      </c>
      <c r="L409" s="89">
        <f t="shared" si="52"/>
        <v>18.694527830648461</v>
      </c>
      <c r="M409" s="89" t="str">
        <f t="shared" si="53"/>
        <v>NG</v>
      </c>
      <c r="N409" s="117">
        <f t="shared" si="54"/>
        <v>1</v>
      </c>
      <c r="O409" s="89">
        <f t="shared" si="49"/>
        <v>1.1499999999999986</v>
      </c>
      <c r="P409" s="89">
        <f>IF(G409="","",ABS(O409-Components!$C$2))</f>
        <v>1.6033333333333313</v>
      </c>
      <c r="Q409" s="89">
        <f>IF(G409="","",ABS(O409-Components!$C$3))</f>
        <v>2.886000000000001</v>
      </c>
      <c r="R409" s="89">
        <f>IF(G409="","",ABS(O409-Components!$C$4))</f>
        <v>0.15666666666666562</v>
      </c>
      <c r="S409" s="89">
        <f>IF(G409="","",ABS(O409-Components!$C$5))</f>
        <v>3.4126666666666718</v>
      </c>
      <c r="T409" s="89">
        <f>IF(G409="","",ABS(O409-Components!$C$6))</f>
        <v>5.6666666666713716E-3</v>
      </c>
      <c r="U409" s="89">
        <f>IF(G409="","",ABS(O409-Components!$C$7))</f>
        <v>0.2243333333333315</v>
      </c>
      <c r="V409" s="89" t="str">
        <f>IF(G409="","",IF(M409="OK","NONE",INDEX({"S1","S2","W1","W2","N1","N2"},MATCH(MIN(P409:U409),P409:U409,0))))</f>
        <v>N1</v>
      </c>
      <c r="W409" s="139">
        <f t="shared" si="55"/>
        <v>1</v>
      </c>
      <c r="X409" s="125"/>
    </row>
    <row r="410" spans="1:24" ht="15.75">
      <c r="A410" s="115">
        <v>396</v>
      </c>
      <c r="B410" s="135">
        <f>'Runs Z-Score'!B398</f>
        <v>14</v>
      </c>
      <c r="C410" s="89" t="str">
        <f>'Runs Z-Score'!C398</f>
        <v>R6</v>
      </c>
      <c r="D410" s="89" t="str">
        <f>'Runs Z-Score'!D398</f>
        <v>NG</v>
      </c>
      <c r="E410" s="89" t="str">
        <f>'Runs Z-Score'!E398</f>
        <v>N1</v>
      </c>
      <c r="F410" s="89">
        <f>'Runs Z-Score'!F398</f>
        <v>7.48</v>
      </c>
      <c r="G410" s="89">
        <f t="shared" si="48"/>
        <v>8.4500000000000011</v>
      </c>
      <c r="H410" s="89">
        <v>9.61</v>
      </c>
      <c r="I410" s="89">
        <f>VLOOKUP(C410,Recipes!$A$2:$N$4,12,FALSE())</f>
        <v>6.1509461004819709E-2</v>
      </c>
      <c r="J410" s="89">
        <f t="shared" si="50"/>
        <v>355.65763450268418</v>
      </c>
      <c r="K410" s="89">
        <f t="shared" si="51"/>
        <v>355.59096783601751</v>
      </c>
      <c r="L410" s="89">
        <f t="shared" si="52"/>
        <v>18.857119818148728</v>
      </c>
      <c r="M410" s="89" t="str">
        <f t="shared" si="53"/>
        <v>NG</v>
      </c>
      <c r="N410" s="117">
        <f t="shared" si="54"/>
        <v>1</v>
      </c>
      <c r="O410" s="89">
        <f t="shared" si="49"/>
        <v>1.1599999999999984</v>
      </c>
      <c r="P410" s="89">
        <f>IF(G410="","",ABS(O410-Components!$C$2))</f>
        <v>1.5933333333333315</v>
      </c>
      <c r="Q410" s="89">
        <f>IF(G410="","",ABS(O410-Components!$C$3))</f>
        <v>2.8760000000000012</v>
      </c>
      <c r="R410" s="89">
        <f>IF(G410="","",ABS(O410-Components!$C$4))</f>
        <v>0.16666666666666541</v>
      </c>
      <c r="S410" s="89">
        <f>IF(G410="","",ABS(O410-Components!$C$5))</f>
        <v>3.4026666666666721</v>
      </c>
      <c r="T410" s="89">
        <f>IF(G410="","",ABS(O410-Components!$C$6))</f>
        <v>4.3333333333284152E-3</v>
      </c>
      <c r="U410" s="89">
        <f>IF(G410="","",ABS(O410-Components!$C$7))</f>
        <v>0.21433333333333171</v>
      </c>
      <c r="V410" s="89" t="str">
        <f>IF(G410="","",IF(M410="OK","NONE",INDEX({"S1","S2","W1","W2","N1","N2"},MATCH(MIN(P410:U410),P410:U410,0))))</f>
        <v>N1</v>
      </c>
      <c r="W410" s="139">
        <f t="shared" si="55"/>
        <v>1</v>
      </c>
      <c r="X410" s="125"/>
    </row>
    <row r="411" spans="1:24" ht="15.75">
      <c r="A411" s="115">
        <v>397</v>
      </c>
      <c r="B411" s="135">
        <f>'Runs Z-Score'!B399</f>
        <v>14</v>
      </c>
      <c r="C411" s="89" t="str">
        <f>'Runs Z-Score'!C399</f>
        <v>R6</v>
      </c>
      <c r="D411" s="89" t="str">
        <f>'Runs Z-Score'!D399</f>
        <v>NG</v>
      </c>
      <c r="E411" s="89" t="str">
        <f>'Runs Z-Score'!E399</f>
        <v>N1</v>
      </c>
      <c r="F411" s="89">
        <f>'Runs Z-Score'!F399</f>
        <v>7.46</v>
      </c>
      <c r="G411" s="89">
        <f t="shared" si="48"/>
        <v>8.43</v>
      </c>
      <c r="H411" s="89">
        <v>9.61</v>
      </c>
      <c r="I411" s="89">
        <f>VLOOKUP(C411,Recipes!$A$2:$N$4,12,FALSE())</f>
        <v>6.1509461004819709E-2</v>
      </c>
      <c r="J411" s="89">
        <f t="shared" si="50"/>
        <v>368.02741548865833</v>
      </c>
      <c r="K411" s="89">
        <f t="shared" si="51"/>
        <v>367.96074882199167</v>
      </c>
      <c r="L411" s="89">
        <f t="shared" si="52"/>
        <v>19.182303011421535</v>
      </c>
      <c r="M411" s="89" t="str">
        <f t="shared" si="53"/>
        <v>NG</v>
      </c>
      <c r="N411" s="117">
        <f t="shared" si="54"/>
        <v>1</v>
      </c>
      <c r="O411" s="89">
        <f t="shared" si="49"/>
        <v>1.1799999999999997</v>
      </c>
      <c r="P411" s="89">
        <f>IF(G411="","",ABS(O411-Components!$C$2))</f>
        <v>1.5733333333333301</v>
      </c>
      <c r="Q411" s="89">
        <f>IF(G411="","",ABS(O411-Components!$C$3))</f>
        <v>2.8559999999999999</v>
      </c>
      <c r="R411" s="89">
        <f>IF(G411="","",ABS(O411-Components!$C$4))</f>
        <v>0.18666666666666676</v>
      </c>
      <c r="S411" s="89">
        <f>IF(G411="","",ABS(O411-Components!$C$5))</f>
        <v>3.3826666666666707</v>
      </c>
      <c r="T411" s="89">
        <f>IF(G411="","",ABS(O411-Components!$C$6))</f>
        <v>2.4333333333329765E-2</v>
      </c>
      <c r="U411" s="89">
        <f>IF(G411="","",ABS(O411-Components!$C$7))</f>
        <v>0.19433333333333036</v>
      </c>
      <c r="V411" s="89" t="str">
        <f>IF(G411="","",IF(M411="OK","NONE",INDEX({"S1","S2","W1","W2","N1","N2"},MATCH(MIN(P411:U411),P411:U411,0))))</f>
        <v>N1</v>
      </c>
      <c r="W411" s="139">
        <f t="shared" si="55"/>
        <v>1</v>
      </c>
      <c r="X411" s="125"/>
    </row>
    <row r="412" spans="1:24" ht="15.75">
      <c r="A412" s="115">
        <v>398</v>
      </c>
      <c r="B412" s="135">
        <f>'Runs Z-Score'!B400</f>
        <v>14</v>
      </c>
      <c r="C412" s="89" t="str">
        <f>'Runs Z-Score'!C400</f>
        <v>R6</v>
      </c>
      <c r="D412" s="89" t="str">
        <f>'Runs Z-Score'!D400</f>
        <v>NG</v>
      </c>
      <c r="E412" s="89" t="str">
        <f>'Runs Z-Score'!E400</f>
        <v>N1</v>
      </c>
      <c r="F412" s="89">
        <f>'Runs Z-Score'!F400</f>
        <v>7.48</v>
      </c>
      <c r="G412" s="89">
        <f t="shared" si="48"/>
        <v>8.4500000000000011</v>
      </c>
      <c r="H412" s="89">
        <v>9.61</v>
      </c>
      <c r="I412" s="89">
        <f>VLOOKUP(C412,Recipes!$A$2:$N$4,12,FALSE())</f>
        <v>6.1509461004819709E-2</v>
      </c>
      <c r="J412" s="89">
        <f t="shared" si="50"/>
        <v>355.65763450268418</v>
      </c>
      <c r="K412" s="89">
        <f t="shared" si="51"/>
        <v>355.59096783601751</v>
      </c>
      <c r="L412" s="89">
        <f t="shared" si="52"/>
        <v>18.857119818148728</v>
      </c>
      <c r="M412" s="89" t="str">
        <f t="shared" si="53"/>
        <v>NG</v>
      </c>
      <c r="N412" s="117">
        <f t="shared" si="54"/>
        <v>1</v>
      </c>
      <c r="O412" s="89">
        <f t="shared" si="49"/>
        <v>1.1599999999999984</v>
      </c>
      <c r="P412" s="89">
        <f>IF(G412="","",ABS(O412-Components!$C$2))</f>
        <v>1.5933333333333315</v>
      </c>
      <c r="Q412" s="89">
        <f>IF(G412="","",ABS(O412-Components!$C$3))</f>
        <v>2.8760000000000012</v>
      </c>
      <c r="R412" s="89">
        <f>IF(G412="","",ABS(O412-Components!$C$4))</f>
        <v>0.16666666666666541</v>
      </c>
      <c r="S412" s="89">
        <f>IF(G412="","",ABS(O412-Components!$C$5))</f>
        <v>3.4026666666666721</v>
      </c>
      <c r="T412" s="89">
        <f>IF(G412="","",ABS(O412-Components!$C$6))</f>
        <v>4.3333333333284152E-3</v>
      </c>
      <c r="U412" s="89">
        <f>IF(G412="","",ABS(O412-Components!$C$7))</f>
        <v>0.21433333333333171</v>
      </c>
      <c r="V412" s="89" t="str">
        <f>IF(G412="","",IF(M412="OK","NONE",INDEX({"S1","S2","W1","W2","N1","N2"},MATCH(MIN(P412:U412),P412:U412,0))))</f>
        <v>N1</v>
      </c>
      <c r="W412" s="139">
        <f t="shared" si="55"/>
        <v>1</v>
      </c>
      <c r="X412" s="125"/>
    </row>
    <row r="413" spans="1:24" ht="15.75">
      <c r="A413" s="115">
        <v>399</v>
      </c>
      <c r="B413" s="135">
        <f>'Runs Z-Score'!B401</f>
        <v>14</v>
      </c>
      <c r="C413" s="89" t="str">
        <f>'Runs Z-Score'!C401</f>
        <v>R6</v>
      </c>
      <c r="D413" s="89" t="str">
        <f>'Runs Z-Score'!D401</f>
        <v>NG</v>
      </c>
      <c r="E413" s="89" t="str">
        <f>'Runs Z-Score'!E401</f>
        <v>N1</v>
      </c>
      <c r="F413" s="89">
        <f>'Runs Z-Score'!F401</f>
        <v>7.45</v>
      </c>
      <c r="G413" s="89">
        <f t="shared" si="48"/>
        <v>8.42</v>
      </c>
      <c r="H413" s="89">
        <v>9.61</v>
      </c>
      <c r="I413" s="89">
        <f>VLOOKUP(C413,Recipes!$A$2:$N$4,12,FALSE())</f>
        <v>6.1509461004819709E-2</v>
      </c>
      <c r="J413" s="89">
        <f t="shared" si="50"/>
        <v>374.29159944950374</v>
      </c>
      <c r="K413" s="89">
        <f t="shared" si="51"/>
        <v>374.22493278283707</v>
      </c>
      <c r="L413" s="89">
        <f t="shared" si="52"/>
        <v>19.34489423033471</v>
      </c>
      <c r="M413" s="89" t="str">
        <f t="shared" si="53"/>
        <v>NG</v>
      </c>
      <c r="N413" s="117">
        <f t="shared" si="54"/>
        <v>1</v>
      </c>
      <c r="O413" s="89">
        <f t="shared" si="49"/>
        <v>1.1899999999999995</v>
      </c>
      <c r="P413" s="89">
        <f>IF(G413="","",ABS(O413-Components!$C$2))</f>
        <v>1.5633333333333304</v>
      </c>
      <c r="Q413" s="89">
        <f>IF(G413="","",ABS(O413-Components!$C$3))</f>
        <v>2.8460000000000001</v>
      </c>
      <c r="R413" s="89">
        <f>IF(G413="","",ABS(O413-Components!$C$4))</f>
        <v>0.19666666666666655</v>
      </c>
      <c r="S413" s="89">
        <f>IF(G413="","",ABS(O413-Components!$C$5))</f>
        <v>3.3726666666666709</v>
      </c>
      <c r="T413" s="89">
        <f>IF(G413="","",ABS(O413-Components!$C$6))</f>
        <v>3.4333333333329552E-2</v>
      </c>
      <c r="U413" s="89">
        <f>IF(G413="","",ABS(O413-Components!$C$7))</f>
        <v>0.18433333333333057</v>
      </c>
      <c r="V413" s="89" t="str">
        <f>IF(G413="","",IF(M413="OK","NONE",INDEX({"S1","S2","W1","W2","N1","N2"},MATCH(MIN(P413:U413),P413:U413,0))))</f>
        <v>N1</v>
      </c>
      <c r="W413" s="139">
        <f t="shared" si="55"/>
        <v>1</v>
      </c>
      <c r="X413" s="125"/>
    </row>
    <row r="414" spans="1:24" ht="15.75">
      <c r="A414" s="115">
        <v>400</v>
      </c>
      <c r="B414" s="135">
        <f>'Runs Z-Score'!B402</f>
        <v>14</v>
      </c>
      <c r="C414" s="89" t="str">
        <f>'Runs Z-Score'!C402</f>
        <v>R6</v>
      </c>
      <c r="D414" s="89" t="str">
        <f>'Runs Z-Score'!D402</f>
        <v>NG</v>
      </c>
      <c r="E414" s="89" t="str">
        <f>'Runs Z-Score'!E402</f>
        <v>N1</v>
      </c>
      <c r="F414" s="89">
        <f>'Runs Z-Score'!F402</f>
        <v>7.43</v>
      </c>
      <c r="G414" s="89">
        <f t="shared" si="48"/>
        <v>8.4</v>
      </c>
      <c r="H414" s="89">
        <v>9.61</v>
      </c>
      <c r="I414" s="89">
        <f>VLOOKUP(C414,Recipes!$A$2:$N$4,12,FALSE())</f>
        <v>6.1509461004819709E-2</v>
      </c>
      <c r="J414" s="89">
        <f t="shared" si="50"/>
        <v>386.97855430691186</v>
      </c>
      <c r="K414" s="89">
        <f t="shared" si="51"/>
        <v>386.9118876402452</v>
      </c>
      <c r="L414" s="89">
        <f t="shared" si="52"/>
        <v>19.670075943936901</v>
      </c>
      <c r="M414" s="89" t="str">
        <f t="shared" si="53"/>
        <v>NG</v>
      </c>
      <c r="N414" s="117">
        <f t="shared" si="54"/>
        <v>1</v>
      </c>
      <c r="O414" s="89">
        <f t="shared" si="49"/>
        <v>1.2099999999999991</v>
      </c>
      <c r="P414" s="89">
        <f>IF(G414="","",ABS(O414-Components!$C$2))</f>
        <v>1.5433333333333308</v>
      </c>
      <c r="Q414" s="89">
        <f>IF(G414="","",ABS(O414-Components!$C$3))</f>
        <v>2.8260000000000005</v>
      </c>
      <c r="R414" s="89">
        <f>IF(G414="","",ABS(O414-Components!$C$4))</f>
        <v>0.21666666666666612</v>
      </c>
      <c r="S414" s="89">
        <f>IF(G414="","",ABS(O414-Components!$C$5))</f>
        <v>3.3526666666666713</v>
      </c>
      <c r="T414" s="89">
        <f>IF(G414="","",ABS(O414-Components!$C$6))</f>
        <v>5.4333333333329126E-2</v>
      </c>
      <c r="U414" s="89">
        <f>IF(G414="","",ABS(O414-Components!$C$7))</f>
        <v>0.164333333333331</v>
      </c>
      <c r="V414" s="89" t="str">
        <f>IF(G414="","",IF(M414="OK","NONE",INDEX({"S1","S2","W1","W2","N1","N2"},MATCH(MIN(P414:U414),P414:U414,0))))</f>
        <v>N1</v>
      </c>
      <c r="W414" s="139">
        <f t="shared" si="55"/>
        <v>1</v>
      </c>
      <c r="X414" s="125"/>
    </row>
    <row r="415" spans="1:24" ht="15.75">
      <c r="A415" s="115">
        <v>401</v>
      </c>
      <c r="B415" s="135">
        <f>'Runs Z-Score'!B403</f>
        <v>14</v>
      </c>
      <c r="C415" s="89" t="str">
        <f>'Runs Z-Score'!C403</f>
        <v>R6</v>
      </c>
      <c r="D415" s="89" t="str">
        <f>'Runs Z-Score'!D403</f>
        <v>NG</v>
      </c>
      <c r="E415" s="89" t="str">
        <f>'Runs Z-Score'!E403</f>
        <v>N1</v>
      </c>
      <c r="F415" s="89">
        <f>'Runs Z-Score'!F403</f>
        <v>7.48</v>
      </c>
      <c r="G415" s="89">
        <f t="shared" si="48"/>
        <v>8.4500000000000011</v>
      </c>
      <c r="H415" s="89">
        <v>9.61</v>
      </c>
      <c r="I415" s="89">
        <f>VLOOKUP(C415,Recipes!$A$2:$N$4,12,FALSE())</f>
        <v>6.1509461004819709E-2</v>
      </c>
      <c r="J415" s="89">
        <f t="shared" si="50"/>
        <v>355.65763450268418</v>
      </c>
      <c r="K415" s="89">
        <f t="shared" si="51"/>
        <v>355.59096783601751</v>
      </c>
      <c r="L415" s="89">
        <f t="shared" si="52"/>
        <v>18.857119818148728</v>
      </c>
      <c r="M415" s="89" t="str">
        <f t="shared" si="53"/>
        <v>NG</v>
      </c>
      <c r="N415" s="117">
        <f t="shared" si="54"/>
        <v>1</v>
      </c>
      <c r="O415" s="89">
        <f t="shared" si="49"/>
        <v>1.1599999999999984</v>
      </c>
      <c r="P415" s="89">
        <f>IF(G415="","",ABS(O415-Components!$C$2))</f>
        <v>1.5933333333333315</v>
      </c>
      <c r="Q415" s="89">
        <f>IF(G415="","",ABS(O415-Components!$C$3))</f>
        <v>2.8760000000000012</v>
      </c>
      <c r="R415" s="89">
        <f>IF(G415="","",ABS(O415-Components!$C$4))</f>
        <v>0.16666666666666541</v>
      </c>
      <c r="S415" s="89">
        <f>IF(G415="","",ABS(O415-Components!$C$5))</f>
        <v>3.4026666666666721</v>
      </c>
      <c r="T415" s="89">
        <f>IF(G415="","",ABS(O415-Components!$C$6))</f>
        <v>4.3333333333284152E-3</v>
      </c>
      <c r="U415" s="89">
        <f>IF(G415="","",ABS(O415-Components!$C$7))</f>
        <v>0.21433333333333171</v>
      </c>
      <c r="V415" s="89" t="str">
        <f>IF(G415="","",IF(M415="OK","NONE",INDEX({"S1","S2","W1","W2","N1","N2"},MATCH(MIN(P415:U415),P415:U415,0))))</f>
        <v>N1</v>
      </c>
      <c r="W415" s="139">
        <f t="shared" si="55"/>
        <v>1</v>
      </c>
      <c r="X415" s="125"/>
    </row>
    <row r="416" spans="1:24" ht="15.75">
      <c r="A416" s="115">
        <v>402</v>
      </c>
      <c r="B416" s="135">
        <f>'Runs Z-Score'!B404</f>
        <v>14</v>
      </c>
      <c r="C416" s="89" t="str">
        <f>'Runs Z-Score'!C404</f>
        <v>R6</v>
      </c>
      <c r="D416" s="89" t="str">
        <f>'Runs Z-Score'!D404</f>
        <v>NG</v>
      </c>
      <c r="E416" s="89" t="str">
        <f>'Runs Z-Score'!E404</f>
        <v>N1</v>
      </c>
      <c r="F416" s="89">
        <f>'Runs Z-Score'!F404</f>
        <v>7.46</v>
      </c>
      <c r="G416" s="89">
        <f t="shared" si="48"/>
        <v>8.43</v>
      </c>
      <c r="H416" s="89">
        <v>9.61</v>
      </c>
      <c r="I416" s="89">
        <f>VLOOKUP(C416,Recipes!$A$2:$N$4,12,FALSE())</f>
        <v>6.1509461004819709E-2</v>
      </c>
      <c r="J416" s="89">
        <f t="shared" si="50"/>
        <v>368.02741548865833</v>
      </c>
      <c r="K416" s="89">
        <f t="shared" si="51"/>
        <v>367.96074882199167</v>
      </c>
      <c r="L416" s="89">
        <f t="shared" si="52"/>
        <v>19.182303011421535</v>
      </c>
      <c r="M416" s="89" t="str">
        <f t="shared" si="53"/>
        <v>NG</v>
      </c>
      <c r="N416" s="117">
        <f t="shared" si="54"/>
        <v>1</v>
      </c>
      <c r="O416" s="89">
        <f t="shared" si="49"/>
        <v>1.1799999999999997</v>
      </c>
      <c r="P416" s="89">
        <f>IF(G416="","",ABS(O416-Components!$C$2))</f>
        <v>1.5733333333333301</v>
      </c>
      <c r="Q416" s="89">
        <f>IF(G416="","",ABS(O416-Components!$C$3))</f>
        <v>2.8559999999999999</v>
      </c>
      <c r="R416" s="89">
        <f>IF(G416="","",ABS(O416-Components!$C$4))</f>
        <v>0.18666666666666676</v>
      </c>
      <c r="S416" s="89">
        <f>IF(G416="","",ABS(O416-Components!$C$5))</f>
        <v>3.3826666666666707</v>
      </c>
      <c r="T416" s="89">
        <f>IF(G416="","",ABS(O416-Components!$C$6))</f>
        <v>2.4333333333329765E-2</v>
      </c>
      <c r="U416" s="89">
        <f>IF(G416="","",ABS(O416-Components!$C$7))</f>
        <v>0.19433333333333036</v>
      </c>
      <c r="V416" s="89" t="str">
        <f>IF(G416="","",IF(M416="OK","NONE",INDEX({"S1","S2","W1","W2","N1","N2"},MATCH(MIN(P416:U416),P416:U416,0))))</f>
        <v>N1</v>
      </c>
      <c r="W416" s="139">
        <f t="shared" si="55"/>
        <v>1</v>
      </c>
      <c r="X416" s="125"/>
    </row>
    <row r="417" spans="1:24" ht="15.75">
      <c r="A417" s="115">
        <v>403</v>
      </c>
      <c r="B417" s="135">
        <f>'Runs Z-Score'!B405</f>
        <v>14</v>
      </c>
      <c r="C417" s="89" t="str">
        <f>'Runs Z-Score'!C405</f>
        <v>R6</v>
      </c>
      <c r="D417" s="89" t="str">
        <f>'Runs Z-Score'!D405</f>
        <v>NG</v>
      </c>
      <c r="E417" s="89" t="str">
        <f>'Runs Z-Score'!E405</f>
        <v>N1</v>
      </c>
      <c r="F417" s="89">
        <f>'Runs Z-Score'!F405</f>
        <v>7.47</v>
      </c>
      <c r="G417" s="89">
        <f t="shared" si="48"/>
        <v>8.44</v>
      </c>
      <c r="H417" s="89">
        <v>9.61</v>
      </c>
      <c r="I417" s="89">
        <f>VLOOKUP(C417,Recipes!$A$2:$N$4,12,FALSE())</f>
        <v>6.1509461004819709E-2</v>
      </c>
      <c r="J417" s="89">
        <f t="shared" si="50"/>
        <v>361.81609383971892</v>
      </c>
      <c r="K417" s="89">
        <f t="shared" si="51"/>
        <v>361.74942717305225</v>
      </c>
      <c r="L417" s="89">
        <f t="shared" si="52"/>
        <v>19.019711542845549</v>
      </c>
      <c r="M417" s="89" t="str">
        <f t="shared" si="53"/>
        <v>NG</v>
      </c>
      <c r="N417" s="117">
        <f t="shared" si="54"/>
        <v>1</v>
      </c>
      <c r="O417" s="89">
        <f t="shared" si="49"/>
        <v>1.17</v>
      </c>
      <c r="P417" s="89">
        <f>IF(G417="","",ABS(O417-Components!$C$2))</f>
        <v>1.5833333333333299</v>
      </c>
      <c r="Q417" s="89">
        <f>IF(G417="","",ABS(O417-Components!$C$3))</f>
        <v>2.8659999999999997</v>
      </c>
      <c r="R417" s="89">
        <f>IF(G417="","",ABS(O417-Components!$C$4))</f>
        <v>0.17666666666666697</v>
      </c>
      <c r="S417" s="89">
        <f>IF(G417="","",ABS(O417-Components!$C$5))</f>
        <v>3.3926666666666705</v>
      </c>
      <c r="T417" s="89">
        <f>IF(G417="","",ABS(O417-Components!$C$6))</f>
        <v>1.4333333333329978E-2</v>
      </c>
      <c r="U417" s="89">
        <f>IF(G417="","",ABS(O417-Components!$C$7))</f>
        <v>0.20433333333333015</v>
      </c>
      <c r="V417" s="89" t="str">
        <f>IF(G417="","",IF(M417="OK","NONE",INDEX({"S1","S2","W1","W2","N1","N2"},MATCH(MIN(P417:U417),P417:U417,0))))</f>
        <v>N1</v>
      </c>
      <c r="W417" s="139">
        <f t="shared" si="55"/>
        <v>1</v>
      </c>
      <c r="X417" s="125"/>
    </row>
    <row r="418" spans="1:24" ht="15.75">
      <c r="A418" s="115">
        <v>404</v>
      </c>
      <c r="B418" s="135">
        <f>'Runs Z-Score'!B406</f>
        <v>14</v>
      </c>
      <c r="C418" s="89" t="str">
        <f>'Runs Z-Score'!C406</f>
        <v>R6</v>
      </c>
      <c r="D418" s="89" t="str">
        <f>'Runs Z-Score'!D406</f>
        <v>NG</v>
      </c>
      <c r="E418" s="89" t="str">
        <f>'Runs Z-Score'!E406</f>
        <v>N1</v>
      </c>
      <c r="F418" s="89">
        <f>'Runs Z-Score'!F406</f>
        <v>7.3</v>
      </c>
      <c r="G418" s="89">
        <f t="shared" si="48"/>
        <v>8.27</v>
      </c>
      <c r="H418" s="89">
        <v>9.61</v>
      </c>
      <c r="I418" s="89">
        <f>VLOOKUP(C418,Recipes!$A$2:$N$4,12,FALSE())</f>
        <v>6.1509461004819709E-2</v>
      </c>
      <c r="J418" s="89">
        <f t="shared" si="50"/>
        <v>474.59783629088997</v>
      </c>
      <c r="K418" s="89">
        <f t="shared" si="51"/>
        <v>474.53116962422331</v>
      </c>
      <c r="L418" s="89">
        <f t="shared" si="52"/>
        <v>21.783736355919828</v>
      </c>
      <c r="M418" s="89" t="str">
        <f t="shared" si="53"/>
        <v>NG</v>
      </c>
      <c r="N418" s="117">
        <f t="shared" si="54"/>
        <v>1</v>
      </c>
      <c r="O418" s="89">
        <f t="shared" si="49"/>
        <v>1.3399999999999999</v>
      </c>
      <c r="P418" s="89">
        <f>IF(G418="","",ABS(O418-Components!$C$2))</f>
        <v>1.41333333333333</v>
      </c>
      <c r="Q418" s="89">
        <f>IF(G418="","",ABS(O418-Components!$C$3))</f>
        <v>2.6959999999999997</v>
      </c>
      <c r="R418" s="89">
        <f>IF(G418="","",ABS(O418-Components!$C$4))</f>
        <v>0.3466666666666669</v>
      </c>
      <c r="S418" s="89">
        <f>IF(G418="","",ABS(O418-Components!$C$5))</f>
        <v>3.2226666666666706</v>
      </c>
      <c r="T418" s="89">
        <f>IF(G418="","",ABS(O418-Components!$C$6))</f>
        <v>0.18433333333332991</v>
      </c>
      <c r="U418" s="89">
        <f>IF(G418="","",ABS(O418-Components!$C$7))</f>
        <v>3.4333333333330218E-2</v>
      </c>
      <c r="V418" s="89" t="str">
        <f>IF(G418="","",IF(M418="OK","NONE",INDEX({"S1","S2","W1","W2","N1","N2"},MATCH(MIN(P418:U418),P418:U418,0))))</f>
        <v>N2</v>
      </c>
      <c r="W418" s="140">
        <f t="shared" si="55"/>
        <v>0</v>
      </c>
      <c r="X418" s="125"/>
    </row>
    <row r="419" spans="1:24" ht="15.75">
      <c r="A419" s="115">
        <v>405</v>
      </c>
      <c r="B419" s="135">
        <f>'Runs Z-Score'!B407</f>
        <v>14</v>
      </c>
      <c r="C419" s="89" t="str">
        <f>'Runs Z-Score'!C407</f>
        <v>R6</v>
      </c>
      <c r="D419" s="89" t="str">
        <f>'Runs Z-Score'!D407</f>
        <v>NG</v>
      </c>
      <c r="E419" s="89" t="str">
        <f>'Runs Z-Score'!E407</f>
        <v>N1</v>
      </c>
      <c r="F419" s="89">
        <f>'Runs Z-Score'!F407</f>
        <v>7.44</v>
      </c>
      <c r="G419" s="89">
        <f t="shared" si="48"/>
        <v>8.41</v>
      </c>
      <c r="H419" s="89">
        <v>9.61</v>
      </c>
      <c r="I419" s="89">
        <f>VLOOKUP(C419,Recipes!$A$2:$N$4,12,FALSE())</f>
        <v>6.1509461004819709E-2</v>
      </c>
      <c r="J419" s="89">
        <f t="shared" si="50"/>
        <v>380.60864572225489</v>
      </c>
      <c r="K419" s="89">
        <f t="shared" si="51"/>
        <v>380.54197905558823</v>
      </c>
      <c r="L419" s="89">
        <f t="shared" si="52"/>
        <v>19.507485205827741</v>
      </c>
      <c r="M419" s="89" t="str">
        <f t="shared" si="53"/>
        <v>NG</v>
      </c>
      <c r="N419" s="117">
        <f t="shared" si="54"/>
        <v>1</v>
      </c>
      <c r="O419" s="89">
        <f t="shared" si="49"/>
        <v>1.1999999999999993</v>
      </c>
      <c r="P419" s="89">
        <f>IF(G419="","",ABS(O419-Components!$C$2))</f>
        <v>1.5533333333333306</v>
      </c>
      <c r="Q419" s="89">
        <f>IF(G419="","",ABS(O419-Components!$C$3))</f>
        <v>2.8360000000000003</v>
      </c>
      <c r="R419" s="89">
        <f>IF(G419="","",ABS(O419-Components!$C$4))</f>
        <v>0.20666666666666633</v>
      </c>
      <c r="S419" s="89">
        <f>IF(G419="","",ABS(O419-Components!$C$5))</f>
        <v>3.3626666666666711</v>
      </c>
      <c r="T419" s="89">
        <f>IF(G419="","",ABS(O419-Components!$C$6))</f>
        <v>4.4333333333329339E-2</v>
      </c>
      <c r="U419" s="89">
        <f>IF(G419="","",ABS(O419-Components!$C$7))</f>
        <v>0.17433333333333079</v>
      </c>
      <c r="V419" s="89" t="str">
        <f>IF(G419="","",IF(M419="OK","NONE",INDEX({"S1","S2","W1","W2","N1","N2"},MATCH(MIN(P419:U419),P419:U419,0))))</f>
        <v>N1</v>
      </c>
      <c r="W419" s="139">
        <f t="shared" si="55"/>
        <v>1</v>
      </c>
      <c r="X419" s="125"/>
    </row>
    <row r="420" spans="1:24" ht="15.75">
      <c r="A420" s="115">
        <v>406</v>
      </c>
      <c r="B420" s="135">
        <f>'Runs Z-Score'!B408</f>
        <v>14</v>
      </c>
      <c r="C420" s="89" t="str">
        <f>'Runs Z-Score'!C408</f>
        <v>R6</v>
      </c>
      <c r="D420" s="89" t="str">
        <f>'Runs Z-Score'!D408</f>
        <v>NG</v>
      </c>
      <c r="E420" s="89" t="str">
        <f>'Runs Z-Score'!E408</f>
        <v>N1</v>
      </c>
      <c r="F420" s="89">
        <f>'Runs Z-Score'!F408</f>
        <v>7.45</v>
      </c>
      <c r="G420" s="89">
        <f t="shared" si="48"/>
        <v>8.42</v>
      </c>
      <c r="H420" s="89">
        <v>9.61</v>
      </c>
      <c r="I420" s="89">
        <f>VLOOKUP(C420,Recipes!$A$2:$N$4,12,FALSE())</f>
        <v>6.1509461004819709E-2</v>
      </c>
      <c r="J420" s="89">
        <f t="shared" si="50"/>
        <v>374.29159944950374</v>
      </c>
      <c r="K420" s="89">
        <f t="shared" si="51"/>
        <v>374.22493278283707</v>
      </c>
      <c r="L420" s="89">
        <f t="shared" si="52"/>
        <v>19.34489423033471</v>
      </c>
      <c r="M420" s="89" t="str">
        <f t="shared" si="53"/>
        <v>NG</v>
      </c>
      <c r="N420" s="117">
        <f t="shared" si="54"/>
        <v>1</v>
      </c>
      <c r="O420" s="89">
        <f t="shared" si="49"/>
        <v>1.1899999999999995</v>
      </c>
      <c r="P420" s="89">
        <f>IF(G420="","",ABS(O420-Components!$C$2))</f>
        <v>1.5633333333333304</v>
      </c>
      <c r="Q420" s="89">
        <f>IF(G420="","",ABS(O420-Components!$C$3))</f>
        <v>2.8460000000000001</v>
      </c>
      <c r="R420" s="89">
        <f>IF(G420="","",ABS(O420-Components!$C$4))</f>
        <v>0.19666666666666655</v>
      </c>
      <c r="S420" s="89">
        <f>IF(G420="","",ABS(O420-Components!$C$5))</f>
        <v>3.3726666666666709</v>
      </c>
      <c r="T420" s="89">
        <f>IF(G420="","",ABS(O420-Components!$C$6))</f>
        <v>3.4333333333329552E-2</v>
      </c>
      <c r="U420" s="89">
        <f>IF(G420="","",ABS(O420-Components!$C$7))</f>
        <v>0.18433333333333057</v>
      </c>
      <c r="V420" s="89" t="str">
        <f>IF(G420="","",IF(M420="OK","NONE",INDEX({"S1","S2","W1","W2","N1","N2"},MATCH(MIN(P420:U420),P420:U420,0))))</f>
        <v>N1</v>
      </c>
      <c r="W420" s="139">
        <f t="shared" si="55"/>
        <v>1</v>
      </c>
      <c r="X420" s="125"/>
    </row>
    <row r="421" spans="1:24" ht="15.75">
      <c r="A421" s="115">
        <v>407</v>
      </c>
      <c r="B421" s="135">
        <f>'Runs Z-Score'!B409</f>
        <v>14</v>
      </c>
      <c r="C421" s="89" t="str">
        <f>'Runs Z-Score'!C409</f>
        <v>R6</v>
      </c>
      <c r="D421" s="89" t="str">
        <f>'Runs Z-Score'!D409</f>
        <v>NG</v>
      </c>
      <c r="E421" s="89" t="str">
        <f>'Runs Z-Score'!E409</f>
        <v>N1</v>
      </c>
      <c r="F421" s="89">
        <f>'Runs Z-Score'!F409</f>
        <v>7.45</v>
      </c>
      <c r="G421" s="89">
        <f t="shared" si="48"/>
        <v>8.42</v>
      </c>
      <c r="H421" s="89">
        <v>9.61</v>
      </c>
      <c r="I421" s="89">
        <f>VLOOKUP(C421,Recipes!$A$2:$N$4,12,FALSE())</f>
        <v>6.1509461004819709E-2</v>
      </c>
      <c r="J421" s="89">
        <f t="shared" si="50"/>
        <v>374.29159944950374</v>
      </c>
      <c r="K421" s="89">
        <f t="shared" si="51"/>
        <v>374.22493278283707</v>
      </c>
      <c r="L421" s="89">
        <f t="shared" si="52"/>
        <v>19.34489423033471</v>
      </c>
      <c r="M421" s="89" t="str">
        <f t="shared" si="53"/>
        <v>NG</v>
      </c>
      <c r="N421" s="117">
        <f t="shared" si="54"/>
        <v>1</v>
      </c>
      <c r="O421" s="89">
        <f t="shared" si="49"/>
        <v>1.1899999999999995</v>
      </c>
      <c r="P421" s="89">
        <f>IF(G421="","",ABS(O421-Components!$C$2))</f>
        <v>1.5633333333333304</v>
      </c>
      <c r="Q421" s="89">
        <f>IF(G421="","",ABS(O421-Components!$C$3))</f>
        <v>2.8460000000000001</v>
      </c>
      <c r="R421" s="89">
        <f>IF(G421="","",ABS(O421-Components!$C$4))</f>
        <v>0.19666666666666655</v>
      </c>
      <c r="S421" s="89">
        <f>IF(G421="","",ABS(O421-Components!$C$5))</f>
        <v>3.3726666666666709</v>
      </c>
      <c r="T421" s="89">
        <f>IF(G421="","",ABS(O421-Components!$C$6))</f>
        <v>3.4333333333329552E-2</v>
      </c>
      <c r="U421" s="89">
        <f>IF(G421="","",ABS(O421-Components!$C$7))</f>
        <v>0.18433333333333057</v>
      </c>
      <c r="V421" s="89" t="str">
        <f>IF(G421="","",IF(M421="OK","NONE",INDEX({"S1","S2","W1","W2","N1","N2"},MATCH(MIN(P421:U421),P421:U421,0))))</f>
        <v>N1</v>
      </c>
      <c r="W421" s="139">
        <f t="shared" si="55"/>
        <v>1</v>
      </c>
      <c r="X421" s="125"/>
    </row>
    <row r="422" spans="1:24" ht="15.75">
      <c r="A422" s="115">
        <v>408</v>
      </c>
      <c r="B422" s="135">
        <f>'Runs Z-Score'!B410</f>
        <v>14</v>
      </c>
      <c r="C422" s="89" t="str">
        <f>'Runs Z-Score'!C410</f>
        <v>R6</v>
      </c>
      <c r="D422" s="89" t="str">
        <f>'Runs Z-Score'!D410</f>
        <v>NG</v>
      </c>
      <c r="E422" s="89" t="str">
        <f>'Runs Z-Score'!E410</f>
        <v>N1</v>
      </c>
      <c r="F422" s="89">
        <f>'Runs Z-Score'!F410</f>
        <v>7.44</v>
      </c>
      <c r="G422" s="89">
        <f t="shared" si="48"/>
        <v>8.41</v>
      </c>
      <c r="H422" s="89">
        <v>9.61</v>
      </c>
      <c r="I422" s="89">
        <f>VLOOKUP(C422,Recipes!$A$2:$N$4,12,FALSE())</f>
        <v>6.1509461004819709E-2</v>
      </c>
      <c r="J422" s="89">
        <f t="shared" si="50"/>
        <v>380.60864572225489</v>
      </c>
      <c r="K422" s="89">
        <f t="shared" si="51"/>
        <v>380.54197905558823</v>
      </c>
      <c r="L422" s="89">
        <f t="shared" si="52"/>
        <v>19.507485205827741</v>
      </c>
      <c r="M422" s="89" t="str">
        <f t="shared" si="53"/>
        <v>NG</v>
      </c>
      <c r="N422" s="117">
        <f t="shared" si="54"/>
        <v>1</v>
      </c>
      <c r="O422" s="89">
        <f t="shared" si="49"/>
        <v>1.1999999999999993</v>
      </c>
      <c r="P422" s="89">
        <f>IF(G422="","",ABS(O422-Components!$C$2))</f>
        <v>1.5533333333333306</v>
      </c>
      <c r="Q422" s="89">
        <f>IF(G422="","",ABS(O422-Components!$C$3))</f>
        <v>2.8360000000000003</v>
      </c>
      <c r="R422" s="89">
        <f>IF(G422="","",ABS(O422-Components!$C$4))</f>
        <v>0.20666666666666633</v>
      </c>
      <c r="S422" s="89">
        <f>IF(G422="","",ABS(O422-Components!$C$5))</f>
        <v>3.3626666666666711</v>
      </c>
      <c r="T422" s="89">
        <f>IF(G422="","",ABS(O422-Components!$C$6))</f>
        <v>4.4333333333329339E-2</v>
      </c>
      <c r="U422" s="89">
        <f>IF(G422="","",ABS(O422-Components!$C$7))</f>
        <v>0.17433333333333079</v>
      </c>
      <c r="V422" s="89" t="str">
        <f>IF(G422="","",IF(M422="OK","NONE",INDEX({"S1","S2","W1","W2","N1","N2"},MATCH(MIN(P422:U422),P422:U422,0))))</f>
        <v>N1</v>
      </c>
      <c r="W422" s="139">
        <f t="shared" si="55"/>
        <v>1</v>
      </c>
      <c r="X422" s="125"/>
    </row>
    <row r="423" spans="1:24" ht="15.75">
      <c r="A423" s="115">
        <v>409</v>
      </c>
      <c r="B423" s="135">
        <f>'Runs Z-Score'!B411</f>
        <v>14</v>
      </c>
      <c r="C423" s="89" t="str">
        <f>'Runs Z-Score'!C411</f>
        <v>R6</v>
      </c>
      <c r="D423" s="89" t="str">
        <f>'Runs Z-Score'!D411</f>
        <v>NG</v>
      </c>
      <c r="E423" s="89" t="str">
        <f>'Runs Z-Score'!E411</f>
        <v>N1</v>
      </c>
      <c r="F423" s="89">
        <f>'Runs Z-Score'!F411</f>
        <v>7.47</v>
      </c>
      <c r="G423" s="89">
        <f t="shared" si="48"/>
        <v>8.44</v>
      </c>
      <c r="H423" s="89">
        <v>9.61</v>
      </c>
      <c r="I423" s="89">
        <f>VLOOKUP(C423,Recipes!$A$2:$N$4,12,FALSE())</f>
        <v>6.1509461004819709E-2</v>
      </c>
      <c r="J423" s="89">
        <f t="shared" si="50"/>
        <v>361.81609383971892</v>
      </c>
      <c r="K423" s="89">
        <f t="shared" si="51"/>
        <v>361.74942717305225</v>
      </c>
      <c r="L423" s="89">
        <f t="shared" si="52"/>
        <v>19.019711542845549</v>
      </c>
      <c r="M423" s="89" t="str">
        <f t="shared" si="53"/>
        <v>NG</v>
      </c>
      <c r="N423" s="117">
        <f t="shared" si="54"/>
        <v>1</v>
      </c>
      <c r="O423" s="89">
        <f t="shared" si="49"/>
        <v>1.17</v>
      </c>
      <c r="P423" s="89">
        <f>IF(G423="","",ABS(O423-Components!$C$2))</f>
        <v>1.5833333333333299</v>
      </c>
      <c r="Q423" s="89">
        <f>IF(G423="","",ABS(O423-Components!$C$3))</f>
        <v>2.8659999999999997</v>
      </c>
      <c r="R423" s="89">
        <f>IF(G423="","",ABS(O423-Components!$C$4))</f>
        <v>0.17666666666666697</v>
      </c>
      <c r="S423" s="89">
        <f>IF(G423="","",ABS(O423-Components!$C$5))</f>
        <v>3.3926666666666705</v>
      </c>
      <c r="T423" s="89">
        <f>IF(G423="","",ABS(O423-Components!$C$6))</f>
        <v>1.4333333333329978E-2</v>
      </c>
      <c r="U423" s="89">
        <f>IF(G423="","",ABS(O423-Components!$C$7))</f>
        <v>0.20433333333333015</v>
      </c>
      <c r="V423" s="89" t="str">
        <f>IF(G423="","",IF(M423="OK","NONE",INDEX({"S1","S2","W1","W2","N1","N2"},MATCH(MIN(P423:U423),P423:U423,0))))</f>
        <v>N1</v>
      </c>
      <c r="W423" s="139">
        <f t="shared" si="55"/>
        <v>1</v>
      </c>
      <c r="X423" s="125"/>
    </row>
    <row r="424" spans="1:24" ht="15.75">
      <c r="A424" s="115">
        <v>410</v>
      </c>
      <c r="B424" s="135">
        <f>'Runs Z-Score'!B412</f>
        <v>14</v>
      </c>
      <c r="C424" s="89" t="str">
        <f>'Runs Z-Score'!C412</f>
        <v>R6</v>
      </c>
      <c r="D424" s="89" t="str">
        <f>'Runs Z-Score'!D412</f>
        <v>NG</v>
      </c>
      <c r="E424" s="89" t="str">
        <f>'Runs Z-Score'!E412</f>
        <v>N1</v>
      </c>
      <c r="F424" s="89">
        <f>'Runs Z-Score'!F412</f>
        <v>7.38</v>
      </c>
      <c r="G424" s="89">
        <f t="shared" si="48"/>
        <v>8.35</v>
      </c>
      <c r="H424" s="89">
        <v>9.61</v>
      </c>
      <c r="I424" s="89">
        <f>VLOOKUP(C424,Recipes!$A$2:$N$4,12,FALSE())</f>
        <v>6.1509461004819709E-2</v>
      </c>
      <c r="J424" s="89">
        <f t="shared" si="50"/>
        <v>419.62103190878634</v>
      </c>
      <c r="K424" s="89">
        <f t="shared" si="51"/>
        <v>419.55436524211967</v>
      </c>
      <c r="L424" s="89">
        <f t="shared" si="52"/>
        <v>20.483026271577149</v>
      </c>
      <c r="M424" s="89" t="str">
        <f t="shared" si="53"/>
        <v>NG</v>
      </c>
      <c r="N424" s="117">
        <f t="shared" si="54"/>
        <v>1</v>
      </c>
      <c r="O424" s="89">
        <f t="shared" si="49"/>
        <v>1.2599999999999998</v>
      </c>
      <c r="P424" s="89">
        <f>IF(G424="","",ABS(O424-Components!$C$2))</f>
        <v>1.4933333333333301</v>
      </c>
      <c r="Q424" s="89">
        <f>IF(G424="","",ABS(O424-Components!$C$3))</f>
        <v>2.7759999999999998</v>
      </c>
      <c r="R424" s="89">
        <f>IF(G424="","",ABS(O424-Components!$C$4))</f>
        <v>0.26666666666666683</v>
      </c>
      <c r="S424" s="89">
        <f>IF(G424="","",ABS(O424-Components!$C$5))</f>
        <v>3.3026666666666706</v>
      </c>
      <c r="T424" s="89">
        <f>IF(G424="","",ABS(O424-Components!$C$6))</f>
        <v>0.10433333333332984</v>
      </c>
      <c r="U424" s="89">
        <f>IF(G424="","",ABS(O424-Components!$C$7))</f>
        <v>0.11433333333333029</v>
      </c>
      <c r="V424" s="89" t="str">
        <f>IF(G424="","",IF(M424="OK","NONE",INDEX({"S1","S2","W1","W2","N1","N2"},MATCH(MIN(P424:U424),P424:U424,0))))</f>
        <v>N1</v>
      </c>
      <c r="W424" s="139">
        <f t="shared" si="55"/>
        <v>1</v>
      </c>
      <c r="X424" s="125"/>
    </row>
    <row r="425" spans="1:24" ht="15.75">
      <c r="A425" s="115">
        <v>411</v>
      </c>
      <c r="B425" s="135">
        <f>'Runs Z-Score'!B413</f>
        <v>14</v>
      </c>
      <c r="C425" s="89" t="str">
        <f>'Runs Z-Score'!C413</f>
        <v>R6</v>
      </c>
      <c r="D425" s="89" t="str">
        <f>'Runs Z-Score'!D413</f>
        <v>NG</v>
      </c>
      <c r="E425" s="89" t="str">
        <f>'Runs Z-Score'!E413</f>
        <v>N1</v>
      </c>
      <c r="F425" s="89">
        <f>'Runs Z-Score'!F413</f>
        <v>7.45</v>
      </c>
      <c r="G425" s="89">
        <f t="shared" si="48"/>
        <v>8.42</v>
      </c>
      <c r="H425" s="89">
        <v>9.61</v>
      </c>
      <c r="I425" s="89">
        <f>VLOOKUP(C425,Recipes!$A$2:$N$4,12,FALSE())</f>
        <v>6.1509461004819709E-2</v>
      </c>
      <c r="J425" s="89">
        <f t="shared" si="50"/>
        <v>374.29159944950374</v>
      </c>
      <c r="K425" s="89">
        <f t="shared" si="51"/>
        <v>374.22493278283707</v>
      </c>
      <c r="L425" s="89">
        <f t="shared" si="52"/>
        <v>19.34489423033471</v>
      </c>
      <c r="M425" s="89" t="str">
        <f t="shared" si="53"/>
        <v>NG</v>
      </c>
      <c r="N425" s="117">
        <f t="shared" si="54"/>
        <v>1</v>
      </c>
      <c r="O425" s="89">
        <f t="shared" si="49"/>
        <v>1.1899999999999995</v>
      </c>
      <c r="P425" s="89">
        <f>IF(G425="","",ABS(O425-Components!$C$2))</f>
        <v>1.5633333333333304</v>
      </c>
      <c r="Q425" s="89">
        <f>IF(G425="","",ABS(O425-Components!$C$3))</f>
        <v>2.8460000000000001</v>
      </c>
      <c r="R425" s="89">
        <f>IF(G425="","",ABS(O425-Components!$C$4))</f>
        <v>0.19666666666666655</v>
      </c>
      <c r="S425" s="89">
        <f>IF(G425="","",ABS(O425-Components!$C$5))</f>
        <v>3.3726666666666709</v>
      </c>
      <c r="T425" s="89">
        <f>IF(G425="","",ABS(O425-Components!$C$6))</f>
        <v>3.4333333333329552E-2</v>
      </c>
      <c r="U425" s="89">
        <f>IF(G425="","",ABS(O425-Components!$C$7))</f>
        <v>0.18433333333333057</v>
      </c>
      <c r="V425" s="89" t="str">
        <f>IF(G425="","",IF(M425="OK","NONE",INDEX({"S1","S2","W1","W2","N1","N2"},MATCH(MIN(P425:U425),P425:U425,0))))</f>
        <v>N1</v>
      </c>
      <c r="W425" s="139">
        <f t="shared" si="55"/>
        <v>1</v>
      </c>
      <c r="X425" s="125"/>
    </row>
    <row r="426" spans="1:24" ht="15.75">
      <c r="A426" s="115">
        <v>412</v>
      </c>
      <c r="B426" s="135">
        <f>'Runs Z-Score'!B414</f>
        <v>14</v>
      </c>
      <c r="C426" s="89" t="str">
        <f>'Runs Z-Score'!C414</f>
        <v>R6</v>
      </c>
      <c r="D426" s="89" t="str">
        <f>'Runs Z-Score'!D414</f>
        <v>NG</v>
      </c>
      <c r="E426" s="89" t="str">
        <f>'Runs Z-Score'!E414</f>
        <v>N1</v>
      </c>
      <c r="F426" s="89">
        <f>'Runs Z-Score'!F414</f>
        <v>7.45</v>
      </c>
      <c r="G426" s="89">
        <f t="shared" si="48"/>
        <v>8.42</v>
      </c>
      <c r="H426" s="89">
        <v>9.61</v>
      </c>
      <c r="I426" s="89">
        <f>VLOOKUP(C426,Recipes!$A$2:$N$4,12,FALSE())</f>
        <v>6.1509461004819709E-2</v>
      </c>
      <c r="J426" s="89">
        <f t="shared" si="50"/>
        <v>374.29159944950374</v>
      </c>
      <c r="K426" s="89">
        <f t="shared" si="51"/>
        <v>374.22493278283707</v>
      </c>
      <c r="L426" s="89">
        <f t="shared" si="52"/>
        <v>19.34489423033471</v>
      </c>
      <c r="M426" s="89" t="str">
        <f t="shared" si="53"/>
        <v>NG</v>
      </c>
      <c r="N426" s="117">
        <f t="shared" si="54"/>
        <v>1</v>
      </c>
      <c r="O426" s="89">
        <f t="shared" si="49"/>
        <v>1.1899999999999995</v>
      </c>
      <c r="P426" s="89">
        <f>IF(G426="","",ABS(O426-Components!$C$2))</f>
        <v>1.5633333333333304</v>
      </c>
      <c r="Q426" s="89">
        <f>IF(G426="","",ABS(O426-Components!$C$3))</f>
        <v>2.8460000000000001</v>
      </c>
      <c r="R426" s="89">
        <f>IF(G426="","",ABS(O426-Components!$C$4))</f>
        <v>0.19666666666666655</v>
      </c>
      <c r="S426" s="89">
        <f>IF(G426="","",ABS(O426-Components!$C$5))</f>
        <v>3.3726666666666709</v>
      </c>
      <c r="T426" s="89">
        <f>IF(G426="","",ABS(O426-Components!$C$6))</f>
        <v>3.4333333333329552E-2</v>
      </c>
      <c r="U426" s="89">
        <f>IF(G426="","",ABS(O426-Components!$C$7))</f>
        <v>0.18433333333333057</v>
      </c>
      <c r="V426" s="89" t="str">
        <f>IF(G426="","",IF(M426="OK","NONE",INDEX({"S1","S2","W1","W2","N1","N2"},MATCH(MIN(P426:U426),P426:U426,0))))</f>
        <v>N1</v>
      </c>
      <c r="W426" s="139">
        <f t="shared" si="55"/>
        <v>1</v>
      </c>
      <c r="X426" s="125"/>
    </row>
    <row r="427" spans="1:24" ht="15.75">
      <c r="A427" s="115">
        <v>413</v>
      </c>
      <c r="B427" s="135">
        <f>'Runs Z-Score'!B415</f>
        <v>14</v>
      </c>
      <c r="C427" s="89" t="str">
        <f>'Runs Z-Score'!C415</f>
        <v>R6</v>
      </c>
      <c r="D427" s="89" t="str">
        <f>'Runs Z-Score'!D415</f>
        <v>NG</v>
      </c>
      <c r="E427" s="89" t="str">
        <f>'Runs Z-Score'!E415</f>
        <v>N1</v>
      </c>
      <c r="F427" s="89">
        <f>'Runs Z-Score'!F415</f>
        <v>7.45</v>
      </c>
      <c r="G427" s="89">
        <f t="shared" si="48"/>
        <v>8.42</v>
      </c>
      <c r="H427" s="89">
        <v>9.61</v>
      </c>
      <c r="I427" s="89">
        <f>VLOOKUP(C427,Recipes!$A$2:$N$4,12,FALSE())</f>
        <v>6.1509461004819709E-2</v>
      </c>
      <c r="J427" s="89">
        <f t="shared" si="50"/>
        <v>374.29159944950374</v>
      </c>
      <c r="K427" s="89">
        <f t="shared" si="51"/>
        <v>374.22493278283707</v>
      </c>
      <c r="L427" s="89">
        <f t="shared" si="52"/>
        <v>19.34489423033471</v>
      </c>
      <c r="M427" s="89" t="str">
        <f t="shared" si="53"/>
        <v>NG</v>
      </c>
      <c r="N427" s="117">
        <f t="shared" si="54"/>
        <v>1</v>
      </c>
      <c r="O427" s="89">
        <f t="shared" si="49"/>
        <v>1.1899999999999995</v>
      </c>
      <c r="P427" s="89">
        <f>IF(G427="","",ABS(O427-Components!$C$2))</f>
        <v>1.5633333333333304</v>
      </c>
      <c r="Q427" s="89">
        <f>IF(G427="","",ABS(O427-Components!$C$3))</f>
        <v>2.8460000000000001</v>
      </c>
      <c r="R427" s="89">
        <f>IF(G427="","",ABS(O427-Components!$C$4))</f>
        <v>0.19666666666666655</v>
      </c>
      <c r="S427" s="89">
        <f>IF(G427="","",ABS(O427-Components!$C$5))</f>
        <v>3.3726666666666709</v>
      </c>
      <c r="T427" s="89">
        <f>IF(G427="","",ABS(O427-Components!$C$6))</f>
        <v>3.4333333333329552E-2</v>
      </c>
      <c r="U427" s="89">
        <f>IF(G427="","",ABS(O427-Components!$C$7))</f>
        <v>0.18433333333333057</v>
      </c>
      <c r="V427" s="89" t="str">
        <f>IF(G427="","",IF(M427="OK","NONE",INDEX({"S1","S2","W1","W2","N1","N2"},MATCH(MIN(P427:U427),P427:U427,0))))</f>
        <v>N1</v>
      </c>
      <c r="W427" s="139">
        <f t="shared" si="55"/>
        <v>1</v>
      </c>
      <c r="X427" s="125"/>
    </row>
    <row r="428" spans="1:24" ht="15.75">
      <c r="A428" s="115">
        <v>414</v>
      </c>
      <c r="B428" s="135">
        <f>'Runs Z-Score'!B416</f>
        <v>14</v>
      </c>
      <c r="C428" s="89" t="str">
        <f>'Runs Z-Score'!C416</f>
        <v>R6</v>
      </c>
      <c r="D428" s="89" t="str">
        <f>'Runs Z-Score'!D416</f>
        <v>NG</v>
      </c>
      <c r="E428" s="89" t="str">
        <f>'Runs Z-Score'!E416</f>
        <v>N1</v>
      </c>
      <c r="F428" s="89">
        <f>'Runs Z-Score'!F416</f>
        <v>7.44</v>
      </c>
      <c r="G428" s="89">
        <f t="shared" si="48"/>
        <v>8.41</v>
      </c>
      <c r="H428" s="89">
        <v>9.61</v>
      </c>
      <c r="I428" s="89">
        <f>VLOOKUP(C428,Recipes!$A$2:$N$4,12,FALSE())</f>
        <v>6.1509461004819709E-2</v>
      </c>
      <c r="J428" s="89">
        <f t="shared" si="50"/>
        <v>380.60864572225489</v>
      </c>
      <c r="K428" s="89">
        <f t="shared" si="51"/>
        <v>380.54197905558823</v>
      </c>
      <c r="L428" s="89">
        <f t="shared" si="52"/>
        <v>19.507485205827741</v>
      </c>
      <c r="M428" s="89" t="str">
        <f t="shared" si="53"/>
        <v>NG</v>
      </c>
      <c r="N428" s="117">
        <f t="shared" si="54"/>
        <v>1</v>
      </c>
      <c r="O428" s="89">
        <f t="shared" si="49"/>
        <v>1.1999999999999993</v>
      </c>
      <c r="P428" s="89">
        <f>IF(G428="","",ABS(O428-Components!$C$2))</f>
        <v>1.5533333333333306</v>
      </c>
      <c r="Q428" s="89">
        <f>IF(G428="","",ABS(O428-Components!$C$3))</f>
        <v>2.8360000000000003</v>
      </c>
      <c r="R428" s="89">
        <f>IF(G428="","",ABS(O428-Components!$C$4))</f>
        <v>0.20666666666666633</v>
      </c>
      <c r="S428" s="89">
        <f>IF(G428="","",ABS(O428-Components!$C$5))</f>
        <v>3.3626666666666711</v>
      </c>
      <c r="T428" s="89">
        <f>IF(G428="","",ABS(O428-Components!$C$6))</f>
        <v>4.4333333333329339E-2</v>
      </c>
      <c r="U428" s="89">
        <f>IF(G428="","",ABS(O428-Components!$C$7))</f>
        <v>0.17433333333333079</v>
      </c>
      <c r="V428" s="89" t="str">
        <f>IF(G428="","",IF(M428="OK","NONE",INDEX({"S1","S2","W1","W2","N1","N2"},MATCH(MIN(P428:U428),P428:U428,0))))</f>
        <v>N1</v>
      </c>
      <c r="W428" s="139">
        <f t="shared" si="55"/>
        <v>1</v>
      </c>
      <c r="X428" s="125"/>
    </row>
    <row r="429" spans="1:24" ht="15.75">
      <c r="A429" s="115">
        <v>415</v>
      </c>
      <c r="B429" s="135">
        <f>'Runs Z-Score'!B417</f>
        <v>14</v>
      </c>
      <c r="C429" s="89" t="str">
        <f>'Runs Z-Score'!C417</f>
        <v>R6</v>
      </c>
      <c r="D429" s="89" t="str">
        <f>'Runs Z-Score'!D417</f>
        <v>NG</v>
      </c>
      <c r="E429" s="89" t="str">
        <f>'Runs Z-Score'!E417</f>
        <v>N1</v>
      </c>
      <c r="F429" s="89">
        <f>'Runs Z-Score'!F417</f>
        <v>7.45</v>
      </c>
      <c r="G429" s="89">
        <f t="shared" si="48"/>
        <v>8.42</v>
      </c>
      <c r="H429" s="89">
        <v>9.61</v>
      </c>
      <c r="I429" s="89">
        <f>VLOOKUP(C429,Recipes!$A$2:$N$4,12,FALSE())</f>
        <v>6.1509461004819709E-2</v>
      </c>
      <c r="J429" s="89">
        <f t="shared" si="50"/>
        <v>374.29159944950374</v>
      </c>
      <c r="K429" s="89">
        <f t="shared" si="51"/>
        <v>374.22493278283707</v>
      </c>
      <c r="L429" s="89">
        <f t="shared" si="52"/>
        <v>19.34489423033471</v>
      </c>
      <c r="M429" s="89" t="str">
        <f t="shared" si="53"/>
        <v>NG</v>
      </c>
      <c r="N429" s="117">
        <f t="shared" si="54"/>
        <v>1</v>
      </c>
      <c r="O429" s="89">
        <f t="shared" si="49"/>
        <v>1.1899999999999995</v>
      </c>
      <c r="P429" s="89">
        <f>IF(G429="","",ABS(O429-Components!$C$2))</f>
        <v>1.5633333333333304</v>
      </c>
      <c r="Q429" s="89">
        <f>IF(G429="","",ABS(O429-Components!$C$3))</f>
        <v>2.8460000000000001</v>
      </c>
      <c r="R429" s="89">
        <f>IF(G429="","",ABS(O429-Components!$C$4))</f>
        <v>0.19666666666666655</v>
      </c>
      <c r="S429" s="89">
        <f>IF(G429="","",ABS(O429-Components!$C$5))</f>
        <v>3.3726666666666709</v>
      </c>
      <c r="T429" s="89">
        <f>IF(G429="","",ABS(O429-Components!$C$6))</f>
        <v>3.4333333333329552E-2</v>
      </c>
      <c r="U429" s="89">
        <f>IF(G429="","",ABS(O429-Components!$C$7))</f>
        <v>0.18433333333333057</v>
      </c>
      <c r="V429" s="89" t="str">
        <f>IF(G429="","",IF(M429="OK","NONE",INDEX({"S1","S2","W1","W2","N1","N2"},MATCH(MIN(P429:U429),P429:U429,0))))</f>
        <v>N1</v>
      </c>
      <c r="W429" s="139">
        <f t="shared" si="55"/>
        <v>1</v>
      </c>
      <c r="X429" s="125"/>
    </row>
    <row r="430" spans="1:24" ht="15.75">
      <c r="A430" s="115">
        <v>416</v>
      </c>
      <c r="B430" s="135">
        <f>'Runs Z-Score'!B418</f>
        <v>14</v>
      </c>
      <c r="C430" s="89" t="str">
        <f>'Runs Z-Score'!C418</f>
        <v>R6</v>
      </c>
      <c r="D430" s="89" t="str">
        <f>'Runs Z-Score'!D418</f>
        <v>NG</v>
      </c>
      <c r="E430" s="89" t="str">
        <f>'Runs Z-Score'!E418</f>
        <v>N1</v>
      </c>
      <c r="F430" s="89">
        <f>'Runs Z-Score'!F418</f>
        <v>7.45</v>
      </c>
      <c r="G430" s="89">
        <f t="shared" si="48"/>
        <v>8.42</v>
      </c>
      <c r="H430" s="89">
        <v>9.61</v>
      </c>
      <c r="I430" s="89">
        <f>VLOOKUP(C430,Recipes!$A$2:$N$4,12,FALSE())</f>
        <v>6.1509461004819709E-2</v>
      </c>
      <c r="J430" s="89">
        <f t="shared" si="50"/>
        <v>374.29159944950374</v>
      </c>
      <c r="K430" s="89">
        <f t="shared" si="51"/>
        <v>374.22493278283707</v>
      </c>
      <c r="L430" s="89">
        <f t="shared" si="52"/>
        <v>19.34489423033471</v>
      </c>
      <c r="M430" s="89" t="str">
        <f t="shared" si="53"/>
        <v>NG</v>
      </c>
      <c r="N430" s="117">
        <f t="shared" si="54"/>
        <v>1</v>
      </c>
      <c r="O430" s="89">
        <f t="shared" si="49"/>
        <v>1.1899999999999995</v>
      </c>
      <c r="P430" s="89">
        <f>IF(G430="","",ABS(O430-Components!$C$2))</f>
        <v>1.5633333333333304</v>
      </c>
      <c r="Q430" s="89">
        <f>IF(G430="","",ABS(O430-Components!$C$3))</f>
        <v>2.8460000000000001</v>
      </c>
      <c r="R430" s="89">
        <f>IF(G430="","",ABS(O430-Components!$C$4))</f>
        <v>0.19666666666666655</v>
      </c>
      <c r="S430" s="89">
        <f>IF(G430="","",ABS(O430-Components!$C$5))</f>
        <v>3.3726666666666709</v>
      </c>
      <c r="T430" s="89">
        <f>IF(G430="","",ABS(O430-Components!$C$6))</f>
        <v>3.4333333333329552E-2</v>
      </c>
      <c r="U430" s="89">
        <f>IF(G430="","",ABS(O430-Components!$C$7))</f>
        <v>0.18433333333333057</v>
      </c>
      <c r="V430" s="89" t="str">
        <f>IF(G430="","",IF(M430="OK","NONE",INDEX({"S1","S2","W1","W2","N1","N2"},MATCH(MIN(P430:U430),P430:U430,0))))</f>
        <v>N1</v>
      </c>
      <c r="W430" s="139">
        <f t="shared" si="55"/>
        <v>1</v>
      </c>
      <c r="X430" s="125"/>
    </row>
    <row r="431" spans="1:24" ht="15.75">
      <c r="A431" s="115">
        <v>417</v>
      </c>
      <c r="B431" s="135">
        <f>'Runs Z-Score'!B419</f>
        <v>14</v>
      </c>
      <c r="C431" s="89" t="str">
        <f>'Runs Z-Score'!C419</f>
        <v>R6</v>
      </c>
      <c r="D431" s="89" t="str">
        <f>'Runs Z-Score'!D419</f>
        <v>NG</v>
      </c>
      <c r="E431" s="89" t="str">
        <f>'Runs Z-Score'!E419</f>
        <v>N1</v>
      </c>
      <c r="F431" s="89">
        <f>'Runs Z-Score'!F419</f>
        <v>7.44</v>
      </c>
      <c r="G431" s="89">
        <f t="shared" si="48"/>
        <v>8.41</v>
      </c>
      <c r="H431" s="89">
        <v>9.61</v>
      </c>
      <c r="I431" s="89">
        <f>VLOOKUP(C431,Recipes!$A$2:$N$4,12,FALSE())</f>
        <v>6.1509461004819709E-2</v>
      </c>
      <c r="J431" s="89">
        <f t="shared" si="50"/>
        <v>380.60864572225489</v>
      </c>
      <c r="K431" s="89">
        <f t="shared" si="51"/>
        <v>380.54197905558823</v>
      </c>
      <c r="L431" s="89">
        <f t="shared" si="52"/>
        <v>19.507485205827741</v>
      </c>
      <c r="M431" s="89" t="str">
        <f t="shared" si="53"/>
        <v>NG</v>
      </c>
      <c r="N431" s="117">
        <f t="shared" si="54"/>
        <v>1</v>
      </c>
      <c r="O431" s="89">
        <f t="shared" si="49"/>
        <v>1.1999999999999993</v>
      </c>
      <c r="P431" s="89">
        <f>IF(G431="","",ABS(O431-Components!$C$2))</f>
        <v>1.5533333333333306</v>
      </c>
      <c r="Q431" s="89">
        <f>IF(G431="","",ABS(O431-Components!$C$3))</f>
        <v>2.8360000000000003</v>
      </c>
      <c r="R431" s="89">
        <f>IF(G431="","",ABS(O431-Components!$C$4))</f>
        <v>0.20666666666666633</v>
      </c>
      <c r="S431" s="89">
        <f>IF(G431="","",ABS(O431-Components!$C$5))</f>
        <v>3.3626666666666711</v>
      </c>
      <c r="T431" s="89">
        <f>IF(G431="","",ABS(O431-Components!$C$6))</f>
        <v>4.4333333333329339E-2</v>
      </c>
      <c r="U431" s="89">
        <f>IF(G431="","",ABS(O431-Components!$C$7))</f>
        <v>0.17433333333333079</v>
      </c>
      <c r="V431" s="89" t="str">
        <f>IF(G431="","",IF(M431="OK","NONE",INDEX({"S1","S2","W1","W2","N1","N2"},MATCH(MIN(P431:U431),P431:U431,0))))</f>
        <v>N1</v>
      </c>
      <c r="W431" s="139">
        <f t="shared" si="55"/>
        <v>1</v>
      </c>
      <c r="X431" s="125"/>
    </row>
    <row r="432" spans="1:24" ht="15.75">
      <c r="A432" s="115">
        <v>418</v>
      </c>
      <c r="B432" s="135">
        <f>'Runs Z-Score'!B420</f>
        <v>14</v>
      </c>
      <c r="C432" s="89" t="str">
        <f>'Runs Z-Score'!C420</f>
        <v>R6</v>
      </c>
      <c r="D432" s="89" t="str">
        <f>'Runs Z-Score'!D420</f>
        <v>NG</v>
      </c>
      <c r="E432" s="89" t="str">
        <f>'Runs Z-Score'!E420</f>
        <v>N1</v>
      </c>
      <c r="F432" s="89">
        <f>'Runs Z-Score'!F420</f>
        <v>7.46</v>
      </c>
      <c r="G432" s="89">
        <f t="shared" si="48"/>
        <v>8.43</v>
      </c>
      <c r="H432" s="89">
        <v>9.61</v>
      </c>
      <c r="I432" s="89">
        <f>VLOOKUP(C432,Recipes!$A$2:$N$4,12,FALSE())</f>
        <v>6.1509461004819709E-2</v>
      </c>
      <c r="J432" s="89">
        <f t="shared" si="50"/>
        <v>368.02741548865833</v>
      </c>
      <c r="K432" s="89">
        <f t="shared" si="51"/>
        <v>367.96074882199167</v>
      </c>
      <c r="L432" s="89">
        <f t="shared" si="52"/>
        <v>19.182303011421535</v>
      </c>
      <c r="M432" s="89" t="str">
        <f t="shared" si="53"/>
        <v>NG</v>
      </c>
      <c r="N432" s="117">
        <f t="shared" si="54"/>
        <v>1</v>
      </c>
      <c r="O432" s="89">
        <f t="shared" si="49"/>
        <v>1.1799999999999997</v>
      </c>
      <c r="P432" s="89">
        <f>IF(G432="","",ABS(O432-Components!$C$2))</f>
        <v>1.5733333333333301</v>
      </c>
      <c r="Q432" s="89">
        <f>IF(G432="","",ABS(O432-Components!$C$3))</f>
        <v>2.8559999999999999</v>
      </c>
      <c r="R432" s="89">
        <f>IF(G432="","",ABS(O432-Components!$C$4))</f>
        <v>0.18666666666666676</v>
      </c>
      <c r="S432" s="89">
        <f>IF(G432="","",ABS(O432-Components!$C$5))</f>
        <v>3.3826666666666707</v>
      </c>
      <c r="T432" s="89">
        <f>IF(G432="","",ABS(O432-Components!$C$6))</f>
        <v>2.4333333333329765E-2</v>
      </c>
      <c r="U432" s="89">
        <f>IF(G432="","",ABS(O432-Components!$C$7))</f>
        <v>0.19433333333333036</v>
      </c>
      <c r="V432" s="89" t="str">
        <f>IF(G432="","",IF(M432="OK","NONE",INDEX({"S1","S2","W1","W2","N1","N2"},MATCH(MIN(P432:U432),P432:U432,0))))</f>
        <v>N1</v>
      </c>
      <c r="W432" s="139">
        <f t="shared" si="55"/>
        <v>1</v>
      </c>
      <c r="X432" s="125"/>
    </row>
    <row r="433" spans="1:24" ht="15.75">
      <c r="A433" s="115">
        <v>419</v>
      </c>
      <c r="B433" s="135">
        <f>'Runs Z-Score'!B421</f>
        <v>14</v>
      </c>
      <c r="C433" s="89" t="str">
        <f>'Runs Z-Score'!C421</f>
        <v>R6</v>
      </c>
      <c r="D433" s="89" t="str">
        <f>'Runs Z-Score'!D421</f>
        <v>NG</v>
      </c>
      <c r="E433" s="89" t="str">
        <f>'Runs Z-Score'!E421</f>
        <v>N1</v>
      </c>
      <c r="F433" s="89">
        <f>'Runs Z-Score'!F421</f>
        <v>7.25</v>
      </c>
      <c r="G433" s="89">
        <f t="shared" si="48"/>
        <v>8.2200000000000006</v>
      </c>
      <c r="H433" s="89">
        <v>9.61</v>
      </c>
      <c r="I433" s="89">
        <f>VLOOKUP(C433,Recipes!$A$2:$N$4,12,FALSE())</f>
        <v>6.1509461004819709E-2</v>
      </c>
      <c r="J433" s="89">
        <f t="shared" si="50"/>
        <v>510.67636416664465</v>
      </c>
      <c r="K433" s="89">
        <f t="shared" si="51"/>
        <v>510.60969749997798</v>
      </c>
      <c r="L433" s="89">
        <f t="shared" si="52"/>
        <v>22.596674478780677</v>
      </c>
      <c r="M433" s="89" t="str">
        <f t="shared" si="53"/>
        <v>NG</v>
      </c>
      <c r="N433" s="117">
        <f t="shared" si="54"/>
        <v>1</v>
      </c>
      <c r="O433" s="89">
        <f t="shared" si="49"/>
        <v>1.3899999999999988</v>
      </c>
      <c r="P433" s="89">
        <f>IF(G433="","",ABS(O433-Components!$C$2))</f>
        <v>1.3633333333333311</v>
      </c>
      <c r="Q433" s="89">
        <f>IF(G433="","",ABS(O433-Components!$C$3))</f>
        <v>2.6460000000000008</v>
      </c>
      <c r="R433" s="89">
        <f>IF(G433="","",ABS(O433-Components!$C$4))</f>
        <v>0.39666666666666583</v>
      </c>
      <c r="S433" s="89">
        <f>IF(G433="","",ABS(O433-Components!$C$5))</f>
        <v>3.1726666666666716</v>
      </c>
      <c r="T433" s="89">
        <f>IF(G433="","",ABS(O433-Components!$C$6))</f>
        <v>0.23433333333332884</v>
      </c>
      <c r="U433" s="89">
        <f>IF(G433="","",ABS(O433-Components!$C$7))</f>
        <v>1.5666666666668716E-2</v>
      </c>
      <c r="V433" s="89" t="str">
        <f>IF(G433="","",IF(M433="OK","NONE",INDEX({"S1","S2","W1","W2","N1","N2"},MATCH(MIN(P433:U433),P433:U433,0))))</f>
        <v>N2</v>
      </c>
      <c r="W433" s="140">
        <f t="shared" si="55"/>
        <v>0</v>
      </c>
      <c r="X433" s="125"/>
    </row>
    <row r="434" spans="1:24" ht="15.75">
      <c r="A434" s="115">
        <v>420</v>
      </c>
      <c r="B434" s="136">
        <f>'Runs Z-Score'!B422</f>
        <v>14</v>
      </c>
      <c r="C434" s="90" t="str">
        <f>'Runs Z-Score'!C422</f>
        <v>R6</v>
      </c>
      <c r="D434" s="90" t="str">
        <f>'Runs Z-Score'!D422</f>
        <v>NG</v>
      </c>
      <c r="E434" s="90" t="str">
        <f>'Runs Z-Score'!E422</f>
        <v>N1</v>
      </c>
      <c r="F434" s="90">
        <f>'Runs Z-Score'!F422</f>
        <v>7.47</v>
      </c>
      <c r="G434" s="90">
        <f t="shared" si="48"/>
        <v>8.44</v>
      </c>
      <c r="H434" s="89">
        <v>9.61</v>
      </c>
      <c r="I434" s="89">
        <f>VLOOKUP(C434,Recipes!$A$2:$N$4,12,FALSE())</f>
        <v>6.1509461004819709E-2</v>
      </c>
      <c r="J434" s="89">
        <f t="shared" si="50"/>
        <v>361.81609383971892</v>
      </c>
      <c r="K434" s="89">
        <f t="shared" si="51"/>
        <v>361.74942717305225</v>
      </c>
      <c r="L434" s="89">
        <f t="shared" si="52"/>
        <v>19.019711542845549</v>
      </c>
      <c r="M434" s="89" t="str">
        <f t="shared" si="53"/>
        <v>NG</v>
      </c>
      <c r="N434" s="117">
        <f t="shared" si="54"/>
        <v>1</v>
      </c>
      <c r="O434" s="89">
        <f t="shared" si="49"/>
        <v>1.17</v>
      </c>
      <c r="P434" s="89">
        <f>IF(G434="","",ABS(O434-Components!$C$2))</f>
        <v>1.5833333333333299</v>
      </c>
      <c r="Q434" s="89">
        <f>IF(G434="","",ABS(O434-Components!$C$3))</f>
        <v>2.8659999999999997</v>
      </c>
      <c r="R434" s="89">
        <f>IF(G434="","",ABS(O434-Components!$C$4))</f>
        <v>0.17666666666666697</v>
      </c>
      <c r="S434" s="89">
        <f>IF(G434="","",ABS(O434-Components!$C$5))</f>
        <v>3.3926666666666705</v>
      </c>
      <c r="T434" s="89">
        <f>IF(G434="","",ABS(O434-Components!$C$6))</f>
        <v>1.4333333333329978E-2</v>
      </c>
      <c r="U434" s="89">
        <f>IF(G434="","",ABS(O434-Components!$C$7))</f>
        <v>0.20433333333333015</v>
      </c>
      <c r="V434" s="89" t="str">
        <f>IF(G434="","",IF(M434="OK","NONE",INDEX({"S1","S2","W1","W2","N1","N2"},MATCH(MIN(P434:U434),P434:U434,0))))</f>
        <v>N1</v>
      </c>
      <c r="W434" s="139">
        <f t="shared" si="55"/>
        <v>1</v>
      </c>
      <c r="X434" s="125"/>
    </row>
    <row r="437" spans="1:24">
      <c r="A437" s="176" t="s">
        <v>319</v>
      </c>
      <c r="B437" s="176"/>
      <c r="C437" s="176"/>
    </row>
    <row r="438" spans="1:24">
      <c r="A438" t="s">
        <v>320</v>
      </c>
      <c r="B438" s="133">
        <f>COUNTA(F15:F434)</f>
        <v>420</v>
      </c>
    </row>
    <row r="439" spans="1:24">
      <c r="A439" t="s">
        <v>321</v>
      </c>
      <c r="B439" s="134">
        <f>IFERROR(AVERAGE(N15:N434),0)</f>
        <v>0.99285714285714288</v>
      </c>
    </row>
    <row r="440" spans="1:24">
      <c r="A440" t="s">
        <v>322</v>
      </c>
      <c r="B440" s="134">
        <f>IFERROR(AVERAGEIFS(W15:W434,D15:D434,"NG"),0)</f>
        <v>0.96060606060606057</v>
      </c>
    </row>
    <row r="441" spans="1:24">
      <c r="A441" t="s">
        <v>323</v>
      </c>
      <c r="B441" s="133">
        <f>COUNTIFS(D15:D434,"OK",M15:M434,"NG")</f>
        <v>3</v>
      </c>
    </row>
    <row r="442" spans="1:24">
      <c r="A442" t="s">
        <v>324</v>
      </c>
      <c r="B442" s="133">
        <f>COUNTIFS(D15:D434,"NG",M15:M434,"OK")</f>
        <v>0</v>
      </c>
    </row>
    <row r="443" spans="1:24">
      <c r="A443" t="s">
        <v>325</v>
      </c>
      <c r="B443" s="133">
        <f>COUNTIFS(D15:D434,"NG",M15:M434,"NG")</f>
        <v>330</v>
      </c>
    </row>
    <row r="444" spans="1:24">
      <c r="A444" t="s">
        <v>326</v>
      </c>
      <c r="B444" s="133">
        <f>COUNTIFS(D15:D434,"OK",M15:M434,"OK")</f>
        <v>87</v>
      </c>
    </row>
    <row r="447" spans="1:24">
      <c r="A447" s="1" t="s">
        <v>327</v>
      </c>
    </row>
    <row r="448" spans="1:24">
      <c r="A448" s="84" t="s">
        <v>328</v>
      </c>
      <c r="B448" s="84" t="s">
        <v>329</v>
      </c>
      <c r="C448" s="84" t="s">
        <v>330</v>
      </c>
    </row>
    <row r="449" spans="1:3">
      <c r="A449" t="s">
        <v>128</v>
      </c>
      <c r="B449" s="130">
        <f>IFERROR(AVERAGEIFS(N15:N434,C15:C434,"R3"),0)</f>
        <v>0.9916666666666667</v>
      </c>
      <c r="C449" s="131">
        <f>IFERROR(AVERAGEIFS(W15:W434,C15:C434,"R3",D15:D434,"NG"),0)</f>
        <v>0.98888888888888893</v>
      </c>
    </row>
    <row r="450" spans="1:3">
      <c r="A450" t="s">
        <v>130</v>
      </c>
      <c r="B450" s="131">
        <f>IFERROR(AVERAGEIFS(N15:N434,C15:C434,"R4"),0)</f>
        <v>0.99333333333333329</v>
      </c>
      <c r="C450" s="132">
        <f>IFERROR(AVERAGEIFS(W15:W434,C15:C434,"R4",D15:D434,"NG"),0)</f>
        <v>0.98333333333333328</v>
      </c>
    </row>
    <row r="451" spans="1:3">
      <c r="A451" t="s">
        <v>132</v>
      </c>
      <c r="B451" s="131">
        <f>IFERROR(AVERAGEIFS(N15:N434,C15:C434,"R6"),0)</f>
        <v>0.99333333333333329</v>
      </c>
      <c r="C451" s="130">
        <f>IFERROR(AVERAGEIFS(W15:W434,C15:C434,"R6",D15:D434,"NG"),0)</f>
        <v>0.91666666666666663</v>
      </c>
    </row>
    <row r="454" spans="1:3" ht="15.75">
      <c r="A454" s="129" t="s">
        <v>331</v>
      </c>
    </row>
    <row r="455" spans="1:3" ht="188.25" customHeight="1">
      <c r="A455" s="173" t="s">
        <v>456</v>
      </c>
      <c r="B455" s="173"/>
      <c r="C455" s="173"/>
    </row>
  </sheetData>
  <mergeCells count="5">
    <mergeCell ref="A455:C455"/>
    <mergeCell ref="A1:H1"/>
    <mergeCell ref="A2:H2"/>
    <mergeCell ref="A4:C4"/>
    <mergeCell ref="A437:C437"/>
  </mergeCells>
  <pageMargins left="0.75" right="0.75" top="1" bottom="1" header="0.511811023622047" footer="0.511811023622047"/>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Y450"/>
  <sheetViews>
    <sheetView zoomScaleNormal="100" workbookViewId="0">
      <pane ySplit="9" topLeftCell="A402" activePane="bottomLeft" state="frozen"/>
      <selection pane="bottomLeft" activeCell="F432" sqref="F432"/>
    </sheetView>
  </sheetViews>
  <sheetFormatPr defaultColWidth="8.7109375" defaultRowHeight="15"/>
  <cols>
    <col min="1" max="1" width="30.7109375" customWidth="1"/>
    <col min="2" max="4" width="18" customWidth="1"/>
    <col min="5" max="6" width="19" customWidth="1"/>
    <col min="7" max="7" width="23.140625" bestFit="1" customWidth="1"/>
    <col min="8" max="8" width="17" customWidth="1"/>
    <col min="9" max="9" width="14" customWidth="1"/>
    <col min="10" max="10" width="9" customWidth="1"/>
    <col min="11" max="14" width="10" customWidth="1"/>
    <col min="15" max="15" width="8" customWidth="1"/>
    <col min="16" max="16" width="9" customWidth="1"/>
    <col min="19" max="19" width="9.140625" customWidth="1"/>
    <col min="20" max="20" width="17.140625" customWidth="1"/>
    <col min="21" max="21" width="12" customWidth="1"/>
    <col min="22" max="22" width="19" customWidth="1"/>
    <col min="23" max="23" width="12" customWidth="1"/>
    <col min="24" max="24" width="11.5703125" customWidth="1"/>
    <col min="25" max="25" width="15.42578125" bestFit="1" customWidth="1"/>
  </cols>
  <sheetData>
    <row r="1" spans="1:25" ht="18.75" customHeight="1">
      <c r="A1" s="174" t="s">
        <v>332</v>
      </c>
      <c r="B1" s="174"/>
      <c r="C1" s="174"/>
      <c r="D1" s="174"/>
      <c r="E1" s="174"/>
      <c r="F1" s="174"/>
      <c r="G1" s="174"/>
      <c r="H1" s="174"/>
    </row>
    <row r="2" spans="1:25">
      <c r="A2" s="175" t="s">
        <v>333</v>
      </c>
      <c r="B2" s="175"/>
      <c r="C2" s="175"/>
      <c r="D2" s="175"/>
      <c r="E2" s="175"/>
      <c r="F2" s="175"/>
      <c r="G2" s="175"/>
      <c r="H2" s="175"/>
    </row>
    <row r="4" spans="1:25">
      <c r="A4" s="1" t="s">
        <v>298</v>
      </c>
    </row>
    <row r="5" spans="1:25">
      <c r="A5" s="84" t="s">
        <v>299</v>
      </c>
      <c r="B5" s="84" t="s">
        <v>300</v>
      </c>
      <c r="C5" s="84" t="s">
        <v>301</v>
      </c>
    </row>
    <row r="6" spans="1:25">
      <c r="A6" t="s">
        <v>334</v>
      </c>
      <c r="B6" s="85">
        <v>3</v>
      </c>
      <c r="C6" t="s">
        <v>335</v>
      </c>
    </row>
    <row r="7" spans="1:25">
      <c r="A7" t="s">
        <v>336</v>
      </c>
      <c r="B7" s="85">
        <v>0.15</v>
      </c>
      <c r="C7" t="s">
        <v>337</v>
      </c>
    </row>
    <row r="9" spans="1:25" ht="30" customHeight="1">
      <c r="A9" s="86" t="s">
        <v>216</v>
      </c>
      <c r="B9" s="87" t="s">
        <v>217</v>
      </c>
      <c r="C9" s="87" t="s">
        <v>218</v>
      </c>
      <c r="D9" s="87" t="s">
        <v>219</v>
      </c>
      <c r="E9" s="87" t="s">
        <v>220</v>
      </c>
      <c r="F9" s="87" t="s">
        <v>221</v>
      </c>
      <c r="G9" s="87" t="s">
        <v>445</v>
      </c>
      <c r="H9" s="87" t="s">
        <v>223</v>
      </c>
      <c r="I9" s="87" t="s">
        <v>224</v>
      </c>
      <c r="J9" s="87" t="s">
        <v>229</v>
      </c>
      <c r="K9" s="87" t="s">
        <v>338</v>
      </c>
      <c r="L9" s="87" t="s">
        <v>339</v>
      </c>
      <c r="M9" s="87" t="s">
        <v>340</v>
      </c>
      <c r="N9" s="87" t="s">
        <v>341</v>
      </c>
      <c r="O9" s="87" t="s">
        <v>342</v>
      </c>
      <c r="P9" s="87" t="s">
        <v>343</v>
      </c>
      <c r="Q9" s="87" t="s">
        <v>344</v>
      </c>
      <c r="R9" s="87" t="s">
        <v>345</v>
      </c>
      <c r="S9" s="87" t="s">
        <v>346</v>
      </c>
      <c r="T9" s="87" t="s">
        <v>227</v>
      </c>
      <c r="U9" s="87" t="s">
        <v>228</v>
      </c>
      <c r="V9" s="87" t="s">
        <v>236</v>
      </c>
      <c r="W9" s="87" t="s">
        <v>237</v>
      </c>
      <c r="X9" s="88" t="s">
        <v>347</v>
      </c>
      <c r="Y9" s="123" t="s">
        <v>457</v>
      </c>
    </row>
    <row r="10" spans="1:25">
      <c r="A10" s="115">
        <v>1</v>
      </c>
      <c r="B10" s="135">
        <f>'Runs Z-Score'!B3</f>
        <v>1</v>
      </c>
      <c r="C10" s="89" t="str">
        <f>'Runs Z-Score'!C3</f>
        <v>R3</v>
      </c>
      <c r="D10" s="89" t="str">
        <f>'Runs Z-Score'!D3</f>
        <v>OK</v>
      </c>
      <c r="E10" s="89" t="str">
        <f>'Runs Z-Score'!E3</f>
        <v>NONE</v>
      </c>
      <c r="F10" s="89">
        <f>'Runs Z-Score'!F3</f>
        <v>9.91</v>
      </c>
      <c r="G10" s="89">
        <f t="shared" ref="G10:G73" si="0">0.97+F10</f>
        <v>10.88</v>
      </c>
      <c r="H10" s="89">
        <f>VLOOKUP(C10,Recipes!$A$2:$N$4,10,FALSE())</f>
        <v>10.940000000000001</v>
      </c>
      <c r="I10" s="89">
        <f>VLOOKUP(C10,Recipes!$A$2:$N$4,12,FALSE())</f>
        <v>5.2703573566378441E-2</v>
      </c>
      <c r="J10" s="89">
        <f>IF(G10="","",H10-G10)</f>
        <v>6.0000000000000497E-2</v>
      </c>
      <c r="K10" s="89">
        <f>IF(G10="","",-0.5*((J10-Components!$C$2)/Components!$D$2)^2)</f>
        <v>-83039.719298248805</v>
      </c>
      <c r="L10" s="89">
        <f>IF(G10="","",-0.5*((J10-Components!$C$3)/Components!$D$3)^2)</f>
        <v>-41526.150724638712</v>
      </c>
      <c r="M10" s="89">
        <f>IF(G10="","",-0.5*((J10-Components!$C$4)/Components!$D$4)^2)</f>
        <v>-2229.0196078431395</v>
      </c>
      <c r="N10" s="89">
        <f>IF(G10="","",-0.5*((J10-Components!$C$5)/Components!$D$5)^2)</f>
        <v>-15988.384868261928</v>
      </c>
      <c r="O10" s="89">
        <f>IF(G10="","",-0.5*((J10-Components!$C$6)/Components!$D$6)^2)</f>
        <v>-786.34417758370523</v>
      </c>
      <c r="P10" s="89">
        <f>IF(G10="","",-0.5*((J10-Components!$C$7)/Components!$D$7)^2)</f>
        <v>-1366.0250287826432</v>
      </c>
      <c r="Q10" s="89">
        <f>IF(G10="","",EXP(LARGE(K10:P10,1)-MAX(K10:P10))/(EXP(K10-MAX(K10:P10))+EXP(L10-MAX(K10:P10))+EXP(M10-MAX(K10:P10))+EXP(N10-MAX(K10:P10))+EXP(O10-MAX(K10:P10))+EXP(P10-MAX(K10:P10))))</f>
        <v>1</v>
      </c>
      <c r="R10" s="89">
        <f>IF(G10="","",EXP(LARGE(K10:P10,2)-MAX(K10:P10))/(EXP(K10-MAX(K10:P10))+EXP(L10-MAX(K10:P10))+EXP(M10-MAX(K10:P10))+EXP(N10-MAX(K10:P10))+EXP(O10-MAX(K10:P10))+EXP(P10-MAX(K10:P10))))</f>
        <v>1.7693145922287812E-252</v>
      </c>
      <c r="S10" s="89">
        <f>IF(G10="","",Q10-R10)</f>
        <v>1</v>
      </c>
      <c r="T10" s="89" t="str">
        <f>IF(G10="","",IF(AND(G10&gt;=H10-$B$6*I10,G10&lt;=H10+$B$6*I10),"OK","NG"))</f>
        <v>OK</v>
      </c>
      <c r="U10" s="117">
        <f t="shared" ref="U10" si="1">IF(T10="","",IF(T10=D10,1,0))</f>
        <v>1</v>
      </c>
      <c r="V10" s="89" t="str">
        <f>IF(G10="","",IF(T10="OK","NONE",INDEX({"S1","S2","W1","W2","N1","N2"},MATCH(MAX(K10:P10),K10:P10,0))))</f>
        <v>NONE</v>
      </c>
      <c r="W10" s="117">
        <f>IF(G10="","",IF(V10=E10,1,0))</f>
        <v>1</v>
      </c>
      <c r="X10" s="114" t="str">
        <f>IF(G10="","",IF(AND(T10="NG",S10&lt;$B$7),"AMBIGUOUS","CONFIDENT"))</f>
        <v>CONFIDENT</v>
      </c>
      <c r="Y10" s="107"/>
    </row>
    <row r="11" spans="1:25">
      <c r="A11" s="115">
        <v>2</v>
      </c>
      <c r="B11" s="135">
        <f>'Runs Z-Score'!B4</f>
        <v>1</v>
      </c>
      <c r="C11" s="89" t="str">
        <f>'Runs Z-Score'!C4</f>
        <v>R3</v>
      </c>
      <c r="D11" s="89" t="str">
        <f>'Runs Z-Score'!D4</f>
        <v>OK</v>
      </c>
      <c r="E11" s="89" t="str">
        <f>'Runs Z-Score'!E4</f>
        <v>NONE</v>
      </c>
      <c r="F11" s="89">
        <f>'Runs Z-Score'!F4</f>
        <v>10</v>
      </c>
      <c r="G11" s="89">
        <f t="shared" si="0"/>
        <v>10.97</v>
      </c>
      <c r="H11" s="89">
        <f>VLOOKUP(C11,Recipes!$A$2:$N$4,10,FALSE())</f>
        <v>10.940000000000001</v>
      </c>
      <c r="I11" s="89">
        <f>VLOOKUP(C11,Recipes!$A$2:$N$4,12,FALSE())</f>
        <v>5.2703573566378441E-2</v>
      </c>
      <c r="J11" s="89">
        <f t="shared" ref="J11:J74" si="2">IF(G11="","",H11-G11)</f>
        <v>-2.9999999999999361E-2</v>
      </c>
      <c r="K11" s="89">
        <f>IF(G11="","",-0.5*((J11-Components!$C$2)/Components!$D$2)^2)</f>
        <v>-88682.127192985878</v>
      </c>
      <c r="L11" s="89">
        <f>IF(G11="","",-0.5*((J11-Components!$C$3)/Components!$D$3)^2)</f>
        <v>-43427.384420290917</v>
      </c>
      <c r="M11" s="89">
        <f>IF(G11="","",-0.5*((J11-Components!$C$4)/Components!$D$4)^2)</f>
        <v>-2679.6284313725519</v>
      </c>
      <c r="N11" s="89">
        <f>IF(G11="","",-0.5*((J11-Components!$C$5)/Components!$D$5)^2)</f>
        <v>-16633.929284505579</v>
      </c>
      <c r="O11" s="89">
        <f>IF(G11="","",-0.5*((J11-Components!$C$6)/Components!$D$6)^2)</f>
        <v>-920.8332605531383</v>
      </c>
      <c r="P11" s="89">
        <f>IF(G11="","",-0.5*((J11-Components!$C$7)/Components!$D$7)^2)</f>
        <v>-1559.5094861540299</v>
      </c>
      <c r="Q11" s="89">
        <f t="shared" ref="Q11:Q74" si="3">IF(G11="","",EXP(LARGE(K11:P11,1)-MAX(K11:P11))/(EXP(K11-MAX(K11:P11))+EXP(L11-MAX(K11:P11))+EXP(M11-MAX(K11:P11))+EXP(N11-MAX(K11:P11))+EXP(O11-MAX(K11:P11))+EXP(P11-MAX(K11:P11))))</f>
        <v>1</v>
      </c>
      <c r="R11" s="89">
        <f t="shared" ref="R11:R74" si="4">IF(G11="","",EXP(LARGE(K11:P11,2)-MAX(K11:P11))/(EXP(K11-MAX(K11:P11))+EXP(L11-MAX(K11:P11))+EXP(M11-MAX(K11:P11))+EXP(N11-MAX(K11:P11))+EXP(O11-MAX(K11:P11))+EXP(P11-MAX(K11:P11))))</f>
        <v>4.2309656432143835E-278</v>
      </c>
      <c r="S11" s="89">
        <f t="shared" ref="S11:S74" si="5">IF(G11="","",Q11-R11)</f>
        <v>1</v>
      </c>
      <c r="T11" s="89" t="str">
        <f t="shared" ref="T11:T74" si="6">IF(G11="","",IF(AND(G11&gt;=H11-$B$6*I11,G11&lt;=H11+$B$6*I11),"OK","NG"))</f>
        <v>OK</v>
      </c>
      <c r="U11" s="117">
        <f t="shared" ref="U11:U74" si="7">IF(T11="","",IF(T11=D11,1,0))</f>
        <v>1</v>
      </c>
      <c r="V11" s="89" t="str">
        <f>IF(G11="","",IF(T11="OK","NONE",INDEX({"S1","S2","W1","W2","N1","N2"},MATCH(MAX(K11:P11),K11:P11,0))))</f>
        <v>NONE</v>
      </c>
      <c r="W11" s="117">
        <f t="shared" ref="W11:W74" si="8">IF(G11="","",IF(V11=E11,1,0))</f>
        <v>1</v>
      </c>
      <c r="X11" s="114" t="str">
        <f t="shared" ref="X11:X74" si="9">IF(G11="","",IF(AND(T11="NG",S11&lt;$B$7),"AMBIGUOUS","CONFIDENT"))</f>
        <v>CONFIDENT</v>
      </c>
      <c r="Y11" s="107"/>
    </row>
    <row r="12" spans="1:25">
      <c r="A12" s="115">
        <v>3</v>
      </c>
      <c r="B12" s="135">
        <f>'Runs Z-Score'!B5</f>
        <v>1</v>
      </c>
      <c r="C12" s="89" t="str">
        <f>'Runs Z-Score'!C5</f>
        <v>R3</v>
      </c>
      <c r="D12" s="89" t="str">
        <f>'Runs Z-Score'!D5</f>
        <v>OK</v>
      </c>
      <c r="E12" s="89" t="str">
        <f>'Runs Z-Score'!E5</f>
        <v>NONE</v>
      </c>
      <c r="F12" s="89">
        <f>'Runs Z-Score'!F5</f>
        <v>10</v>
      </c>
      <c r="G12" s="89">
        <f t="shared" si="0"/>
        <v>10.97</v>
      </c>
      <c r="H12" s="89">
        <f>VLOOKUP(C12,Recipes!$A$2:$N$4,10,FALSE())</f>
        <v>10.940000000000001</v>
      </c>
      <c r="I12" s="89">
        <f>VLOOKUP(C12,Recipes!$A$2:$N$4,12,FALSE())</f>
        <v>5.2703573566378441E-2</v>
      </c>
      <c r="J12" s="89">
        <f t="shared" si="2"/>
        <v>-2.9999999999999361E-2</v>
      </c>
      <c r="K12" s="89">
        <f>IF(G12="","",-0.5*((J12-Components!$C$2)/Components!$D$2)^2)</f>
        <v>-88682.127192985878</v>
      </c>
      <c r="L12" s="89">
        <f>IF(G12="","",-0.5*((J12-Components!$C$3)/Components!$D$3)^2)</f>
        <v>-43427.384420290917</v>
      </c>
      <c r="M12" s="89">
        <f>IF(G12="","",-0.5*((J12-Components!$C$4)/Components!$D$4)^2)</f>
        <v>-2679.6284313725519</v>
      </c>
      <c r="N12" s="89">
        <f>IF(G12="","",-0.5*((J12-Components!$C$5)/Components!$D$5)^2)</f>
        <v>-16633.929284505579</v>
      </c>
      <c r="O12" s="89">
        <f>IF(G12="","",-0.5*((J12-Components!$C$6)/Components!$D$6)^2)</f>
        <v>-920.8332605531383</v>
      </c>
      <c r="P12" s="89">
        <f>IF(G12="","",-0.5*((J12-Components!$C$7)/Components!$D$7)^2)</f>
        <v>-1559.5094861540299</v>
      </c>
      <c r="Q12" s="89">
        <f t="shared" si="3"/>
        <v>1</v>
      </c>
      <c r="R12" s="89">
        <f t="shared" si="4"/>
        <v>4.2309656432143835E-278</v>
      </c>
      <c r="S12" s="89">
        <f t="shared" si="5"/>
        <v>1</v>
      </c>
      <c r="T12" s="89" t="str">
        <f t="shared" si="6"/>
        <v>OK</v>
      </c>
      <c r="U12" s="117">
        <f t="shared" si="7"/>
        <v>1</v>
      </c>
      <c r="V12" s="89" t="str">
        <f>IF(G12="","",IF(T12="OK","NONE",INDEX({"S1","S2","W1","W2","N1","N2"},MATCH(MAX(K12:P12),K12:P12,0))))</f>
        <v>NONE</v>
      </c>
      <c r="W12" s="117">
        <f t="shared" si="8"/>
        <v>1</v>
      </c>
      <c r="X12" s="114" t="str">
        <f t="shared" si="9"/>
        <v>CONFIDENT</v>
      </c>
      <c r="Y12" s="107"/>
    </row>
    <row r="13" spans="1:25">
      <c r="A13" s="115">
        <v>4</v>
      </c>
      <c r="B13" s="135">
        <f>'Runs Z-Score'!B6</f>
        <v>1</v>
      </c>
      <c r="C13" s="89" t="str">
        <f>'Runs Z-Score'!C6</f>
        <v>R3</v>
      </c>
      <c r="D13" s="89" t="str">
        <f>'Runs Z-Score'!D6</f>
        <v>OK</v>
      </c>
      <c r="E13" s="89" t="str">
        <f>'Runs Z-Score'!E6</f>
        <v>NONE</v>
      </c>
      <c r="F13" s="89">
        <f>'Runs Z-Score'!F6</f>
        <v>9.91</v>
      </c>
      <c r="G13" s="89">
        <f t="shared" si="0"/>
        <v>10.88</v>
      </c>
      <c r="H13" s="89">
        <f>VLOOKUP(C13,Recipes!$A$2:$N$4,10,FALSE())</f>
        <v>10.940000000000001</v>
      </c>
      <c r="I13" s="89">
        <f>VLOOKUP(C13,Recipes!$A$2:$N$4,12,FALSE())</f>
        <v>5.2703573566378441E-2</v>
      </c>
      <c r="J13" s="89">
        <f t="shared" si="2"/>
        <v>6.0000000000000497E-2</v>
      </c>
      <c r="K13" s="89">
        <f>IF(G13="","",-0.5*((J13-Components!$C$2)/Components!$D$2)^2)</f>
        <v>-83039.719298248805</v>
      </c>
      <c r="L13" s="89">
        <f>IF(G13="","",-0.5*((J13-Components!$C$3)/Components!$D$3)^2)</f>
        <v>-41526.150724638712</v>
      </c>
      <c r="M13" s="89">
        <f>IF(G13="","",-0.5*((J13-Components!$C$4)/Components!$D$4)^2)</f>
        <v>-2229.0196078431395</v>
      </c>
      <c r="N13" s="89">
        <f>IF(G13="","",-0.5*((J13-Components!$C$5)/Components!$D$5)^2)</f>
        <v>-15988.384868261928</v>
      </c>
      <c r="O13" s="89">
        <f>IF(G13="","",-0.5*((J13-Components!$C$6)/Components!$D$6)^2)</f>
        <v>-786.34417758370523</v>
      </c>
      <c r="P13" s="89">
        <f>IF(G13="","",-0.5*((J13-Components!$C$7)/Components!$D$7)^2)</f>
        <v>-1366.0250287826432</v>
      </c>
      <c r="Q13" s="89">
        <f t="shared" si="3"/>
        <v>1</v>
      </c>
      <c r="R13" s="89">
        <f t="shared" si="4"/>
        <v>1.7693145922287812E-252</v>
      </c>
      <c r="S13" s="89">
        <f t="shared" si="5"/>
        <v>1</v>
      </c>
      <c r="T13" s="89" t="str">
        <f t="shared" si="6"/>
        <v>OK</v>
      </c>
      <c r="U13" s="117">
        <f t="shared" si="7"/>
        <v>1</v>
      </c>
      <c r="V13" s="89" t="str">
        <f>IF(G13="","",IF(T13="OK","NONE",INDEX({"S1","S2","W1","W2","N1","N2"},MATCH(MAX(K13:P13),K13:P13,0))))</f>
        <v>NONE</v>
      </c>
      <c r="W13" s="117">
        <f t="shared" si="8"/>
        <v>1</v>
      </c>
      <c r="X13" s="114" t="str">
        <f t="shared" si="9"/>
        <v>CONFIDENT</v>
      </c>
      <c r="Y13" s="107"/>
    </row>
    <row r="14" spans="1:25">
      <c r="A14" s="115">
        <v>5</v>
      </c>
      <c r="B14" s="135">
        <f>'Runs Z-Score'!B7</f>
        <v>1</v>
      </c>
      <c r="C14" s="89" t="str">
        <f>'Runs Z-Score'!C7</f>
        <v>R3</v>
      </c>
      <c r="D14" s="89" t="str">
        <f>'Runs Z-Score'!D7</f>
        <v>OK</v>
      </c>
      <c r="E14" s="89" t="str">
        <f>'Runs Z-Score'!E7</f>
        <v>NONE</v>
      </c>
      <c r="F14" s="89">
        <f>'Runs Z-Score'!F7</f>
        <v>10.039999999999999</v>
      </c>
      <c r="G14" s="89">
        <f t="shared" si="0"/>
        <v>11.01</v>
      </c>
      <c r="H14" s="89">
        <f>VLOOKUP(C14,Recipes!$A$2:$N$4,10,FALSE())</f>
        <v>10.940000000000001</v>
      </c>
      <c r="I14" s="89">
        <f>VLOOKUP(C14,Recipes!$A$2:$N$4,12,FALSE())</f>
        <v>5.2703573566378441E-2</v>
      </c>
      <c r="J14" s="89">
        <f t="shared" si="2"/>
        <v>-6.9999999999998508E-2</v>
      </c>
      <c r="K14" s="89">
        <f>IF(G14="","",-0.5*((J14-Components!$C$2)/Components!$D$2)^2)</f>
        <v>-91249.390350880654</v>
      </c>
      <c r="L14" s="89">
        <f>IF(G14="","",-0.5*((J14-Components!$C$3)/Components!$D$3)^2)</f>
        <v>-44286.036594203979</v>
      </c>
      <c r="M14" s="89">
        <f>IF(G14="","",-0.5*((J14-Components!$C$4)/Components!$D$4)^2)</f>
        <v>-2893.204901960783</v>
      </c>
      <c r="N14" s="89">
        <f>IF(G14="","",-0.5*((J14-Components!$C$5)/Components!$D$5)^2)</f>
        <v>-16924.938711626673</v>
      </c>
      <c r="O14" s="89">
        <f>IF(G14="","",-0.5*((J14-Components!$C$6)/Components!$D$6)^2)</f>
        <v>-984.01229985444729</v>
      </c>
      <c r="P14" s="89">
        <f>IF(G14="","",-0.5*((J14-Components!$C$7)/Components!$D$7)^2)</f>
        <v>-1649.6145579591544</v>
      </c>
      <c r="Q14" s="89">
        <f t="shared" si="3"/>
        <v>1</v>
      </c>
      <c r="R14" s="89">
        <f t="shared" si="4"/>
        <v>8.5627282791032257E-290</v>
      </c>
      <c r="S14" s="89">
        <f t="shared" si="5"/>
        <v>1</v>
      </c>
      <c r="T14" s="89" t="str">
        <f t="shared" si="6"/>
        <v>OK</v>
      </c>
      <c r="U14" s="117">
        <f t="shared" si="7"/>
        <v>1</v>
      </c>
      <c r="V14" s="89" t="str">
        <f>IF(G14="","",IF(T14="OK","NONE",INDEX({"S1","S2","W1","W2","N1","N2"},MATCH(MAX(K14:P14),K14:P14,0))))</f>
        <v>NONE</v>
      </c>
      <c r="W14" s="117">
        <f t="shared" si="8"/>
        <v>1</v>
      </c>
      <c r="X14" s="114" t="str">
        <f t="shared" si="9"/>
        <v>CONFIDENT</v>
      </c>
      <c r="Y14" s="107"/>
    </row>
    <row r="15" spans="1:25">
      <c r="A15" s="115">
        <v>6</v>
      </c>
      <c r="B15" s="135">
        <f>'Runs Z-Score'!B8</f>
        <v>1</v>
      </c>
      <c r="C15" s="89" t="str">
        <f>'Runs Z-Score'!C8</f>
        <v>R3</v>
      </c>
      <c r="D15" s="89" t="str">
        <f>'Runs Z-Score'!D8</f>
        <v>OK</v>
      </c>
      <c r="E15" s="89" t="str">
        <f>'Runs Z-Score'!E8</f>
        <v>NONE</v>
      </c>
      <c r="F15" s="89">
        <f>'Runs Z-Score'!F8</f>
        <v>9.84</v>
      </c>
      <c r="G15" s="89">
        <f t="shared" si="0"/>
        <v>10.81</v>
      </c>
      <c r="H15" s="89">
        <f>VLOOKUP(C15,Recipes!$A$2:$N$4,10,FALSE())</f>
        <v>10.940000000000001</v>
      </c>
      <c r="I15" s="89">
        <f>VLOOKUP(C15,Recipes!$A$2:$N$4,12,FALSE())</f>
        <v>5.2703573566378441E-2</v>
      </c>
      <c r="J15" s="89">
        <f t="shared" si="2"/>
        <v>0.13000000000000078</v>
      </c>
      <c r="K15" s="89">
        <f>IF(G15="","",-0.5*((J15-Components!$C$2)/Components!$D$2)^2)</f>
        <v>-78779.390350880189</v>
      </c>
      <c r="L15" s="89">
        <f>IF(G15="","",-0.5*((J15-Components!$C$3)/Components!$D$3)^2)</f>
        <v>-40076.833695653149</v>
      </c>
      <c r="M15" s="89">
        <f>IF(G15="","",-0.5*((J15-Components!$C$4)/Components!$D$4)^2)</f>
        <v>-1907.2049019607848</v>
      </c>
      <c r="N15" s="89">
        <f>IF(G15="","",-0.5*((J15-Components!$C$5)/Components!$D$5)^2)</f>
        <v>-15495.12725404873</v>
      </c>
      <c r="O15" s="89">
        <f>IF(G15="","",-0.5*((J15-Components!$C$6)/Components!$D$6)^2)</f>
        <v>-689.07780203785239</v>
      </c>
      <c r="P15" s="89">
        <f>IF(G15="","",-0.5*((J15-Components!$C$7)/Components!$D$7)^2)</f>
        <v>-1224.3936890262346</v>
      </c>
      <c r="Q15" s="89">
        <f t="shared" si="3"/>
        <v>1</v>
      </c>
      <c r="R15" s="89">
        <f t="shared" si="4"/>
        <v>3.2753989525168021E-233</v>
      </c>
      <c r="S15" s="89">
        <f t="shared" si="5"/>
        <v>1</v>
      </c>
      <c r="T15" s="89" t="str">
        <f t="shared" si="6"/>
        <v>OK</v>
      </c>
      <c r="U15" s="117">
        <f t="shared" si="7"/>
        <v>1</v>
      </c>
      <c r="V15" s="89" t="str">
        <f>IF(G15="","",IF(T15="OK","NONE",INDEX({"S1","S2","W1","W2","N1","N2"},MATCH(MAX(K15:P15),K15:P15,0))))</f>
        <v>NONE</v>
      </c>
      <c r="W15" s="117">
        <f t="shared" si="8"/>
        <v>1</v>
      </c>
      <c r="X15" s="114" t="str">
        <f t="shared" si="9"/>
        <v>CONFIDENT</v>
      </c>
      <c r="Y15" s="107"/>
    </row>
    <row r="16" spans="1:25">
      <c r="A16" s="115">
        <v>7</v>
      </c>
      <c r="B16" s="135">
        <f>'Runs Z-Score'!B9</f>
        <v>1</v>
      </c>
      <c r="C16" s="89" t="str">
        <f>'Runs Z-Score'!C9</f>
        <v>R3</v>
      </c>
      <c r="D16" s="89" t="str">
        <f>'Runs Z-Score'!D9</f>
        <v>OK</v>
      </c>
      <c r="E16" s="89" t="str">
        <f>'Runs Z-Score'!E9</f>
        <v>NONE</v>
      </c>
      <c r="F16" s="89">
        <f>'Runs Z-Score'!F9</f>
        <v>9.9</v>
      </c>
      <c r="G16" s="89">
        <f t="shared" si="0"/>
        <v>10.870000000000001</v>
      </c>
      <c r="H16" s="89">
        <f>VLOOKUP(C16,Recipes!$A$2:$N$4,10,FALSE())</f>
        <v>10.940000000000001</v>
      </c>
      <c r="I16" s="89">
        <f>VLOOKUP(C16,Recipes!$A$2:$N$4,12,FALSE())</f>
        <v>5.2703573566378441E-2</v>
      </c>
      <c r="J16" s="89">
        <f t="shared" si="2"/>
        <v>7.0000000000000284E-2</v>
      </c>
      <c r="K16" s="89">
        <f>IF(G16="","",-0.5*((J16-Components!$C$2)/Components!$D$2)^2)</f>
        <v>-82424.232456143523</v>
      </c>
      <c r="L16" s="89">
        <f>IF(G16="","",-0.5*((J16-Components!$C$3)/Components!$D$3)^2)</f>
        <v>-41317.52934782712</v>
      </c>
      <c r="M16" s="89">
        <f>IF(G16="","",-0.5*((J16-Components!$C$4)/Components!$D$4)^2)</f>
        <v>-2181.5107843137289</v>
      </c>
      <c r="N16" s="89">
        <f>IF(G16="","",-0.5*((J16-Components!$C$5)/Components!$D$5)^2)</f>
        <v>-15917.446325839885</v>
      </c>
      <c r="O16" s="89">
        <f>IF(G16="","",-0.5*((J16-Components!$C$6)/Components!$D$6)^2)</f>
        <v>-772.05596797671831</v>
      </c>
      <c r="P16" s="89">
        <f>IF(G16="","",-0.5*((J16-Components!$C$7)/Components!$D$7)^2)</f>
        <v>-1345.3175210567756</v>
      </c>
      <c r="Q16" s="89">
        <f t="shared" si="3"/>
        <v>1</v>
      </c>
      <c r="R16" s="89">
        <f t="shared" si="4"/>
        <v>1.0856024381751793E-249</v>
      </c>
      <c r="S16" s="89">
        <f t="shared" si="5"/>
        <v>1</v>
      </c>
      <c r="T16" s="89" t="str">
        <f t="shared" si="6"/>
        <v>OK</v>
      </c>
      <c r="U16" s="117">
        <f t="shared" si="7"/>
        <v>1</v>
      </c>
      <c r="V16" s="89" t="str">
        <f>IF(G16="","",IF(T16="OK","NONE",INDEX({"S1","S2","W1","W2","N1","N2"},MATCH(MAX(K16:P16),K16:P16,0))))</f>
        <v>NONE</v>
      </c>
      <c r="W16" s="117">
        <f t="shared" si="8"/>
        <v>1</v>
      </c>
      <c r="X16" s="114" t="str">
        <f t="shared" si="9"/>
        <v>CONFIDENT</v>
      </c>
      <c r="Y16" s="107"/>
    </row>
    <row r="17" spans="1:25">
      <c r="A17" s="115">
        <v>8</v>
      </c>
      <c r="B17" s="135">
        <f>'Runs Z-Score'!B10</f>
        <v>1</v>
      </c>
      <c r="C17" s="89" t="str">
        <f>'Runs Z-Score'!C10</f>
        <v>R3</v>
      </c>
      <c r="D17" s="89" t="str">
        <f>'Runs Z-Score'!D10</f>
        <v>OK</v>
      </c>
      <c r="E17" s="89" t="str">
        <f>'Runs Z-Score'!E10</f>
        <v>NONE</v>
      </c>
      <c r="F17" s="89">
        <f>'Runs Z-Score'!F10</f>
        <v>9.92</v>
      </c>
      <c r="G17" s="89">
        <f t="shared" si="0"/>
        <v>10.89</v>
      </c>
      <c r="H17" s="89">
        <f>VLOOKUP(C17,Recipes!$A$2:$N$4,10,FALSE())</f>
        <v>10.940000000000001</v>
      </c>
      <c r="I17" s="89">
        <f>VLOOKUP(C17,Recipes!$A$2:$N$4,12,FALSE())</f>
        <v>5.2703573566378441E-2</v>
      </c>
      <c r="J17" s="89">
        <f t="shared" si="2"/>
        <v>5.0000000000000711E-2</v>
      </c>
      <c r="K17" s="89">
        <f>IF(G17="","",-0.5*((J17-Components!$C$2)/Components!$D$2)^2)</f>
        <v>-83657.4956140383</v>
      </c>
      <c r="L17" s="89">
        <f>IF(G17="","",-0.5*((J17-Components!$C$3)/Components!$D$3)^2)</f>
        <v>-41735.297463769137</v>
      </c>
      <c r="M17" s="89">
        <f>IF(G17="","",-0.5*((J17-Components!$C$4)/Components!$D$4)^2)</f>
        <v>-2277.0401960784329</v>
      </c>
      <c r="N17" s="89">
        <f>IF(G17="","",-0.5*((J17-Components!$C$5)/Components!$D$5)^2)</f>
        <v>-16059.481133671641</v>
      </c>
      <c r="O17" s="89">
        <f>IF(G17="","",-0.5*((J17-Components!$C$6)/Components!$D$6)^2)</f>
        <v>-800.76339155750406</v>
      </c>
      <c r="P17" s="89">
        <f>IF(G17="","",-0.5*((J17-Components!$C$7)/Components!$D$7)^2)</f>
        <v>-1386.8906895715902</v>
      </c>
      <c r="Q17" s="89">
        <f t="shared" si="3"/>
        <v>1</v>
      </c>
      <c r="R17" s="89">
        <f t="shared" si="4"/>
        <v>2.8063948816917471E-255</v>
      </c>
      <c r="S17" s="89">
        <f t="shared" si="5"/>
        <v>1</v>
      </c>
      <c r="T17" s="89" t="str">
        <f t="shared" si="6"/>
        <v>OK</v>
      </c>
      <c r="U17" s="117">
        <f t="shared" si="7"/>
        <v>1</v>
      </c>
      <c r="V17" s="89" t="str">
        <f>IF(G17="","",IF(T17="OK","NONE",INDEX({"S1","S2","W1","W2","N1","N2"},MATCH(MAX(K17:P17),K17:P17,0))))</f>
        <v>NONE</v>
      </c>
      <c r="W17" s="117">
        <f t="shared" si="8"/>
        <v>1</v>
      </c>
      <c r="X17" s="114" t="str">
        <f t="shared" si="9"/>
        <v>CONFIDENT</v>
      </c>
      <c r="Y17" s="107"/>
    </row>
    <row r="18" spans="1:25">
      <c r="A18" s="115">
        <v>9</v>
      </c>
      <c r="B18" s="135">
        <f>'Runs Z-Score'!B11</f>
        <v>1</v>
      </c>
      <c r="C18" s="89" t="str">
        <f>'Runs Z-Score'!C11</f>
        <v>R3</v>
      </c>
      <c r="D18" s="89" t="str">
        <f>'Runs Z-Score'!D11</f>
        <v>OK</v>
      </c>
      <c r="E18" s="89" t="str">
        <f>'Runs Z-Score'!E11</f>
        <v>NONE</v>
      </c>
      <c r="F18" s="89">
        <f>'Runs Z-Score'!F11</f>
        <v>9.9499999999999993</v>
      </c>
      <c r="G18" s="89">
        <f t="shared" si="0"/>
        <v>10.92</v>
      </c>
      <c r="H18" s="89">
        <f>VLOOKUP(C18,Recipes!$A$2:$N$4,10,FALSE())</f>
        <v>10.940000000000001</v>
      </c>
      <c r="I18" s="89">
        <f>VLOOKUP(C18,Recipes!$A$2:$N$4,12,FALSE())</f>
        <v>5.2703573566378441E-2</v>
      </c>
      <c r="J18" s="89">
        <f t="shared" si="2"/>
        <v>2.000000000000135E-2</v>
      </c>
      <c r="K18" s="89">
        <f>IF(G18="","",-0.5*((J18-Components!$C$2)/Components!$D$2)^2)</f>
        <v>-85524.561403512009</v>
      </c>
      <c r="L18" s="89">
        <f>IF(G18="","",-0.5*((J18-Components!$C$3)/Components!$D$3)^2)</f>
        <v>-42365.889855073496</v>
      </c>
      <c r="M18" s="89">
        <f>IF(G18="","",-0.5*((J18-Components!$C$4)/Components!$D$4)^2)</f>
        <v>-2424.1725490196059</v>
      </c>
      <c r="N18" s="89">
        <f>IF(G18="","",-0.5*((J18-Components!$C$5)/Components!$D$5)^2)</f>
        <v>-16273.716267826823</v>
      </c>
      <c r="O18" s="89">
        <f>IF(G18="","",-0.5*((J18-Components!$C$6)/Components!$D$6)^2)</f>
        <v>-844.80705967977417</v>
      </c>
      <c r="P18" s="89">
        <f>IF(G18="","",-0.5*((J18-Components!$C$7)/Components!$D$7)^2)</f>
        <v>-1450.436590316908</v>
      </c>
      <c r="Q18" s="89">
        <f t="shared" si="3"/>
        <v>1</v>
      </c>
      <c r="R18" s="89">
        <f t="shared" si="4"/>
        <v>9.51561290511553E-264</v>
      </c>
      <c r="S18" s="89">
        <f t="shared" si="5"/>
        <v>1</v>
      </c>
      <c r="T18" s="89" t="str">
        <f t="shared" si="6"/>
        <v>OK</v>
      </c>
      <c r="U18" s="117">
        <f t="shared" si="7"/>
        <v>1</v>
      </c>
      <c r="V18" s="89" t="str">
        <f>IF(G18="","",IF(T18="OK","NONE",INDEX({"S1","S2","W1","W2","N1","N2"},MATCH(MAX(K18:P18),K18:P18,0))))</f>
        <v>NONE</v>
      </c>
      <c r="W18" s="117">
        <f t="shared" si="8"/>
        <v>1</v>
      </c>
      <c r="X18" s="114" t="str">
        <f t="shared" si="9"/>
        <v>CONFIDENT</v>
      </c>
      <c r="Y18" s="107"/>
    </row>
    <row r="19" spans="1:25">
      <c r="A19" s="115">
        <v>10</v>
      </c>
      <c r="B19" s="135">
        <f>'Runs Z-Score'!B12</f>
        <v>1</v>
      </c>
      <c r="C19" s="89" t="str">
        <f>'Runs Z-Score'!C12</f>
        <v>R3</v>
      </c>
      <c r="D19" s="89" t="str">
        <f>'Runs Z-Score'!D12</f>
        <v>OK</v>
      </c>
      <c r="E19" s="89" t="str">
        <f>'Runs Z-Score'!E12</f>
        <v>NONE</v>
      </c>
      <c r="F19" s="89">
        <f>'Runs Z-Score'!F12</f>
        <v>9.8699999999999992</v>
      </c>
      <c r="G19" s="89">
        <f t="shared" si="0"/>
        <v>10.84</v>
      </c>
      <c r="H19" s="89">
        <f>VLOOKUP(C19,Recipes!$A$2:$N$4,10,FALSE())</f>
        <v>10.940000000000001</v>
      </c>
      <c r="I19" s="89">
        <f>VLOOKUP(C19,Recipes!$A$2:$N$4,12,FALSE())</f>
        <v>5.2703573566378441E-2</v>
      </c>
      <c r="J19" s="89">
        <f t="shared" si="2"/>
        <v>0.10000000000000142</v>
      </c>
      <c r="K19" s="89">
        <f>IF(G19="","",-0.5*((J19-Components!$C$2)/Components!$D$2)^2)</f>
        <v>-80591.508771932859</v>
      </c>
      <c r="L19" s="89">
        <f>IF(G19="","",-0.5*((J19-Components!$C$3)/Components!$D$3)^2)</f>
        <v>-40694.817391305332</v>
      </c>
      <c r="M19" s="89">
        <f>IF(G19="","",-0.5*((J19-Components!$C$4)/Components!$D$4)^2)</f>
        <v>-2042.0549019607822</v>
      </c>
      <c r="N19" s="89">
        <f>IF(G19="","",-0.5*((J19-Components!$C$5)/Components!$D$5)^2)</f>
        <v>-15705.577036499775</v>
      </c>
      <c r="O19" s="89">
        <f>IF(G19="","",-0.5*((J19-Components!$C$6)/Components!$D$6)^2)</f>
        <v>-729.97736535662909</v>
      </c>
      <c r="P19" s="89">
        <f>IF(G19="","",-0.5*((J19-Components!$C$7)/Components!$D$7)^2)</f>
        <v>-1284.1439162576457</v>
      </c>
      <c r="Q19" s="89">
        <f t="shared" si="3"/>
        <v>1</v>
      </c>
      <c r="R19" s="89">
        <f t="shared" si="4"/>
        <v>2.1307126698599406E-241</v>
      </c>
      <c r="S19" s="89">
        <f t="shared" si="5"/>
        <v>1</v>
      </c>
      <c r="T19" s="89" t="str">
        <f t="shared" si="6"/>
        <v>OK</v>
      </c>
      <c r="U19" s="117">
        <f t="shared" si="7"/>
        <v>1</v>
      </c>
      <c r="V19" s="89" t="str">
        <f>IF(G19="","",IF(T19="OK","NONE",INDEX({"S1","S2","W1","W2","N1","N2"},MATCH(MAX(K19:P19),K19:P19,0))))</f>
        <v>NONE</v>
      </c>
      <c r="W19" s="117">
        <f t="shared" si="8"/>
        <v>1</v>
      </c>
      <c r="X19" s="114" t="str">
        <f t="shared" si="9"/>
        <v>CONFIDENT</v>
      </c>
      <c r="Y19" s="107"/>
    </row>
    <row r="20" spans="1:25">
      <c r="A20" s="115">
        <v>11</v>
      </c>
      <c r="B20" s="135">
        <f>'Runs Z-Score'!B13</f>
        <v>1</v>
      </c>
      <c r="C20" s="89" t="str">
        <f>'Runs Z-Score'!C13</f>
        <v>R3</v>
      </c>
      <c r="D20" s="89" t="str">
        <f>'Runs Z-Score'!D13</f>
        <v>OK</v>
      </c>
      <c r="E20" s="89" t="str">
        <f>'Runs Z-Score'!E13</f>
        <v>NONE</v>
      </c>
      <c r="F20" s="89">
        <f>'Runs Z-Score'!F13</f>
        <v>9.8800000000000008</v>
      </c>
      <c r="G20" s="89">
        <f t="shared" si="0"/>
        <v>10.850000000000001</v>
      </c>
      <c r="H20" s="89">
        <f>VLOOKUP(C20,Recipes!$A$2:$N$4,10,FALSE())</f>
        <v>10.940000000000001</v>
      </c>
      <c r="I20" s="89">
        <f>VLOOKUP(C20,Recipes!$A$2:$N$4,12,FALSE())</f>
        <v>5.2703573566378441E-2</v>
      </c>
      <c r="J20" s="89">
        <f t="shared" si="2"/>
        <v>8.9999999999999858E-2</v>
      </c>
      <c r="K20" s="89">
        <f>IF(G20="","",-0.5*((J20-Components!$C$2)/Components!$D$2)^2)</f>
        <v>-81200.127192985601</v>
      </c>
      <c r="L20" s="89">
        <f>IF(G20="","",-0.5*((J20-Components!$C$3)/Components!$D$3)^2)</f>
        <v>-40901.862681160441</v>
      </c>
      <c r="M20" s="89">
        <f>IF(G20="","",-0.5*((J20-Components!$C$4)/Components!$D$4)^2)</f>
        <v>-2088.0284313725542</v>
      </c>
      <c r="N20" s="89">
        <f>IF(G20="","",-0.5*((J20-Components!$C$5)/Components!$D$5)^2)</f>
        <v>-15776.042409958818</v>
      </c>
      <c r="O20" s="89">
        <f>IF(G20="","",-0.5*((J20-Components!$C$6)/Components!$D$6)^2)</f>
        <v>-743.87256186318177</v>
      </c>
      <c r="P20" s="89">
        <f>IF(G20="","",-0.5*((J20-Components!$C$7)/Components!$D$7)^2)</f>
        <v>-1304.3769647942788</v>
      </c>
      <c r="Q20" s="89">
        <f t="shared" si="3"/>
        <v>1</v>
      </c>
      <c r="R20" s="89">
        <f t="shared" si="4"/>
        <v>3.7673045017047001E-244</v>
      </c>
      <c r="S20" s="89">
        <f t="shared" si="5"/>
        <v>1</v>
      </c>
      <c r="T20" s="89" t="str">
        <f t="shared" si="6"/>
        <v>OK</v>
      </c>
      <c r="U20" s="117">
        <f t="shared" si="7"/>
        <v>1</v>
      </c>
      <c r="V20" s="89" t="str">
        <f>IF(G20="","",IF(T20="OK","NONE",INDEX({"S1","S2","W1","W2","N1","N2"},MATCH(MAX(K20:P20),K20:P20,0))))</f>
        <v>NONE</v>
      </c>
      <c r="W20" s="117">
        <f t="shared" si="8"/>
        <v>1</v>
      </c>
      <c r="X20" s="114" t="str">
        <f t="shared" si="9"/>
        <v>CONFIDENT</v>
      </c>
      <c r="Y20" s="107"/>
    </row>
    <row r="21" spans="1:25">
      <c r="A21" s="115">
        <v>12</v>
      </c>
      <c r="B21" s="135">
        <f>'Runs Z-Score'!B14</f>
        <v>1</v>
      </c>
      <c r="C21" s="89" t="str">
        <f>'Runs Z-Score'!C14</f>
        <v>R3</v>
      </c>
      <c r="D21" s="89" t="str">
        <f>'Runs Z-Score'!D14</f>
        <v>OK</v>
      </c>
      <c r="E21" s="89" t="str">
        <f>'Runs Z-Score'!E14</f>
        <v>NONE</v>
      </c>
      <c r="F21" s="89">
        <f>'Runs Z-Score'!F14</f>
        <v>9.91</v>
      </c>
      <c r="G21" s="89">
        <f t="shared" si="0"/>
        <v>10.88</v>
      </c>
      <c r="H21" s="89">
        <f>VLOOKUP(C21,Recipes!$A$2:$N$4,10,FALSE())</f>
        <v>10.940000000000001</v>
      </c>
      <c r="I21" s="89">
        <f>VLOOKUP(C21,Recipes!$A$2:$N$4,12,FALSE())</f>
        <v>5.2703573566378441E-2</v>
      </c>
      <c r="J21" s="89">
        <f t="shared" si="2"/>
        <v>6.0000000000000497E-2</v>
      </c>
      <c r="K21" s="89">
        <f>IF(G21="","",-0.5*((J21-Components!$C$2)/Components!$D$2)^2)</f>
        <v>-83039.719298248805</v>
      </c>
      <c r="L21" s="89">
        <f>IF(G21="","",-0.5*((J21-Components!$C$3)/Components!$D$3)^2)</f>
        <v>-41526.150724638712</v>
      </c>
      <c r="M21" s="89">
        <f>IF(G21="","",-0.5*((J21-Components!$C$4)/Components!$D$4)^2)</f>
        <v>-2229.0196078431395</v>
      </c>
      <c r="N21" s="89">
        <f>IF(G21="","",-0.5*((J21-Components!$C$5)/Components!$D$5)^2)</f>
        <v>-15988.384868261928</v>
      </c>
      <c r="O21" s="89">
        <f>IF(G21="","",-0.5*((J21-Components!$C$6)/Components!$D$6)^2)</f>
        <v>-786.34417758370523</v>
      </c>
      <c r="P21" s="89">
        <f>IF(G21="","",-0.5*((J21-Components!$C$7)/Components!$D$7)^2)</f>
        <v>-1366.0250287826432</v>
      </c>
      <c r="Q21" s="89">
        <f t="shared" si="3"/>
        <v>1</v>
      </c>
      <c r="R21" s="89">
        <f t="shared" si="4"/>
        <v>1.7693145922287812E-252</v>
      </c>
      <c r="S21" s="89">
        <f t="shared" si="5"/>
        <v>1</v>
      </c>
      <c r="T21" s="89" t="str">
        <f t="shared" si="6"/>
        <v>OK</v>
      </c>
      <c r="U21" s="117">
        <f t="shared" si="7"/>
        <v>1</v>
      </c>
      <c r="V21" s="89" t="str">
        <f>IF(G21="","",IF(T21="OK","NONE",INDEX({"S1","S2","W1","W2","N1","N2"},MATCH(MAX(K21:P21),K21:P21,0))))</f>
        <v>NONE</v>
      </c>
      <c r="W21" s="117">
        <f t="shared" si="8"/>
        <v>1</v>
      </c>
      <c r="X21" s="114" t="str">
        <f t="shared" si="9"/>
        <v>CONFIDENT</v>
      </c>
      <c r="Y21" s="107"/>
    </row>
    <row r="22" spans="1:25">
      <c r="A22" s="115">
        <v>13</v>
      </c>
      <c r="B22" s="135">
        <f>'Runs Z-Score'!B15</f>
        <v>1</v>
      </c>
      <c r="C22" s="89" t="str">
        <f>'Runs Z-Score'!C15</f>
        <v>R3</v>
      </c>
      <c r="D22" s="89" t="str">
        <f>'Runs Z-Score'!D15</f>
        <v>OK</v>
      </c>
      <c r="E22" s="89" t="str">
        <f>'Runs Z-Score'!E15</f>
        <v>NONE</v>
      </c>
      <c r="F22" s="89">
        <f>'Runs Z-Score'!F15</f>
        <v>9.9</v>
      </c>
      <c r="G22" s="89">
        <f t="shared" si="0"/>
        <v>10.870000000000001</v>
      </c>
      <c r="H22" s="89">
        <f>VLOOKUP(C22,Recipes!$A$2:$N$4,10,FALSE())</f>
        <v>10.940000000000001</v>
      </c>
      <c r="I22" s="89">
        <f>VLOOKUP(C22,Recipes!$A$2:$N$4,12,FALSE())</f>
        <v>5.2703573566378441E-2</v>
      </c>
      <c r="J22" s="89">
        <f t="shared" si="2"/>
        <v>7.0000000000000284E-2</v>
      </c>
      <c r="K22" s="89">
        <f>IF(G22="","",-0.5*((J22-Components!$C$2)/Components!$D$2)^2)</f>
        <v>-82424.232456143523</v>
      </c>
      <c r="L22" s="89">
        <f>IF(G22="","",-0.5*((J22-Components!$C$3)/Components!$D$3)^2)</f>
        <v>-41317.52934782712</v>
      </c>
      <c r="M22" s="89">
        <f>IF(G22="","",-0.5*((J22-Components!$C$4)/Components!$D$4)^2)</f>
        <v>-2181.5107843137289</v>
      </c>
      <c r="N22" s="89">
        <f>IF(G22="","",-0.5*((J22-Components!$C$5)/Components!$D$5)^2)</f>
        <v>-15917.446325839885</v>
      </c>
      <c r="O22" s="89">
        <f>IF(G22="","",-0.5*((J22-Components!$C$6)/Components!$D$6)^2)</f>
        <v>-772.05596797671831</v>
      </c>
      <c r="P22" s="89">
        <f>IF(G22="","",-0.5*((J22-Components!$C$7)/Components!$D$7)^2)</f>
        <v>-1345.3175210567756</v>
      </c>
      <c r="Q22" s="89">
        <f t="shared" si="3"/>
        <v>1</v>
      </c>
      <c r="R22" s="89">
        <f t="shared" si="4"/>
        <v>1.0856024381751793E-249</v>
      </c>
      <c r="S22" s="89">
        <f t="shared" si="5"/>
        <v>1</v>
      </c>
      <c r="T22" s="89" t="str">
        <f t="shared" si="6"/>
        <v>OK</v>
      </c>
      <c r="U22" s="117">
        <f t="shared" si="7"/>
        <v>1</v>
      </c>
      <c r="V22" s="89" t="str">
        <f>IF(G22="","",IF(T22="OK","NONE",INDEX({"S1","S2","W1","W2","N1","N2"},MATCH(MAX(K22:P22),K22:P22,0))))</f>
        <v>NONE</v>
      </c>
      <c r="W22" s="117">
        <f t="shared" si="8"/>
        <v>1</v>
      </c>
      <c r="X22" s="114" t="str">
        <f t="shared" si="9"/>
        <v>CONFIDENT</v>
      </c>
      <c r="Y22" s="107"/>
    </row>
    <row r="23" spans="1:25">
      <c r="A23" s="115">
        <v>14</v>
      </c>
      <c r="B23" s="135">
        <f>'Runs Z-Score'!B16</f>
        <v>1</v>
      </c>
      <c r="C23" s="89" t="str">
        <f>'Runs Z-Score'!C16</f>
        <v>R3</v>
      </c>
      <c r="D23" s="89" t="str">
        <f>'Runs Z-Score'!D16</f>
        <v>OK</v>
      </c>
      <c r="E23" s="89" t="str">
        <f>'Runs Z-Score'!E16</f>
        <v>NONE</v>
      </c>
      <c r="F23" s="89">
        <f>'Runs Z-Score'!F16</f>
        <v>9.92</v>
      </c>
      <c r="G23" s="89">
        <f t="shared" si="0"/>
        <v>10.89</v>
      </c>
      <c r="H23" s="89">
        <f>VLOOKUP(C23,Recipes!$A$2:$N$4,10,FALSE())</f>
        <v>10.940000000000001</v>
      </c>
      <c r="I23" s="89">
        <f>VLOOKUP(C23,Recipes!$A$2:$N$4,12,FALSE())</f>
        <v>5.2703573566378441E-2</v>
      </c>
      <c r="J23" s="89">
        <f t="shared" si="2"/>
        <v>5.0000000000000711E-2</v>
      </c>
      <c r="K23" s="89">
        <f>IF(G23="","",-0.5*((J23-Components!$C$2)/Components!$D$2)^2)</f>
        <v>-83657.4956140383</v>
      </c>
      <c r="L23" s="89">
        <f>IF(G23="","",-0.5*((J23-Components!$C$3)/Components!$D$3)^2)</f>
        <v>-41735.297463769137</v>
      </c>
      <c r="M23" s="89">
        <f>IF(G23="","",-0.5*((J23-Components!$C$4)/Components!$D$4)^2)</f>
        <v>-2277.0401960784329</v>
      </c>
      <c r="N23" s="89">
        <f>IF(G23="","",-0.5*((J23-Components!$C$5)/Components!$D$5)^2)</f>
        <v>-16059.481133671641</v>
      </c>
      <c r="O23" s="89">
        <f>IF(G23="","",-0.5*((J23-Components!$C$6)/Components!$D$6)^2)</f>
        <v>-800.76339155750406</v>
      </c>
      <c r="P23" s="89">
        <f>IF(G23="","",-0.5*((J23-Components!$C$7)/Components!$D$7)^2)</f>
        <v>-1386.8906895715902</v>
      </c>
      <c r="Q23" s="89">
        <f t="shared" si="3"/>
        <v>1</v>
      </c>
      <c r="R23" s="89">
        <f t="shared" si="4"/>
        <v>2.8063948816917471E-255</v>
      </c>
      <c r="S23" s="89">
        <f t="shared" si="5"/>
        <v>1</v>
      </c>
      <c r="T23" s="89" t="str">
        <f t="shared" si="6"/>
        <v>OK</v>
      </c>
      <c r="U23" s="117">
        <f t="shared" si="7"/>
        <v>1</v>
      </c>
      <c r="V23" s="89" t="str">
        <f>IF(G23="","",IF(T23="OK","NONE",INDEX({"S1","S2","W1","W2","N1","N2"},MATCH(MAX(K23:P23),K23:P23,0))))</f>
        <v>NONE</v>
      </c>
      <c r="W23" s="117">
        <f t="shared" si="8"/>
        <v>1</v>
      </c>
      <c r="X23" s="114" t="str">
        <f t="shared" si="9"/>
        <v>CONFIDENT</v>
      </c>
      <c r="Y23" s="107"/>
    </row>
    <row r="24" spans="1:25">
      <c r="A24" s="115">
        <v>15</v>
      </c>
      <c r="B24" s="135">
        <f>'Runs Z-Score'!B17</f>
        <v>1</v>
      </c>
      <c r="C24" s="89" t="str">
        <f>'Runs Z-Score'!C17</f>
        <v>R3</v>
      </c>
      <c r="D24" s="89" t="str">
        <f>'Runs Z-Score'!D17</f>
        <v>OK</v>
      </c>
      <c r="E24" s="89" t="str">
        <f>'Runs Z-Score'!E17</f>
        <v>NONE</v>
      </c>
      <c r="F24" s="89">
        <f>'Runs Z-Score'!F17</f>
        <v>9.94</v>
      </c>
      <c r="G24" s="89">
        <f t="shared" si="0"/>
        <v>10.91</v>
      </c>
      <c r="H24" s="89">
        <f>VLOOKUP(C24,Recipes!$A$2:$N$4,10,FALSE())</f>
        <v>10.940000000000001</v>
      </c>
      <c r="I24" s="89">
        <f>VLOOKUP(C24,Recipes!$A$2:$N$4,12,FALSE())</f>
        <v>5.2703573566378441E-2</v>
      </c>
      <c r="J24" s="89">
        <f t="shared" si="2"/>
        <v>3.0000000000001137E-2</v>
      </c>
      <c r="K24" s="89">
        <f>IF(G24="","",-0.5*((J24-Components!$C$2)/Components!$D$2)^2)</f>
        <v>-84899.916666669887</v>
      </c>
      <c r="L24" s="89">
        <f>IF(G24="","",-0.5*((J24-Components!$C$3)/Components!$D$3)^2)</f>
        <v>-42155.167028986536</v>
      </c>
      <c r="M24" s="89">
        <f>IF(G24="","",-0.5*((J24-Components!$C$4)/Components!$D$4)^2)</f>
        <v>-2374.6166666666663</v>
      </c>
      <c r="N24" s="89">
        <f>IF(G24="","",-0.5*((J24-Components!$C$5)/Components!$D$5)^2)</f>
        <v>-16202.14683345409</v>
      </c>
      <c r="O24" s="89">
        <f>IF(G24="","",-0.5*((J24-Components!$C$6)/Components!$D$6)^2)</f>
        <v>-829.9948326055387</v>
      </c>
      <c r="P24" s="89">
        <f>IF(G24="","",-0.5*((J24-Components!$C$7)/Components!$D$7)^2)</f>
        <v>-1429.0964703387226</v>
      </c>
      <c r="Q24" s="89">
        <f t="shared" si="3"/>
        <v>1</v>
      </c>
      <c r="R24" s="89">
        <f t="shared" si="4"/>
        <v>6.5082560877135595E-261</v>
      </c>
      <c r="S24" s="89">
        <f t="shared" si="5"/>
        <v>1</v>
      </c>
      <c r="T24" s="89" t="str">
        <f t="shared" si="6"/>
        <v>OK</v>
      </c>
      <c r="U24" s="117">
        <f t="shared" si="7"/>
        <v>1</v>
      </c>
      <c r="V24" s="89" t="str">
        <f>IF(G24="","",IF(T24="OK","NONE",INDEX({"S1","S2","W1","W2","N1","N2"},MATCH(MAX(K24:P24),K24:P24,0))))</f>
        <v>NONE</v>
      </c>
      <c r="W24" s="117">
        <f t="shared" si="8"/>
        <v>1</v>
      </c>
      <c r="X24" s="114" t="str">
        <f t="shared" si="9"/>
        <v>CONFIDENT</v>
      </c>
      <c r="Y24" s="107"/>
    </row>
    <row r="25" spans="1:25">
      <c r="A25" s="115">
        <v>16</v>
      </c>
      <c r="B25" s="135">
        <f>'Runs Z-Score'!B18</f>
        <v>1</v>
      </c>
      <c r="C25" s="89" t="str">
        <f>'Runs Z-Score'!C18</f>
        <v>R3</v>
      </c>
      <c r="D25" s="89" t="str">
        <f>'Runs Z-Score'!D18</f>
        <v>OK</v>
      </c>
      <c r="E25" s="89" t="str">
        <f>'Runs Z-Score'!E18</f>
        <v>NONE</v>
      </c>
      <c r="F25" s="89">
        <f>'Runs Z-Score'!F18</f>
        <v>9.92</v>
      </c>
      <c r="G25" s="89">
        <f t="shared" si="0"/>
        <v>10.89</v>
      </c>
      <c r="H25" s="89">
        <f>VLOOKUP(C25,Recipes!$A$2:$N$4,10,FALSE())</f>
        <v>10.940000000000001</v>
      </c>
      <c r="I25" s="89">
        <f>VLOOKUP(C25,Recipes!$A$2:$N$4,12,FALSE())</f>
        <v>5.2703573566378441E-2</v>
      </c>
      <c r="J25" s="89">
        <f t="shared" si="2"/>
        <v>5.0000000000000711E-2</v>
      </c>
      <c r="K25" s="89">
        <f>IF(G25="","",-0.5*((J25-Components!$C$2)/Components!$D$2)^2)</f>
        <v>-83657.4956140383</v>
      </c>
      <c r="L25" s="89">
        <f>IF(G25="","",-0.5*((J25-Components!$C$3)/Components!$D$3)^2)</f>
        <v>-41735.297463769137</v>
      </c>
      <c r="M25" s="89">
        <f>IF(G25="","",-0.5*((J25-Components!$C$4)/Components!$D$4)^2)</f>
        <v>-2277.0401960784329</v>
      </c>
      <c r="N25" s="89">
        <f>IF(G25="","",-0.5*((J25-Components!$C$5)/Components!$D$5)^2)</f>
        <v>-16059.481133671641</v>
      </c>
      <c r="O25" s="89">
        <f>IF(G25="","",-0.5*((J25-Components!$C$6)/Components!$D$6)^2)</f>
        <v>-800.76339155750406</v>
      </c>
      <c r="P25" s="89">
        <f>IF(G25="","",-0.5*((J25-Components!$C$7)/Components!$D$7)^2)</f>
        <v>-1386.8906895715902</v>
      </c>
      <c r="Q25" s="89">
        <f t="shared" si="3"/>
        <v>1</v>
      </c>
      <c r="R25" s="89">
        <f t="shared" si="4"/>
        <v>2.8063948816917471E-255</v>
      </c>
      <c r="S25" s="89">
        <f t="shared" si="5"/>
        <v>1</v>
      </c>
      <c r="T25" s="89" t="str">
        <f t="shared" si="6"/>
        <v>OK</v>
      </c>
      <c r="U25" s="117">
        <f t="shared" si="7"/>
        <v>1</v>
      </c>
      <c r="V25" s="89" t="str">
        <f>IF(G25="","",IF(T25="OK","NONE",INDEX({"S1","S2","W1","W2","N1","N2"},MATCH(MAX(K25:P25),K25:P25,0))))</f>
        <v>NONE</v>
      </c>
      <c r="W25" s="117">
        <f t="shared" si="8"/>
        <v>1</v>
      </c>
      <c r="X25" s="114" t="str">
        <f t="shared" si="9"/>
        <v>CONFIDENT</v>
      </c>
      <c r="Y25" s="107"/>
    </row>
    <row r="26" spans="1:25">
      <c r="A26" s="115">
        <v>17</v>
      </c>
      <c r="B26" s="135">
        <f>'Runs Z-Score'!B19</f>
        <v>1</v>
      </c>
      <c r="C26" s="89" t="str">
        <f>'Runs Z-Score'!C19</f>
        <v>R3</v>
      </c>
      <c r="D26" s="89" t="str">
        <f>'Runs Z-Score'!D19</f>
        <v>OK</v>
      </c>
      <c r="E26" s="89" t="str">
        <f>'Runs Z-Score'!E19</f>
        <v>NONE</v>
      </c>
      <c r="F26" s="89">
        <f>'Runs Z-Score'!F19</f>
        <v>9.89</v>
      </c>
      <c r="G26" s="89">
        <f t="shared" si="0"/>
        <v>10.860000000000001</v>
      </c>
      <c r="H26" s="89">
        <f>VLOOKUP(C26,Recipes!$A$2:$N$4,10,FALSE())</f>
        <v>10.940000000000001</v>
      </c>
      <c r="I26" s="89">
        <f>VLOOKUP(C26,Recipes!$A$2:$N$4,12,FALSE())</f>
        <v>5.2703573566378441E-2</v>
      </c>
      <c r="J26" s="89">
        <f t="shared" si="2"/>
        <v>8.0000000000000071E-2</v>
      </c>
      <c r="K26" s="89">
        <f>IF(G26="","",-0.5*((J26-Components!$C$2)/Components!$D$2)^2)</f>
        <v>-81811.035087722456</v>
      </c>
      <c r="L26" s="89">
        <f>IF(G26="","",-0.5*((J26-Components!$C$3)/Components!$D$3)^2)</f>
        <v>-41109.43333333436</v>
      </c>
      <c r="M26" s="89">
        <f>IF(G26="","",-0.5*((J26-Components!$C$4)/Components!$D$4)^2)</f>
        <v>-2134.5137254902002</v>
      </c>
      <c r="N26" s="89">
        <f>IF(G26="","",-0.5*((J26-Components!$C$5)/Components!$D$5)^2)</f>
        <v>-15846.665506405512</v>
      </c>
      <c r="O26" s="89">
        <f>IF(G26="","",-0.5*((J26-Components!$C$6)/Components!$D$6)^2)</f>
        <v>-757.89876273654397</v>
      </c>
      <c r="P26" s="89">
        <f>IF(G26="","",-0.5*((J26-Components!$C$7)/Components!$D$7)^2)</f>
        <v>-1324.7681663939875</v>
      </c>
      <c r="Q26" s="89">
        <f t="shared" si="3"/>
        <v>1</v>
      </c>
      <c r="R26" s="89">
        <f t="shared" si="4"/>
        <v>6.4825523376803891E-247</v>
      </c>
      <c r="S26" s="89">
        <f t="shared" si="5"/>
        <v>1</v>
      </c>
      <c r="T26" s="89" t="str">
        <f t="shared" si="6"/>
        <v>OK</v>
      </c>
      <c r="U26" s="117">
        <f t="shared" si="7"/>
        <v>1</v>
      </c>
      <c r="V26" s="89" t="str">
        <f>IF(G26="","",IF(T26="OK","NONE",INDEX({"S1","S2","W1","W2","N1","N2"},MATCH(MAX(K26:P26),K26:P26,0))))</f>
        <v>NONE</v>
      </c>
      <c r="W26" s="117">
        <f t="shared" si="8"/>
        <v>1</v>
      </c>
      <c r="X26" s="114" t="str">
        <f t="shared" si="9"/>
        <v>CONFIDENT</v>
      </c>
      <c r="Y26" s="107"/>
    </row>
    <row r="27" spans="1:25">
      <c r="A27" s="115">
        <v>18</v>
      </c>
      <c r="B27" s="135">
        <f>'Runs Z-Score'!B20</f>
        <v>1</v>
      </c>
      <c r="C27" s="89" t="str">
        <f>'Runs Z-Score'!C20</f>
        <v>R3</v>
      </c>
      <c r="D27" s="89" t="str">
        <f>'Runs Z-Score'!D20</f>
        <v>OK</v>
      </c>
      <c r="E27" s="89" t="str">
        <f>'Runs Z-Score'!E20</f>
        <v>NONE</v>
      </c>
      <c r="F27" s="89">
        <f>'Runs Z-Score'!F20</f>
        <v>9.92</v>
      </c>
      <c r="G27" s="89">
        <f t="shared" si="0"/>
        <v>10.89</v>
      </c>
      <c r="H27" s="89">
        <f>VLOOKUP(C27,Recipes!$A$2:$N$4,10,FALSE())</f>
        <v>10.940000000000001</v>
      </c>
      <c r="I27" s="89">
        <f>VLOOKUP(C27,Recipes!$A$2:$N$4,12,FALSE())</f>
        <v>5.2703573566378441E-2</v>
      </c>
      <c r="J27" s="89">
        <f t="shared" si="2"/>
        <v>5.0000000000000711E-2</v>
      </c>
      <c r="K27" s="89">
        <f>IF(G27="","",-0.5*((J27-Components!$C$2)/Components!$D$2)^2)</f>
        <v>-83657.4956140383</v>
      </c>
      <c r="L27" s="89">
        <f>IF(G27="","",-0.5*((J27-Components!$C$3)/Components!$D$3)^2)</f>
        <v>-41735.297463769137</v>
      </c>
      <c r="M27" s="89">
        <f>IF(G27="","",-0.5*((J27-Components!$C$4)/Components!$D$4)^2)</f>
        <v>-2277.0401960784329</v>
      </c>
      <c r="N27" s="89">
        <f>IF(G27="","",-0.5*((J27-Components!$C$5)/Components!$D$5)^2)</f>
        <v>-16059.481133671641</v>
      </c>
      <c r="O27" s="89">
        <f>IF(G27="","",-0.5*((J27-Components!$C$6)/Components!$D$6)^2)</f>
        <v>-800.76339155750406</v>
      </c>
      <c r="P27" s="89">
        <f>IF(G27="","",-0.5*((J27-Components!$C$7)/Components!$D$7)^2)</f>
        <v>-1386.8906895715902</v>
      </c>
      <c r="Q27" s="89">
        <f t="shared" si="3"/>
        <v>1</v>
      </c>
      <c r="R27" s="89">
        <f t="shared" si="4"/>
        <v>2.8063948816917471E-255</v>
      </c>
      <c r="S27" s="89">
        <f t="shared" si="5"/>
        <v>1</v>
      </c>
      <c r="T27" s="89" t="str">
        <f t="shared" si="6"/>
        <v>OK</v>
      </c>
      <c r="U27" s="117">
        <f t="shared" si="7"/>
        <v>1</v>
      </c>
      <c r="V27" s="89" t="str">
        <f>IF(G27="","",IF(T27="OK","NONE",INDEX({"S1","S2","W1","W2","N1","N2"},MATCH(MAX(K27:P27),K27:P27,0))))</f>
        <v>NONE</v>
      </c>
      <c r="W27" s="117">
        <f t="shared" si="8"/>
        <v>1</v>
      </c>
      <c r="X27" s="114" t="str">
        <f t="shared" si="9"/>
        <v>CONFIDENT</v>
      </c>
      <c r="Y27" s="107"/>
    </row>
    <row r="28" spans="1:25">
      <c r="A28" s="115">
        <v>19</v>
      </c>
      <c r="B28" s="135">
        <f>'Runs Z-Score'!B21</f>
        <v>1</v>
      </c>
      <c r="C28" s="89" t="str">
        <f>'Runs Z-Score'!C21</f>
        <v>R3</v>
      </c>
      <c r="D28" s="89" t="str">
        <f>'Runs Z-Score'!D21</f>
        <v>OK</v>
      </c>
      <c r="E28" s="89" t="str">
        <f>'Runs Z-Score'!E21</f>
        <v>NONE</v>
      </c>
      <c r="F28" s="89">
        <f>'Runs Z-Score'!F21</f>
        <v>9.9499999999999993</v>
      </c>
      <c r="G28" s="89">
        <f t="shared" si="0"/>
        <v>10.92</v>
      </c>
      <c r="H28" s="89">
        <f>VLOOKUP(C28,Recipes!$A$2:$N$4,10,FALSE())</f>
        <v>10.940000000000001</v>
      </c>
      <c r="I28" s="89">
        <f>VLOOKUP(C28,Recipes!$A$2:$N$4,12,FALSE())</f>
        <v>5.2703573566378441E-2</v>
      </c>
      <c r="J28" s="89">
        <f t="shared" si="2"/>
        <v>2.000000000000135E-2</v>
      </c>
      <c r="K28" s="89">
        <f>IF(G28="","",-0.5*((J28-Components!$C$2)/Components!$D$2)^2)</f>
        <v>-85524.561403512009</v>
      </c>
      <c r="L28" s="89">
        <f>IF(G28="","",-0.5*((J28-Components!$C$3)/Components!$D$3)^2)</f>
        <v>-42365.889855073496</v>
      </c>
      <c r="M28" s="89">
        <f>IF(G28="","",-0.5*((J28-Components!$C$4)/Components!$D$4)^2)</f>
        <v>-2424.1725490196059</v>
      </c>
      <c r="N28" s="89">
        <f>IF(G28="","",-0.5*((J28-Components!$C$5)/Components!$D$5)^2)</f>
        <v>-16273.716267826823</v>
      </c>
      <c r="O28" s="89">
        <f>IF(G28="","",-0.5*((J28-Components!$C$6)/Components!$D$6)^2)</f>
        <v>-844.80705967977417</v>
      </c>
      <c r="P28" s="89">
        <f>IF(G28="","",-0.5*((J28-Components!$C$7)/Components!$D$7)^2)</f>
        <v>-1450.436590316908</v>
      </c>
      <c r="Q28" s="89">
        <f t="shared" si="3"/>
        <v>1</v>
      </c>
      <c r="R28" s="89">
        <f t="shared" si="4"/>
        <v>9.51561290511553E-264</v>
      </c>
      <c r="S28" s="89">
        <f t="shared" si="5"/>
        <v>1</v>
      </c>
      <c r="T28" s="89" t="str">
        <f t="shared" si="6"/>
        <v>OK</v>
      </c>
      <c r="U28" s="117">
        <f t="shared" si="7"/>
        <v>1</v>
      </c>
      <c r="V28" s="89" t="str">
        <f>IF(G28="","",IF(T28="OK","NONE",INDEX({"S1","S2","W1","W2","N1","N2"},MATCH(MAX(K28:P28),K28:P28,0))))</f>
        <v>NONE</v>
      </c>
      <c r="W28" s="117">
        <f t="shared" si="8"/>
        <v>1</v>
      </c>
      <c r="X28" s="114" t="str">
        <f t="shared" si="9"/>
        <v>CONFIDENT</v>
      </c>
      <c r="Y28" s="107"/>
    </row>
    <row r="29" spans="1:25">
      <c r="A29" s="115">
        <v>20</v>
      </c>
      <c r="B29" s="135">
        <f>'Runs Z-Score'!B22</f>
        <v>1</v>
      </c>
      <c r="C29" s="89" t="str">
        <f>'Runs Z-Score'!C22</f>
        <v>R3</v>
      </c>
      <c r="D29" s="89" t="str">
        <f>'Runs Z-Score'!D22</f>
        <v>OK</v>
      </c>
      <c r="E29" s="89" t="str">
        <f>'Runs Z-Score'!E22</f>
        <v>NONE</v>
      </c>
      <c r="F29" s="89">
        <f>'Runs Z-Score'!F22</f>
        <v>9.98</v>
      </c>
      <c r="G29" s="89">
        <f t="shared" si="0"/>
        <v>10.950000000000001</v>
      </c>
      <c r="H29" s="89">
        <f>VLOOKUP(C29,Recipes!$A$2:$N$4,10,FALSE())</f>
        <v>10.940000000000001</v>
      </c>
      <c r="I29" s="89">
        <f>VLOOKUP(C29,Recipes!$A$2:$N$4,12,FALSE())</f>
        <v>5.2703573566378441E-2</v>
      </c>
      <c r="J29" s="89">
        <f t="shared" si="2"/>
        <v>-9.9999999999997868E-3</v>
      </c>
      <c r="K29" s="89">
        <f>IF(G29="","",-0.5*((J29-Components!$C$2)/Components!$D$2)^2)</f>
        <v>-87412.232456143727</v>
      </c>
      <c r="L29" s="89">
        <f>IF(G29="","",-0.5*((J29-Components!$C$3)/Components!$D$3)^2)</f>
        <v>-43001.210507247451</v>
      </c>
      <c r="M29" s="89">
        <f>IF(G29="","",-0.5*((J29-Components!$C$4)/Components!$D$4)^2)</f>
        <v>-2575.9107843137303</v>
      </c>
      <c r="N29" s="89">
        <f>IF(G29="","",-0.5*((J29-Components!$C$5)/Components!$D$5)^2)</f>
        <v>-16489.37090887106</v>
      </c>
      <c r="O29" s="89">
        <f>IF(G29="","",-0.5*((J29-Components!$C$6)/Components!$D$6)^2)</f>
        <v>-890.02976710335702</v>
      </c>
      <c r="P29" s="89">
        <f>IF(G29="","",-0.5*((J29-Components!$C$7)/Components!$D$7)^2)</f>
        <v>-1515.4058686299443</v>
      </c>
      <c r="Q29" s="89">
        <f t="shared" si="3"/>
        <v>1</v>
      </c>
      <c r="R29" s="89">
        <f t="shared" si="4"/>
        <v>2.5270276439824205E-272</v>
      </c>
      <c r="S29" s="89">
        <f t="shared" si="5"/>
        <v>1</v>
      </c>
      <c r="T29" s="89" t="str">
        <f t="shared" si="6"/>
        <v>OK</v>
      </c>
      <c r="U29" s="117">
        <f t="shared" si="7"/>
        <v>1</v>
      </c>
      <c r="V29" s="89" t="str">
        <f>IF(G29="","",IF(T29="OK","NONE",INDEX({"S1","S2","W1","W2","N1","N2"},MATCH(MAX(K29:P29),K29:P29,0))))</f>
        <v>NONE</v>
      </c>
      <c r="W29" s="117">
        <f t="shared" si="8"/>
        <v>1</v>
      </c>
      <c r="X29" s="114" t="str">
        <f t="shared" si="9"/>
        <v>CONFIDENT</v>
      </c>
      <c r="Y29" s="107"/>
    </row>
    <row r="30" spans="1:25">
      <c r="A30" s="115">
        <v>21</v>
      </c>
      <c r="B30" s="135">
        <f>'Runs Z-Score'!B23</f>
        <v>1</v>
      </c>
      <c r="C30" s="89" t="str">
        <f>'Runs Z-Score'!C23</f>
        <v>R3</v>
      </c>
      <c r="D30" s="89" t="str">
        <f>'Runs Z-Score'!D23</f>
        <v>OK</v>
      </c>
      <c r="E30" s="89" t="str">
        <f>'Runs Z-Score'!E23</f>
        <v>NONE</v>
      </c>
      <c r="F30" s="89">
        <f>'Runs Z-Score'!F23</f>
        <v>9.99</v>
      </c>
      <c r="G30" s="89">
        <f t="shared" si="0"/>
        <v>10.96</v>
      </c>
      <c r="H30" s="89">
        <f>VLOOKUP(C30,Recipes!$A$2:$N$4,10,FALSE())</f>
        <v>10.940000000000001</v>
      </c>
      <c r="I30" s="89">
        <f>VLOOKUP(C30,Recipes!$A$2:$N$4,12,FALSE())</f>
        <v>5.2703573566378441E-2</v>
      </c>
      <c r="J30" s="89">
        <f t="shared" si="2"/>
        <v>-1.9999999999999574E-2</v>
      </c>
      <c r="K30" s="89">
        <f>IF(G30="","",-0.5*((J30-Components!$C$2)/Components!$D$2)^2)</f>
        <v>-88046.035087722703</v>
      </c>
      <c r="L30" s="89">
        <f>IF(G30="","",-0.5*((J30-Components!$C$3)/Components!$D$3)^2)</f>
        <v>-43214.034782609771</v>
      </c>
      <c r="M30" s="89">
        <f>IF(G30="","",-0.5*((J30-Components!$C$4)/Components!$D$4)^2)</f>
        <v>-2627.5137254901992</v>
      </c>
      <c r="N30" s="89">
        <f>IF(G30="","",-0.5*((J30-Components!$C$5)/Components!$D$5)^2)</f>
        <v>-16561.571235194482</v>
      </c>
      <c r="O30" s="89">
        <f>IF(G30="","",-0.5*((J30-Components!$C$6)/Components!$D$6)^2)</f>
        <v>-905.36601164484171</v>
      </c>
      <c r="P30" s="89">
        <f>IF(G30="","",-0.5*((J30-Components!$C$7)/Components!$D$7)^2)</f>
        <v>-1537.3786008604472</v>
      </c>
      <c r="Q30" s="89">
        <f t="shared" si="3"/>
        <v>1</v>
      </c>
      <c r="R30" s="89">
        <f t="shared" si="4"/>
        <v>3.3145151640634667E-275</v>
      </c>
      <c r="S30" s="89">
        <f t="shared" si="5"/>
        <v>1</v>
      </c>
      <c r="T30" s="89" t="str">
        <f t="shared" si="6"/>
        <v>OK</v>
      </c>
      <c r="U30" s="117">
        <f t="shared" si="7"/>
        <v>1</v>
      </c>
      <c r="V30" s="89" t="str">
        <f>IF(G30="","",IF(T30="OK","NONE",INDEX({"S1","S2","W1","W2","N1","N2"},MATCH(MAX(K30:P30),K30:P30,0))))</f>
        <v>NONE</v>
      </c>
      <c r="W30" s="117">
        <f t="shared" si="8"/>
        <v>1</v>
      </c>
      <c r="X30" s="114" t="str">
        <f t="shared" si="9"/>
        <v>CONFIDENT</v>
      </c>
      <c r="Y30" s="107"/>
    </row>
    <row r="31" spans="1:25">
      <c r="A31" s="115">
        <v>22</v>
      </c>
      <c r="B31" s="135">
        <f>'Runs Z-Score'!B24</f>
        <v>1</v>
      </c>
      <c r="C31" s="89" t="str">
        <f>'Runs Z-Score'!C24</f>
        <v>R3</v>
      </c>
      <c r="D31" s="89" t="str">
        <f>'Runs Z-Score'!D24</f>
        <v>OK</v>
      </c>
      <c r="E31" s="89" t="str">
        <f>'Runs Z-Score'!E24</f>
        <v>NONE</v>
      </c>
      <c r="F31" s="89">
        <f>'Runs Z-Score'!F24</f>
        <v>9.9</v>
      </c>
      <c r="G31" s="89">
        <f t="shared" si="0"/>
        <v>10.870000000000001</v>
      </c>
      <c r="H31" s="89">
        <f>VLOOKUP(C31,Recipes!$A$2:$N$4,10,FALSE())</f>
        <v>10.940000000000001</v>
      </c>
      <c r="I31" s="89">
        <f>VLOOKUP(C31,Recipes!$A$2:$N$4,12,FALSE())</f>
        <v>5.2703573566378441E-2</v>
      </c>
      <c r="J31" s="89">
        <f t="shared" si="2"/>
        <v>7.0000000000000284E-2</v>
      </c>
      <c r="K31" s="89">
        <f>IF(G31="","",-0.5*((J31-Components!$C$2)/Components!$D$2)^2)</f>
        <v>-82424.232456143523</v>
      </c>
      <c r="L31" s="89">
        <f>IF(G31="","",-0.5*((J31-Components!$C$3)/Components!$D$3)^2)</f>
        <v>-41317.52934782712</v>
      </c>
      <c r="M31" s="89">
        <f>IF(G31="","",-0.5*((J31-Components!$C$4)/Components!$D$4)^2)</f>
        <v>-2181.5107843137289</v>
      </c>
      <c r="N31" s="89">
        <f>IF(G31="","",-0.5*((J31-Components!$C$5)/Components!$D$5)^2)</f>
        <v>-15917.446325839885</v>
      </c>
      <c r="O31" s="89">
        <f>IF(G31="","",-0.5*((J31-Components!$C$6)/Components!$D$6)^2)</f>
        <v>-772.05596797671831</v>
      </c>
      <c r="P31" s="89">
        <f>IF(G31="","",-0.5*((J31-Components!$C$7)/Components!$D$7)^2)</f>
        <v>-1345.3175210567756</v>
      </c>
      <c r="Q31" s="89">
        <f t="shared" si="3"/>
        <v>1</v>
      </c>
      <c r="R31" s="89">
        <f t="shared" si="4"/>
        <v>1.0856024381751793E-249</v>
      </c>
      <c r="S31" s="89">
        <f t="shared" si="5"/>
        <v>1</v>
      </c>
      <c r="T31" s="89" t="str">
        <f t="shared" si="6"/>
        <v>OK</v>
      </c>
      <c r="U31" s="117">
        <f t="shared" si="7"/>
        <v>1</v>
      </c>
      <c r="V31" s="89" t="str">
        <f>IF(G31="","",IF(T31="OK","NONE",INDEX({"S1","S2","W1","W2","N1","N2"},MATCH(MAX(K31:P31),K31:P31,0))))</f>
        <v>NONE</v>
      </c>
      <c r="W31" s="117">
        <f t="shared" si="8"/>
        <v>1</v>
      </c>
      <c r="X31" s="114" t="str">
        <f t="shared" si="9"/>
        <v>CONFIDENT</v>
      </c>
      <c r="Y31" s="107"/>
    </row>
    <row r="32" spans="1:25">
      <c r="A32" s="115">
        <v>23</v>
      </c>
      <c r="B32" s="135">
        <f>'Runs Z-Score'!B25</f>
        <v>1</v>
      </c>
      <c r="C32" s="89" t="str">
        <f>'Runs Z-Score'!C25</f>
        <v>R3</v>
      </c>
      <c r="D32" s="89" t="str">
        <f>'Runs Z-Score'!D25</f>
        <v>OK</v>
      </c>
      <c r="E32" s="89" t="str">
        <f>'Runs Z-Score'!E25</f>
        <v>NONE</v>
      </c>
      <c r="F32" s="89">
        <f>'Runs Z-Score'!F25</f>
        <v>9.9700000000000006</v>
      </c>
      <c r="G32" s="89">
        <f t="shared" si="0"/>
        <v>10.940000000000001</v>
      </c>
      <c r="H32" s="89">
        <f>VLOOKUP(C32,Recipes!$A$2:$N$4,10,FALSE())</f>
        <v>10.940000000000001</v>
      </c>
      <c r="I32" s="89">
        <f>VLOOKUP(C32,Recipes!$A$2:$N$4,12,FALSE())</f>
        <v>5.2703573566378441E-2</v>
      </c>
      <c r="J32" s="89">
        <f t="shared" si="2"/>
        <v>0</v>
      </c>
      <c r="K32" s="89">
        <f>IF(G32="","",-0.5*((J32-Components!$C$2)/Components!$D$2)^2)</f>
        <v>-86780.71929824898</v>
      </c>
      <c r="L32" s="89">
        <f>IF(G32="","",-0.5*((J32-Components!$C$3)/Components!$D$3)^2)</f>
        <v>-42788.911594203972</v>
      </c>
      <c r="M32" s="89">
        <f>IF(G32="","",-0.5*((J32-Components!$C$4)/Components!$D$4)^2)</f>
        <v>-2524.8196078431424</v>
      </c>
      <c r="N32" s="89">
        <f>IF(G32="","",-0.5*((J32-Components!$C$5)/Components!$D$5)^2)</f>
        <v>-16417.328305535317</v>
      </c>
      <c r="O32" s="89">
        <f>IF(G32="","",-0.5*((J32-Components!$C$6)/Components!$D$6)^2)</f>
        <v>-874.8245269286848</v>
      </c>
      <c r="P32" s="89">
        <f>IF(G32="","",-0.5*((J32-Components!$C$7)/Components!$D$7)^2)</f>
        <v>-1493.5912894625205</v>
      </c>
      <c r="Q32" s="89">
        <f t="shared" si="3"/>
        <v>1</v>
      </c>
      <c r="R32" s="89">
        <f t="shared" si="4"/>
        <v>1.8750352918449774E-269</v>
      </c>
      <c r="S32" s="89">
        <f t="shared" si="5"/>
        <v>1</v>
      </c>
      <c r="T32" s="89" t="str">
        <f t="shared" si="6"/>
        <v>OK</v>
      </c>
      <c r="U32" s="117">
        <f t="shared" si="7"/>
        <v>1</v>
      </c>
      <c r="V32" s="89" t="str">
        <f>IF(G32="","",IF(T32="OK","NONE",INDEX({"S1","S2","W1","W2","N1","N2"},MATCH(MAX(K32:P32),K32:P32,0))))</f>
        <v>NONE</v>
      </c>
      <c r="W32" s="117">
        <f t="shared" si="8"/>
        <v>1</v>
      </c>
      <c r="X32" s="114" t="str">
        <f t="shared" si="9"/>
        <v>CONFIDENT</v>
      </c>
      <c r="Y32" s="107"/>
    </row>
    <row r="33" spans="1:25">
      <c r="A33" s="115">
        <v>24</v>
      </c>
      <c r="B33" s="135">
        <f>'Runs Z-Score'!B26</f>
        <v>1</v>
      </c>
      <c r="C33" s="89" t="str">
        <f>'Runs Z-Score'!C26</f>
        <v>R3</v>
      </c>
      <c r="D33" s="89" t="str">
        <f>'Runs Z-Score'!D26</f>
        <v>OK</v>
      </c>
      <c r="E33" s="89" t="str">
        <f>'Runs Z-Score'!E26</f>
        <v>NONE</v>
      </c>
      <c r="F33" s="89">
        <f>'Runs Z-Score'!F26</f>
        <v>10.02</v>
      </c>
      <c r="G33" s="89">
        <f t="shared" si="0"/>
        <v>10.99</v>
      </c>
      <c r="H33" s="89">
        <f>VLOOKUP(C33,Recipes!$A$2:$N$4,10,FALSE())</f>
        <v>10.940000000000001</v>
      </c>
      <c r="I33" s="89">
        <f>VLOOKUP(C33,Recipes!$A$2:$N$4,12,FALSE())</f>
        <v>5.2703573566378441E-2</v>
      </c>
      <c r="J33" s="89">
        <f t="shared" si="2"/>
        <v>-4.9999999999998934E-2</v>
      </c>
      <c r="K33" s="89">
        <f>IF(G33="","",-0.5*((J33-Components!$C$2)/Components!$D$2)^2)</f>
        <v>-89961.179824564824</v>
      </c>
      <c r="L33" s="89">
        <f>IF(G33="","",-0.5*((J33-Components!$C$3)/Components!$D$3)^2)</f>
        <v>-43855.659782609764</v>
      </c>
      <c r="M33" s="89">
        <f>IF(G33="","",-0.5*((J33-Components!$C$4)/Components!$D$4)^2)</f>
        <v>-2785.3931372549027</v>
      </c>
      <c r="N33" s="89">
        <f>IF(G33="","",-0.5*((J33-Components!$C$5)/Components!$D$5)^2)</f>
        <v>-16779.118552090778</v>
      </c>
      <c r="O33" s="89">
        <f>IF(G33="","",-0.5*((J33-Components!$C$6)/Components!$D$6)^2)</f>
        <v>-952.16077147016847</v>
      </c>
      <c r="P33" s="89">
        <f>IF(G33="","",-0.5*((J33-Components!$C$7)/Components!$D$7)^2)</f>
        <v>-1604.2457159304331</v>
      </c>
      <c r="Q33" s="89">
        <f t="shared" si="3"/>
        <v>1</v>
      </c>
      <c r="R33" s="89">
        <f t="shared" si="4"/>
        <v>6.3548731898007815E-284</v>
      </c>
      <c r="S33" s="89">
        <f t="shared" si="5"/>
        <v>1</v>
      </c>
      <c r="T33" s="89" t="str">
        <f t="shared" si="6"/>
        <v>OK</v>
      </c>
      <c r="U33" s="117">
        <f t="shared" si="7"/>
        <v>1</v>
      </c>
      <c r="V33" s="89" t="str">
        <f>IF(G33="","",IF(T33="OK","NONE",INDEX({"S1","S2","W1","W2","N1","N2"},MATCH(MAX(K33:P33),K33:P33,0))))</f>
        <v>NONE</v>
      </c>
      <c r="W33" s="117">
        <f t="shared" si="8"/>
        <v>1</v>
      </c>
      <c r="X33" s="114" t="str">
        <f t="shared" si="9"/>
        <v>CONFIDENT</v>
      </c>
      <c r="Y33" s="107"/>
    </row>
    <row r="34" spans="1:25">
      <c r="A34" s="115">
        <v>25</v>
      </c>
      <c r="B34" s="135">
        <f>'Runs Z-Score'!B27</f>
        <v>1</v>
      </c>
      <c r="C34" s="89" t="str">
        <f>'Runs Z-Score'!C27</f>
        <v>R3</v>
      </c>
      <c r="D34" s="89" t="str">
        <f>'Runs Z-Score'!D27</f>
        <v>OK</v>
      </c>
      <c r="E34" s="89" t="str">
        <f>'Runs Z-Score'!E27</f>
        <v>NONE</v>
      </c>
      <c r="F34" s="89">
        <f>'Runs Z-Score'!F27</f>
        <v>10</v>
      </c>
      <c r="G34" s="89">
        <f t="shared" si="0"/>
        <v>10.97</v>
      </c>
      <c r="H34" s="89">
        <f>VLOOKUP(C34,Recipes!$A$2:$N$4,10,FALSE())</f>
        <v>10.940000000000001</v>
      </c>
      <c r="I34" s="89">
        <f>VLOOKUP(C34,Recipes!$A$2:$N$4,12,FALSE())</f>
        <v>5.2703573566378441E-2</v>
      </c>
      <c r="J34" s="89">
        <f t="shared" si="2"/>
        <v>-2.9999999999999361E-2</v>
      </c>
      <c r="K34" s="89">
        <f>IF(G34="","",-0.5*((J34-Components!$C$2)/Components!$D$2)^2)</f>
        <v>-88682.127192985878</v>
      </c>
      <c r="L34" s="89">
        <f>IF(G34="","",-0.5*((J34-Components!$C$3)/Components!$D$3)^2)</f>
        <v>-43427.384420290917</v>
      </c>
      <c r="M34" s="89">
        <f>IF(G34="","",-0.5*((J34-Components!$C$4)/Components!$D$4)^2)</f>
        <v>-2679.6284313725519</v>
      </c>
      <c r="N34" s="89">
        <f>IF(G34="","",-0.5*((J34-Components!$C$5)/Components!$D$5)^2)</f>
        <v>-16633.929284505579</v>
      </c>
      <c r="O34" s="89">
        <f>IF(G34="","",-0.5*((J34-Components!$C$6)/Components!$D$6)^2)</f>
        <v>-920.8332605531383</v>
      </c>
      <c r="P34" s="89">
        <f>IF(G34="","",-0.5*((J34-Components!$C$7)/Components!$D$7)^2)</f>
        <v>-1559.5094861540299</v>
      </c>
      <c r="Q34" s="89">
        <f t="shared" si="3"/>
        <v>1</v>
      </c>
      <c r="R34" s="89">
        <f t="shared" si="4"/>
        <v>4.2309656432143835E-278</v>
      </c>
      <c r="S34" s="89">
        <f t="shared" si="5"/>
        <v>1</v>
      </c>
      <c r="T34" s="89" t="str">
        <f t="shared" si="6"/>
        <v>OK</v>
      </c>
      <c r="U34" s="117">
        <f t="shared" si="7"/>
        <v>1</v>
      </c>
      <c r="V34" s="89" t="str">
        <f>IF(G34="","",IF(T34="OK","NONE",INDEX({"S1","S2","W1","W2","N1","N2"},MATCH(MAX(K34:P34),K34:P34,0))))</f>
        <v>NONE</v>
      </c>
      <c r="W34" s="117">
        <f t="shared" si="8"/>
        <v>1</v>
      </c>
      <c r="X34" s="114" t="str">
        <f t="shared" si="9"/>
        <v>CONFIDENT</v>
      </c>
      <c r="Y34" s="107"/>
    </row>
    <row r="35" spans="1:25">
      <c r="A35" s="115">
        <v>26</v>
      </c>
      <c r="B35" s="135">
        <f>'Runs Z-Score'!B28</f>
        <v>1</v>
      </c>
      <c r="C35" s="89" t="str">
        <f>'Runs Z-Score'!C28</f>
        <v>R3</v>
      </c>
      <c r="D35" s="89" t="str">
        <f>'Runs Z-Score'!D28</f>
        <v>OK</v>
      </c>
      <c r="E35" s="89" t="str">
        <f>'Runs Z-Score'!E28</f>
        <v>NONE</v>
      </c>
      <c r="F35" s="89">
        <f>'Runs Z-Score'!F28</f>
        <v>9.93</v>
      </c>
      <c r="G35" s="89">
        <f t="shared" si="0"/>
        <v>10.9</v>
      </c>
      <c r="H35" s="89">
        <f>VLOOKUP(C35,Recipes!$A$2:$N$4,10,FALSE())</f>
        <v>10.940000000000001</v>
      </c>
      <c r="I35" s="89">
        <f>VLOOKUP(C35,Recipes!$A$2:$N$4,12,FALSE())</f>
        <v>5.2703573566378441E-2</v>
      </c>
      <c r="J35" s="89">
        <f t="shared" si="2"/>
        <v>4.0000000000000924E-2</v>
      </c>
      <c r="K35" s="89">
        <f>IF(G35="","",-0.5*((J35-Components!$C$2)/Components!$D$2)^2)</f>
        <v>-84277.56140351198</v>
      </c>
      <c r="L35" s="89">
        <f>IF(G35="","",-0.5*((J35-Components!$C$3)/Components!$D$3)^2)</f>
        <v>-41944.969565218416</v>
      </c>
      <c r="M35" s="89">
        <f>IF(G35="","",-0.5*((J35-Components!$C$4)/Components!$D$4)^2)</f>
        <v>-2325.5725490196082</v>
      </c>
      <c r="N35" s="89">
        <f>IF(G35="","",-0.5*((J35-Components!$C$5)/Components!$D$5)^2)</f>
        <v>-16130.735122069029</v>
      </c>
      <c r="O35" s="89">
        <f>IF(G35="","",-0.5*((J35-Components!$C$6)/Components!$D$6)^2)</f>
        <v>-815.31360989811515</v>
      </c>
      <c r="P35" s="89">
        <f>IF(G35="","",-0.5*((J35-Components!$C$7)/Components!$D$7)^2)</f>
        <v>-1407.9145034236167</v>
      </c>
      <c r="Q35" s="89">
        <f t="shared" si="3"/>
        <v>1</v>
      </c>
      <c r="R35" s="89">
        <f t="shared" si="4"/>
        <v>4.3321348911515397E-258</v>
      </c>
      <c r="S35" s="89">
        <f t="shared" si="5"/>
        <v>1</v>
      </c>
      <c r="T35" s="89" t="str">
        <f t="shared" si="6"/>
        <v>OK</v>
      </c>
      <c r="U35" s="117">
        <f t="shared" si="7"/>
        <v>1</v>
      </c>
      <c r="V35" s="89" t="str">
        <f>IF(G35="","",IF(T35="OK","NONE",INDEX({"S1","S2","W1","W2","N1","N2"},MATCH(MAX(K35:P35),K35:P35,0))))</f>
        <v>NONE</v>
      </c>
      <c r="W35" s="117">
        <f t="shared" si="8"/>
        <v>1</v>
      </c>
      <c r="X35" s="114" t="str">
        <f t="shared" si="9"/>
        <v>CONFIDENT</v>
      </c>
      <c r="Y35" s="107"/>
    </row>
    <row r="36" spans="1:25">
      <c r="A36" s="115">
        <v>27</v>
      </c>
      <c r="B36" s="135">
        <f>'Runs Z-Score'!B29</f>
        <v>1</v>
      </c>
      <c r="C36" s="89" t="str">
        <f>'Runs Z-Score'!C29</f>
        <v>R3</v>
      </c>
      <c r="D36" s="89" t="str">
        <f>'Runs Z-Score'!D29</f>
        <v>OK</v>
      </c>
      <c r="E36" s="89" t="str">
        <f>'Runs Z-Score'!E29</f>
        <v>NONE</v>
      </c>
      <c r="F36" s="89">
        <f>'Runs Z-Score'!F29</f>
        <v>9.9700000000000006</v>
      </c>
      <c r="G36" s="89">
        <f t="shared" si="0"/>
        <v>10.940000000000001</v>
      </c>
      <c r="H36" s="89">
        <f>VLOOKUP(C36,Recipes!$A$2:$N$4,10,FALSE())</f>
        <v>10.940000000000001</v>
      </c>
      <c r="I36" s="89">
        <f>VLOOKUP(C36,Recipes!$A$2:$N$4,12,FALSE())</f>
        <v>5.2703573566378441E-2</v>
      </c>
      <c r="J36" s="89">
        <f t="shared" si="2"/>
        <v>0</v>
      </c>
      <c r="K36" s="89">
        <f>IF(G36="","",-0.5*((J36-Components!$C$2)/Components!$D$2)^2)</f>
        <v>-86780.71929824898</v>
      </c>
      <c r="L36" s="89">
        <f>IF(G36="","",-0.5*((J36-Components!$C$3)/Components!$D$3)^2)</f>
        <v>-42788.911594203972</v>
      </c>
      <c r="M36" s="89">
        <f>IF(G36="","",-0.5*((J36-Components!$C$4)/Components!$D$4)^2)</f>
        <v>-2524.8196078431424</v>
      </c>
      <c r="N36" s="89">
        <f>IF(G36="","",-0.5*((J36-Components!$C$5)/Components!$D$5)^2)</f>
        <v>-16417.328305535317</v>
      </c>
      <c r="O36" s="89">
        <f>IF(G36="","",-0.5*((J36-Components!$C$6)/Components!$D$6)^2)</f>
        <v>-874.8245269286848</v>
      </c>
      <c r="P36" s="89">
        <f>IF(G36="","",-0.5*((J36-Components!$C$7)/Components!$D$7)^2)</f>
        <v>-1493.5912894625205</v>
      </c>
      <c r="Q36" s="89">
        <f t="shared" si="3"/>
        <v>1</v>
      </c>
      <c r="R36" s="89">
        <f t="shared" si="4"/>
        <v>1.8750352918449774E-269</v>
      </c>
      <c r="S36" s="89">
        <f t="shared" si="5"/>
        <v>1</v>
      </c>
      <c r="T36" s="89" t="str">
        <f t="shared" si="6"/>
        <v>OK</v>
      </c>
      <c r="U36" s="117">
        <f t="shared" si="7"/>
        <v>1</v>
      </c>
      <c r="V36" s="89" t="str">
        <f>IF(G36="","",IF(T36="OK","NONE",INDEX({"S1","S2","W1","W2","N1","N2"},MATCH(MAX(K36:P36),K36:P36,0))))</f>
        <v>NONE</v>
      </c>
      <c r="W36" s="117">
        <f t="shared" si="8"/>
        <v>1</v>
      </c>
      <c r="X36" s="114" t="str">
        <f t="shared" si="9"/>
        <v>CONFIDENT</v>
      </c>
      <c r="Y36" s="107"/>
    </row>
    <row r="37" spans="1:25">
      <c r="A37" s="115">
        <v>28</v>
      </c>
      <c r="B37" s="135">
        <f>'Runs Z-Score'!B30</f>
        <v>1</v>
      </c>
      <c r="C37" s="89" t="str">
        <f>'Runs Z-Score'!C30</f>
        <v>R3</v>
      </c>
      <c r="D37" s="89" t="str">
        <f>'Runs Z-Score'!D30</f>
        <v>OK</v>
      </c>
      <c r="E37" s="89" t="str">
        <f>'Runs Z-Score'!E30</f>
        <v>NONE</v>
      </c>
      <c r="F37" s="89">
        <f>'Runs Z-Score'!F30</f>
        <v>9.94</v>
      </c>
      <c r="G37" s="89">
        <f t="shared" si="0"/>
        <v>10.91</v>
      </c>
      <c r="H37" s="89">
        <f>VLOOKUP(C37,Recipes!$A$2:$N$4,10,FALSE())</f>
        <v>10.940000000000001</v>
      </c>
      <c r="I37" s="89">
        <f>VLOOKUP(C37,Recipes!$A$2:$N$4,12,FALSE())</f>
        <v>5.2703573566378441E-2</v>
      </c>
      <c r="J37" s="89">
        <f t="shared" si="2"/>
        <v>3.0000000000001137E-2</v>
      </c>
      <c r="K37" s="89">
        <f>IF(G37="","",-0.5*((J37-Components!$C$2)/Components!$D$2)^2)</f>
        <v>-84899.916666669887</v>
      </c>
      <c r="L37" s="89">
        <f>IF(G37="","",-0.5*((J37-Components!$C$3)/Components!$D$3)^2)</f>
        <v>-42155.167028986536</v>
      </c>
      <c r="M37" s="89">
        <f>IF(G37="","",-0.5*((J37-Components!$C$4)/Components!$D$4)^2)</f>
        <v>-2374.6166666666663</v>
      </c>
      <c r="N37" s="89">
        <f>IF(G37="","",-0.5*((J37-Components!$C$5)/Components!$D$5)^2)</f>
        <v>-16202.14683345409</v>
      </c>
      <c r="O37" s="89">
        <f>IF(G37="","",-0.5*((J37-Components!$C$6)/Components!$D$6)^2)</f>
        <v>-829.9948326055387</v>
      </c>
      <c r="P37" s="89">
        <f>IF(G37="","",-0.5*((J37-Components!$C$7)/Components!$D$7)^2)</f>
        <v>-1429.0964703387226</v>
      </c>
      <c r="Q37" s="89">
        <f t="shared" si="3"/>
        <v>1</v>
      </c>
      <c r="R37" s="89">
        <f t="shared" si="4"/>
        <v>6.5082560877135595E-261</v>
      </c>
      <c r="S37" s="89">
        <f t="shared" si="5"/>
        <v>1</v>
      </c>
      <c r="T37" s="89" t="str">
        <f t="shared" si="6"/>
        <v>OK</v>
      </c>
      <c r="U37" s="117">
        <f t="shared" si="7"/>
        <v>1</v>
      </c>
      <c r="V37" s="89" t="str">
        <f>IF(G37="","",IF(T37="OK","NONE",INDEX({"S1","S2","W1","W2","N1","N2"},MATCH(MAX(K37:P37),K37:P37,0))))</f>
        <v>NONE</v>
      </c>
      <c r="W37" s="117">
        <f t="shared" si="8"/>
        <v>1</v>
      </c>
      <c r="X37" s="114" t="str">
        <f t="shared" si="9"/>
        <v>CONFIDENT</v>
      </c>
      <c r="Y37" s="107"/>
    </row>
    <row r="38" spans="1:25">
      <c r="A38" s="115">
        <v>29</v>
      </c>
      <c r="B38" s="135">
        <f>'Runs Z-Score'!B31</f>
        <v>1</v>
      </c>
      <c r="C38" s="89" t="str">
        <f>'Runs Z-Score'!C31</f>
        <v>R3</v>
      </c>
      <c r="D38" s="89" t="str">
        <f>'Runs Z-Score'!D31</f>
        <v>OK</v>
      </c>
      <c r="E38" s="89" t="str">
        <f>'Runs Z-Score'!E31</f>
        <v>NONE</v>
      </c>
      <c r="F38" s="89">
        <f>'Runs Z-Score'!F31</f>
        <v>9.99</v>
      </c>
      <c r="G38" s="89">
        <f t="shared" si="0"/>
        <v>10.96</v>
      </c>
      <c r="H38" s="89">
        <f>VLOOKUP(C38,Recipes!$A$2:$N$4,10,FALSE())</f>
        <v>10.940000000000001</v>
      </c>
      <c r="I38" s="89">
        <f>VLOOKUP(C38,Recipes!$A$2:$N$4,12,FALSE())</f>
        <v>5.2703573566378441E-2</v>
      </c>
      <c r="J38" s="89">
        <f t="shared" si="2"/>
        <v>-1.9999999999999574E-2</v>
      </c>
      <c r="K38" s="89">
        <f>IF(G38="","",-0.5*((J38-Components!$C$2)/Components!$D$2)^2)</f>
        <v>-88046.035087722703</v>
      </c>
      <c r="L38" s="89">
        <f>IF(G38="","",-0.5*((J38-Components!$C$3)/Components!$D$3)^2)</f>
        <v>-43214.034782609771</v>
      </c>
      <c r="M38" s="89">
        <f>IF(G38="","",-0.5*((J38-Components!$C$4)/Components!$D$4)^2)</f>
        <v>-2627.5137254901992</v>
      </c>
      <c r="N38" s="89">
        <f>IF(G38="","",-0.5*((J38-Components!$C$5)/Components!$D$5)^2)</f>
        <v>-16561.571235194482</v>
      </c>
      <c r="O38" s="89">
        <f>IF(G38="","",-0.5*((J38-Components!$C$6)/Components!$D$6)^2)</f>
        <v>-905.36601164484171</v>
      </c>
      <c r="P38" s="89">
        <f>IF(G38="","",-0.5*((J38-Components!$C$7)/Components!$D$7)^2)</f>
        <v>-1537.3786008604472</v>
      </c>
      <c r="Q38" s="89">
        <f t="shared" si="3"/>
        <v>1</v>
      </c>
      <c r="R38" s="89">
        <f t="shared" si="4"/>
        <v>3.3145151640634667E-275</v>
      </c>
      <c r="S38" s="89">
        <f t="shared" si="5"/>
        <v>1</v>
      </c>
      <c r="T38" s="89" t="str">
        <f t="shared" si="6"/>
        <v>OK</v>
      </c>
      <c r="U38" s="117">
        <f t="shared" si="7"/>
        <v>1</v>
      </c>
      <c r="V38" s="89" t="str">
        <f>IF(G38="","",IF(T38="OK","NONE",INDEX({"S1","S2","W1","W2","N1","N2"},MATCH(MAX(K38:P38),K38:P38,0))))</f>
        <v>NONE</v>
      </c>
      <c r="W38" s="117">
        <f t="shared" si="8"/>
        <v>1</v>
      </c>
      <c r="X38" s="114" t="str">
        <f t="shared" si="9"/>
        <v>CONFIDENT</v>
      </c>
      <c r="Y38" s="107"/>
    </row>
    <row r="39" spans="1:25">
      <c r="A39" s="115">
        <v>30</v>
      </c>
      <c r="B39" s="135">
        <f>'Runs Z-Score'!B32</f>
        <v>1</v>
      </c>
      <c r="C39" s="89" t="str">
        <f>'Runs Z-Score'!C32</f>
        <v>R3</v>
      </c>
      <c r="D39" s="89" t="str">
        <f>'Runs Z-Score'!D32</f>
        <v>OK</v>
      </c>
      <c r="E39" s="89" t="str">
        <f>'Runs Z-Score'!E32</f>
        <v>NONE</v>
      </c>
      <c r="F39" s="89">
        <f>'Runs Z-Score'!F32</f>
        <v>9.48</v>
      </c>
      <c r="G39" s="89">
        <f t="shared" si="0"/>
        <v>10.450000000000001</v>
      </c>
      <c r="H39" s="89">
        <f>VLOOKUP(C39,Recipes!$A$2:$N$4,10,FALSE())</f>
        <v>10.940000000000001</v>
      </c>
      <c r="I39" s="89">
        <f>VLOOKUP(C39,Recipes!$A$2:$N$4,12,FALSE())</f>
        <v>5.2703573566378441E-2</v>
      </c>
      <c r="J39" s="89">
        <f t="shared" si="2"/>
        <v>0.49000000000000021</v>
      </c>
      <c r="K39" s="89">
        <f>IF(G39="","",-0.5*((J39-Components!$C$2)/Components!$D$2)^2)</f>
        <v>-58641.179824563638</v>
      </c>
      <c r="L39" s="89">
        <f>IF(G39="","",-0.5*((J39-Components!$C$3)/Components!$D$3)^2)</f>
        <v>-33029.833695652989</v>
      </c>
      <c r="M39" s="89">
        <f>IF(G39="","",-0.5*((J39-Components!$C$4)/Components!$D$4)^2)</f>
        <v>-648.26372549019641</v>
      </c>
      <c r="N39" s="89">
        <f>IF(G39="","",-0.5*((J39-Components!$C$5)/Components!$D$5)^2)</f>
        <v>-13080.451401982036</v>
      </c>
      <c r="O39" s="89">
        <f>IF(G39="","",-0.5*((J39-Components!$C$6)/Components!$D$6)^2)</f>
        <v>-290.24810771470578</v>
      </c>
      <c r="P39" s="89">
        <f>IF(G39="","",-0.5*((J39-Components!$C$7)/Components!$D$7)^2)</f>
        <v>-618.41441253105256</v>
      </c>
      <c r="Q39" s="89">
        <f t="shared" si="3"/>
        <v>1</v>
      </c>
      <c r="R39" s="89">
        <f t="shared" si="4"/>
        <v>3.0142874938453027E-143</v>
      </c>
      <c r="S39" s="89">
        <f t="shared" si="5"/>
        <v>1</v>
      </c>
      <c r="T39" s="89" t="str">
        <f t="shared" si="6"/>
        <v>NG</v>
      </c>
      <c r="U39" s="117">
        <f t="shared" si="7"/>
        <v>0</v>
      </c>
      <c r="V39" s="89" t="str">
        <f>IF(G39="","",IF(T39="OK","NONE",INDEX({"S1","S2","W1","W2","N1","N2"},MATCH(MAX(K39:P39),K39:P39,0))))</f>
        <v>N1</v>
      </c>
      <c r="W39" s="122">
        <f t="shared" si="8"/>
        <v>0</v>
      </c>
      <c r="X39" s="114" t="str">
        <f t="shared" si="9"/>
        <v>CONFIDENT</v>
      </c>
      <c r="Y39" s="107"/>
    </row>
    <row r="40" spans="1:25">
      <c r="A40" s="115">
        <v>31</v>
      </c>
      <c r="B40" s="135">
        <f>'Runs Z-Score'!B33</f>
        <v>2</v>
      </c>
      <c r="C40" s="89" t="str">
        <f>'Runs Z-Score'!C33</f>
        <v>R3</v>
      </c>
      <c r="D40" s="89" t="str">
        <f>'Runs Z-Score'!D33</f>
        <v>NG</v>
      </c>
      <c r="E40" s="89" t="str">
        <f>'Runs Z-Score'!E33</f>
        <v>S2</v>
      </c>
      <c r="F40" s="89">
        <f>'Runs Z-Score'!F33</f>
        <v>5.91</v>
      </c>
      <c r="G40" s="89">
        <f t="shared" si="0"/>
        <v>6.88</v>
      </c>
      <c r="H40" s="89">
        <f>VLOOKUP(C40,Recipes!$A$2:$N$4,10,FALSE())</f>
        <v>10.940000000000001</v>
      </c>
      <c r="I40" s="89">
        <f>VLOOKUP(C40,Recipes!$A$2:$N$4,12,FALSE())</f>
        <v>5.2703573566378441E-2</v>
      </c>
      <c r="J40" s="89">
        <f t="shared" si="2"/>
        <v>4.0600000000000014</v>
      </c>
      <c r="K40" s="89">
        <f>IF(G40="","",-0.5*((J40-Components!$C$2)/Components!$D$2)^2)</f>
        <v>-19544.982456141304</v>
      </c>
      <c r="L40" s="89">
        <f>IF(G40="","",-0.5*((J40-Components!$C$3)/Components!$D$3)^2)</f>
        <v>-1.5130434782611342</v>
      </c>
      <c r="M40" s="89">
        <f>IF(G40="","",-0.5*((J40-Components!$C$4)/Components!$D$4)^2)</f>
        <v>-24064.31372549029</v>
      </c>
      <c r="N40" s="89">
        <f>IF(G40="","",-0.5*((J40-Components!$C$5)/Components!$D$5)^2)</f>
        <v>-199.26231568769677</v>
      </c>
      <c r="O40" s="89">
        <f>IF(G40="","",-0.5*((J40-Components!$C$6)/Components!$D$6)^2)</f>
        <v>-5525.2088064046784</v>
      </c>
      <c r="P40" s="89">
        <f>IF(G40="","",-0.5*((J40-Components!$C$7)/Components!$D$7)^2)</f>
        <v>-5703.6363721747985</v>
      </c>
      <c r="Q40" s="89">
        <f t="shared" si="3"/>
        <v>1</v>
      </c>
      <c r="R40" s="89">
        <f t="shared" si="4"/>
        <v>1.3139604071351916E-86</v>
      </c>
      <c r="S40" s="89">
        <f t="shared" si="5"/>
        <v>1</v>
      </c>
      <c r="T40" s="89" t="str">
        <f t="shared" si="6"/>
        <v>NG</v>
      </c>
      <c r="U40" s="117">
        <f t="shared" si="7"/>
        <v>1</v>
      </c>
      <c r="V40" s="89" t="str">
        <f>IF(G40="","",IF(T40="OK","NONE",INDEX({"S1","S2","W1","W2","N1","N2"},MATCH(MAX(K40:P40),K40:P40,0))))</f>
        <v>S2</v>
      </c>
      <c r="W40" s="117">
        <f t="shared" si="8"/>
        <v>1</v>
      </c>
      <c r="X40" s="114" t="str">
        <f t="shared" si="9"/>
        <v>CONFIDENT</v>
      </c>
      <c r="Y40" s="107"/>
    </row>
    <row r="41" spans="1:25">
      <c r="A41" s="115">
        <v>32</v>
      </c>
      <c r="B41" s="135">
        <f>'Runs Z-Score'!B34</f>
        <v>2</v>
      </c>
      <c r="C41" s="89" t="str">
        <f>'Runs Z-Score'!C34</f>
        <v>R3</v>
      </c>
      <c r="D41" s="89" t="str">
        <f>'Runs Z-Score'!D34</f>
        <v>NG</v>
      </c>
      <c r="E41" s="89" t="str">
        <f>'Runs Z-Score'!E34</f>
        <v>S2</v>
      </c>
      <c r="F41" s="89">
        <f>'Runs Z-Score'!F34</f>
        <v>5.93</v>
      </c>
      <c r="G41" s="89">
        <f t="shared" si="0"/>
        <v>6.8999999999999995</v>
      </c>
      <c r="H41" s="89">
        <f>VLOOKUP(C41,Recipes!$A$2:$N$4,10,FALSE())</f>
        <v>10.940000000000001</v>
      </c>
      <c r="I41" s="89">
        <f>VLOOKUP(C41,Recipes!$A$2:$N$4,12,FALSE())</f>
        <v>5.2703573566378441E-2</v>
      </c>
      <c r="J41" s="89">
        <f t="shared" si="2"/>
        <v>4.0400000000000018</v>
      </c>
      <c r="K41" s="89">
        <f>IF(G41="","",-0.5*((J41-Components!$C$2)/Components!$D$2)^2)</f>
        <v>-18951.245614036026</v>
      </c>
      <c r="L41" s="89">
        <f>IF(G41="","",-0.5*((J41-Components!$C$3)/Components!$D$3)^2)</f>
        <v>-4.202898550729417E-2</v>
      </c>
      <c r="M41" s="89">
        <f>IF(G41="","",-0.5*((J41-Components!$C$4)/Components!$D$4)^2)</f>
        <v>-23751.454901960889</v>
      </c>
      <c r="N41" s="89">
        <f>IF(G41="","",-0.5*((J41-Components!$C$5)/Components!$D$5)^2)</f>
        <v>-215.434179357022</v>
      </c>
      <c r="O41" s="89">
        <f>IF(G41="","",-0.5*((J41-Components!$C$6)/Components!$D$6)^2)</f>
        <v>-5449.3747452693087</v>
      </c>
      <c r="P41" s="89">
        <f>IF(G41="","",-0.5*((J41-Components!$C$7)/Components!$D$7)^2)</f>
        <v>-5619.0033963522228</v>
      </c>
      <c r="Q41" s="89">
        <f t="shared" si="3"/>
        <v>1</v>
      </c>
      <c r="R41" s="89">
        <f t="shared" si="4"/>
        <v>2.8600764919912437E-94</v>
      </c>
      <c r="S41" s="89">
        <f t="shared" si="5"/>
        <v>1</v>
      </c>
      <c r="T41" s="89" t="str">
        <f t="shared" si="6"/>
        <v>NG</v>
      </c>
      <c r="U41" s="117">
        <f t="shared" si="7"/>
        <v>1</v>
      </c>
      <c r="V41" s="89" t="str">
        <f>IF(G41="","",IF(T41="OK","NONE",INDEX({"S1","S2","W1","W2","N1","N2"},MATCH(MAX(K41:P41),K41:P41,0))))</f>
        <v>S2</v>
      </c>
      <c r="W41" s="117">
        <f t="shared" si="8"/>
        <v>1</v>
      </c>
      <c r="X41" s="114" t="str">
        <f t="shared" si="9"/>
        <v>CONFIDENT</v>
      </c>
      <c r="Y41" s="107"/>
    </row>
    <row r="42" spans="1:25">
      <c r="A42" s="115">
        <v>33</v>
      </c>
      <c r="B42" s="135">
        <f>'Runs Z-Score'!B35</f>
        <v>2</v>
      </c>
      <c r="C42" s="89" t="str">
        <f>'Runs Z-Score'!C35</f>
        <v>R3</v>
      </c>
      <c r="D42" s="89" t="str">
        <f>'Runs Z-Score'!D35</f>
        <v>NG</v>
      </c>
      <c r="E42" s="89" t="str">
        <f>'Runs Z-Score'!E35</f>
        <v>S2</v>
      </c>
      <c r="F42" s="89">
        <f>'Runs Z-Score'!F35</f>
        <v>5.86</v>
      </c>
      <c r="G42" s="89">
        <f t="shared" si="0"/>
        <v>6.83</v>
      </c>
      <c r="H42" s="89">
        <f>VLOOKUP(C42,Recipes!$A$2:$N$4,10,FALSE())</f>
        <v>10.940000000000001</v>
      </c>
      <c r="I42" s="89">
        <f>VLOOKUP(C42,Recipes!$A$2:$N$4,12,FALSE())</f>
        <v>5.2703573566378441E-2</v>
      </c>
      <c r="J42" s="89">
        <f t="shared" si="2"/>
        <v>4.1100000000000012</v>
      </c>
      <c r="K42" s="89">
        <f>IF(G42="","",-0.5*((J42-Components!$C$2)/Components!$D$2)^2)</f>
        <v>-21069.39035087821</v>
      </c>
      <c r="L42" s="89">
        <f>IF(G42="","",-0.5*((J42-Components!$C$3)/Components!$D$3)^2)</f>
        <v>-14.384420289856065</v>
      </c>
      <c r="M42" s="89">
        <f>IF(G42="","",-0.5*((J42-Components!$C$4)/Components!$D$4)^2)</f>
        <v>-24855.416666666766</v>
      </c>
      <c r="N42" s="89">
        <f>IF(G42="","",-0.5*((J42-Components!$C$5)/Components!$D$5)^2)</f>
        <v>-161.59280879864696</v>
      </c>
      <c r="O42" s="89">
        <f>IF(G42="","",-0.5*((J42-Components!$C$6)/Components!$D$6)^2)</f>
        <v>-5717.0865356623208</v>
      </c>
      <c r="P42" s="89">
        <f>IF(G42="","",-0.5*((J42-Components!$C$7)/Components!$D$7)^2)</f>
        <v>-5917.9864903351345</v>
      </c>
      <c r="Q42" s="89">
        <f t="shared" si="3"/>
        <v>1</v>
      </c>
      <c r="R42" s="89">
        <f t="shared" si="4"/>
        <v>1.1700628236880886E-64</v>
      </c>
      <c r="S42" s="89">
        <f t="shared" si="5"/>
        <v>1</v>
      </c>
      <c r="T42" s="89" t="str">
        <f t="shared" si="6"/>
        <v>NG</v>
      </c>
      <c r="U42" s="117">
        <f t="shared" si="7"/>
        <v>1</v>
      </c>
      <c r="V42" s="89" t="str">
        <f>IF(G42="","",IF(T42="OK","NONE",INDEX({"S1","S2","W1","W2","N1","N2"},MATCH(MAX(K42:P42),K42:P42,0))))</f>
        <v>S2</v>
      </c>
      <c r="W42" s="117">
        <f t="shared" si="8"/>
        <v>1</v>
      </c>
      <c r="X42" s="114" t="str">
        <f t="shared" si="9"/>
        <v>CONFIDENT</v>
      </c>
      <c r="Y42" s="107"/>
    </row>
    <row r="43" spans="1:25">
      <c r="A43" s="115">
        <v>34</v>
      </c>
      <c r="B43" s="135">
        <f>'Runs Z-Score'!B36</f>
        <v>2</v>
      </c>
      <c r="C43" s="89" t="str">
        <f>'Runs Z-Score'!C36</f>
        <v>R3</v>
      </c>
      <c r="D43" s="89" t="str">
        <f>'Runs Z-Score'!D36</f>
        <v>NG</v>
      </c>
      <c r="E43" s="89" t="str">
        <f>'Runs Z-Score'!E36</f>
        <v>S2</v>
      </c>
      <c r="F43" s="89">
        <f>'Runs Z-Score'!F36</f>
        <v>5.94</v>
      </c>
      <c r="G43" s="89">
        <f t="shared" si="0"/>
        <v>6.91</v>
      </c>
      <c r="H43" s="89">
        <f>VLOOKUP(C43,Recipes!$A$2:$N$4,10,FALSE())</f>
        <v>10.940000000000001</v>
      </c>
      <c r="I43" s="89">
        <f>VLOOKUP(C43,Recipes!$A$2:$N$4,12,FALSE())</f>
        <v>5.2703573566378441E-2</v>
      </c>
      <c r="J43" s="89">
        <f t="shared" si="2"/>
        <v>4.0300000000000011</v>
      </c>
      <c r="K43" s="89">
        <f>IF(G43="","",-0.5*((J43-Components!$C$2)/Components!$D$2)^2)</f>
        <v>-18657.811403509681</v>
      </c>
      <c r="L43" s="89">
        <f>IF(G43="","",-0.5*((J43-Components!$C$3)/Components!$D$3)^2)</f>
        <v>-9.4565217391257908E-2</v>
      </c>
      <c r="M43" s="89">
        <f>IF(G43="","",-0.5*((J43-Components!$C$4)/Components!$D$4)^2)</f>
        <v>-23595.79313725499</v>
      </c>
      <c r="N43" s="89">
        <f>IF(G43="","",-0.5*((J43-Components!$C$5)/Components!$D$5)^2)</f>
        <v>-223.7566956731936</v>
      </c>
      <c r="O43" s="89">
        <f>IF(G43="","",-0.5*((J43-Components!$C$6)/Components!$D$6)^2)</f>
        <v>-5411.654221251838</v>
      </c>
      <c r="P43" s="89">
        <f>IF(G43="","",-0.5*((J43-Components!$C$7)/Components!$D$7)^2)</f>
        <v>-5576.9241380355506</v>
      </c>
      <c r="Q43" s="89">
        <f t="shared" si="3"/>
        <v>1</v>
      </c>
      <c r="R43" s="89">
        <f t="shared" si="4"/>
        <v>7.3243810835067582E-98</v>
      </c>
      <c r="S43" s="89">
        <f t="shared" si="5"/>
        <v>1</v>
      </c>
      <c r="T43" s="89" t="str">
        <f t="shared" si="6"/>
        <v>NG</v>
      </c>
      <c r="U43" s="117">
        <f t="shared" si="7"/>
        <v>1</v>
      </c>
      <c r="V43" s="89" t="str">
        <f>IF(G43="","",IF(T43="OK","NONE",INDEX({"S1","S2","W1","W2","N1","N2"},MATCH(MAX(K43:P43),K43:P43,0))))</f>
        <v>S2</v>
      </c>
      <c r="W43" s="117">
        <f t="shared" si="8"/>
        <v>1</v>
      </c>
      <c r="X43" s="114" t="str">
        <f t="shared" si="9"/>
        <v>CONFIDENT</v>
      </c>
      <c r="Y43" s="107"/>
    </row>
    <row r="44" spans="1:25">
      <c r="A44" s="115">
        <v>35</v>
      </c>
      <c r="B44" s="135">
        <f>'Runs Z-Score'!B37</f>
        <v>2</v>
      </c>
      <c r="C44" s="89" t="str">
        <f>'Runs Z-Score'!C37</f>
        <v>R3</v>
      </c>
      <c r="D44" s="89" t="str">
        <f>'Runs Z-Score'!D37</f>
        <v>NG</v>
      </c>
      <c r="E44" s="89" t="str">
        <f>'Runs Z-Score'!E37</f>
        <v>S2</v>
      </c>
      <c r="F44" s="89">
        <f>'Runs Z-Score'!F37</f>
        <v>5.9</v>
      </c>
      <c r="G44" s="89">
        <f t="shared" si="0"/>
        <v>6.87</v>
      </c>
      <c r="H44" s="89">
        <f>VLOOKUP(C44,Recipes!$A$2:$N$4,10,FALSE())</f>
        <v>10.940000000000001</v>
      </c>
      <c r="I44" s="89">
        <f>VLOOKUP(C44,Recipes!$A$2:$N$4,12,FALSE())</f>
        <v>5.2703573566378441E-2</v>
      </c>
      <c r="J44" s="89">
        <f t="shared" si="2"/>
        <v>4.0700000000000012</v>
      </c>
      <c r="K44" s="89">
        <f>IF(G44="","",-0.5*((J44-Components!$C$2)/Components!$D$2)^2)</f>
        <v>-19845.285087720258</v>
      </c>
      <c r="L44" s="89">
        <f>IF(G44="","",-0.5*((J44-Components!$C$3)/Components!$D$3)^2)</f>
        <v>-3.0365942028989106</v>
      </c>
      <c r="M44" s="89">
        <f>IF(G44="","",-0.5*((J44-Components!$C$4)/Components!$D$4)^2)</f>
        <v>-24221.510784313818</v>
      </c>
      <c r="N44" s="89">
        <f>IF(G44="","",-0.5*((J44-Components!$C$5)/Components!$D$5)^2)</f>
        <v>-191.41296833454248</v>
      </c>
      <c r="O44" s="89">
        <f>IF(G44="","",-0.5*((J44-Components!$C$6)/Components!$D$6)^2)</f>
        <v>-5563.3223435225818</v>
      </c>
      <c r="P44" s="89">
        <f>IF(G44="","",-0.5*((J44-Components!$C$7)/Components!$D$7)^2)</f>
        <v>-5746.1900896807065</v>
      </c>
      <c r="Q44" s="89">
        <f t="shared" si="3"/>
        <v>1</v>
      </c>
      <c r="R44" s="89">
        <f t="shared" si="4"/>
        <v>1.5458957160820713E-82</v>
      </c>
      <c r="S44" s="89">
        <f t="shared" si="5"/>
        <v>1</v>
      </c>
      <c r="T44" s="89" t="str">
        <f t="shared" si="6"/>
        <v>NG</v>
      </c>
      <c r="U44" s="117">
        <f t="shared" si="7"/>
        <v>1</v>
      </c>
      <c r="V44" s="89" t="str">
        <f>IF(G44="","",IF(T44="OK","NONE",INDEX({"S1","S2","W1","W2","N1","N2"},MATCH(MAX(K44:P44),K44:P44,0))))</f>
        <v>S2</v>
      </c>
      <c r="W44" s="117">
        <f t="shared" si="8"/>
        <v>1</v>
      </c>
      <c r="X44" s="114" t="str">
        <f t="shared" si="9"/>
        <v>CONFIDENT</v>
      </c>
      <c r="Y44" s="107"/>
    </row>
    <row r="45" spans="1:25">
      <c r="A45" s="115">
        <v>36</v>
      </c>
      <c r="B45" s="135">
        <f>'Runs Z-Score'!B38</f>
        <v>2</v>
      </c>
      <c r="C45" s="89" t="str">
        <f>'Runs Z-Score'!C38</f>
        <v>R3</v>
      </c>
      <c r="D45" s="89" t="str">
        <f>'Runs Z-Score'!D38</f>
        <v>NG</v>
      </c>
      <c r="E45" s="89" t="str">
        <f>'Runs Z-Score'!E38</f>
        <v>S2</v>
      </c>
      <c r="F45" s="89">
        <f>'Runs Z-Score'!F38</f>
        <v>5.82</v>
      </c>
      <c r="G45" s="89">
        <f t="shared" si="0"/>
        <v>6.79</v>
      </c>
      <c r="H45" s="89">
        <f>VLOOKUP(C45,Recipes!$A$2:$N$4,10,FALSE())</f>
        <v>10.940000000000001</v>
      </c>
      <c r="I45" s="89">
        <f>VLOOKUP(C45,Recipes!$A$2:$N$4,12,FALSE())</f>
        <v>5.2703573566378441E-2</v>
      </c>
      <c r="J45" s="89">
        <f t="shared" si="2"/>
        <v>4.1500000000000012</v>
      </c>
      <c r="K45" s="89">
        <f>IF(G45="","",-0.5*((J45-Components!$C$2)/Components!$D$2)^2)</f>
        <v>-22330.127192983531</v>
      </c>
      <c r="L45" s="89">
        <f>IF(G45="","",-0.5*((J45-Components!$C$3)/Components!$D$3)^2)</f>
        <v>-34.138043478262716</v>
      </c>
      <c r="M45" s="89">
        <f>IF(G45="","",-0.5*((J45-Components!$C$4)/Components!$D$4)^2)</f>
        <v>-25497.510784313825</v>
      </c>
      <c r="N45" s="89">
        <f>IF(G45="","",-0.5*((J45-Components!$C$5)/Components!$D$5)^2)</f>
        <v>-134.29621706550702</v>
      </c>
      <c r="O45" s="89">
        <f>IF(G45="","",-0.5*((J45-Components!$C$6)/Components!$D$6)^2)</f>
        <v>-5872.9467976710548</v>
      </c>
      <c r="P45" s="89">
        <f>IF(G45="","",-0.5*((J45-Components!$C$7)/Components!$D$7)^2)</f>
        <v>-6092.3133399988328</v>
      </c>
      <c r="Q45" s="89">
        <f t="shared" si="3"/>
        <v>1</v>
      </c>
      <c r="R45" s="89">
        <f t="shared" si="4"/>
        <v>3.175834728781898E-44</v>
      </c>
      <c r="S45" s="89">
        <f t="shared" si="5"/>
        <v>1</v>
      </c>
      <c r="T45" s="89" t="str">
        <f t="shared" si="6"/>
        <v>NG</v>
      </c>
      <c r="U45" s="117">
        <f t="shared" si="7"/>
        <v>1</v>
      </c>
      <c r="V45" s="89" t="str">
        <f>IF(G45="","",IF(T45="OK","NONE",INDEX({"S1","S2","W1","W2","N1","N2"},MATCH(MAX(K45:P45),K45:P45,0))))</f>
        <v>S2</v>
      </c>
      <c r="W45" s="117">
        <f t="shared" si="8"/>
        <v>1</v>
      </c>
      <c r="X45" s="114" t="str">
        <f t="shared" si="9"/>
        <v>CONFIDENT</v>
      </c>
      <c r="Y45" s="107"/>
    </row>
    <row r="46" spans="1:25">
      <c r="A46" s="115">
        <v>37</v>
      </c>
      <c r="B46" s="135">
        <f>'Runs Z-Score'!B39</f>
        <v>2</v>
      </c>
      <c r="C46" s="89" t="str">
        <f>'Runs Z-Score'!C39</f>
        <v>R3</v>
      </c>
      <c r="D46" s="89" t="str">
        <f>'Runs Z-Score'!D39</f>
        <v>NG</v>
      </c>
      <c r="E46" s="89" t="str">
        <f>'Runs Z-Score'!E39</f>
        <v>S2</v>
      </c>
      <c r="F46" s="89">
        <f>'Runs Z-Score'!F39</f>
        <v>5.87</v>
      </c>
      <c r="G46" s="89">
        <f t="shared" si="0"/>
        <v>6.84</v>
      </c>
      <c r="H46" s="89">
        <f>VLOOKUP(C46,Recipes!$A$2:$N$4,10,FALSE())</f>
        <v>10.940000000000001</v>
      </c>
      <c r="I46" s="89">
        <f>VLOOKUP(C46,Recipes!$A$2:$N$4,12,FALSE())</f>
        <v>5.2703573566378441E-2</v>
      </c>
      <c r="J46" s="89">
        <f t="shared" si="2"/>
        <v>4.1000000000000014</v>
      </c>
      <c r="K46" s="89">
        <f>IF(G46="","",-0.5*((J46-Components!$C$2)/Components!$D$2)^2)</f>
        <v>-20759.929824562412</v>
      </c>
      <c r="L46" s="89">
        <f>IF(G46="","",-0.5*((J46-Components!$C$3)/Components!$D$3)^2)</f>
        <v>-10.759420289855962</v>
      </c>
      <c r="M46" s="89">
        <f>IF(G46="","",-0.5*((J46-Components!$C$4)/Components!$D$4)^2)</f>
        <v>-24696.172549019706</v>
      </c>
      <c r="N46" s="89">
        <f>IF(G46="","",-0.5*((J46-Components!$C$5)/Components!$D$5)^2)</f>
        <v>-168.81126420111235</v>
      </c>
      <c r="O46" s="89">
        <f>IF(G46="","",-0.5*((J46-Components!$C$6)/Components!$D$6)^2)</f>
        <v>-5678.4489810771684</v>
      </c>
      <c r="P46" s="89">
        <f>IF(G46="","",-0.5*((J46-Components!$C$7)/Components!$D$7)^2)</f>
        <v>-5874.8001605769095</v>
      </c>
      <c r="Q46" s="89">
        <f t="shared" si="3"/>
        <v>1</v>
      </c>
      <c r="R46" s="89">
        <f t="shared" si="4"/>
        <v>2.2853690138479398E-69</v>
      </c>
      <c r="S46" s="89">
        <f t="shared" si="5"/>
        <v>1</v>
      </c>
      <c r="T46" s="89" t="str">
        <f t="shared" si="6"/>
        <v>NG</v>
      </c>
      <c r="U46" s="117">
        <f t="shared" si="7"/>
        <v>1</v>
      </c>
      <c r="V46" s="89" t="str">
        <f>IF(G46="","",IF(T46="OK","NONE",INDEX({"S1","S2","W1","W2","N1","N2"},MATCH(MAX(K46:P46),K46:P46,0))))</f>
        <v>S2</v>
      </c>
      <c r="W46" s="117">
        <f t="shared" si="8"/>
        <v>1</v>
      </c>
      <c r="X46" s="114" t="str">
        <f t="shared" si="9"/>
        <v>CONFIDENT</v>
      </c>
      <c r="Y46" s="107"/>
    </row>
    <row r="47" spans="1:25">
      <c r="A47" s="115">
        <v>38</v>
      </c>
      <c r="B47" s="135">
        <f>'Runs Z-Score'!B40</f>
        <v>2</v>
      </c>
      <c r="C47" s="89" t="str">
        <f>'Runs Z-Score'!C40</f>
        <v>R3</v>
      </c>
      <c r="D47" s="89" t="str">
        <f>'Runs Z-Score'!D40</f>
        <v>NG</v>
      </c>
      <c r="E47" s="89" t="str">
        <f>'Runs Z-Score'!E40</f>
        <v>S2</v>
      </c>
      <c r="F47" s="89">
        <f>'Runs Z-Score'!F40</f>
        <v>5.89</v>
      </c>
      <c r="G47" s="89">
        <f t="shared" si="0"/>
        <v>6.8599999999999994</v>
      </c>
      <c r="H47" s="89">
        <f>VLOOKUP(C47,Recipes!$A$2:$N$4,10,FALSE())</f>
        <v>10.940000000000001</v>
      </c>
      <c r="I47" s="89">
        <f>VLOOKUP(C47,Recipes!$A$2:$N$4,12,FALSE())</f>
        <v>5.2703573566378441E-2</v>
      </c>
      <c r="J47" s="89">
        <f t="shared" si="2"/>
        <v>4.0800000000000018</v>
      </c>
      <c r="K47" s="89">
        <f>IF(G47="","",-0.5*((J47-Components!$C$2)/Components!$D$2)^2)</f>
        <v>-20147.877192983451</v>
      </c>
      <c r="L47" s="89">
        <f>IF(G47="","",-0.5*((J47-Components!$C$3)/Components!$D$3)^2)</f>
        <v>-5.0855072463774613</v>
      </c>
      <c r="M47" s="89">
        <f>IF(G47="","",-0.5*((J47-Components!$C$4)/Components!$D$4)^2)</f>
        <v>-24379.219607843243</v>
      </c>
      <c r="N47" s="89">
        <f>IF(G47="","",-0.5*((J47-Components!$C$5)/Components!$D$5)^2)</f>
        <v>-183.72134396905975</v>
      </c>
      <c r="O47" s="89">
        <f>IF(G47="","",-0.5*((J47-Components!$C$6)/Components!$D$6)^2)</f>
        <v>-5601.5668850073016</v>
      </c>
      <c r="P47" s="89">
        <f>IF(G47="","",-0.5*((J47-Components!$C$7)/Components!$D$7)^2)</f>
        <v>-5788.9019602496974</v>
      </c>
      <c r="Q47" s="89">
        <f t="shared" si="3"/>
        <v>1</v>
      </c>
      <c r="R47" s="89">
        <f t="shared" si="4"/>
        <v>2.6268897212484821E-78</v>
      </c>
      <c r="S47" s="89">
        <f t="shared" si="5"/>
        <v>1</v>
      </c>
      <c r="T47" s="89" t="str">
        <f t="shared" si="6"/>
        <v>NG</v>
      </c>
      <c r="U47" s="117">
        <f t="shared" si="7"/>
        <v>1</v>
      </c>
      <c r="V47" s="89" t="str">
        <f>IF(G47="","",IF(T47="OK","NONE",INDEX({"S1","S2","W1","W2","N1","N2"},MATCH(MAX(K47:P47),K47:P47,0))))</f>
        <v>S2</v>
      </c>
      <c r="W47" s="117">
        <f t="shared" si="8"/>
        <v>1</v>
      </c>
      <c r="X47" s="114" t="str">
        <f t="shared" si="9"/>
        <v>CONFIDENT</v>
      </c>
      <c r="Y47" s="107"/>
    </row>
    <row r="48" spans="1:25">
      <c r="A48" s="115">
        <v>39</v>
      </c>
      <c r="B48" s="135">
        <f>'Runs Z-Score'!B41</f>
        <v>2</v>
      </c>
      <c r="C48" s="89" t="str">
        <f>'Runs Z-Score'!C41</f>
        <v>R3</v>
      </c>
      <c r="D48" s="89" t="str">
        <f>'Runs Z-Score'!D41</f>
        <v>NG</v>
      </c>
      <c r="E48" s="89" t="str">
        <f>'Runs Z-Score'!E41</f>
        <v>S2</v>
      </c>
      <c r="F48" s="89">
        <f>'Runs Z-Score'!F41</f>
        <v>5.91</v>
      </c>
      <c r="G48" s="89">
        <f t="shared" si="0"/>
        <v>6.88</v>
      </c>
      <c r="H48" s="89">
        <f>VLOOKUP(C48,Recipes!$A$2:$N$4,10,FALSE())</f>
        <v>10.940000000000001</v>
      </c>
      <c r="I48" s="89">
        <f>VLOOKUP(C48,Recipes!$A$2:$N$4,12,FALSE())</f>
        <v>5.2703573566378441E-2</v>
      </c>
      <c r="J48" s="89">
        <f t="shared" si="2"/>
        <v>4.0600000000000014</v>
      </c>
      <c r="K48" s="89">
        <f>IF(G48="","",-0.5*((J48-Components!$C$2)/Components!$D$2)^2)</f>
        <v>-19544.982456141304</v>
      </c>
      <c r="L48" s="89">
        <f>IF(G48="","",-0.5*((J48-Components!$C$3)/Components!$D$3)^2)</f>
        <v>-1.5130434782611342</v>
      </c>
      <c r="M48" s="89">
        <f>IF(G48="","",-0.5*((J48-Components!$C$4)/Components!$D$4)^2)</f>
        <v>-24064.31372549029</v>
      </c>
      <c r="N48" s="89">
        <f>IF(G48="","",-0.5*((J48-Components!$C$5)/Components!$D$5)^2)</f>
        <v>-199.26231568769677</v>
      </c>
      <c r="O48" s="89">
        <f>IF(G48="","",-0.5*((J48-Components!$C$6)/Components!$D$6)^2)</f>
        <v>-5525.2088064046784</v>
      </c>
      <c r="P48" s="89">
        <f>IF(G48="","",-0.5*((J48-Components!$C$7)/Components!$D$7)^2)</f>
        <v>-5703.6363721747985</v>
      </c>
      <c r="Q48" s="89">
        <f t="shared" si="3"/>
        <v>1</v>
      </c>
      <c r="R48" s="89">
        <f t="shared" si="4"/>
        <v>1.3139604071351916E-86</v>
      </c>
      <c r="S48" s="89">
        <f t="shared" si="5"/>
        <v>1</v>
      </c>
      <c r="T48" s="89" t="str">
        <f t="shared" si="6"/>
        <v>NG</v>
      </c>
      <c r="U48" s="117">
        <f t="shared" si="7"/>
        <v>1</v>
      </c>
      <c r="V48" s="89" t="str">
        <f>IF(G48="","",IF(T48="OK","NONE",INDEX({"S1","S2","W1","W2","N1","N2"},MATCH(MAX(K48:P48),K48:P48,0))))</f>
        <v>S2</v>
      </c>
      <c r="W48" s="117">
        <f t="shared" si="8"/>
        <v>1</v>
      </c>
      <c r="X48" s="114" t="str">
        <f t="shared" si="9"/>
        <v>CONFIDENT</v>
      </c>
      <c r="Y48" s="107"/>
    </row>
    <row r="49" spans="1:25">
      <c r="A49" s="115">
        <v>40</v>
      </c>
      <c r="B49" s="135">
        <f>'Runs Z-Score'!B42</f>
        <v>2</v>
      </c>
      <c r="C49" s="89" t="str">
        <f>'Runs Z-Score'!C42</f>
        <v>R3</v>
      </c>
      <c r="D49" s="89" t="str">
        <f>'Runs Z-Score'!D42</f>
        <v>NG</v>
      </c>
      <c r="E49" s="89" t="str">
        <f>'Runs Z-Score'!E42</f>
        <v>S2</v>
      </c>
      <c r="F49" s="89">
        <f>'Runs Z-Score'!F42</f>
        <v>5.94</v>
      </c>
      <c r="G49" s="89">
        <f t="shared" si="0"/>
        <v>6.91</v>
      </c>
      <c r="H49" s="89">
        <f>VLOOKUP(C49,Recipes!$A$2:$N$4,10,FALSE())</f>
        <v>10.940000000000001</v>
      </c>
      <c r="I49" s="89">
        <f>VLOOKUP(C49,Recipes!$A$2:$N$4,12,FALSE())</f>
        <v>5.2703573566378441E-2</v>
      </c>
      <c r="J49" s="89">
        <f t="shared" si="2"/>
        <v>4.0300000000000011</v>
      </c>
      <c r="K49" s="89">
        <f>IF(G49="","",-0.5*((J49-Components!$C$2)/Components!$D$2)^2)</f>
        <v>-18657.811403509681</v>
      </c>
      <c r="L49" s="89">
        <f>IF(G49="","",-0.5*((J49-Components!$C$3)/Components!$D$3)^2)</f>
        <v>-9.4565217391257908E-2</v>
      </c>
      <c r="M49" s="89">
        <f>IF(G49="","",-0.5*((J49-Components!$C$4)/Components!$D$4)^2)</f>
        <v>-23595.79313725499</v>
      </c>
      <c r="N49" s="89">
        <f>IF(G49="","",-0.5*((J49-Components!$C$5)/Components!$D$5)^2)</f>
        <v>-223.7566956731936</v>
      </c>
      <c r="O49" s="89">
        <f>IF(G49="","",-0.5*((J49-Components!$C$6)/Components!$D$6)^2)</f>
        <v>-5411.654221251838</v>
      </c>
      <c r="P49" s="89">
        <f>IF(G49="","",-0.5*((J49-Components!$C$7)/Components!$D$7)^2)</f>
        <v>-5576.9241380355506</v>
      </c>
      <c r="Q49" s="89">
        <f t="shared" si="3"/>
        <v>1</v>
      </c>
      <c r="R49" s="89">
        <f t="shared" si="4"/>
        <v>7.3243810835067582E-98</v>
      </c>
      <c r="S49" s="89">
        <f t="shared" si="5"/>
        <v>1</v>
      </c>
      <c r="T49" s="89" t="str">
        <f t="shared" si="6"/>
        <v>NG</v>
      </c>
      <c r="U49" s="117">
        <f t="shared" si="7"/>
        <v>1</v>
      </c>
      <c r="V49" s="89" t="str">
        <f>IF(G49="","",IF(T49="OK","NONE",INDEX({"S1","S2","W1","W2","N1","N2"},MATCH(MAX(K49:P49),K49:P49,0))))</f>
        <v>S2</v>
      </c>
      <c r="W49" s="117">
        <f t="shared" si="8"/>
        <v>1</v>
      </c>
      <c r="X49" s="114" t="str">
        <f t="shared" si="9"/>
        <v>CONFIDENT</v>
      </c>
      <c r="Y49" s="107"/>
    </row>
    <row r="50" spans="1:25">
      <c r="A50" s="115">
        <v>41</v>
      </c>
      <c r="B50" s="135">
        <f>'Runs Z-Score'!B43</f>
        <v>2</v>
      </c>
      <c r="C50" s="89" t="str">
        <f>'Runs Z-Score'!C43</f>
        <v>R3</v>
      </c>
      <c r="D50" s="89" t="str">
        <f>'Runs Z-Score'!D43</f>
        <v>NG</v>
      </c>
      <c r="E50" s="89" t="str">
        <f>'Runs Z-Score'!E43</f>
        <v>S2</v>
      </c>
      <c r="F50" s="89">
        <f>'Runs Z-Score'!F43</f>
        <v>5.91</v>
      </c>
      <c r="G50" s="89">
        <f t="shared" si="0"/>
        <v>6.88</v>
      </c>
      <c r="H50" s="89">
        <f>VLOOKUP(C50,Recipes!$A$2:$N$4,10,FALSE())</f>
        <v>10.940000000000001</v>
      </c>
      <c r="I50" s="89">
        <f>VLOOKUP(C50,Recipes!$A$2:$N$4,12,FALSE())</f>
        <v>5.2703573566378441E-2</v>
      </c>
      <c r="J50" s="89">
        <f t="shared" si="2"/>
        <v>4.0600000000000014</v>
      </c>
      <c r="K50" s="89">
        <f>IF(G50="","",-0.5*((J50-Components!$C$2)/Components!$D$2)^2)</f>
        <v>-19544.982456141304</v>
      </c>
      <c r="L50" s="89">
        <f>IF(G50="","",-0.5*((J50-Components!$C$3)/Components!$D$3)^2)</f>
        <v>-1.5130434782611342</v>
      </c>
      <c r="M50" s="89">
        <f>IF(G50="","",-0.5*((J50-Components!$C$4)/Components!$D$4)^2)</f>
        <v>-24064.31372549029</v>
      </c>
      <c r="N50" s="89">
        <f>IF(G50="","",-0.5*((J50-Components!$C$5)/Components!$D$5)^2)</f>
        <v>-199.26231568769677</v>
      </c>
      <c r="O50" s="89">
        <f>IF(G50="","",-0.5*((J50-Components!$C$6)/Components!$D$6)^2)</f>
        <v>-5525.2088064046784</v>
      </c>
      <c r="P50" s="89">
        <f>IF(G50="","",-0.5*((J50-Components!$C$7)/Components!$D$7)^2)</f>
        <v>-5703.6363721747985</v>
      </c>
      <c r="Q50" s="89">
        <f t="shared" si="3"/>
        <v>1</v>
      </c>
      <c r="R50" s="89">
        <f t="shared" si="4"/>
        <v>1.3139604071351916E-86</v>
      </c>
      <c r="S50" s="89">
        <f t="shared" si="5"/>
        <v>1</v>
      </c>
      <c r="T50" s="89" t="str">
        <f t="shared" si="6"/>
        <v>NG</v>
      </c>
      <c r="U50" s="117">
        <f t="shared" si="7"/>
        <v>1</v>
      </c>
      <c r="V50" s="89" t="str">
        <f>IF(G50="","",IF(T50="OK","NONE",INDEX({"S1","S2","W1","W2","N1","N2"},MATCH(MAX(K50:P50),K50:P50,0))))</f>
        <v>S2</v>
      </c>
      <c r="W50" s="117">
        <f t="shared" si="8"/>
        <v>1</v>
      </c>
      <c r="X50" s="114" t="str">
        <f t="shared" si="9"/>
        <v>CONFIDENT</v>
      </c>
      <c r="Y50" s="107"/>
    </row>
    <row r="51" spans="1:25">
      <c r="A51" s="115">
        <v>42</v>
      </c>
      <c r="B51" s="135">
        <f>'Runs Z-Score'!B44</f>
        <v>2</v>
      </c>
      <c r="C51" s="89" t="str">
        <f>'Runs Z-Score'!C44</f>
        <v>R3</v>
      </c>
      <c r="D51" s="89" t="str">
        <f>'Runs Z-Score'!D44</f>
        <v>NG</v>
      </c>
      <c r="E51" s="89" t="str">
        <f>'Runs Z-Score'!E44</f>
        <v>S2</v>
      </c>
      <c r="F51" s="89">
        <f>'Runs Z-Score'!F44</f>
        <v>5.96</v>
      </c>
      <c r="G51" s="89">
        <f t="shared" si="0"/>
        <v>6.93</v>
      </c>
      <c r="H51" s="89">
        <f>VLOOKUP(C51,Recipes!$A$2:$N$4,10,FALSE())</f>
        <v>10.940000000000001</v>
      </c>
      <c r="I51" s="89">
        <f>VLOOKUP(C51,Recipes!$A$2:$N$4,12,FALSE())</f>
        <v>5.2703573566378441E-2</v>
      </c>
      <c r="J51" s="89">
        <f t="shared" si="2"/>
        <v>4.0100000000000016</v>
      </c>
      <c r="K51" s="89">
        <f>IF(G51="","",-0.5*((J51-Components!$C$2)/Components!$D$2)^2)</f>
        <v>-18077.811403509666</v>
      </c>
      <c r="L51" s="89">
        <f>IF(G51="","",-0.5*((J51-Components!$C$3)/Components!$D$3)^2)</f>
        <v>-1.7757246376809346</v>
      </c>
      <c r="M51" s="89">
        <f>IF(G51="","",-0.5*((J51-Components!$C$4)/Components!$D$4)^2)</f>
        <v>-23286.004901960881</v>
      </c>
      <c r="N51" s="89">
        <f>IF(G51="","",-0.5*((J51-Components!$C$5)/Components!$D$5)^2)</f>
        <v>-240.87489726855219</v>
      </c>
      <c r="O51" s="89">
        <f>IF(G51="","",-0.5*((J51-Components!$C$6)/Components!$D$6)^2)</f>
        <v>-5336.6061863173418</v>
      </c>
      <c r="P51" s="89">
        <f>IF(G51="","",-0.5*((J51-Components!$C$7)/Components!$D$7)^2)</f>
        <v>-5493.2400805914504</v>
      </c>
      <c r="Q51" s="89">
        <f t="shared" si="3"/>
        <v>1</v>
      </c>
      <c r="R51" s="89">
        <f t="shared" si="4"/>
        <v>1.4472671305230556E-104</v>
      </c>
      <c r="S51" s="89">
        <f t="shared" si="5"/>
        <v>1</v>
      </c>
      <c r="T51" s="89" t="str">
        <f t="shared" si="6"/>
        <v>NG</v>
      </c>
      <c r="U51" s="117">
        <f t="shared" si="7"/>
        <v>1</v>
      </c>
      <c r="V51" s="89" t="str">
        <f>IF(G51="","",IF(T51="OK","NONE",INDEX({"S1","S2","W1","W2","N1","N2"},MATCH(MAX(K51:P51),K51:P51,0))))</f>
        <v>S2</v>
      </c>
      <c r="W51" s="117">
        <f t="shared" si="8"/>
        <v>1</v>
      </c>
      <c r="X51" s="114" t="str">
        <f t="shared" si="9"/>
        <v>CONFIDENT</v>
      </c>
      <c r="Y51" s="107"/>
    </row>
    <row r="52" spans="1:25">
      <c r="A52" s="115">
        <v>43</v>
      </c>
      <c r="B52" s="135">
        <f>'Runs Z-Score'!B45</f>
        <v>2</v>
      </c>
      <c r="C52" s="89" t="str">
        <f>'Runs Z-Score'!C45</f>
        <v>R3</v>
      </c>
      <c r="D52" s="89" t="str">
        <f>'Runs Z-Score'!D45</f>
        <v>NG</v>
      </c>
      <c r="E52" s="89" t="str">
        <f>'Runs Z-Score'!E45</f>
        <v>S2</v>
      </c>
      <c r="F52" s="89">
        <f>'Runs Z-Score'!F45</f>
        <v>5.98</v>
      </c>
      <c r="G52" s="89">
        <f t="shared" si="0"/>
        <v>6.95</v>
      </c>
      <c r="H52" s="89">
        <f>VLOOKUP(C52,Recipes!$A$2:$N$4,10,FALSE())</f>
        <v>10.940000000000001</v>
      </c>
      <c r="I52" s="89">
        <f>VLOOKUP(C52,Recipes!$A$2:$N$4,12,FALSE())</f>
        <v>5.2703573566378441E-2</v>
      </c>
      <c r="J52" s="89">
        <f t="shared" si="2"/>
        <v>3.9900000000000011</v>
      </c>
      <c r="K52" s="89">
        <f>IF(G52="","",-0.5*((J52-Components!$C$2)/Components!$D$2)^2)</f>
        <v>-17506.969298246469</v>
      </c>
      <c r="L52" s="89">
        <f>IF(G52="","",-0.5*((J52-Components!$C$3)/Components!$D$3)^2)</f>
        <v>-5.558333333333108</v>
      </c>
      <c r="M52" s="89">
        <f>IF(G52="","",-0.5*((J52-Components!$C$4)/Components!$D$4)^2)</f>
        <v>-22978.263725490284</v>
      </c>
      <c r="N52" s="89">
        <f>IF(G52="","",-0.5*((J52-Components!$C$5)/Components!$D$5)^2)</f>
        <v>-258.62399081460035</v>
      </c>
      <c r="O52" s="89">
        <f>IF(G52="","",-0.5*((J52-Components!$C$6)/Components!$D$6)^2)</f>
        <v>-5262.082168850091</v>
      </c>
      <c r="P52" s="89">
        <f>IF(G52="","",-0.5*((J52-Components!$C$7)/Components!$D$7)^2)</f>
        <v>-5410.1886353996642</v>
      </c>
      <c r="Q52" s="89">
        <f t="shared" si="3"/>
        <v>1</v>
      </c>
      <c r="R52" s="89">
        <f t="shared" si="4"/>
        <v>1.2444613031880971E-110</v>
      </c>
      <c r="S52" s="89">
        <f t="shared" si="5"/>
        <v>1</v>
      </c>
      <c r="T52" s="89" t="str">
        <f t="shared" si="6"/>
        <v>NG</v>
      </c>
      <c r="U52" s="117">
        <f t="shared" si="7"/>
        <v>1</v>
      </c>
      <c r="V52" s="89" t="str">
        <f>IF(G52="","",IF(T52="OK","NONE",INDEX({"S1","S2","W1","W2","N1","N2"},MATCH(MAX(K52:P52),K52:P52,0))))</f>
        <v>S2</v>
      </c>
      <c r="W52" s="117">
        <f t="shared" si="8"/>
        <v>1</v>
      </c>
      <c r="X52" s="114" t="str">
        <f t="shared" si="9"/>
        <v>CONFIDENT</v>
      </c>
      <c r="Y52" s="107"/>
    </row>
    <row r="53" spans="1:25">
      <c r="A53" s="115">
        <v>44</v>
      </c>
      <c r="B53" s="135">
        <f>'Runs Z-Score'!B46</f>
        <v>2</v>
      </c>
      <c r="C53" s="89" t="str">
        <f>'Runs Z-Score'!C46</f>
        <v>R3</v>
      </c>
      <c r="D53" s="89" t="str">
        <f>'Runs Z-Score'!D46</f>
        <v>NG</v>
      </c>
      <c r="E53" s="89" t="str">
        <f>'Runs Z-Score'!E46</f>
        <v>S2</v>
      </c>
      <c r="F53" s="89">
        <f>'Runs Z-Score'!F46</f>
        <v>5.94</v>
      </c>
      <c r="G53" s="89">
        <f t="shared" si="0"/>
        <v>6.91</v>
      </c>
      <c r="H53" s="89">
        <f>VLOOKUP(C53,Recipes!$A$2:$N$4,10,FALSE())</f>
        <v>10.940000000000001</v>
      </c>
      <c r="I53" s="89">
        <f>VLOOKUP(C53,Recipes!$A$2:$N$4,12,FALSE())</f>
        <v>5.2703573566378441E-2</v>
      </c>
      <c r="J53" s="89">
        <f t="shared" si="2"/>
        <v>4.0300000000000011</v>
      </c>
      <c r="K53" s="89">
        <f>IF(G53="","",-0.5*((J53-Components!$C$2)/Components!$D$2)^2)</f>
        <v>-18657.811403509681</v>
      </c>
      <c r="L53" s="89">
        <f>IF(G53="","",-0.5*((J53-Components!$C$3)/Components!$D$3)^2)</f>
        <v>-9.4565217391257908E-2</v>
      </c>
      <c r="M53" s="89">
        <f>IF(G53="","",-0.5*((J53-Components!$C$4)/Components!$D$4)^2)</f>
        <v>-23595.79313725499</v>
      </c>
      <c r="N53" s="89">
        <f>IF(G53="","",-0.5*((J53-Components!$C$5)/Components!$D$5)^2)</f>
        <v>-223.7566956731936</v>
      </c>
      <c r="O53" s="89">
        <f>IF(G53="","",-0.5*((J53-Components!$C$6)/Components!$D$6)^2)</f>
        <v>-5411.654221251838</v>
      </c>
      <c r="P53" s="89">
        <f>IF(G53="","",-0.5*((J53-Components!$C$7)/Components!$D$7)^2)</f>
        <v>-5576.9241380355506</v>
      </c>
      <c r="Q53" s="89">
        <f t="shared" si="3"/>
        <v>1</v>
      </c>
      <c r="R53" s="89">
        <f t="shared" si="4"/>
        <v>7.3243810835067582E-98</v>
      </c>
      <c r="S53" s="89">
        <f t="shared" si="5"/>
        <v>1</v>
      </c>
      <c r="T53" s="89" t="str">
        <f t="shared" si="6"/>
        <v>NG</v>
      </c>
      <c r="U53" s="117">
        <f t="shared" si="7"/>
        <v>1</v>
      </c>
      <c r="V53" s="89" t="str">
        <f>IF(G53="","",IF(T53="OK","NONE",INDEX({"S1","S2","W1","W2","N1","N2"},MATCH(MAX(K53:P53),K53:P53,0))))</f>
        <v>S2</v>
      </c>
      <c r="W53" s="117">
        <f t="shared" si="8"/>
        <v>1</v>
      </c>
      <c r="X53" s="114" t="str">
        <f t="shared" si="9"/>
        <v>CONFIDENT</v>
      </c>
      <c r="Y53" s="107"/>
    </row>
    <row r="54" spans="1:25">
      <c r="A54" s="115">
        <v>45</v>
      </c>
      <c r="B54" s="135">
        <f>'Runs Z-Score'!B47</f>
        <v>2</v>
      </c>
      <c r="C54" s="89" t="str">
        <f>'Runs Z-Score'!C47</f>
        <v>R3</v>
      </c>
      <c r="D54" s="89" t="str">
        <f>'Runs Z-Score'!D47</f>
        <v>NG</v>
      </c>
      <c r="E54" s="89" t="str">
        <f>'Runs Z-Score'!E47</f>
        <v>S2</v>
      </c>
      <c r="F54" s="89">
        <f>'Runs Z-Score'!F47</f>
        <v>5.87</v>
      </c>
      <c r="G54" s="89">
        <f t="shared" si="0"/>
        <v>6.84</v>
      </c>
      <c r="H54" s="89">
        <f>VLOOKUP(C54,Recipes!$A$2:$N$4,10,FALSE())</f>
        <v>10.940000000000001</v>
      </c>
      <c r="I54" s="89">
        <f>VLOOKUP(C54,Recipes!$A$2:$N$4,12,FALSE())</f>
        <v>5.2703573566378441E-2</v>
      </c>
      <c r="J54" s="89">
        <f t="shared" si="2"/>
        <v>4.1000000000000014</v>
      </c>
      <c r="K54" s="89">
        <f>IF(G54="","",-0.5*((J54-Components!$C$2)/Components!$D$2)^2)</f>
        <v>-20759.929824562412</v>
      </c>
      <c r="L54" s="89">
        <f>IF(G54="","",-0.5*((J54-Components!$C$3)/Components!$D$3)^2)</f>
        <v>-10.759420289855962</v>
      </c>
      <c r="M54" s="89">
        <f>IF(G54="","",-0.5*((J54-Components!$C$4)/Components!$D$4)^2)</f>
        <v>-24696.172549019706</v>
      </c>
      <c r="N54" s="89">
        <f>IF(G54="","",-0.5*((J54-Components!$C$5)/Components!$D$5)^2)</f>
        <v>-168.81126420111235</v>
      </c>
      <c r="O54" s="89">
        <f>IF(G54="","",-0.5*((J54-Components!$C$6)/Components!$D$6)^2)</f>
        <v>-5678.4489810771684</v>
      </c>
      <c r="P54" s="89">
        <f>IF(G54="","",-0.5*((J54-Components!$C$7)/Components!$D$7)^2)</f>
        <v>-5874.8001605769095</v>
      </c>
      <c r="Q54" s="89">
        <f t="shared" si="3"/>
        <v>1</v>
      </c>
      <c r="R54" s="89">
        <f t="shared" si="4"/>
        <v>2.2853690138479398E-69</v>
      </c>
      <c r="S54" s="89">
        <f t="shared" si="5"/>
        <v>1</v>
      </c>
      <c r="T54" s="89" t="str">
        <f t="shared" si="6"/>
        <v>NG</v>
      </c>
      <c r="U54" s="117">
        <f t="shared" si="7"/>
        <v>1</v>
      </c>
      <c r="V54" s="89" t="str">
        <f>IF(G54="","",IF(T54="OK","NONE",INDEX({"S1","S2","W1","W2","N1","N2"},MATCH(MAX(K54:P54),K54:P54,0))))</f>
        <v>S2</v>
      </c>
      <c r="W54" s="117">
        <f t="shared" si="8"/>
        <v>1</v>
      </c>
      <c r="X54" s="114" t="str">
        <f t="shared" si="9"/>
        <v>CONFIDENT</v>
      </c>
      <c r="Y54" s="107"/>
    </row>
    <row r="55" spans="1:25">
      <c r="A55" s="115">
        <v>46</v>
      </c>
      <c r="B55" s="135">
        <f>'Runs Z-Score'!B48</f>
        <v>2</v>
      </c>
      <c r="C55" s="89" t="str">
        <f>'Runs Z-Score'!C48</f>
        <v>R3</v>
      </c>
      <c r="D55" s="89" t="str">
        <f>'Runs Z-Score'!D48</f>
        <v>NG</v>
      </c>
      <c r="E55" s="89" t="str">
        <f>'Runs Z-Score'!E48</f>
        <v>S2</v>
      </c>
      <c r="F55" s="89">
        <f>'Runs Z-Score'!F48</f>
        <v>5.95</v>
      </c>
      <c r="G55" s="89">
        <f t="shared" si="0"/>
        <v>6.92</v>
      </c>
      <c r="H55" s="89">
        <f>VLOOKUP(C55,Recipes!$A$2:$N$4,10,FALSE())</f>
        <v>10.940000000000001</v>
      </c>
      <c r="I55" s="89">
        <f>VLOOKUP(C55,Recipes!$A$2:$N$4,12,FALSE())</f>
        <v>5.2703573566378441E-2</v>
      </c>
      <c r="J55" s="89">
        <f t="shared" si="2"/>
        <v>4.0200000000000014</v>
      </c>
      <c r="K55" s="89">
        <f>IF(G55="","",-0.5*((J55-Components!$C$2)/Components!$D$2)^2)</f>
        <v>-18366.666666667566</v>
      </c>
      <c r="L55" s="89">
        <f>IF(G55="","",-0.5*((J55-Components!$C$3)/Components!$D$3)^2)</f>
        <v>-0.67246376811581088</v>
      </c>
      <c r="M55" s="89">
        <f>IF(G55="","",-0.5*((J55-Components!$C$4)/Components!$D$4)^2)</f>
        <v>-23440.643137254996</v>
      </c>
      <c r="N55" s="89">
        <f>IF(G55="","",-0.5*((J55-Components!$C$5)/Components!$D$5)^2)</f>
        <v>-232.23693497703678</v>
      </c>
      <c r="O55" s="89">
        <f>IF(G55="","",-0.5*((J55-Components!$C$6)/Components!$D$6)^2)</f>
        <v>-5374.0647016011844</v>
      </c>
      <c r="P55" s="89">
        <f>IF(G55="","",-0.5*((J55-Components!$C$7)/Components!$D$7)^2)</f>
        <v>-5535.0030327819604</v>
      </c>
      <c r="Q55" s="89">
        <f t="shared" si="3"/>
        <v>1</v>
      </c>
      <c r="R55" s="89">
        <f t="shared" si="4"/>
        <v>2.7091181701723374E-101</v>
      </c>
      <c r="S55" s="89">
        <f t="shared" si="5"/>
        <v>1</v>
      </c>
      <c r="T55" s="89" t="str">
        <f t="shared" si="6"/>
        <v>NG</v>
      </c>
      <c r="U55" s="117">
        <f t="shared" si="7"/>
        <v>1</v>
      </c>
      <c r="V55" s="89" t="str">
        <f>IF(G55="","",IF(T55="OK","NONE",INDEX({"S1","S2","W1","W2","N1","N2"},MATCH(MAX(K55:P55),K55:P55,0))))</f>
        <v>S2</v>
      </c>
      <c r="W55" s="117">
        <f t="shared" si="8"/>
        <v>1</v>
      </c>
      <c r="X55" s="114" t="str">
        <f t="shared" si="9"/>
        <v>CONFIDENT</v>
      </c>
      <c r="Y55" s="107"/>
    </row>
    <row r="56" spans="1:25">
      <c r="A56" s="115">
        <v>47</v>
      </c>
      <c r="B56" s="135">
        <f>'Runs Z-Score'!B49</f>
        <v>2</v>
      </c>
      <c r="C56" s="89" t="str">
        <f>'Runs Z-Score'!C49</f>
        <v>R3</v>
      </c>
      <c r="D56" s="89" t="str">
        <f>'Runs Z-Score'!D49</f>
        <v>NG</v>
      </c>
      <c r="E56" s="89" t="str">
        <f>'Runs Z-Score'!E49</f>
        <v>S2</v>
      </c>
      <c r="F56" s="89">
        <f>'Runs Z-Score'!F49</f>
        <v>5.89</v>
      </c>
      <c r="G56" s="89">
        <f t="shared" si="0"/>
        <v>6.8599999999999994</v>
      </c>
      <c r="H56" s="89">
        <f>VLOOKUP(C56,Recipes!$A$2:$N$4,10,FALSE())</f>
        <v>10.940000000000001</v>
      </c>
      <c r="I56" s="89">
        <f>VLOOKUP(C56,Recipes!$A$2:$N$4,12,FALSE())</f>
        <v>5.2703573566378441E-2</v>
      </c>
      <c r="J56" s="89">
        <f t="shared" si="2"/>
        <v>4.0800000000000018</v>
      </c>
      <c r="K56" s="89">
        <f>IF(G56="","",-0.5*((J56-Components!$C$2)/Components!$D$2)^2)</f>
        <v>-20147.877192983451</v>
      </c>
      <c r="L56" s="89">
        <f>IF(G56="","",-0.5*((J56-Components!$C$3)/Components!$D$3)^2)</f>
        <v>-5.0855072463774613</v>
      </c>
      <c r="M56" s="89">
        <f>IF(G56="","",-0.5*((J56-Components!$C$4)/Components!$D$4)^2)</f>
        <v>-24379.219607843243</v>
      </c>
      <c r="N56" s="89">
        <f>IF(G56="","",-0.5*((J56-Components!$C$5)/Components!$D$5)^2)</f>
        <v>-183.72134396905975</v>
      </c>
      <c r="O56" s="89">
        <f>IF(G56="","",-0.5*((J56-Components!$C$6)/Components!$D$6)^2)</f>
        <v>-5601.5668850073016</v>
      </c>
      <c r="P56" s="89">
        <f>IF(G56="","",-0.5*((J56-Components!$C$7)/Components!$D$7)^2)</f>
        <v>-5788.9019602496974</v>
      </c>
      <c r="Q56" s="89">
        <f t="shared" si="3"/>
        <v>1</v>
      </c>
      <c r="R56" s="89">
        <f t="shared" si="4"/>
        <v>2.6268897212484821E-78</v>
      </c>
      <c r="S56" s="89">
        <f t="shared" si="5"/>
        <v>1</v>
      </c>
      <c r="T56" s="89" t="str">
        <f t="shared" si="6"/>
        <v>NG</v>
      </c>
      <c r="U56" s="117">
        <f t="shared" si="7"/>
        <v>1</v>
      </c>
      <c r="V56" s="89" t="str">
        <f>IF(G56="","",IF(T56="OK","NONE",INDEX({"S1","S2","W1","W2","N1","N2"},MATCH(MAX(K56:P56),K56:P56,0))))</f>
        <v>S2</v>
      </c>
      <c r="W56" s="117">
        <f t="shared" si="8"/>
        <v>1</v>
      </c>
      <c r="X56" s="114" t="str">
        <f t="shared" si="9"/>
        <v>CONFIDENT</v>
      </c>
      <c r="Y56" s="107"/>
    </row>
    <row r="57" spans="1:25">
      <c r="A57" s="115">
        <v>48</v>
      </c>
      <c r="B57" s="135">
        <f>'Runs Z-Score'!B50</f>
        <v>2</v>
      </c>
      <c r="C57" s="89" t="str">
        <f>'Runs Z-Score'!C50</f>
        <v>R3</v>
      </c>
      <c r="D57" s="89" t="str">
        <f>'Runs Z-Score'!D50</f>
        <v>NG</v>
      </c>
      <c r="E57" s="89" t="str">
        <f>'Runs Z-Score'!E50</f>
        <v>S2</v>
      </c>
      <c r="F57" s="89">
        <f>'Runs Z-Score'!F50</f>
        <v>5.88</v>
      </c>
      <c r="G57" s="89">
        <f t="shared" si="0"/>
        <v>6.85</v>
      </c>
      <c r="H57" s="89">
        <f>VLOOKUP(C57,Recipes!$A$2:$N$4,10,FALSE())</f>
        <v>10.940000000000001</v>
      </c>
      <c r="I57" s="89">
        <f>VLOOKUP(C57,Recipes!$A$2:$N$4,12,FALSE())</f>
        <v>5.2703573566378441E-2</v>
      </c>
      <c r="J57" s="89">
        <f t="shared" si="2"/>
        <v>4.0900000000000016</v>
      </c>
      <c r="K57" s="89">
        <f>IF(G57="","",-0.5*((J57-Components!$C$2)/Components!$D$2)^2)</f>
        <v>-20452.758771930829</v>
      </c>
      <c r="L57" s="89">
        <f>IF(G57="","",-0.5*((J57-Components!$C$3)/Components!$D$3)^2)</f>
        <v>-7.6597826086964247</v>
      </c>
      <c r="M57" s="89">
        <f>IF(G57="","",-0.5*((J57-Components!$C$4)/Components!$D$4)^2)</f>
        <v>-24537.440196078533</v>
      </c>
      <c r="N57" s="89">
        <f>IF(G57="","",-0.5*((J57-Components!$C$5)/Components!$D$5)^2)</f>
        <v>-176.18744259124998</v>
      </c>
      <c r="O57" s="89">
        <f>IF(G57="","",-0.5*((J57-Components!$C$6)/Components!$D$6)^2)</f>
        <v>-5639.9424308588286</v>
      </c>
      <c r="P57" s="89">
        <f>IF(G57="","",-0.5*((J57-Components!$C$7)/Components!$D$7)^2)</f>
        <v>-5831.7719838817638</v>
      </c>
      <c r="Q57" s="89">
        <f t="shared" si="3"/>
        <v>1</v>
      </c>
      <c r="R57" s="89">
        <f t="shared" si="4"/>
        <v>6.4471417883499526E-74</v>
      </c>
      <c r="S57" s="89">
        <f t="shared" si="5"/>
        <v>1</v>
      </c>
      <c r="T57" s="89" t="str">
        <f t="shared" si="6"/>
        <v>NG</v>
      </c>
      <c r="U57" s="117">
        <f t="shared" si="7"/>
        <v>1</v>
      </c>
      <c r="V57" s="89" t="str">
        <f>IF(G57="","",IF(T57="OK","NONE",INDEX({"S1","S2","W1","W2","N1","N2"},MATCH(MAX(K57:P57),K57:P57,0))))</f>
        <v>S2</v>
      </c>
      <c r="W57" s="117">
        <f t="shared" si="8"/>
        <v>1</v>
      </c>
      <c r="X57" s="114" t="str">
        <f t="shared" si="9"/>
        <v>CONFIDENT</v>
      </c>
      <c r="Y57" s="107"/>
    </row>
    <row r="58" spans="1:25">
      <c r="A58" s="115">
        <v>49</v>
      </c>
      <c r="B58" s="135">
        <f>'Runs Z-Score'!B51</f>
        <v>2</v>
      </c>
      <c r="C58" s="89" t="str">
        <f>'Runs Z-Score'!C51</f>
        <v>R3</v>
      </c>
      <c r="D58" s="89" t="str">
        <f>'Runs Z-Score'!D51</f>
        <v>NG</v>
      </c>
      <c r="E58" s="89" t="str">
        <f>'Runs Z-Score'!E51</f>
        <v>S2</v>
      </c>
      <c r="F58" s="89">
        <f>'Runs Z-Score'!F51</f>
        <v>5.94</v>
      </c>
      <c r="G58" s="89">
        <f t="shared" si="0"/>
        <v>6.91</v>
      </c>
      <c r="H58" s="89">
        <f>VLOOKUP(C58,Recipes!$A$2:$N$4,10,FALSE())</f>
        <v>10.940000000000001</v>
      </c>
      <c r="I58" s="89">
        <f>VLOOKUP(C58,Recipes!$A$2:$N$4,12,FALSE())</f>
        <v>5.2703573566378441E-2</v>
      </c>
      <c r="J58" s="89">
        <f t="shared" si="2"/>
        <v>4.0300000000000011</v>
      </c>
      <c r="K58" s="89">
        <f>IF(G58="","",-0.5*((J58-Components!$C$2)/Components!$D$2)^2)</f>
        <v>-18657.811403509681</v>
      </c>
      <c r="L58" s="89">
        <f>IF(G58="","",-0.5*((J58-Components!$C$3)/Components!$D$3)^2)</f>
        <v>-9.4565217391257908E-2</v>
      </c>
      <c r="M58" s="89">
        <f>IF(G58="","",-0.5*((J58-Components!$C$4)/Components!$D$4)^2)</f>
        <v>-23595.79313725499</v>
      </c>
      <c r="N58" s="89">
        <f>IF(G58="","",-0.5*((J58-Components!$C$5)/Components!$D$5)^2)</f>
        <v>-223.7566956731936</v>
      </c>
      <c r="O58" s="89">
        <f>IF(G58="","",-0.5*((J58-Components!$C$6)/Components!$D$6)^2)</f>
        <v>-5411.654221251838</v>
      </c>
      <c r="P58" s="89">
        <f>IF(G58="","",-0.5*((J58-Components!$C$7)/Components!$D$7)^2)</f>
        <v>-5576.9241380355506</v>
      </c>
      <c r="Q58" s="89">
        <f t="shared" si="3"/>
        <v>1</v>
      </c>
      <c r="R58" s="89">
        <f t="shared" si="4"/>
        <v>7.3243810835067582E-98</v>
      </c>
      <c r="S58" s="89">
        <f t="shared" si="5"/>
        <v>1</v>
      </c>
      <c r="T58" s="89" t="str">
        <f t="shared" si="6"/>
        <v>NG</v>
      </c>
      <c r="U58" s="117">
        <f t="shared" si="7"/>
        <v>1</v>
      </c>
      <c r="V58" s="89" t="str">
        <f>IF(G58="","",IF(T58="OK","NONE",INDEX({"S1","S2","W1","W2","N1","N2"},MATCH(MAX(K58:P58),K58:P58,0))))</f>
        <v>S2</v>
      </c>
      <c r="W58" s="117">
        <f t="shared" si="8"/>
        <v>1</v>
      </c>
      <c r="X58" s="114" t="str">
        <f t="shared" si="9"/>
        <v>CONFIDENT</v>
      </c>
      <c r="Y58" s="107"/>
    </row>
    <row r="59" spans="1:25">
      <c r="A59" s="115">
        <v>50</v>
      </c>
      <c r="B59" s="135">
        <f>'Runs Z-Score'!B52</f>
        <v>2</v>
      </c>
      <c r="C59" s="89" t="str">
        <f>'Runs Z-Score'!C52</f>
        <v>R3</v>
      </c>
      <c r="D59" s="89" t="str">
        <f>'Runs Z-Score'!D52</f>
        <v>NG</v>
      </c>
      <c r="E59" s="89" t="str">
        <f>'Runs Z-Score'!E52</f>
        <v>S2</v>
      </c>
      <c r="F59" s="89">
        <f>'Runs Z-Score'!F52</f>
        <v>5.93</v>
      </c>
      <c r="G59" s="89">
        <f t="shared" si="0"/>
        <v>6.8999999999999995</v>
      </c>
      <c r="H59" s="89">
        <f>VLOOKUP(C59,Recipes!$A$2:$N$4,10,FALSE())</f>
        <v>10.940000000000001</v>
      </c>
      <c r="I59" s="89">
        <f>VLOOKUP(C59,Recipes!$A$2:$N$4,12,FALSE())</f>
        <v>5.2703573566378441E-2</v>
      </c>
      <c r="J59" s="89">
        <f t="shared" si="2"/>
        <v>4.0400000000000018</v>
      </c>
      <c r="K59" s="89">
        <f>IF(G59="","",-0.5*((J59-Components!$C$2)/Components!$D$2)^2)</f>
        <v>-18951.245614036026</v>
      </c>
      <c r="L59" s="89">
        <f>IF(G59="","",-0.5*((J59-Components!$C$3)/Components!$D$3)^2)</f>
        <v>-4.202898550729417E-2</v>
      </c>
      <c r="M59" s="89">
        <f>IF(G59="","",-0.5*((J59-Components!$C$4)/Components!$D$4)^2)</f>
        <v>-23751.454901960889</v>
      </c>
      <c r="N59" s="89">
        <f>IF(G59="","",-0.5*((J59-Components!$C$5)/Components!$D$5)^2)</f>
        <v>-215.434179357022</v>
      </c>
      <c r="O59" s="89">
        <f>IF(G59="","",-0.5*((J59-Components!$C$6)/Components!$D$6)^2)</f>
        <v>-5449.3747452693087</v>
      </c>
      <c r="P59" s="89">
        <f>IF(G59="","",-0.5*((J59-Components!$C$7)/Components!$D$7)^2)</f>
        <v>-5619.0033963522228</v>
      </c>
      <c r="Q59" s="89">
        <f t="shared" si="3"/>
        <v>1</v>
      </c>
      <c r="R59" s="89">
        <f t="shared" si="4"/>
        <v>2.8600764919912437E-94</v>
      </c>
      <c r="S59" s="89">
        <f t="shared" si="5"/>
        <v>1</v>
      </c>
      <c r="T59" s="89" t="str">
        <f t="shared" si="6"/>
        <v>NG</v>
      </c>
      <c r="U59" s="117">
        <f t="shared" si="7"/>
        <v>1</v>
      </c>
      <c r="V59" s="89" t="str">
        <f>IF(G59="","",IF(T59="OK","NONE",INDEX({"S1","S2","W1","W2","N1","N2"},MATCH(MAX(K59:P59),K59:P59,0))))</f>
        <v>S2</v>
      </c>
      <c r="W59" s="117">
        <f t="shared" si="8"/>
        <v>1</v>
      </c>
      <c r="X59" s="114" t="str">
        <f t="shared" si="9"/>
        <v>CONFIDENT</v>
      </c>
      <c r="Y59" s="107"/>
    </row>
    <row r="60" spans="1:25">
      <c r="A60" s="115">
        <v>51</v>
      </c>
      <c r="B60" s="135">
        <f>'Runs Z-Score'!B53</f>
        <v>2</v>
      </c>
      <c r="C60" s="89" t="str">
        <f>'Runs Z-Score'!C53</f>
        <v>R3</v>
      </c>
      <c r="D60" s="89" t="str">
        <f>'Runs Z-Score'!D53</f>
        <v>NG</v>
      </c>
      <c r="E60" s="89" t="str">
        <f>'Runs Z-Score'!E53</f>
        <v>S2</v>
      </c>
      <c r="F60" s="89">
        <f>'Runs Z-Score'!F53</f>
        <v>5.99</v>
      </c>
      <c r="G60" s="89">
        <f t="shared" si="0"/>
        <v>6.96</v>
      </c>
      <c r="H60" s="89">
        <f>VLOOKUP(C60,Recipes!$A$2:$N$4,10,FALSE())</f>
        <v>10.940000000000001</v>
      </c>
      <c r="I60" s="89">
        <f>VLOOKUP(C60,Recipes!$A$2:$N$4,12,FALSE())</f>
        <v>5.2703573566378441E-2</v>
      </c>
      <c r="J60" s="89">
        <f t="shared" si="2"/>
        <v>3.9800000000000013</v>
      </c>
      <c r="K60" s="89">
        <f>IF(G60="","",-0.5*((J60-Components!$C$2)/Components!$D$2)^2)</f>
        <v>-17224.982456141195</v>
      </c>
      <c r="L60" s="89">
        <f>IF(G60="","",-0.5*((J60-Components!$C$3)/Components!$D$3)^2)</f>
        <v>-8.2376811594199886</v>
      </c>
      <c r="M60" s="89">
        <f>IF(G60="","",-0.5*((J60-Components!$C$4)/Components!$D$4)^2)</f>
        <v>-22825.160784313819</v>
      </c>
      <c r="N60" s="89">
        <f>IF(G60="","",-0.5*((J60-Components!$C$5)/Components!$D$5)^2)</f>
        <v>-267.73512206913239</v>
      </c>
      <c r="O60" s="89">
        <f>IF(G60="","",-0.5*((J60-Components!$C$6)/Components!$D$6)^2)</f>
        <v>-5225.0166666666855</v>
      </c>
      <c r="P60" s="89">
        <f>IF(G60="","",-0.5*((J60-Components!$C$7)/Components!$D$7)^2)</f>
        <v>-5368.9001423983927</v>
      </c>
      <c r="Q60" s="89">
        <f t="shared" si="3"/>
        <v>1</v>
      </c>
      <c r="R60" s="89">
        <f t="shared" si="4"/>
        <v>2.0030571703038365E-113</v>
      </c>
      <c r="S60" s="89">
        <f t="shared" si="5"/>
        <v>1</v>
      </c>
      <c r="T60" s="89" t="str">
        <f t="shared" si="6"/>
        <v>NG</v>
      </c>
      <c r="U60" s="117">
        <f t="shared" si="7"/>
        <v>1</v>
      </c>
      <c r="V60" s="89" t="str">
        <f>IF(G60="","",IF(T60="OK","NONE",INDEX({"S1","S2","W1","W2","N1","N2"},MATCH(MAX(K60:P60),K60:P60,0))))</f>
        <v>S2</v>
      </c>
      <c r="W60" s="117">
        <f t="shared" si="8"/>
        <v>1</v>
      </c>
      <c r="X60" s="114" t="str">
        <f t="shared" si="9"/>
        <v>CONFIDENT</v>
      </c>
      <c r="Y60" s="107"/>
    </row>
    <row r="61" spans="1:25">
      <c r="A61" s="115">
        <v>52</v>
      </c>
      <c r="B61" s="135">
        <f>'Runs Z-Score'!B54</f>
        <v>2</v>
      </c>
      <c r="C61" s="89" t="str">
        <f>'Runs Z-Score'!C54</f>
        <v>R3</v>
      </c>
      <c r="D61" s="89" t="str">
        <f>'Runs Z-Score'!D54</f>
        <v>NG</v>
      </c>
      <c r="E61" s="89" t="str">
        <f>'Runs Z-Score'!E54</f>
        <v>S2</v>
      </c>
      <c r="F61" s="89">
        <f>'Runs Z-Score'!F54</f>
        <v>5.92</v>
      </c>
      <c r="G61" s="89">
        <f t="shared" si="0"/>
        <v>6.89</v>
      </c>
      <c r="H61" s="89">
        <f>VLOOKUP(C61,Recipes!$A$2:$N$4,10,FALSE())</f>
        <v>10.940000000000001</v>
      </c>
      <c r="I61" s="89">
        <f>VLOOKUP(C61,Recipes!$A$2:$N$4,12,FALSE())</f>
        <v>5.2703573566378441E-2</v>
      </c>
      <c r="J61" s="89">
        <f t="shared" si="2"/>
        <v>4.0500000000000016</v>
      </c>
      <c r="K61" s="89">
        <f>IF(G61="","",-0.5*((J61-Components!$C$2)/Components!$D$2)^2)</f>
        <v>-19246.96929824656</v>
      </c>
      <c r="L61" s="89">
        <f>IF(G61="","",-0.5*((J61-Components!$C$3)/Components!$D$3)^2)</f>
        <v>-0.51485507246392903</v>
      </c>
      <c r="M61" s="89">
        <f>IF(G61="","",-0.5*((J61-Components!$C$4)/Components!$D$4)^2)</f>
        <v>-23907.62843137265</v>
      </c>
      <c r="N61" s="89">
        <f>IF(G61="","",-0.5*((J61-Components!$C$5)/Components!$D$5)^2)</f>
        <v>-207.26938602852329</v>
      </c>
      <c r="O61" s="89">
        <f>IF(G61="","",-0.5*((J61-Components!$C$6)/Components!$D$6)^2)</f>
        <v>-5487.2262736535877</v>
      </c>
      <c r="P61" s="89">
        <f>IF(G61="","",-0.5*((J61-Components!$C$7)/Components!$D$7)^2)</f>
        <v>-5661.2408077319706</v>
      </c>
      <c r="Q61" s="89">
        <f t="shared" si="3"/>
        <v>1</v>
      </c>
      <c r="R61" s="89">
        <f t="shared" si="4"/>
        <v>1.6130509946101485E-90</v>
      </c>
      <c r="S61" s="89">
        <f t="shared" si="5"/>
        <v>1</v>
      </c>
      <c r="T61" s="89" t="str">
        <f t="shared" si="6"/>
        <v>NG</v>
      </c>
      <c r="U61" s="117">
        <f t="shared" si="7"/>
        <v>1</v>
      </c>
      <c r="V61" s="89" t="str">
        <f>IF(G61="","",IF(T61="OK","NONE",INDEX({"S1","S2","W1","W2","N1","N2"},MATCH(MAX(K61:P61),K61:P61,0))))</f>
        <v>S2</v>
      </c>
      <c r="W61" s="117">
        <f t="shared" si="8"/>
        <v>1</v>
      </c>
      <c r="X61" s="114" t="str">
        <f t="shared" si="9"/>
        <v>CONFIDENT</v>
      </c>
      <c r="Y61" s="107"/>
    </row>
    <row r="62" spans="1:25">
      <c r="A62" s="115">
        <v>53</v>
      </c>
      <c r="B62" s="135">
        <f>'Runs Z-Score'!B55</f>
        <v>2</v>
      </c>
      <c r="C62" s="89" t="str">
        <f>'Runs Z-Score'!C55</f>
        <v>R3</v>
      </c>
      <c r="D62" s="89" t="str">
        <f>'Runs Z-Score'!D55</f>
        <v>NG</v>
      </c>
      <c r="E62" s="89" t="str">
        <f>'Runs Z-Score'!E55</f>
        <v>S2</v>
      </c>
      <c r="F62" s="89">
        <f>'Runs Z-Score'!F55</f>
        <v>5.78</v>
      </c>
      <c r="G62" s="89">
        <f t="shared" si="0"/>
        <v>6.75</v>
      </c>
      <c r="H62" s="89">
        <f>VLOOKUP(C62,Recipes!$A$2:$N$4,10,FALSE())</f>
        <v>10.940000000000001</v>
      </c>
      <c r="I62" s="89">
        <f>VLOOKUP(C62,Recipes!$A$2:$N$4,12,FALSE())</f>
        <v>5.2703573566378441E-2</v>
      </c>
      <c r="J62" s="89">
        <f t="shared" si="2"/>
        <v>4.1900000000000013</v>
      </c>
      <c r="K62" s="89">
        <f>IF(G62="","",-0.5*((J62-Components!$C$2)/Components!$D$2)^2)</f>
        <v>-23627.495614036219</v>
      </c>
      <c r="L62" s="89">
        <f>IF(G62="","",-0.5*((J62-Components!$C$3)/Components!$D$3)^2)</f>
        <v>-62.297463768118874</v>
      </c>
      <c r="M62" s="89">
        <f>IF(G62="","",-0.5*((J62-Components!$C$4)/Components!$D$4)^2)</f>
        <v>-26147.793137255005</v>
      </c>
      <c r="N62" s="89">
        <f>IF(G62="","",-0.5*((J62-Components!$C$5)/Components!$D$5)^2)</f>
        <v>-109.5231931351227</v>
      </c>
      <c r="O62" s="89">
        <f>IF(G62="","",-0.5*((J62-Components!$C$6)/Components!$D$6)^2)</f>
        <v>-6030.9031295487848</v>
      </c>
      <c r="P62" s="89">
        <f>IF(G62="","",-0.5*((J62-Components!$C$7)/Components!$D$7)^2)</f>
        <v>-6269.1706386718033</v>
      </c>
      <c r="Q62" s="89">
        <f t="shared" si="3"/>
        <v>1</v>
      </c>
      <c r="R62" s="89">
        <f t="shared" si="4"/>
        <v>3.0911945002502771E-21</v>
      </c>
      <c r="S62" s="89">
        <f t="shared" si="5"/>
        <v>1</v>
      </c>
      <c r="T62" s="89" t="str">
        <f t="shared" si="6"/>
        <v>NG</v>
      </c>
      <c r="U62" s="117">
        <f t="shared" si="7"/>
        <v>1</v>
      </c>
      <c r="V62" s="89" t="str">
        <f>IF(G62="","",IF(T62="OK","NONE",INDEX({"S1","S2","W1","W2","N1","N2"},MATCH(MAX(K62:P62),K62:P62,0))))</f>
        <v>S2</v>
      </c>
      <c r="W62" s="117">
        <f t="shared" si="8"/>
        <v>1</v>
      </c>
      <c r="X62" s="114" t="str">
        <f t="shared" si="9"/>
        <v>CONFIDENT</v>
      </c>
      <c r="Y62" s="107"/>
    </row>
    <row r="63" spans="1:25">
      <c r="A63" s="115">
        <v>54</v>
      </c>
      <c r="B63" s="135">
        <f>'Runs Z-Score'!B56</f>
        <v>2</v>
      </c>
      <c r="C63" s="89" t="str">
        <f>'Runs Z-Score'!C56</f>
        <v>R3</v>
      </c>
      <c r="D63" s="89" t="str">
        <f>'Runs Z-Score'!D56</f>
        <v>NG</v>
      </c>
      <c r="E63" s="89" t="str">
        <f>'Runs Z-Score'!E56</f>
        <v>S2</v>
      </c>
      <c r="F63" s="89">
        <f>'Runs Z-Score'!F56</f>
        <v>5.95</v>
      </c>
      <c r="G63" s="89">
        <f t="shared" si="0"/>
        <v>6.92</v>
      </c>
      <c r="H63" s="89">
        <f>VLOOKUP(C63,Recipes!$A$2:$N$4,10,FALSE())</f>
        <v>10.940000000000001</v>
      </c>
      <c r="I63" s="89">
        <f>VLOOKUP(C63,Recipes!$A$2:$N$4,12,FALSE())</f>
        <v>5.2703573566378441E-2</v>
      </c>
      <c r="J63" s="89">
        <f t="shared" si="2"/>
        <v>4.0200000000000014</v>
      </c>
      <c r="K63" s="89">
        <f>IF(G63="","",-0.5*((J63-Components!$C$2)/Components!$D$2)^2)</f>
        <v>-18366.666666667566</v>
      </c>
      <c r="L63" s="89">
        <f>IF(G63="","",-0.5*((J63-Components!$C$3)/Components!$D$3)^2)</f>
        <v>-0.67246376811581088</v>
      </c>
      <c r="M63" s="89">
        <f>IF(G63="","",-0.5*((J63-Components!$C$4)/Components!$D$4)^2)</f>
        <v>-23440.643137254996</v>
      </c>
      <c r="N63" s="89">
        <f>IF(G63="","",-0.5*((J63-Components!$C$5)/Components!$D$5)^2)</f>
        <v>-232.23693497703678</v>
      </c>
      <c r="O63" s="89">
        <f>IF(G63="","",-0.5*((J63-Components!$C$6)/Components!$D$6)^2)</f>
        <v>-5374.0647016011844</v>
      </c>
      <c r="P63" s="89">
        <f>IF(G63="","",-0.5*((J63-Components!$C$7)/Components!$D$7)^2)</f>
        <v>-5535.0030327819604</v>
      </c>
      <c r="Q63" s="89">
        <f t="shared" si="3"/>
        <v>1</v>
      </c>
      <c r="R63" s="89">
        <f t="shared" si="4"/>
        <v>2.7091181701723374E-101</v>
      </c>
      <c r="S63" s="89">
        <f t="shared" si="5"/>
        <v>1</v>
      </c>
      <c r="T63" s="89" t="str">
        <f t="shared" si="6"/>
        <v>NG</v>
      </c>
      <c r="U63" s="117">
        <f t="shared" si="7"/>
        <v>1</v>
      </c>
      <c r="V63" s="89" t="str">
        <f>IF(G63="","",IF(T63="OK","NONE",INDEX({"S1","S2","W1","W2","N1","N2"},MATCH(MAX(K63:P63),K63:P63,0))))</f>
        <v>S2</v>
      </c>
      <c r="W63" s="117">
        <f t="shared" si="8"/>
        <v>1</v>
      </c>
      <c r="X63" s="114" t="str">
        <f t="shared" si="9"/>
        <v>CONFIDENT</v>
      </c>
      <c r="Y63" s="107"/>
    </row>
    <row r="64" spans="1:25">
      <c r="A64" s="115">
        <v>55</v>
      </c>
      <c r="B64" s="135">
        <f>'Runs Z-Score'!B57</f>
        <v>2</v>
      </c>
      <c r="C64" s="89" t="str">
        <f>'Runs Z-Score'!C57</f>
        <v>R3</v>
      </c>
      <c r="D64" s="89" t="str">
        <f>'Runs Z-Score'!D57</f>
        <v>NG</v>
      </c>
      <c r="E64" s="89" t="str">
        <f>'Runs Z-Score'!E57</f>
        <v>S2</v>
      </c>
      <c r="F64" s="89">
        <f>'Runs Z-Score'!F57</f>
        <v>5.92</v>
      </c>
      <c r="G64" s="89">
        <f t="shared" si="0"/>
        <v>6.89</v>
      </c>
      <c r="H64" s="89">
        <f>VLOOKUP(C64,Recipes!$A$2:$N$4,10,FALSE())</f>
        <v>10.940000000000001</v>
      </c>
      <c r="I64" s="89">
        <f>VLOOKUP(C64,Recipes!$A$2:$N$4,12,FALSE())</f>
        <v>5.2703573566378441E-2</v>
      </c>
      <c r="J64" s="89">
        <f t="shared" si="2"/>
        <v>4.0500000000000016</v>
      </c>
      <c r="K64" s="89">
        <f>IF(G64="","",-0.5*((J64-Components!$C$2)/Components!$D$2)^2)</f>
        <v>-19246.96929824656</v>
      </c>
      <c r="L64" s="89">
        <f>IF(G64="","",-0.5*((J64-Components!$C$3)/Components!$D$3)^2)</f>
        <v>-0.51485507246392903</v>
      </c>
      <c r="M64" s="89">
        <f>IF(G64="","",-0.5*((J64-Components!$C$4)/Components!$D$4)^2)</f>
        <v>-23907.62843137265</v>
      </c>
      <c r="N64" s="89">
        <f>IF(G64="","",-0.5*((J64-Components!$C$5)/Components!$D$5)^2)</f>
        <v>-207.26938602852329</v>
      </c>
      <c r="O64" s="89">
        <f>IF(G64="","",-0.5*((J64-Components!$C$6)/Components!$D$6)^2)</f>
        <v>-5487.2262736535877</v>
      </c>
      <c r="P64" s="89">
        <f>IF(G64="","",-0.5*((J64-Components!$C$7)/Components!$D$7)^2)</f>
        <v>-5661.2408077319706</v>
      </c>
      <c r="Q64" s="89">
        <f t="shared" si="3"/>
        <v>1</v>
      </c>
      <c r="R64" s="89">
        <f t="shared" si="4"/>
        <v>1.6130509946101485E-90</v>
      </c>
      <c r="S64" s="89">
        <f t="shared" si="5"/>
        <v>1</v>
      </c>
      <c r="T64" s="89" t="str">
        <f t="shared" si="6"/>
        <v>NG</v>
      </c>
      <c r="U64" s="117">
        <f t="shared" si="7"/>
        <v>1</v>
      </c>
      <c r="V64" s="89" t="str">
        <f>IF(G64="","",IF(T64="OK","NONE",INDEX({"S1","S2","W1","W2","N1","N2"},MATCH(MAX(K64:P64),K64:P64,0))))</f>
        <v>S2</v>
      </c>
      <c r="W64" s="117">
        <f t="shared" si="8"/>
        <v>1</v>
      </c>
      <c r="X64" s="114" t="str">
        <f t="shared" si="9"/>
        <v>CONFIDENT</v>
      </c>
      <c r="Y64" s="107"/>
    </row>
    <row r="65" spans="1:25">
      <c r="A65" s="115">
        <v>56</v>
      </c>
      <c r="B65" s="135">
        <f>'Runs Z-Score'!B58</f>
        <v>2</v>
      </c>
      <c r="C65" s="89" t="str">
        <f>'Runs Z-Score'!C58</f>
        <v>R3</v>
      </c>
      <c r="D65" s="89" t="str">
        <f>'Runs Z-Score'!D58</f>
        <v>NG</v>
      </c>
      <c r="E65" s="89" t="str">
        <f>'Runs Z-Score'!E58</f>
        <v>S2</v>
      </c>
      <c r="F65" s="89">
        <f>'Runs Z-Score'!F58</f>
        <v>5.94</v>
      </c>
      <c r="G65" s="89">
        <f t="shared" si="0"/>
        <v>6.91</v>
      </c>
      <c r="H65" s="89">
        <f>VLOOKUP(C65,Recipes!$A$2:$N$4,10,FALSE())</f>
        <v>10.940000000000001</v>
      </c>
      <c r="I65" s="89">
        <f>VLOOKUP(C65,Recipes!$A$2:$N$4,12,FALSE())</f>
        <v>5.2703573566378441E-2</v>
      </c>
      <c r="J65" s="89">
        <f t="shared" si="2"/>
        <v>4.0300000000000011</v>
      </c>
      <c r="K65" s="89">
        <f>IF(G65="","",-0.5*((J65-Components!$C$2)/Components!$D$2)^2)</f>
        <v>-18657.811403509681</v>
      </c>
      <c r="L65" s="89">
        <f>IF(G65="","",-0.5*((J65-Components!$C$3)/Components!$D$3)^2)</f>
        <v>-9.4565217391257908E-2</v>
      </c>
      <c r="M65" s="89">
        <f>IF(G65="","",-0.5*((J65-Components!$C$4)/Components!$D$4)^2)</f>
        <v>-23595.79313725499</v>
      </c>
      <c r="N65" s="89">
        <f>IF(G65="","",-0.5*((J65-Components!$C$5)/Components!$D$5)^2)</f>
        <v>-223.7566956731936</v>
      </c>
      <c r="O65" s="89">
        <f>IF(G65="","",-0.5*((J65-Components!$C$6)/Components!$D$6)^2)</f>
        <v>-5411.654221251838</v>
      </c>
      <c r="P65" s="89">
        <f>IF(G65="","",-0.5*((J65-Components!$C$7)/Components!$D$7)^2)</f>
        <v>-5576.9241380355506</v>
      </c>
      <c r="Q65" s="89">
        <f t="shared" si="3"/>
        <v>1</v>
      </c>
      <c r="R65" s="89">
        <f t="shared" si="4"/>
        <v>7.3243810835067582E-98</v>
      </c>
      <c r="S65" s="89">
        <f t="shared" si="5"/>
        <v>1</v>
      </c>
      <c r="T65" s="89" t="str">
        <f t="shared" si="6"/>
        <v>NG</v>
      </c>
      <c r="U65" s="117">
        <f t="shared" si="7"/>
        <v>1</v>
      </c>
      <c r="V65" s="89" t="str">
        <f>IF(G65="","",IF(T65="OK","NONE",INDEX({"S1","S2","W1","W2","N1","N2"},MATCH(MAX(K65:P65),K65:P65,0))))</f>
        <v>S2</v>
      </c>
      <c r="W65" s="117">
        <f t="shared" si="8"/>
        <v>1</v>
      </c>
      <c r="X65" s="114" t="str">
        <f t="shared" si="9"/>
        <v>CONFIDENT</v>
      </c>
      <c r="Y65" s="107"/>
    </row>
    <row r="66" spans="1:25">
      <c r="A66" s="115">
        <v>57</v>
      </c>
      <c r="B66" s="135">
        <f>'Runs Z-Score'!B59</f>
        <v>2</v>
      </c>
      <c r="C66" s="89" t="str">
        <f>'Runs Z-Score'!C59</f>
        <v>R3</v>
      </c>
      <c r="D66" s="89" t="str">
        <f>'Runs Z-Score'!D59</f>
        <v>NG</v>
      </c>
      <c r="E66" s="89" t="str">
        <f>'Runs Z-Score'!E59</f>
        <v>S2</v>
      </c>
      <c r="F66" s="89">
        <f>'Runs Z-Score'!F59</f>
        <v>5.9</v>
      </c>
      <c r="G66" s="89">
        <f t="shared" si="0"/>
        <v>6.87</v>
      </c>
      <c r="H66" s="89">
        <f>VLOOKUP(C66,Recipes!$A$2:$N$4,10,FALSE())</f>
        <v>10.940000000000001</v>
      </c>
      <c r="I66" s="89">
        <f>VLOOKUP(C66,Recipes!$A$2:$N$4,12,FALSE())</f>
        <v>5.2703573566378441E-2</v>
      </c>
      <c r="J66" s="89">
        <f t="shared" si="2"/>
        <v>4.0700000000000012</v>
      </c>
      <c r="K66" s="89">
        <f>IF(G66="","",-0.5*((J66-Components!$C$2)/Components!$D$2)^2)</f>
        <v>-19845.285087720258</v>
      </c>
      <c r="L66" s="89">
        <f>IF(G66="","",-0.5*((J66-Components!$C$3)/Components!$D$3)^2)</f>
        <v>-3.0365942028989106</v>
      </c>
      <c r="M66" s="89">
        <f>IF(G66="","",-0.5*((J66-Components!$C$4)/Components!$D$4)^2)</f>
        <v>-24221.510784313818</v>
      </c>
      <c r="N66" s="89">
        <f>IF(G66="","",-0.5*((J66-Components!$C$5)/Components!$D$5)^2)</f>
        <v>-191.41296833454248</v>
      </c>
      <c r="O66" s="89">
        <f>IF(G66="","",-0.5*((J66-Components!$C$6)/Components!$D$6)^2)</f>
        <v>-5563.3223435225818</v>
      </c>
      <c r="P66" s="89">
        <f>IF(G66="","",-0.5*((J66-Components!$C$7)/Components!$D$7)^2)</f>
        <v>-5746.1900896807065</v>
      </c>
      <c r="Q66" s="89">
        <f t="shared" si="3"/>
        <v>1</v>
      </c>
      <c r="R66" s="89">
        <f t="shared" si="4"/>
        <v>1.5458957160820713E-82</v>
      </c>
      <c r="S66" s="89">
        <f t="shared" si="5"/>
        <v>1</v>
      </c>
      <c r="T66" s="89" t="str">
        <f t="shared" si="6"/>
        <v>NG</v>
      </c>
      <c r="U66" s="117">
        <f t="shared" si="7"/>
        <v>1</v>
      </c>
      <c r="V66" s="89" t="str">
        <f>IF(G66="","",IF(T66="OK","NONE",INDEX({"S1","S2","W1","W2","N1","N2"},MATCH(MAX(K66:P66),K66:P66,0))))</f>
        <v>S2</v>
      </c>
      <c r="W66" s="117">
        <f t="shared" si="8"/>
        <v>1</v>
      </c>
      <c r="X66" s="114" t="str">
        <f t="shared" si="9"/>
        <v>CONFIDENT</v>
      </c>
      <c r="Y66" s="107"/>
    </row>
    <row r="67" spans="1:25">
      <c r="A67" s="115">
        <v>58</v>
      </c>
      <c r="B67" s="135">
        <f>'Runs Z-Score'!B60</f>
        <v>2</v>
      </c>
      <c r="C67" s="89" t="str">
        <f>'Runs Z-Score'!C60</f>
        <v>R3</v>
      </c>
      <c r="D67" s="89" t="str">
        <f>'Runs Z-Score'!D60</f>
        <v>NG</v>
      </c>
      <c r="E67" s="89" t="str">
        <f>'Runs Z-Score'!E60</f>
        <v>S2</v>
      </c>
      <c r="F67" s="89">
        <f>'Runs Z-Score'!F60</f>
        <v>5.92</v>
      </c>
      <c r="G67" s="89">
        <f t="shared" si="0"/>
        <v>6.89</v>
      </c>
      <c r="H67" s="89">
        <f>VLOOKUP(C67,Recipes!$A$2:$N$4,10,FALSE())</f>
        <v>10.940000000000001</v>
      </c>
      <c r="I67" s="89">
        <f>VLOOKUP(C67,Recipes!$A$2:$N$4,12,FALSE())</f>
        <v>5.2703573566378441E-2</v>
      </c>
      <c r="J67" s="89">
        <f t="shared" si="2"/>
        <v>4.0500000000000016</v>
      </c>
      <c r="K67" s="89">
        <f>IF(G67="","",-0.5*((J67-Components!$C$2)/Components!$D$2)^2)</f>
        <v>-19246.96929824656</v>
      </c>
      <c r="L67" s="89">
        <f>IF(G67="","",-0.5*((J67-Components!$C$3)/Components!$D$3)^2)</f>
        <v>-0.51485507246392903</v>
      </c>
      <c r="M67" s="89">
        <f>IF(G67="","",-0.5*((J67-Components!$C$4)/Components!$D$4)^2)</f>
        <v>-23907.62843137265</v>
      </c>
      <c r="N67" s="89">
        <f>IF(G67="","",-0.5*((J67-Components!$C$5)/Components!$D$5)^2)</f>
        <v>-207.26938602852329</v>
      </c>
      <c r="O67" s="89">
        <f>IF(G67="","",-0.5*((J67-Components!$C$6)/Components!$D$6)^2)</f>
        <v>-5487.2262736535877</v>
      </c>
      <c r="P67" s="89">
        <f>IF(G67="","",-0.5*((J67-Components!$C$7)/Components!$D$7)^2)</f>
        <v>-5661.2408077319706</v>
      </c>
      <c r="Q67" s="89">
        <f t="shared" si="3"/>
        <v>1</v>
      </c>
      <c r="R67" s="89">
        <f t="shared" si="4"/>
        <v>1.6130509946101485E-90</v>
      </c>
      <c r="S67" s="89">
        <f t="shared" si="5"/>
        <v>1</v>
      </c>
      <c r="T67" s="89" t="str">
        <f t="shared" si="6"/>
        <v>NG</v>
      </c>
      <c r="U67" s="117">
        <f t="shared" si="7"/>
        <v>1</v>
      </c>
      <c r="V67" s="89" t="str">
        <f>IF(G67="","",IF(T67="OK","NONE",INDEX({"S1","S2","W1","W2","N1","N2"},MATCH(MAX(K67:P67),K67:P67,0))))</f>
        <v>S2</v>
      </c>
      <c r="W67" s="117">
        <f t="shared" si="8"/>
        <v>1</v>
      </c>
      <c r="X67" s="114" t="str">
        <f t="shared" si="9"/>
        <v>CONFIDENT</v>
      </c>
      <c r="Y67" s="107"/>
    </row>
    <row r="68" spans="1:25">
      <c r="A68" s="115">
        <v>59</v>
      </c>
      <c r="B68" s="135">
        <f>'Runs Z-Score'!B61</f>
        <v>2</v>
      </c>
      <c r="C68" s="89" t="str">
        <f>'Runs Z-Score'!C61</f>
        <v>R3</v>
      </c>
      <c r="D68" s="89" t="str">
        <f>'Runs Z-Score'!D61</f>
        <v>NG</v>
      </c>
      <c r="E68" s="89" t="str">
        <f>'Runs Z-Score'!E61</f>
        <v>S2</v>
      </c>
      <c r="F68" s="89">
        <f>'Runs Z-Score'!F61</f>
        <v>5.4</v>
      </c>
      <c r="G68" s="89">
        <f t="shared" si="0"/>
        <v>6.37</v>
      </c>
      <c r="H68" s="89">
        <f>VLOOKUP(C68,Recipes!$A$2:$N$4,10,FALSE())</f>
        <v>10.940000000000001</v>
      </c>
      <c r="I68" s="89">
        <f>VLOOKUP(C68,Recipes!$A$2:$N$4,12,FALSE())</f>
        <v>5.2703573566378441E-2</v>
      </c>
      <c r="J68" s="89">
        <f t="shared" si="2"/>
        <v>4.5700000000000012</v>
      </c>
      <c r="K68" s="89">
        <f>IF(G68="","",-0.5*((J68-Components!$C$2)/Components!$D$2)^2)</f>
        <v>-37779.495614036838</v>
      </c>
      <c r="L68" s="89">
        <f>IF(G68="","",-0.5*((J68-Components!$C$3)/Components!$D$3)^2)</f>
        <v>-749.05108695654496</v>
      </c>
      <c r="M68" s="89">
        <f>IF(G68="","",-0.5*((J68-Components!$C$4)/Components!$D$4)^2)</f>
        <v>-32733.863725490319</v>
      </c>
      <c r="N68" s="89">
        <f>IF(G68="","",-0.5*((J68-Components!$C$5)/Components!$D$5)^2)</f>
        <v>-4.2409958907390619E-2</v>
      </c>
      <c r="O68" s="89">
        <f>IF(G68="","",-0.5*((J68-Components!$C$6)/Components!$D$6)^2)</f>
        <v>-7636.0297671033768</v>
      </c>
      <c r="P68" s="89">
        <f>IF(G68="","",-0.5*((J68-Components!$C$7)/Components!$D$7)^2)</f>
        <v>-8075.5211204024063</v>
      </c>
      <c r="Q68" s="89">
        <f t="shared" si="3"/>
        <v>1</v>
      </c>
      <c r="R68" s="89">
        <f t="shared" si="4"/>
        <v>0</v>
      </c>
      <c r="S68" s="89">
        <f t="shared" si="5"/>
        <v>1</v>
      </c>
      <c r="T68" s="89" t="str">
        <f t="shared" si="6"/>
        <v>NG</v>
      </c>
      <c r="U68" s="117">
        <f t="shared" si="7"/>
        <v>1</v>
      </c>
      <c r="V68" s="89" t="str">
        <f>IF(G68="","",IF(T68="OK","NONE",INDEX({"S1","S2","W1","W2","N1","N2"},MATCH(MAX(K68:P68),K68:P68,0))))</f>
        <v>W2</v>
      </c>
      <c r="W68" s="122">
        <f t="shared" si="8"/>
        <v>0</v>
      </c>
      <c r="X68" s="114" t="str">
        <f t="shared" si="9"/>
        <v>CONFIDENT</v>
      </c>
      <c r="Y68" s="107"/>
    </row>
    <row r="69" spans="1:25">
      <c r="A69" s="115">
        <v>60</v>
      </c>
      <c r="B69" s="135">
        <f>'Runs Z-Score'!B62</f>
        <v>2</v>
      </c>
      <c r="C69" s="89" t="str">
        <f>'Runs Z-Score'!C62</f>
        <v>R3</v>
      </c>
      <c r="D69" s="89" t="str">
        <f>'Runs Z-Score'!D62</f>
        <v>NG</v>
      </c>
      <c r="E69" s="89" t="str">
        <f>'Runs Z-Score'!E62</f>
        <v>S2</v>
      </c>
      <c r="F69" s="89">
        <f>'Runs Z-Score'!F62</f>
        <v>5.8</v>
      </c>
      <c r="G69" s="89">
        <f t="shared" si="0"/>
        <v>6.77</v>
      </c>
      <c r="H69" s="89">
        <f>VLOOKUP(C69,Recipes!$A$2:$N$4,10,FALSE())</f>
        <v>10.940000000000001</v>
      </c>
      <c r="I69" s="89">
        <f>VLOOKUP(C69,Recipes!$A$2:$N$4,12,FALSE())</f>
        <v>5.2703573566378441E-2</v>
      </c>
      <c r="J69" s="89">
        <f t="shared" si="2"/>
        <v>4.1700000000000017</v>
      </c>
      <c r="K69" s="89">
        <f>IF(G69="","",-0.5*((J69-Components!$C$2)/Components!$D$2)^2)</f>
        <v>-22974.232456141468</v>
      </c>
      <c r="L69" s="89">
        <f>IF(G69="","",-0.5*((J69-Components!$C$3)/Components!$D$3)^2)</f>
        <v>-47.16702898550993</v>
      </c>
      <c r="M69" s="89">
        <f>IF(G69="","",-0.5*((J69-Components!$C$4)/Components!$D$4)^2)</f>
        <v>-25821.628431372661</v>
      </c>
      <c r="N69" s="89">
        <f>IF(G69="","",-0.5*((J69-Components!$C$5)/Components!$D$5)^2)</f>
        <v>-121.59425912497012</v>
      </c>
      <c r="O69" s="89">
        <f>IF(G69="","",-0.5*((J69-Components!$C$6)/Components!$D$6)^2)</f>
        <v>-5951.6629548762976</v>
      </c>
      <c r="P69" s="89">
        <f>IF(G69="","",-0.5*((J69-Components!$C$7)/Components!$D$7)^2)</f>
        <v>-6180.4256832091614</v>
      </c>
      <c r="Q69" s="89">
        <f t="shared" si="3"/>
        <v>1</v>
      </c>
      <c r="R69" s="89">
        <f t="shared" si="4"/>
        <v>4.7496832392219352E-33</v>
      </c>
      <c r="S69" s="89">
        <f t="shared" si="5"/>
        <v>1</v>
      </c>
      <c r="T69" s="89" t="str">
        <f t="shared" si="6"/>
        <v>NG</v>
      </c>
      <c r="U69" s="117">
        <f t="shared" si="7"/>
        <v>1</v>
      </c>
      <c r="V69" s="89" t="str">
        <f>IF(G69="","",IF(T69="OK","NONE",INDEX({"S1","S2","W1","W2","N1","N2"},MATCH(MAX(K69:P69),K69:P69,0))))</f>
        <v>S2</v>
      </c>
      <c r="W69" s="117">
        <f t="shared" si="8"/>
        <v>1</v>
      </c>
      <c r="X69" s="114" t="str">
        <f t="shared" si="9"/>
        <v>CONFIDENT</v>
      </c>
      <c r="Y69" s="107"/>
    </row>
    <row r="70" spans="1:25">
      <c r="A70" s="115">
        <v>61</v>
      </c>
      <c r="B70" s="135">
        <f>'Runs Z-Score'!B63</f>
        <v>3</v>
      </c>
      <c r="C70" s="89" t="str">
        <f>'Runs Z-Score'!C63</f>
        <v>R3</v>
      </c>
      <c r="D70" s="89" t="str">
        <f>'Runs Z-Score'!D63</f>
        <v>NG</v>
      </c>
      <c r="E70" s="89" t="str">
        <f>'Runs Z-Score'!E63</f>
        <v>W2</v>
      </c>
      <c r="F70" s="89">
        <f>'Runs Z-Score'!F63</f>
        <v>5.4</v>
      </c>
      <c r="G70" s="89">
        <f t="shared" si="0"/>
        <v>6.37</v>
      </c>
      <c r="H70" s="89">
        <f>VLOOKUP(C70,Recipes!$A$2:$N$4,10,FALSE())</f>
        <v>10.940000000000001</v>
      </c>
      <c r="I70" s="89">
        <f>VLOOKUP(C70,Recipes!$A$2:$N$4,12,FALSE())</f>
        <v>5.2703573566378441E-2</v>
      </c>
      <c r="J70" s="89">
        <f t="shared" si="2"/>
        <v>4.5700000000000012</v>
      </c>
      <c r="K70" s="89">
        <f>IF(G70="","",-0.5*((J70-Components!$C$2)/Components!$D$2)^2)</f>
        <v>-37779.495614036838</v>
      </c>
      <c r="L70" s="89">
        <f>IF(G70="","",-0.5*((J70-Components!$C$3)/Components!$D$3)^2)</f>
        <v>-749.05108695654496</v>
      </c>
      <c r="M70" s="89">
        <f>IF(G70="","",-0.5*((J70-Components!$C$4)/Components!$D$4)^2)</f>
        <v>-32733.863725490319</v>
      </c>
      <c r="N70" s="89">
        <f>IF(G70="","",-0.5*((J70-Components!$C$5)/Components!$D$5)^2)</f>
        <v>-4.2409958907390619E-2</v>
      </c>
      <c r="O70" s="89">
        <f>IF(G70="","",-0.5*((J70-Components!$C$6)/Components!$D$6)^2)</f>
        <v>-7636.0297671033768</v>
      </c>
      <c r="P70" s="89">
        <f>IF(G70="","",-0.5*((J70-Components!$C$7)/Components!$D$7)^2)</f>
        <v>-8075.5211204024063</v>
      </c>
      <c r="Q70" s="89">
        <f t="shared" si="3"/>
        <v>1</v>
      </c>
      <c r="R70" s="89">
        <f t="shared" si="4"/>
        <v>0</v>
      </c>
      <c r="S70" s="89">
        <f t="shared" si="5"/>
        <v>1</v>
      </c>
      <c r="T70" s="89" t="str">
        <f t="shared" si="6"/>
        <v>NG</v>
      </c>
      <c r="U70" s="117">
        <f t="shared" si="7"/>
        <v>1</v>
      </c>
      <c r="V70" s="89" t="str">
        <f>IF(G70="","",IF(T70="OK","NONE",INDEX({"S1","S2","W1","W2","N1","N2"},MATCH(MAX(K70:P70),K70:P70,0))))</f>
        <v>W2</v>
      </c>
      <c r="W70" s="117">
        <f t="shared" si="8"/>
        <v>1</v>
      </c>
      <c r="X70" s="114" t="str">
        <f t="shared" si="9"/>
        <v>CONFIDENT</v>
      </c>
      <c r="Y70" s="107"/>
    </row>
    <row r="71" spans="1:25">
      <c r="A71" s="115">
        <v>62</v>
      </c>
      <c r="B71" s="135">
        <f>'Runs Z-Score'!B64</f>
        <v>3</v>
      </c>
      <c r="C71" s="89" t="str">
        <f>'Runs Z-Score'!C64</f>
        <v>R3</v>
      </c>
      <c r="D71" s="89" t="str">
        <f>'Runs Z-Score'!D64</f>
        <v>NG</v>
      </c>
      <c r="E71" s="89" t="str">
        <f>'Runs Z-Score'!E64</f>
        <v>W2</v>
      </c>
      <c r="F71" s="89">
        <f>'Runs Z-Score'!F64</f>
        <v>5.45</v>
      </c>
      <c r="G71" s="89">
        <f t="shared" si="0"/>
        <v>6.42</v>
      </c>
      <c r="H71" s="89">
        <f>VLOOKUP(C71,Recipes!$A$2:$N$4,10,FALSE())</f>
        <v>10.940000000000001</v>
      </c>
      <c r="I71" s="89">
        <f>VLOOKUP(C71,Recipes!$A$2:$N$4,12,FALSE())</f>
        <v>5.2703573566378441E-2</v>
      </c>
      <c r="J71" s="89">
        <f t="shared" si="2"/>
        <v>4.5200000000000014</v>
      </c>
      <c r="K71" s="89">
        <f>IF(G71="","",-0.5*((J71-Components!$C$2)/Components!$D$2)^2)</f>
        <v>-35728.508771931498</v>
      </c>
      <c r="L71" s="89">
        <f>IF(G71="","",-0.5*((J71-Components!$C$3)/Components!$D$3)^2)</f>
        <v>-615.34637681161428</v>
      </c>
      <c r="M71" s="89">
        <f>IF(G71="","",-0.5*((J71-Components!$C$4)/Components!$D$4)^2)</f>
        <v>-31825.054901960906</v>
      </c>
      <c r="N71" s="89">
        <f>IF(G71="","",-0.5*((J71-Components!$C$5)/Components!$D$5)^2)</f>
        <v>-1.4356296833455702</v>
      </c>
      <c r="O71" s="89">
        <f>IF(G71="","",-0.5*((J71-Components!$C$6)/Components!$D$6)^2)</f>
        <v>-7414.0210334789226</v>
      </c>
      <c r="P71" s="89">
        <f>IF(G71="","",-0.5*((J71-Components!$C$7)/Components!$D$7)^2)</f>
        <v>-7824.7957977337992</v>
      </c>
      <c r="Q71" s="89">
        <f t="shared" si="3"/>
        <v>1</v>
      </c>
      <c r="R71" s="89">
        <f t="shared" si="4"/>
        <v>2.40962877686343E-267</v>
      </c>
      <c r="S71" s="89">
        <f t="shared" si="5"/>
        <v>1</v>
      </c>
      <c r="T71" s="89" t="str">
        <f t="shared" si="6"/>
        <v>NG</v>
      </c>
      <c r="U71" s="117">
        <f t="shared" si="7"/>
        <v>1</v>
      </c>
      <c r="V71" s="89" t="str">
        <f>IF(G71="","",IF(T71="OK","NONE",INDEX({"S1","S2","W1","W2","N1","N2"},MATCH(MAX(K71:P71),K71:P71,0))))</f>
        <v>W2</v>
      </c>
      <c r="W71" s="117">
        <f t="shared" si="8"/>
        <v>1</v>
      </c>
      <c r="X71" s="114" t="str">
        <f t="shared" si="9"/>
        <v>CONFIDENT</v>
      </c>
      <c r="Y71" s="107"/>
    </row>
    <row r="72" spans="1:25">
      <c r="A72" s="115">
        <v>63</v>
      </c>
      <c r="B72" s="135">
        <f>'Runs Z-Score'!B65</f>
        <v>3</v>
      </c>
      <c r="C72" s="89" t="str">
        <f>'Runs Z-Score'!C65</f>
        <v>R3</v>
      </c>
      <c r="D72" s="89" t="str">
        <f>'Runs Z-Score'!D65</f>
        <v>NG</v>
      </c>
      <c r="E72" s="89" t="str">
        <f>'Runs Z-Score'!E65</f>
        <v>W2</v>
      </c>
      <c r="F72" s="89">
        <f>'Runs Z-Score'!F65</f>
        <v>5.42</v>
      </c>
      <c r="G72" s="89">
        <f t="shared" si="0"/>
        <v>6.39</v>
      </c>
      <c r="H72" s="89">
        <f>VLOOKUP(C72,Recipes!$A$2:$N$4,10,FALSE())</f>
        <v>10.940000000000001</v>
      </c>
      <c r="I72" s="89">
        <f>VLOOKUP(C72,Recipes!$A$2:$N$4,12,FALSE())</f>
        <v>5.2703573566378441E-2</v>
      </c>
      <c r="J72" s="89">
        <f t="shared" si="2"/>
        <v>4.5500000000000016</v>
      </c>
      <c r="K72" s="89">
        <f>IF(G72="","",-0.5*((J72-Components!$C$2)/Components!$D$2)^2)</f>
        <v>-36952.23245614209</v>
      </c>
      <c r="L72" s="89">
        <f>IF(G72="","",-0.5*((J72-Components!$C$3)/Components!$D$3)^2)</f>
        <v>-693.99311594205187</v>
      </c>
      <c r="M72" s="89">
        <f>IF(G72="","",-0.5*((J72-Components!$C$4)/Components!$D$4)^2)</f>
        <v>-32368.804901960913</v>
      </c>
      <c r="N72" s="89">
        <f>IF(G72="","",-0.5*((J72-Components!$C$5)/Components!$D$5)^2)</f>
        <v>-0.12652888566598366</v>
      </c>
      <c r="O72" s="89">
        <f>IF(G72="","",-0.5*((J72-Components!$C$6)/Components!$D$6)^2)</f>
        <v>-7546.8332605531605</v>
      </c>
      <c r="P72" s="89">
        <f>IF(G72="","",-0.5*((J72-Components!$C$7)/Components!$D$7)^2)</f>
        <v>-7974.7565321457278</v>
      </c>
      <c r="Q72" s="89">
        <f t="shared" si="3"/>
        <v>1</v>
      </c>
      <c r="R72" s="89">
        <f t="shared" si="4"/>
        <v>4.5453786151164605E-302</v>
      </c>
      <c r="S72" s="89">
        <f t="shared" si="5"/>
        <v>1</v>
      </c>
      <c r="T72" s="89" t="str">
        <f t="shared" si="6"/>
        <v>NG</v>
      </c>
      <c r="U72" s="117">
        <f t="shared" si="7"/>
        <v>1</v>
      </c>
      <c r="V72" s="89" t="str">
        <f>IF(G72="","",IF(T72="OK","NONE",INDEX({"S1","S2","W1","W2","N1","N2"},MATCH(MAX(K72:P72),K72:P72,0))))</f>
        <v>W2</v>
      </c>
      <c r="W72" s="117">
        <f t="shared" si="8"/>
        <v>1</v>
      </c>
      <c r="X72" s="114" t="str">
        <f t="shared" si="9"/>
        <v>CONFIDENT</v>
      </c>
      <c r="Y72" s="107"/>
    </row>
    <row r="73" spans="1:25">
      <c r="A73" s="115">
        <v>64</v>
      </c>
      <c r="B73" s="135">
        <f>'Runs Z-Score'!B66</f>
        <v>3</v>
      </c>
      <c r="C73" s="89" t="str">
        <f>'Runs Z-Score'!C66</f>
        <v>R3</v>
      </c>
      <c r="D73" s="89" t="str">
        <f>'Runs Z-Score'!D66</f>
        <v>NG</v>
      </c>
      <c r="E73" s="89" t="str">
        <f>'Runs Z-Score'!E66</f>
        <v>W2</v>
      </c>
      <c r="F73" s="89">
        <f>'Runs Z-Score'!F66</f>
        <v>5.42</v>
      </c>
      <c r="G73" s="89">
        <f t="shared" si="0"/>
        <v>6.39</v>
      </c>
      <c r="H73" s="89">
        <f>VLOOKUP(C73,Recipes!$A$2:$N$4,10,FALSE())</f>
        <v>10.940000000000001</v>
      </c>
      <c r="I73" s="89">
        <f>VLOOKUP(C73,Recipes!$A$2:$N$4,12,FALSE())</f>
        <v>5.2703573566378441E-2</v>
      </c>
      <c r="J73" s="89">
        <f t="shared" si="2"/>
        <v>4.5500000000000016</v>
      </c>
      <c r="K73" s="89">
        <f>IF(G73="","",-0.5*((J73-Components!$C$2)/Components!$D$2)^2)</f>
        <v>-36952.23245614209</v>
      </c>
      <c r="L73" s="89">
        <f>IF(G73="","",-0.5*((J73-Components!$C$3)/Components!$D$3)^2)</f>
        <v>-693.99311594205187</v>
      </c>
      <c r="M73" s="89">
        <f>IF(G73="","",-0.5*((J73-Components!$C$4)/Components!$D$4)^2)</f>
        <v>-32368.804901960913</v>
      </c>
      <c r="N73" s="89">
        <f>IF(G73="","",-0.5*((J73-Components!$C$5)/Components!$D$5)^2)</f>
        <v>-0.12652888566598366</v>
      </c>
      <c r="O73" s="89">
        <f>IF(G73="","",-0.5*((J73-Components!$C$6)/Components!$D$6)^2)</f>
        <v>-7546.8332605531605</v>
      </c>
      <c r="P73" s="89">
        <f>IF(G73="","",-0.5*((J73-Components!$C$7)/Components!$D$7)^2)</f>
        <v>-7974.7565321457278</v>
      </c>
      <c r="Q73" s="89">
        <f t="shared" si="3"/>
        <v>1</v>
      </c>
      <c r="R73" s="89">
        <f t="shared" si="4"/>
        <v>4.5453786151164605E-302</v>
      </c>
      <c r="S73" s="89">
        <f t="shared" si="5"/>
        <v>1</v>
      </c>
      <c r="T73" s="89" t="str">
        <f t="shared" si="6"/>
        <v>NG</v>
      </c>
      <c r="U73" s="117">
        <f t="shared" si="7"/>
        <v>1</v>
      </c>
      <c r="V73" s="89" t="str">
        <f>IF(G73="","",IF(T73="OK","NONE",INDEX({"S1","S2","W1","W2","N1","N2"},MATCH(MAX(K73:P73),K73:P73,0))))</f>
        <v>W2</v>
      </c>
      <c r="W73" s="117">
        <f t="shared" si="8"/>
        <v>1</v>
      </c>
      <c r="X73" s="114" t="str">
        <f t="shared" si="9"/>
        <v>CONFIDENT</v>
      </c>
      <c r="Y73" s="107"/>
    </row>
    <row r="74" spans="1:25">
      <c r="A74" s="115">
        <v>65</v>
      </c>
      <c r="B74" s="135">
        <f>'Runs Z-Score'!B67</f>
        <v>3</v>
      </c>
      <c r="C74" s="89" t="str">
        <f>'Runs Z-Score'!C67</f>
        <v>R3</v>
      </c>
      <c r="D74" s="89" t="str">
        <f>'Runs Z-Score'!D67</f>
        <v>NG</v>
      </c>
      <c r="E74" s="89" t="str">
        <f>'Runs Z-Score'!E67</f>
        <v>W2</v>
      </c>
      <c r="F74" s="89">
        <f>'Runs Z-Score'!F67</f>
        <v>5.42</v>
      </c>
      <c r="G74" s="89">
        <f t="shared" ref="G74:G137" si="10">0.97+F74</f>
        <v>6.39</v>
      </c>
      <c r="H74" s="89">
        <f>VLOOKUP(C74,Recipes!$A$2:$N$4,10,FALSE())</f>
        <v>10.940000000000001</v>
      </c>
      <c r="I74" s="89">
        <f>VLOOKUP(C74,Recipes!$A$2:$N$4,12,FALSE())</f>
        <v>5.2703573566378441E-2</v>
      </c>
      <c r="J74" s="89">
        <f t="shared" si="2"/>
        <v>4.5500000000000016</v>
      </c>
      <c r="K74" s="89">
        <f>IF(G74="","",-0.5*((J74-Components!$C$2)/Components!$D$2)^2)</f>
        <v>-36952.23245614209</v>
      </c>
      <c r="L74" s="89">
        <f>IF(G74="","",-0.5*((J74-Components!$C$3)/Components!$D$3)^2)</f>
        <v>-693.99311594205187</v>
      </c>
      <c r="M74" s="89">
        <f>IF(G74="","",-0.5*((J74-Components!$C$4)/Components!$D$4)^2)</f>
        <v>-32368.804901960913</v>
      </c>
      <c r="N74" s="89">
        <f>IF(G74="","",-0.5*((J74-Components!$C$5)/Components!$D$5)^2)</f>
        <v>-0.12652888566598366</v>
      </c>
      <c r="O74" s="89">
        <f>IF(G74="","",-0.5*((J74-Components!$C$6)/Components!$D$6)^2)</f>
        <v>-7546.8332605531605</v>
      </c>
      <c r="P74" s="89">
        <f>IF(G74="","",-0.5*((J74-Components!$C$7)/Components!$D$7)^2)</f>
        <v>-7974.7565321457278</v>
      </c>
      <c r="Q74" s="89">
        <f t="shared" si="3"/>
        <v>1</v>
      </c>
      <c r="R74" s="89">
        <f t="shared" si="4"/>
        <v>4.5453786151164605E-302</v>
      </c>
      <c r="S74" s="89">
        <f t="shared" si="5"/>
        <v>1</v>
      </c>
      <c r="T74" s="89" t="str">
        <f t="shared" si="6"/>
        <v>NG</v>
      </c>
      <c r="U74" s="117">
        <f t="shared" si="7"/>
        <v>1</v>
      </c>
      <c r="V74" s="89" t="str">
        <f>IF(G74="","",IF(T74="OK","NONE",INDEX({"S1","S2","W1","W2","N1","N2"},MATCH(MAX(K74:P74),K74:P74,0))))</f>
        <v>W2</v>
      </c>
      <c r="W74" s="117">
        <f t="shared" si="8"/>
        <v>1</v>
      </c>
      <c r="X74" s="114" t="str">
        <f t="shared" si="9"/>
        <v>CONFIDENT</v>
      </c>
      <c r="Y74" s="107"/>
    </row>
    <row r="75" spans="1:25">
      <c r="A75" s="115">
        <v>66</v>
      </c>
      <c r="B75" s="135">
        <f>'Runs Z-Score'!B68</f>
        <v>3</v>
      </c>
      <c r="C75" s="89" t="str">
        <f>'Runs Z-Score'!C68</f>
        <v>R3</v>
      </c>
      <c r="D75" s="89" t="str">
        <f>'Runs Z-Score'!D68</f>
        <v>NG</v>
      </c>
      <c r="E75" s="89" t="str">
        <f>'Runs Z-Score'!E68</f>
        <v>W2</v>
      </c>
      <c r="F75" s="89">
        <f>'Runs Z-Score'!F68</f>
        <v>5.42</v>
      </c>
      <c r="G75" s="89">
        <f t="shared" si="10"/>
        <v>6.39</v>
      </c>
      <c r="H75" s="89">
        <f>VLOOKUP(C75,Recipes!$A$2:$N$4,10,FALSE())</f>
        <v>10.940000000000001</v>
      </c>
      <c r="I75" s="89">
        <f>VLOOKUP(C75,Recipes!$A$2:$N$4,12,FALSE())</f>
        <v>5.2703573566378441E-2</v>
      </c>
      <c r="J75" s="89">
        <f t="shared" ref="J75:J138" si="11">IF(G75="","",H75-G75)</f>
        <v>4.5500000000000016</v>
      </c>
      <c r="K75" s="89">
        <f>IF(G75="","",-0.5*((J75-Components!$C$2)/Components!$D$2)^2)</f>
        <v>-36952.23245614209</v>
      </c>
      <c r="L75" s="89">
        <f>IF(G75="","",-0.5*((J75-Components!$C$3)/Components!$D$3)^2)</f>
        <v>-693.99311594205187</v>
      </c>
      <c r="M75" s="89">
        <f>IF(G75="","",-0.5*((J75-Components!$C$4)/Components!$D$4)^2)</f>
        <v>-32368.804901960913</v>
      </c>
      <c r="N75" s="89">
        <f>IF(G75="","",-0.5*((J75-Components!$C$5)/Components!$D$5)^2)</f>
        <v>-0.12652888566598366</v>
      </c>
      <c r="O75" s="89">
        <f>IF(G75="","",-0.5*((J75-Components!$C$6)/Components!$D$6)^2)</f>
        <v>-7546.8332605531605</v>
      </c>
      <c r="P75" s="89">
        <f>IF(G75="","",-0.5*((J75-Components!$C$7)/Components!$D$7)^2)</f>
        <v>-7974.7565321457278</v>
      </c>
      <c r="Q75" s="89">
        <f t="shared" ref="Q75:Q138" si="12">IF(G75="","",EXP(LARGE(K75:P75,1)-MAX(K75:P75))/(EXP(K75-MAX(K75:P75))+EXP(L75-MAX(K75:P75))+EXP(M75-MAX(K75:P75))+EXP(N75-MAX(K75:P75))+EXP(O75-MAX(K75:P75))+EXP(P75-MAX(K75:P75))))</f>
        <v>1</v>
      </c>
      <c r="R75" s="89">
        <f t="shared" ref="R75:R138" si="13">IF(G75="","",EXP(LARGE(K75:P75,2)-MAX(K75:P75))/(EXP(K75-MAX(K75:P75))+EXP(L75-MAX(K75:P75))+EXP(M75-MAX(K75:P75))+EXP(N75-MAX(K75:P75))+EXP(O75-MAX(K75:P75))+EXP(P75-MAX(K75:P75))))</f>
        <v>4.5453786151164605E-302</v>
      </c>
      <c r="S75" s="89">
        <f t="shared" ref="S75:S138" si="14">IF(G75="","",Q75-R75)</f>
        <v>1</v>
      </c>
      <c r="T75" s="89" t="str">
        <f t="shared" ref="T75:T138" si="15">IF(G75="","",IF(AND(G75&gt;=H75-$B$6*I75,G75&lt;=H75+$B$6*I75),"OK","NG"))</f>
        <v>NG</v>
      </c>
      <c r="U75" s="117">
        <f t="shared" ref="U75:U138" si="16">IF(T75="","",IF(T75=D75,1,0))</f>
        <v>1</v>
      </c>
      <c r="V75" s="89" t="str">
        <f>IF(G75="","",IF(T75="OK","NONE",INDEX({"S1","S2","W1","W2","N1","N2"},MATCH(MAX(K75:P75),K75:P75,0))))</f>
        <v>W2</v>
      </c>
      <c r="W75" s="117">
        <f t="shared" ref="W75:W138" si="17">IF(G75="","",IF(V75=E75,1,0))</f>
        <v>1</v>
      </c>
      <c r="X75" s="114" t="str">
        <f t="shared" ref="X75:X138" si="18">IF(G75="","",IF(AND(T75="NG",S75&lt;$B$7),"AMBIGUOUS","CONFIDENT"))</f>
        <v>CONFIDENT</v>
      </c>
      <c r="Y75" s="107"/>
    </row>
    <row r="76" spans="1:25">
      <c r="A76" s="115">
        <v>67</v>
      </c>
      <c r="B76" s="135">
        <f>'Runs Z-Score'!B69</f>
        <v>3</v>
      </c>
      <c r="C76" s="89" t="str">
        <f>'Runs Z-Score'!C69</f>
        <v>R3</v>
      </c>
      <c r="D76" s="89" t="str">
        <f>'Runs Z-Score'!D69</f>
        <v>NG</v>
      </c>
      <c r="E76" s="89" t="str">
        <f>'Runs Z-Score'!E69</f>
        <v>W2</v>
      </c>
      <c r="F76" s="89">
        <f>'Runs Z-Score'!F69</f>
        <v>5.45</v>
      </c>
      <c r="G76" s="89">
        <f t="shared" si="10"/>
        <v>6.42</v>
      </c>
      <c r="H76" s="89">
        <f>VLOOKUP(C76,Recipes!$A$2:$N$4,10,FALSE())</f>
        <v>10.940000000000001</v>
      </c>
      <c r="I76" s="89">
        <f>VLOOKUP(C76,Recipes!$A$2:$N$4,12,FALSE())</f>
        <v>5.2703573566378441E-2</v>
      </c>
      <c r="J76" s="89">
        <f t="shared" si="11"/>
        <v>4.5200000000000014</v>
      </c>
      <c r="K76" s="89">
        <f>IF(G76="","",-0.5*((J76-Components!$C$2)/Components!$D$2)^2)</f>
        <v>-35728.508771931498</v>
      </c>
      <c r="L76" s="89">
        <f>IF(G76="","",-0.5*((J76-Components!$C$3)/Components!$D$3)^2)</f>
        <v>-615.34637681161428</v>
      </c>
      <c r="M76" s="89">
        <f>IF(G76="","",-0.5*((J76-Components!$C$4)/Components!$D$4)^2)</f>
        <v>-31825.054901960906</v>
      </c>
      <c r="N76" s="89">
        <f>IF(G76="","",-0.5*((J76-Components!$C$5)/Components!$D$5)^2)</f>
        <v>-1.4356296833455702</v>
      </c>
      <c r="O76" s="89">
        <f>IF(G76="","",-0.5*((J76-Components!$C$6)/Components!$D$6)^2)</f>
        <v>-7414.0210334789226</v>
      </c>
      <c r="P76" s="89">
        <f>IF(G76="","",-0.5*((J76-Components!$C$7)/Components!$D$7)^2)</f>
        <v>-7824.7957977337992</v>
      </c>
      <c r="Q76" s="89">
        <f t="shared" si="12"/>
        <v>1</v>
      </c>
      <c r="R76" s="89">
        <f t="shared" si="13"/>
        <v>2.40962877686343E-267</v>
      </c>
      <c r="S76" s="89">
        <f t="shared" si="14"/>
        <v>1</v>
      </c>
      <c r="T76" s="89" t="str">
        <f t="shared" si="15"/>
        <v>NG</v>
      </c>
      <c r="U76" s="117">
        <f t="shared" si="16"/>
        <v>1</v>
      </c>
      <c r="V76" s="89" t="str">
        <f>IF(G76="","",IF(T76="OK","NONE",INDEX({"S1","S2","W1","W2","N1","N2"},MATCH(MAX(K76:P76),K76:P76,0))))</f>
        <v>W2</v>
      </c>
      <c r="W76" s="117">
        <f t="shared" si="17"/>
        <v>1</v>
      </c>
      <c r="X76" s="114" t="str">
        <f t="shared" si="18"/>
        <v>CONFIDENT</v>
      </c>
      <c r="Y76" s="107"/>
    </row>
    <row r="77" spans="1:25">
      <c r="A77" s="115">
        <v>68</v>
      </c>
      <c r="B77" s="135">
        <f>'Runs Z-Score'!B70</f>
        <v>3</v>
      </c>
      <c r="C77" s="89" t="str">
        <f>'Runs Z-Score'!C70</f>
        <v>R3</v>
      </c>
      <c r="D77" s="89" t="str">
        <f>'Runs Z-Score'!D70</f>
        <v>NG</v>
      </c>
      <c r="E77" s="89" t="str">
        <f>'Runs Z-Score'!E70</f>
        <v>W2</v>
      </c>
      <c r="F77" s="89">
        <f>'Runs Z-Score'!F70</f>
        <v>5.41</v>
      </c>
      <c r="G77" s="89">
        <f t="shared" si="10"/>
        <v>6.38</v>
      </c>
      <c r="H77" s="89">
        <f>VLOOKUP(C77,Recipes!$A$2:$N$4,10,FALSE())</f>
        <v>10.940000000000001</v>
      </c>
      <c r="I77" s="89">
        <f>VLOOKUP(C77,Recipes!$A$2:$N$4,12,FALSE())</f>
        <v>5.2703573566378441E-2</v>
      </c>
      <c r="J77" s="89">
        <f t="shared" si="11"/>
        <v>4.5600000000000014</v>
      </c>
      <c r="K77" s="89">
        <f>IF(G77="","",-0.5*((J77-Components!$C$2)/Components!$D$2)^2)</f>
        <v>-37364.719298247364</v>
      </c>
      <c r="L77" s="89">
        <f>IF(G77="","",-0.5*((J77-Components!$C$3)/Components!$D$3)^2)</f>
        <v>-721.25942028987834</v>
      </c>
      <c r="M77" s="89">
        <f>IF(G77="","",-0.5*((J77-Components!$C$4)/Components!$D$4)^2)</f>
        <v>-32551.078431372673</v>
      </c>
      <c r="N77" s="89">
        <f>IF(G77="","",-0.5*((J77-Components!$C$5)/Components!$D$5)^2)</f>
        <v>-5.6079284505779741E-3</v>
      </c>
      <c r="O77" s="89">
        <f>IF(G77="","",-0.5*((J77-Components!$C$6)/Components!$D$6)^2)</f>
        <v>-7591.3660116448627</v>
      </c>
      <c r="P77" s="89">
        <f>IF(G77="","",-0.5*((J77-Components!$C$7)/Components!$D$7)^2)</f>
        <v>-8025.0597497425269</v>
      </c>
      <c r="Q77" s="89">
        <f t="shared" si="12"/>
        <v>1</v>
      </c>
      <c r="R77" s="89">
        <f t="shared" si="13"/>
        <v>0</v>
      </c>
      <c r="S77" s="89">
        <f t="shared" si="14"/>
        <v>1</v>
      </c>
      <c r="T77" s="89" t="str">
        <f t="shared" si="15"/>
        <v>NG</v>
      </c>
      <c r="U77" s="117">
        <f t="shared" si="16"/>
        <v>1</v>
      </c>
      <c r="V77" s="89" t="str">
        <f>IF(G77="","",IF(T77="OK","NONE",INDEX({"S1","S2","W1","W2","N1","N2"},MATCH(MAX(K77:P77),K77:P77,0))))</f>
        <v>W2</v>
      </c>
      <c r="W77" s="117">
        <f t="shared" si="17"/>
        <v>1</v>
      </c>
      <c r="X77" s="114" t="str">
        <f t="shared" si="18"/>
        <v>CONFIDENT</v>
      </c>
      <c r="Y77" s="107"/>
    </row>
    <row r="78" spans="1:25">
      <c r="A78" s="115">
        <v>69</v>
      </c>
      <c r="B78" s="135">
        <f>'Runs Z-Score'!B71</f>
        <v>3</v>
      </c>
      <c r="C78" s="89" t="str">
        <f>'Runs Z-Score'!C71</f>
        <v>R3</v>
      </c>
      <c r="D78" s="89" t="str">
        <f>'Runs Z-Score'!D71</f>
        <v>NG</v>
      </c>
      <c r="E78" s="89" t="str">
        <f>'Runs Z-Score'!E71</f>
        <v>W2</v>
      </c>
      <c r="F78" s="89">
        <f>'Runs Z-Score'!F71</f>
        <v>5.38</v>
      </c>
      <c r="G78" s="89">
        <f t="shared" si="10"/>
        <v>6.35</v>
      </c>
      <c r="H78" s="89">
        <f>VLOOKUP(C78,Recipes!$A$2:$N$4,10,FALSE())</f>
        <v>10.940000000000001</v>
      </c>
      <c r="I78" s="89">
        <f>VLOOKUP(C78,Recipes!$A$2:$N$4,12,FALSE())</f>
        <v>5.2703573566378441E-2</v>
      </c>
      <c r="J78" s="89">
        <f t="shared" si="11"/>
        <v>4.5900000000000016</v>
      </c>
      <c r="K78" s="89">
        <f>IF(G78="","",-0.5*((J78-Components!$C$2)/Components!$D$2)^2)</f>
        <v>-38615.916666668476</v>
      </c>
      <c r="L78" s="89">
        <f>IF(G78="","",-0.5*((J78-Components!$C$3)/Components!$D$3)^2)</f>
        <v>-806.21050724640315</v>
      </c>
      <c r="M78" s="89">
        <f>IF(G78="","",-0.5*((J78-Components!$C$4)/Components!$D$4)^2)</f>
        <v>-33100.969607843275</v>
      </c>
      <c r="N78" s="89">
        <f>IF(G78="","",-0.5*((J78-Components!$C$5)/Components!$D$5)^2)</f>
        <v>-0.58918298283770931</v>
      </c>
      <c r="O78" s="89">
        <f>IF(G78="","",-0.5*((J78-Components!$C$6)/Components!$D$6)^2)</f>
        <v>-7725.7502911208458</v>
      </c>
      <c r="P78" s="89">
        <f>IF(G78="","",-0.5*((J78-Components!$C$7)/Components!$D$7)^2)</f>
        <v>-8176.9183209114071</v>
      </c>
      <c r="Q78" s="89">
        <f t="shared" si="12"/>
        <v>1</v>
      </c>
      <c r="R78" s="89">
        <f t="shared" si="13"/>
        <v>0</v>
      </c>
      <c r="S78" s="89">
        <f t="shared" si="14"/>
        <v>1</v>
      </c>
      <c r="T78" s="89" t="str">
        <f t="shared" si="15"/>
        <v>NG</v>
      </c>
      <c r="U78" s="117">
        <f t="shared" si="16"/>
        <v>1</v>
      </c>
      <c r="V78" s="89" t="str">
        <f>IF(G78="","",IF(T78="OK","NONE",INDEX({"S1","S2","W1","W2","N1","N2"},MATCH(MAX(K78:P78),K78:P78,0))))</f>
        <v>W2</v>
      </c>
      <c r="W78" s="117">
        <f t="shared" si="17"/>
        <v>1</v>
      </c>
      <c r="X78" s="114" t="str">
        <f t="shared" si="18"/>
        <v>CONFIDENT</v>
      </c>
      <c r="Y78" s="107"/>
    </row>
    <row r="79" spans="1:25">
      <c r="A79" s="115">
        <v>70</v>
      </c>
      <c r="B79" s="135">
        <f>'Runs Z-Score'!B72</f>
        <v>3</v>
      </c>
      <c r="C79" s="89" t="str">
        <f>'Runs Z-Score'!C72</f>
        <v>R3</v>
      </c>
      <c r="D79" s="89" t="str">
        <f>'Runs Z-Score'!D72</f>
        <v>NG</v>
      </c>
      <c r="E79" s="89" t="str">
        <f>'Runs Z-Score'!E72</f>
        <v>W2</v>
      </c>
      <c r="F79" s="89">
        <f>'Runs Z-Score'!F72</f>
        <v>5.37</v>
      </c>
      <c r="G79" s="89">
        <f t="shared" si="10"/>
        <v>6.34</v>
      </c>
      <c r="H79" s="89">
        <f>VLOOKUP(C79,Recipes!$A$2:$N$4,10,FALSE())</f>
        <v>10.940000000000001</v>
      </c>
      <c r="I79" s="89">
        <f>VLOOKUP(C79,Recipes!$A$2:$N$4,12,FALSE())</f>
        <v>5.2703573566378441E-2</v>
      </c>
      <c r="J79" s="89">
        <f t="shared" si="11"/>
        <v>4.6000000000000014</v>
      </c>
      <c r="K79" s="89">
        <f>IF(G79="","",-0.5*((J79-Components!$C$2)/Components!$D$2)^2)</f>
        <v>-39037.56140351059</v>
      </c>
      <c r="L79" s="89">
        <f>IF(G79="","",-0.5*((J79-Components!$C$3)/Components!$D$3)^2)</f>
        <v>-835.57826086959153</v>
      </c>
      <c r="M79" s="89">
        <f>IF(G79="","",-0.5*((J79-Components!$C$4)/Components!$D$4)^2)</f>
        <v>-33285.29019607856</v>
      </c>
      <c r="N79" s="89">
        <f>IF(G79="","",-0.5*((J79-Components!$C$5)/Components!$D$5)^2)</f>
        <v>-1.099153976311191</v>
      </c>
      <c r="O79" s="89">
        <f>IF(G79="","",-0.5*((J79-Components!$C$6)/Components!$D$6)^2)</f>
        <v>-7770.8070596797979</v>
      </c>
      <c r="P79" s="89">
        <f>IF(G79="","",-0.5*((J79-Components!$C$7)/Components!$D$7)^2)</f>
        <v>-8227.8541507605241</v>
      </c>
      <c r="Q79" s="89">
        <f t="shared" si="12"/>
        <v>1</v>
      </c>
      <c r="R79" s="89">
        <f t="shared" si="13"/>
        <v>0</v>
      </c>
      <c r="S79" s="89">
        <f t="shared" si="14"/>
        <v>1</v>
      </c>
      <c r="T79" s="89" t="str">
        <f t="shared" si="15"/>
        <v>NG</v>
      </c>
      <c r="U79" s="117">
        <f t="shared" si="16"/>
        <v>1</v>
      </c>
      <c r="V79" s="89" t="str">
        <f>IF(G79="","",IF(T79="OK","NONE",INDEX({"S1","S2","W1","W2","N1","N2"},MATCH(MAX(K79:P79),K79:P79,0))))</f>
        <v>W2</v>
      </c>
      <c r="W79" s="117">
        <f t="shared" si="17"/>
        <v>1</v>
      </c>
      <c r="X79" s="114" t="str">
        <f t="shared" si="18"/>
        <v>CONFIDENT</v>
      </c>
      <c r="Y79" s="107"/>
    </row>
    <row r="80" spans="1:25">
      <c r="A80" s="115">
        <v>71</v>
      </c>
      <c r="B80" s="135">
        <f>'Runs Z-Score'!B73</f>
        <v>3</v>
      </c>
      <c r="C80" s="89" t="str">
        <f>'Runs Z-Score'!C73</f>
        <v>R3</v>
      </c>
      <c r="D80" s="89" t="str">
        <f>'Runs Z-Score'!D73</f>
        <v>NG</v>
      </c>
      <c r="E80" s="89" t="str">
        <f>'Runs Z-Score'!E73</f>
        <v>W2</v>
      </c>
      <c r="F80" s="89">
        <f>'Runs Z-Score'!F73</f>
        <v>5.36</v>
      </c>
      <c r="G80" s="89">
        <f t="shared" si="10"/>
        <v>6.33</v>
      </c>
      <c r="H80" s="89">
        <f>VLOOKUP(C80,Recipes!$A$2:$N$4,10,FALSE())</f>
        <v>10.940000000000001</v>
      </c>
      <c r="I80" s="89">
        <f>VLOOKUP(C80,Recipes!$A$2:$N$4,12,FALSE())</f>
        <v>5.2703573566378441E-2</v>
      </c>
      <c r="J80" s="89">
        <f t="shared" si="11"/>
        <v>4.6100000000000012</v>
      </c>
      <c r="K80" s="89">
        <f>IF(G80="","",-0.5*((J80-Components!$C$2)/Components!$D$2)^2)</f>
        <v>-39461.495614036918</v>
      </c>
      <c r="L80" s="89">
        <f>IF(G80="","",-0.5*((J80-Components!$C$3)/Components!$D$3)^2)</f>
        <v>-865.47137681162087</v>
      </c>
      <c r="M80" s="89">
        <f>IF(G80="","",-0.5*((J80-Components!$C$4)/Components!$D$4)^2)</f>
        <v>-33470.122549019732</v>
      </c>
      <c r="N80" s="89">
        <f>IF(G80="","",-0.5*((J80-Components!$C$5)/Components!$D$5)^2)</f>
        <v>-1.7668479574568909</v>
      </c>
      <c r="O80" s="89">
        <f>IF(G80="","",-0.5*((J80-Components!$C$6)/Components!$D$6)^2)</f>
        <v>-7815.9948326055619</v>
      </c>
      <c r="P80" s="89">
        <f>IF(G80="","",-0.5*((J80-Components!$C$7)/Components!$D$7)^2)</f>
        <v>-8278.948133672724</v>
      </c>
      <c r="Q80" s="89">
        <f t="shared" si="12"/>
        <v>1</v>
      </c>
      <c r="R80" s="89">
        <f t="shared" si="13"/>
        <v>0</v>
      </c>
      <c r="S80" s="89">
        <f t="shared" si="14"/>
        <v>1</v>
      </c>
      <c r="T80" s="89" t="str">
        <f t="shared" si="15"/>
        <v>NG</v>
      </c>
      <c r="U80" s="117">
        <f t="shared" si="16"/>
        <v>1</v>
      </c>
      <c r="V80" s="89" t="str">
        <f>IF(G80="","",IF(T80="OK","NONE",INDEX({"S1","S2","W1","W2","N1","N2"},MATCH(MAX(K80:P80),K80:P80,0))))</f>
        <v>W2</v>
      </c>
      <c r="W80" s="117">
        <f t="shared" si="17"/>
        <v>1</v>
      </c>
      <c r="X80" s="114" t="str">
        <f t="shared" si="18"/>
        <v>CONFIDENT</v>
      </c>
      <c r="Y80" s="107"/>
    </row>
    <row r="81" spans="1:25">
      <c r="A81" s="115">
        <v>72</v>
      </c>
      <c r="B81" s="135">
        <f>'Runs Z-Score'!B74</f>
        <v>3</v>
      </c>
      <c r="C81" s="89" t="str">
        <f>'Runs Z-Score'!C74</f>
        <v>R3</v>
      </c>
      <c r="D81" s="89" t="str">
        <f>'Runs Z-Score'!D74</f>
        <v>NG</v>
      </c>
      <c r="E81" s="89" t="str">
        <f>'Runs Z-Score'!E74</f>
        <v>W2</v>
      </c>
      <c r="F81" s="89">
        <f>'Runs Z-Score'!F74</f>
        <v>5.41</v>
      </c>
      <c r="G81" s="89">
        <f t="shared" si="10"/>
        <v>6.38</v>
      </c>
      <c r="H81" s="89">
        <f>VLOOKUP(C81,Recipes!$A$2:$N$4,10,FALSE())</f>
        <v>10.940000000000001</v>
      </c>
      <c r="I81" s="89">
        <f>VLOOKUP(C81,Recipes!$A$2:$N$4,12,FALSE())</f>
        <v>5.2703573566378441E-2</v>
      </c>
      <c r="J81" s="89">
        <f t="shared" si="11"/>
        <v>4.5600000000000014</v>
      </c>
      <c r="K81" s="89">
        <f>IF(G81="","",-0.5*((J81-Components!$C$2)/Components!$D$2)^2)</f>
        <v>-37364.719298247364</v>
      </c>
      <c r="L81" s="89">
        <f>IF(G81="","",-0.5*((J81-Components!$C$3)/Components!$D$3)^2)</f>
        <v>-721.25942028987834</v>
      </c>
      <c r="M81" s="89">
        <f>IF(G81="","",-0.5*((J81-Components!$C$4)/Components!$D$4)^2)</f>
        <v>-32551.078431372673</v>
      </c>
      <c r="N81" s="89">
        <f>IF(G81="","",-0.5*((J81-Components!$C$5)/Components!$D$5)^2)</f>
        <v>-5.6079284505779741E-3</v>
      </c>
      <c r="O81" s="89">
        <f>IF(G81="","",-0.5*((J81-Components!$C$6)/Components!$D$6)^2)</f>
        <v>-7591.3660116448627</v>
      </c>
      <c r="P81" s="89">
        <f>IF(G81="","",-0.5*((J81-Components!$C$7)/Components!$D$7)^2)</f>
        <v>-8025.0597497425269</v>
      </c>
      <c r="Q81" s="89">
        <f t="shared" si="12"/>
        <v>1</v>
      </c>
      <c r="R81" s="89">
        <f t="shared" si="13"/>
        <v>0</v>
      </c>
      <c r="S81" s="89">
        <f t="shared" si="14"/>
        <v>1</v>
      </c>
      <c r="T81" s="89" t="str">
        <f t="shared" si="15"/>
        <v>NG</v>
      </c>
      <c r="U81" s="117">
        <f t="shared" si="16"/>
        <v>1</v>
      </c>
      <c r="V81" s="89" t="str">
        <f>IF(G81="","",IF(T81="OK","NONE",INDEX({"S1","S2","W1","W2","N1","N2"},MATCH(MAX(K81:P81),K81:P81,0))))</f>
        <v>W2</v>
      </c>
      <c r="W81" s="117">
        <f t="shared" si="17"/>
        <v>1</v>
      </c>
      <c r="X81" s="114" t="str">
        <f t="shared" si="18"/>
        <v>CONFIDENT</v>
      </c>
      <c r="Y81" s="107"/>
    </row>
    <row r="82" spans="1:25">
      <c r="A82" s="115">
        <v>73</v>
      </c>
      <c r="B82" s="135">
        <f>'Runs Z-Score'!B75</f>
        <v>3</v>
      </c>
      <c r="C82" s="89" t="str">
        <f>'Runs Z-Score'!C75</f>
        <v>R3</v>
      </c>
      <c r="D82" s="89" t="str">
        <f>'Runs Z-Score'!D75</f>
        <v>NG</v>
      </c>
      <c r="E82" s="89" t="str">
        <f>'Runs Z-Score'!E75</f>
        <v>W2</v>
      </c>
      <c r="F82" s="89">
        <f>'Runs Z-Score'!F75</f>
        <v>5.37</v>
      </c>
      <c r="G82" s="89">
        <f t="shared" si="10"/>
        <v>6.34</v>
      </c>
      <c r="H82" s="89">
        <f>VLOOKUP(C82,Recipes!$A$2:$N$4,10,FALSE())</f>
        <v>10.940000000000001</v>
      </c>
      <c r="I82" s="89">
        <f>VLOOKUP(C82,Recipes!$A$2:$N$4,12,FALSE())</f>
        <v>5.2703573566378441E-2</v>
      </c>
      <c r="J82" s="89">
        <f t="shared" si="11"/>
        <v>4.6000000000000014</v>
      </c>
      <c r="K82" s="89">
        <f>IF(G82="","",-0.5*((J82-Components!$C$2)/Components!$D$2)^2)</f>
        <v>-39037.56140351059</v>
      </c>
      <c r="L82" s="89">
        <f>IF(G82="","",-0.5*((J82-Components!$C$3)/Components!$D$3)^2)</f>
        <v>-835.57826086959153</v>
      </c>
      <c r="M82" s="89">
        <f>IF(G82="","",-0.5*((J82-Components!$C$4)/Components!$D$4)^2)</f>
        <v>-33285.29019607856</v>
      </c>
      <c r="N82" s="89">
        <f>IF(G82="","",-0.5*((J82-Components!$C$5)/Components!$D$5)^2)</f>
        <v>-1.099153976311191</v>
      </c>
      <c r="O82" s="89">
        <f>IF(G82="","",-0.5*((J82-Components!$C$6)/Components!$D$6)^2)</f>
        <v>-7770.8070596797979</v>
      </c>
      <c r="P82" s="89">
        <f>IF(G82="","",-0.5*((J82-Components!$C$7)/Components!$D$7)^2)</f>
        <v>-8227.8541507605241</v>
      </c>
      <c r="Q82" s="89">
        <f t="shared" si="12"/>
        <v>1</v>
      </c>
      <c r="R82" s="89">
        <f t="shared" si="13"/>
        <v>0</v>
      </c>
      <c r="S82" s="89">
        <f t="shared" si="14"/>
        <v>1</v>
      </c>
      <c r="T82" s="89" t="str">
        <f t="shared" si="15"/>
        <v>NG</v>
      </c>
      <c r="U82" s="117">
        <f t="shared" si="16"/>
        <v>1</v>
      </c>
      <c r="V82" s="89" t="str">
        <f>IF(G82="","",IF(T82="OK","NONE",INDEX({"S1","S2","W1","W2","N1","N2"},MATCH(MAX(K82:P82),K82:P82,0))))</f>
        <v>W2</v>
      </c>
      <c r="W82" s="117">
        <f t="shared" si="17"/>
        <v>1</v>
      </c>
      <c r="X82" s="114" t="str">
        <f t="shared" si="18"/>
        <v>CONFIDENT</v>
      </c>
      <c r="Y82" s="107"/>
    </row>
    <row r="83" spans="1:25">
      <c r="A83" s="115">
        <v>74</v>
      </c>
      <c r="B83" s="135">
        <f>'Runs Z-Score'!B76</f>
        <v>3</v>
      </c>
      <c r="C83" s="89" t="str">
        <f>'Runs Z-Score'!C76</f>
        <v>R3</v>
      </c>
      <c r="D83" s="89" t="str">
        <f>'Runs Z-Score'!D76</f>
        <v>NG</v>
      </c>
      <c r="E83" s="89" t="str">
        <f>'Runs Z-Score'!E76</f>
        <v>W2</v>
      </c>
      <c r="F83" s="89">
        <f>'Runs Z-Score'!F76</f>
        <v>5.36</v>
      </c>
      <c r="G83" s="89">
        <f t="shared" si="10"/>
        <v>6.33</v>
      </c>
      <c r="H83" s="89">
        <f>VLOOKUP(C83,Recipes!$A$2:$N$4,10,FALSE())</f>
        <v>10.940000000000001</v>
      </c>
      <c r="I83" s="89">
        <f>VLOOKUP(C83,Recipes!$A$2:$N$4,12,FALSE())</f>
        <v>5.2703573566378441E-2</v>
      </c>
      <c r="J83" s="89">
        <f t="shared" si="11"/>
        <v>4.6100000000000012</v>
      </c>
      <c r="K83" s="89">
        <f>IF(G83="","",-0.5*((J83-Components!$C$2)/Components!$D$2)^2)</f>
        <v>-39461.495614036918</v>
      </c>
      <c r="L83" s="89">
        <f>IF(G83="","",-0.5*((J83-Components!$C$3)/Components!$D$3)^2)</f>
        <v>-865.47137681162087</v>
      </c>
      <c r="M83" s="89">
        <f>IF(G83="","",-0.5*((J83-Components!$C$4)/Components!$D$4)^2)</f>
        <v>-33470.122549019732</v>
      </c>
      <c r="N83" s="89">
        <f>IF(G83="","",-0.5*((J83-Components!$C$5)/Components!$D$5)^2)</f>
        <v>-1.7668479574568909</v>
      </c>
      <c r="O83" s="89">
        <f>IF(G83="","",-0.5*((J83-Components!$C$6)/Components!$D$6)^2)</f>
        <v>-7815.9948326055619</v>
      </c>
      <c r="P83" s="89">
        <f>IF(G83="","",-0.5*((J83-Components!$C$7)/Components!$D$7)^2)</f>
        <v>-8278.948133672724</v>
      </c>
      <c r="Q83" s="89">
        <f t="shared" si="12"/>
        <v>1</v>
      </c>
      <c r="R83" s="89">
        <f t="shared" si="13"/>
        <v>0</v>
      </c>
      <c r="S83" s="89">
        <f t="shared" si="14"/>
        <v>1</v>
      </c>
      <c r="T83" s="89" t="str">
        <f t="shared" si="15"/>
        <v>NG</v>
      </c>
      <c r="U83" s="117">
        <f t="shared" si="16"/>
        <v>1</v>
      </c>
      <c r="V83" s="89" t="str">
        <f>IF(G83="","",IF(T83="OK","NONE",INDEX({"S1","S2","W1","W2","N1","N2"},MATCH(MAX(K83:P83),K83:P83,0))))</f>
        <v>W2</v>
      </c>
      <c r="W83" s="117">
        <f t="shared" si="17"/>
        <v>1</v>
      </c>
      <c r="X83" s="114" t="str">
        <f t="shared" si="18"/>
        <v>CONFIDENT</v>
      </c>
      <c r="Y83" s="107"/>
    </row>
    <row r="84" spans="1:25">
      <c r="A84" s="115">
        <v>75</v>
      </c>
      <c r="B84" s="135">
        <f>'Runs Z-Score'!B77</f>
        <v>3</v>
      </c>
      <c r="C84" s="89" t="str">
        <f>'Runs Z-Score'!C77</f>
        <v>R3</v>
      </c>
      <c r="D84" s="89" t="str">
        <f>'Runs Z-Score'!D77</f>
        <v>NG</v>
      </c>
      <c r="E84" s="89" t="str">
        <f>'Runs Z-Score'!E77</f>
        <v>W2</v>
      </c>
      <c r="F84" s="89">
        <f>'Runs Z-Score'!F77</f>
        <v>5.38</v>
      </c>
      <c r="G84" s="89">
        <f t="shared" si="10"/>
        <v>6.35</v>
      </c>
      <c r="H84" s="89">
        <f>VLOOKUP(C84,Recipes!$A$2:$N$4,10,FALSE())</f>
        <v>10.940000000000001</v>
      </c>
      <c r="I84" s="89">
        <f>VLOOKUP(C84,Recipes!$A$2:$N$4,12,FALSE())</f>
        <v>5.2703573566378441E-2</v>
      </c>
      <c r="J84" s="89">
        <f t="shared" si="11"/>
        <v>4.5900000000000016</v>
      </c>
      <c r="K84" s="89">
        <f>IF(G84="","",-0.5*((J84-Components!$C$2)/Components!$D$2)^2)</f>
        <v>-38615.916666668476</v>
      </c>
      <c r="L84" s="89">
        <f>IF(G84="","",-0.5*((J84-Components!$C$3)/Components!$D$3)^2)</f>
        <v>-806.21050724640315</v>
      </c>
      <c r="M84" s="89">
        <f>IF(G84="","",-0.5*((J84-Components!$C$4)/Components!$D$4)^2)</f>
        <v>-33100.969607843275</v>
      </c>
      <c r="N84" s="89">
        <f>IF(G84="","",-0.5*((J84-Components!$C$5)/Components!$D$5)^2)</f>
        <v>-0.58918298283770931</v>
      </c>
      <c r="O84" s="89">
        <f>IF(G84="","",-0.5*((J84-Components!$C$6)/Components!$D$6)^2)</f>
        <v>-7725.7502911208458</v>
      </c>
      <c r="P84" s="89">
        <f>IF(G84="","",-0.5*((J84-Components!$C$7)/Components!$D$7)^2)</f>
        <v>-8176.9183209114071</v>
      </c>
      <c r="Q84" s="89">
        <f t="shared" si="12"/>
        <v>1</v>
      </c>
      <c r="R84" s="89">
        <f t="shared" si="13"/>
        <v>0</v>
      </c>
      <c r="S84" s="89">
        <f t="shared" si="14"/>
        <v>1</v>
      </c>
      <c r="T84" s="89" t="str">
        <f t="shared" si="15"/>
        <v>NG</v>
      </c>
      <c r="U84" s="117">
        <f t="shared" si="16"/>
        <v>1</v>
      </c>
      <c r="V84" s="89" t="str">
        <f>IF(G84="","",IF(T84="OK","NONE",INDEX({"S1","S2","W1","W2","N1","N2"},MATCH(MAX(K84:P84),K84:P84,0))))</f>
        <v>W2</v>
      </c>
      <c r="W84" s="117">
        <f t="shared" si="17"/>
        <v>1</v>
      </c>
      <c r="X84" s="114" t="str">
        <f t="shared" si="18"/>
        <v>CONFIDENT</v>
      </c>
      <c r="Y84" s="107"/>
    </row>
    <row r="85" spans="1:25">
      <c r="A85" s="115">
        <v>76</v>
      </c>
      <c r="B85" s="135">
        <f>'Runs Z-Score'!B78</f>
        <v>3</v>
      </c>
      <c r="C85" s="89" t="str">
        <f>'Runs Z-Score'!C78</f>
        <v>R3</v>
      </c>
      <c r="D85" s="89" t="str">
        <f>'Runs Z-Score'!D78</f>
        <v>NG</v>
      </c>
      <c r="E85" s="89" t="str">
        <f>'Runs Z-Score'!E78</f>
        <v>W2</v>
      </c>
      <c r="F85" s="89">
        <f>'Runs Z-Score'!F78</f>
        <v>5.38</v>
      </c>
      <c r="G85" s="89">
        <f t="shared" si="10"/>
        <v>6.35</v>
      </c>
      <c r="H85" s="89">
        <f>VLOOKUP(C85,Recipes!$A$2:$N$4,10,FALSE())</f>
        <v>10.940000000000001</v>
      </c>
      <c r="I85" s="89">
        <f>VLOOKUP(C85,Recipes!$A$2:$N$4,12,FALSE())</f>
        <v>5.2703573566378441E-2</v>
      </c>
      <c r="J85" s="89">
        <f t="shared" si="11"/>
        <v>4.5900000000000016</v>
      </c>
      <c r="K85" s="89">
        <f>IF(G85="","",-0.5*((J85-Components!$C$2)/Components!$D$2)^2)</f>
        <v>-38615.916666668476</v>
      </c>
      <c r="L85" s="89">
        <f>IF(G85="","",-0.5*((J85-Components!$C$3)/Components!$D$3)^2)</f>
        <v>-806.21050724640315</v>
      </c>
      <c r="M85" s="89">
        <f>IF(G85="","",-0.5*((J85-Components!$C$4)/Components!$D$4)^2)</f>
        <v>-33100.969607843275</v>
      </c>
      <c r="N85" s="89">
        <f>IF(G85="","",-0.5*((J85-Components!$C$5)/Components!$D$5)^2)</f>
        <v>-0.58918298283770931</v>
      </c>
      <c r="O85" s="89">
        <f>IF(G85="","",-0.5*((J85-Components!$C$6)/Components!$D$6)^2)</f>
        <v>-7725.7502911208458</v>
      </c>
      <c r="P85" s="89">
        <f>IF(G85="","",-0.5*((J85-Components!$C$7)/Components!$D$7)^2)</f>
        <v>-8176.9183209114071</v>
      </c>
      <c r="Q85" s="89">
        <f t="shared" si="12"/>
        <v>1</v>
      </c>
      <c r="R85" s="89">
        <f t="shared" si="13"/>
        <v>0</v>
      </c>
      <c r="S85" s="89">
        <f t="shared" si="14"/>
        <v>1</v>
      </c>
      <c r="T85" s="89" t="str">
        <f t="shared" si="15"/>
        <v>NG</v>
      </c>
      <c r="U85" s="117">
        <f t="shared" si="16"/>
        <v>1</v>
      </c>
      <c r="V85" s="89" t="str">
        <f>IF(G85="","",IF(T85="OK","NONE",INDEX({"S1","S2","W1","W2","N1","N2"},MATCH(MAX(K85:P85),K85:P85,0))))</f>
        <v>W2</v>
      </c>
      <c r="W85" s="117">
        <f t="shared" si="17"/>
        <v>1</v>
      </c>
      <c r="X85" s="114" t="str">
        <f t="shared" si="18"/>
        <v>CONFIDENT</v>
      </c>
      <c r="Y85" s="107"/>
    </row>
    <row r="86" spans="1:25">
      <c r="A86" s="115">
        <v>77</v>
      </c>
      <c r="B86" s="135">
        <f>'Runs Z-Score'!B79</f>
        <v>3</v>
      </c>
      <c r="C86" s="89" t="str">
        <f>'Runs Z-Score'!C79</f>
        <v>R3</v>
      </c>
      <c r="D86" s="89" t="str">
        <f>'Runs Z-Score'!D79</f>
        <v>NG</v>
      </c>
      <c r="E86" s="89" t="str">
        <f>'Runs Z-Score'!E79</f>
        <v>W2</v>
      </c>
      <c r="F86" s="89">
        <f>'Runs Z-Score'!F79</f>
        <v>5.42</v>
      </c>
      <c r="G86" s="89">
        <f t="shared" si="10"/>
        <v>6.39</v>
      </c>
      <c r="H86" s="89">
        <f>VLOOKUP(C86,Recipes!$A$2:$N$4,10,FALSE())</f>
        <v>10.940000000000001</v>
      </c>
      <c r="I86" s="89">
        <f>VLOOKUP(C86,Recipes!$A$2:$N$4,12,FALSE())</f>
        <v>5.2703573566378441E-2</v>
      </c>
      <c r="J86" s="89">
        <f t="shared" si="11"/>
        <v>4.5500000000000016</v>
      </c>
      <c r="K86" s="89">
        <f>IF(G86="","",-0.5*((J86-Components!$C$2)/Components!$D$2)^2)</f>
        <v>-36952.23245614209</v>
      </c>
      <c r="L86" s="89">
        <f>IF(G86="","",-0.5*((J86-Components!$C$3)/Components!$D$3)^2)</f>
        <v>-693.99311594205187</v>
      </c>
      <c r="M86" s="89">
        <f>IF(G86="","",-0.5*((J86-Components!$C$4)/Components!$D$4)^2)</f>
        <v>-32368.804901960913</v>
      </c>
      <c r="N86" s="89">
        <f>IF(G86="","",-0.5*((J86-Components!$C$5)/Components!$D$5)^2)</f>
        <v>-0.12652888566598366</v>
      </c>
      <c r="O86" s="89">
        <f>IF(G86="","",-0.5*((J86-Components!$C$6)/Components!$D$6)^2)</f>
        <v>-7546.8332605531605</v>
      </c>
      <c r="P86" s="89">
        <f>IF(G86="","",-0.5*((J86-Components!$C$7)/Components!$D$7)^2)</f>
        <v>-7974.7565321457278</v>
      </c>
      <c r="Q86" s="89">
        <f t="shared" si="12"/>
        <v>1</v>
      </c>
      <c r="R86" s="89">
        <f t="shared" si="13"/>
        <v>4.5453786151164605E-302</v>
      </c>
      <c r="S86" s="89">
        <f t="shared" si="14"/>
        <v>1</v>
      </c>
      <c r="T86" s="89" t="str">
        <f t="shared" si="15"/>
        <v>NG</v>
      </c>
      <c r="U86" s="117">
        <f t="shared" si="16"/>
        <v>1</v>
      </c>
      <c r="V86" s="89" t="str">
        <f>IF(G86="","",IF(T86="OK","NONE",INDEX({"S1","S2","W1","W2","N1","N2"},MATCH(MAX(K86:P86),K86:P86,0))))</f>
        <v>W2</v>
      </c>
      <c r="W86" s="117">
        <f t="shared" si="17"/>
        <v>1</v>
      </c>
      <c r="X86" s="114" t="str">
        <f t="shared" si="18"/>
        <v>CONFIDENT</v>
      </c>
      <c r="Y86" s="107"/>
    </row>
    <row r="87" spans="1:25">
      <c r="A87" s="115">
        <v>78</v>
      </c>
      <c r="B87" s="135">
        <f>'Runs Z-Score'!B80</f>
        <v>3</v>
      </c>
      <c r="C87" s="89" t="str">
        <f>'Runs Z-Score'!C80</f>
        <v>R3</v>
      </c>
      <c r="D87" s="89" t="str">
        <f>'Runs Z-Score'!D80</f>
        <v>NG</v>
      </c>
      <c r="E87" s="89" t="str">
        <f>'Runs Z-Score'!E80</f>
        <v>W2</v>
      </c>
      <c r="F87" s="89">
        <f>'Runs Z-Score'!F80</f>
        <v>5.39</v>
      </c>
      <c r="G87" s="89">
        <f t="shared" si="10"/>
        <v>6.3599999999999994</v>
      </c>
      <c r="H87" s="89">
        <f>VLOOKUP(C87,Recipes!$A$2:$N$4,10,FALSE())</f>
        <v>10.940000000000001</v>
      </c>
      <c r="I87" s="89">
        <f>VLOOKUP(C87,Recipes!$A$2:$N$4,12,FALSE())</f>
        <v>5.2703573566378441E-2</v>
      </c>
      <c r="J87" s="89">
        <f t="shared" si="11"/>
        <v>4.5800000000000018</v>
      </c>
      <c r="K87" s="89">
        <f>IF(G87="","",-0.5*((J87-Components!$C$2)/Components!$D$2)^2)</f>
        <v>-38196.561403510568</v>
      </c>
      <c r="L87" s="89">
        <f>IF(G87="","",-0.5*((J87-Components!$C$3)/Components!$D$3)^2)</f>
        <v>-777.36811594205506</v>
      </c>
      <c r="M87" s="89">
        <f>IF(G87="","",-0.5*((J87-Components!$C$4)/Components!$D$4)^2)</f>
        <v>-32917.16078431387</v>
      </c>
      <c r="N87" s="89">
        <f>IF(G87="","",-0.5*((J87-Components!$C$5)/Components!$D$5)^2)</f>
        <v>-0.23693497703644589</v>
      </c>
      <c r="O87" s="89">
        <f>IF(G87="","",-0.5*((J87-Components!$C$6)/Components!$D$6)^2)</f>
        <v>-7680.8245269287072</v>
      </c>
      <c r="P87" s="89">
        <f>IF(G87="","",-0.5*((J87-Components!$C$7)/Components!$D$7)^2)</f>
        <v>-8126.1406441253685</v>
      </c>
      <c r="Q87" s="89">
        <f t="shared" si="12"/>
        <v>1</v>
      </c>
      <c r="R87" s="89">
        <f t="shared" si="13"/>
        <v>0</v>
      </c>
      <c r="S87" s="89">
        <f t="shared" si="14"/>
        <v>1</v>
      </c>
      <c r="T87" s="89" t="str">
        <f t="shared" si="15"/>
        <v>NG</v>
      </c>
      <c r="U87" s="117">
        <f t="shared" si="16"/>
        <v>1</v>
      </c>
      <c r="V87" s="89" t="str">
        <f>IF(G87="","",IF(T87="OK","NONE",INDEX({"S1","S2","W1","W2","N1","N2"},MATCH(MAX(K87:P87),K87:P87,0))))</f>
        <v>W2</v>
      </c>
      <c r="W87" s="117">
        <f t="shared" si="17"/>
        <v>1</v>
      </c>
      <c r="X87" s="114" t="str">
        <f t="shared" si="18"/>
        <v>CONFIDENT</v>
      </c>
      <c r="Y87" s="107"/>
    </row>
    <row r="88" spans="1:25">
      <c r="A88" s="115">
        <v>79</v>
      </c>
      <c r="B88" s="135">
        <f>'Runs Z-Score'!B81</f>
        <v>3</v>
      </c>
      <c r="C88" s="89" t="str">
        <f>'Runs Z-Score'!C81</f>
        <v>R3</v>
      </c>
      <c r="D88" s="89" t="str">
        <f>'Runs Z-Score'!D81</f>
        <v>NG</v>
      </c>
      <c r="E88" s="89" t="str">
        <f>'Runs Z-Score'!E81</f>
        <v>W2</v>
      </c>
      <c r="F88" s="89">
        <f>'Runs Z-Score'!F81</f>
        <v>5.41</v>
      </c>
      <c r="G88" s="89">
        <f t="shared" si="10"/>
        <v>6.38</v>
      </c>
      <c r="H88" s="89">
        <f>VLOOKUP(C88,Recipes!$A$2:$N$4,10,FALSE())</f>
        <v>10.940000000000001</v>
      </c>
      <c r="I88" s="89">
        <f>VLOOKUP(C88,Recipes!$A$2:$N$4,12,FALSE())</f>
        <v>5.2703573566378441E-2</v>
      </c>
      <c r="J88" s="89">
        <f t="shared" si="11"/>
        <v>4.5600000000000014</v>
      </c>
      <c r="K88" s="89">
        <f>IF(G88="","",-0.5*((J88-Components!$C$2)/Components!$D$2)^2)</f>
        <v>-37364.719298247364</v>
      </c>
      <c r="L88" s="89">
        <f>IF(G88="","",-0.5*((J88-Components!$C$3)/Components!$D$3)^2)</f>
        <v>-721.25942028987834</v>
      </c>
      <c r="M88" s="89">
        <f>IF(G88="","",-0.5*((J88-Components!$C$4)/Components!$D$4)^2)</f>
        <v>-32551.078431372673</v>
      </c>
      <c r="N88" s="89">
        <f>IF(G88="","",-0.5*((J88-Components!$C$5)/Components!$D$5)^2)</f>
        <v>-5.6079284505779741E-3</v>
      </c>
      <c r="O88" s="89">
        <f>IF(G88="","",-0.5*((J88-Components!$C$6)/Components!$D$6)^2)</f>
        <v>-7591.3660116448627</v>
      </c>
      <c r="P88" s="89">
        <f>IF(G88="","",-0.5*((J88-Components!$C$7)/Components!$D$7)^2)</f>
        <v>-8025.0597497425269</v>
      </c>
      <c r="Q88" s="89">
        <f t="shared" si="12"/>
        <v>1</v>
      </c>
      <c r="R88" s="89">
        <f t="shared" si="13"/>
        <v>0</v>
      </c>
      <c r="S88" s="89">
        <f t="shared" si="14"/>
        <v>1</v>
      </c>
      <c r="T88" s="89" t="str">
        <f t="shared" si="15"/>
        <v>NG</v>
      </c>
      <c r="U88" s="117">
        <f t="shared" si="16"/>
        <v>1</v>
      </c>
      <c r="V88" s="89" t="str">
        <f>IF(G88="","",IF(T88="OK","NONE",INDEX({"S1","S2","W1","W2","N1","N2"},MATCH(MAX(K88:P88),K88:P88,0))))</f>
        <v>W2</v>
      </c>
      <c r="W88" s="117">
        <f t="shared" si="17"/>
        <v>1</v>
      </c>
      <c r="X88" s="114" t="str">
        <f t="shared" si="18"/>
        <v>CONFIDENT</v>
      </c>
      <c r="Y88" s="107"/>
    </row>
    <row r="89" spans="1:25">
      <c r="A89" s="115">
        <v>80</v>
      </c>
      <c r="B89" s="135">
        <f>'Runs Z-Score'!B82</f>
        <v>3</v>
      </c>
      <c r="C89" s="89" t="str">
        <f>'Runs Z-Score'!C82</f>
        <v>R3</v>
      </c>
      <c r="D89" s="89" t="str">
        <f>'Runs Z-Score'!D82</f>
        <v>NG</v>
      </c>
      <c r="E89" s="89" t="str">
        <f>'Runs Z-Score'!E82</f>
        <v>W2</v>
      </c>
      <c r="F89" s="89">
        <f>'Runs Z-Score'!F82</f>
        <v>5.32</v>
      </c>
      <c r="G89" s="89">
        <f t="shared" si="10"/>
        <v>6.29</v>
      </c>
      <c r="H89" s="89">
        <f>VLOOKUP(C89,Recipes!$A$2:$N$4,10,FALSE())</f>
        <v>10.940000000000001</v>
      </c>
      <c r="I89" s="89">
        <f>VLOOKUP(C89,Recipes!$A$2:$N$4,12,FALSE())</f>
        <v>5.2703573566378441E-2</v>
      </c>
      <c r="J89" s="89">
        <f t="shared" si="11"/>
        <v>4.6500000000000012</v>
      </c>
      <c r="K89" s="89">
        <f>IF(G89="","",-0.5*((J89-Components!$C$2)/Components!$D$2)^2)</f>
        <v>-41180.127192984357</v>
      </c>
      <c r="L89" s="89">
        <f>IF(G89="","",-0.5*((J89-Components!$C$3)/Components!$D$3)^2)</f>
        <v>-990.29746376814626</v>
      </c>
      <c r="M89" s="89">
        <f>IF(G89="","",-0.5*((J89-Components!$C$4)/Components!$D$4)^2)</f>
        <v>-34214.569607843274</v>
      </c>
      <c r="N89" s="89">
        <f>IF(G89="","",-0.5*((J89-Components!$C$5)/Components!$D$5)^2)</f>
        <v>-6.0148537587619968</v>
      </c>
      <c r="O89" s="89">
        <f>IF(G89="","",-0.5*((J89-Components!$C$6)/Components!$D$6)^2)</f>
        <v>-7998.0559679767412</v>
      </c>
      <c r="P89" s="89">
        <f>IF(G89="","",-0.5*((J89-Components!$C$7)/Components!$D$7)^2)</f>
        <v>-8484.9055959523084</v>
      </c>
      <c r="Q89" s="89">
        <f t="shared" si="12"/>
        <v>1</v>
      </c>
      <c r="R89" s="89">
        <f t="shared" si="13"/>
        <v>0</v>
      </c>
      <c r="S89" s="89">
        <f t="shared" si="14"/>
        <v>1</v>
      </c>
      <c r="T89" s="89" t="str">
        <f t="shared" si="15"/>
        <v>NG</v>
      </c>
      <c r="U89" s="117">
        <f t="shared" si="16"/>
        <v>1</v>
      </c>
      <c r="V89" s="89" t="str">
        <f>IF(G89="","",IF(T89="OK","NONE",INDEX({"S1","S2","W1","W2","N1","N2"},MATCH(MAX(K89:P89),K89:P89,0))))</f>
        <v>W2</v>
      </c>
      <c r="W89" s="117">
        <f t="shared" si="17"/>
        <v>1</v>
      </c>
      <c r="X89" s="114" t="str">
        <f t="shared" si="18"/>
        <v>CONFIDENT</v>
      </c>
      <c r="Y89" s="107"/>
    </row>
    <row r="90" spans="1:25">
      <c r="A90" s="115">
        <v>81</v>
      </c>
      <c r="B90" s="135">
        <f>'Runs Z-Score'!B83</f>
        <v>3</v>
      </c>
      <c r="C90" s="89" t="str">
        <f>'Runs Z-Score'!C83</f>
        <v>R3</v>
      </c>
      <c r="D90" s="89" t="str">
        <f>'Runs Z-Score'!D83</f>
        <v>NG</v>
      </c>
      <c r="E90" s="89" t="str">
        <f>'Runs Z-Score'!E83</f>
        <v>W2</v>
      </c>
      <c r="F90" s="89">
        <f>'Runs Z-Score'!F83</f>
        <v>5.36</v>
      </c>
      <c r="G90" s="89">
        <f t="shared" si="10"/>
        <v>6.33</v>
      </c>
      <c r="H90" s="89">
        <f>VLOOKUP(C90,Recipes!$A$2:$N$4,10,FALSE())</f>
        <v>10.940000000000001</v>
      </c>
      <c r="I90" s="89">
        <f>VLOOKUP(C90,Recipes!$A$2:$N$4,12,FALSE())</f>
        <v>5.2703573566378441E-2</v>
      </c>
      <c r="J90" s="89">
        <f t="shared" si="11"/>
        <v>4.6100000000000012</v>
      </c>
      <c r="K90" s="89">
        <f>IF(G90="","",-0.5*((J90-Components!$C$2)/Components!$D$2)^2)</f>
        <v>-39461.495614036918</v>
      </c>
      <c r="L90" s="89">
        <f>IF(G90="","",-0.5*((J90-Components!$C$3)/Components!$D$3)^2)</f>
        <v>-865.47137681162087</v>
      </c>
      <c r="M90" s="89">
        <f>IF(G90="","",-0.5*((J90-Components!$C$4)/Components!$D$4)^2)</f>
        <v>-33470.122549019732</v>
      </c>
      <c r="N90" s="89">
        <f>IF(G90="","",-0.5*((J90-Components!$C$5)/Components!$D$5)^2)</f>
        <v>-1.7668479574568909</v>
      </c>
      <c r="O90" s="89">
        <f>IF(G90="","",-0.5*((J90-Components!$C$6)/Components!$D$6)^2)</f>
        <v>-7815.9948326055619</v>
      </c>
      <c r="P90" s="89">
        <f>IF(G90="","",-0.5*((J90-Components!$C$7)/Components!$D$7)^2)</f>
        <v>-8278.948133672724</v>
      </c>
      <c r="Q90" s="89">
        <f t="shared" si="12"/>
        <v>1</v>
      </c>
      <c r="R90" s="89">
        <f t="shared" si="13"/>
        <v>0</v>
      </c>
      <c r="S90" s="89">
        <f t="shared" si="14"/>
        <v>1</v>
      </c>
      <c r="T90" s="89" t="str">
        <f t="shared" si="15"/>
        <v>NG</v>
      </c>
      <c r="U90" s="117">
        <f t="shared" si="16"/>
        <v>1</v>
      </c>
      <c r="V90" s="89" t="str">
        <f>IF(G90="","",IF(T90="OK","NONE",INDEX({"S1","S2","W1","W2","N1","N2"},MATCH(MAX(K90:P90),K90:P90,0))))</f>
        <v>W2</v>
      </c>
      <c r="W90" s="117">
        <f t="shared" si="17"/>
        <v>1</v>
      </c>
      <c r="X90" s="114" t="str">
        <f t="shared" si="18"/>
        <v>CONFIDENT</v>
      </c>
      <c r="Y90" s="107"/>
    </row>
    <row r="91" spans="1:25">
      <c r="A91" s="115">
        <v>82</v>
      </c>
      <c r="B91" s="135">
        <f>'Runs Z-Score'!B84</f>
        <v>3</v>
      </c>
      <c r="C91" s="89" t="str">
        <f>'Runs Z-Score'!C84</f>
        <v>R3</v>
      </c>
      <c r="D91" s="89" t="str">
        <f>'Runs Z-Score'!D84</f>
        <v>NG</v>
      </c>
      <c r="E91" s="89" t="str">
        <f>'Runs Z-Score'!E84</f>
        <v>W2</v>
      </c>
      <c r="F91" s="89">
        <f>'Runs Z-Score'!F84</f>
        <v>5.42</v>
      </c>
      <c r="G91" s="89">
        <f t="shared" si="10"/>
        <v>6.39</v>
      </c>
      <c r="H91" s="89">
        <f>VLOOKUP(C91,Recipes!$A$2:$N$4,10,FALSE())</f>
        <v>10.940000000000001</v>
      </c>
      <c r="I91" s="89">
        <f>VLOOKUP(C91,Recipes!$A$2:$N$4,12,FALSE())</f>
        <v>5.2703573566378441E-2</v>
      </c>
      <c r="J91" s="89">
        <f t="shared" si="11"/>
        <v>4.5500000000000016</v>
      </c>
      <c r="K91" s="89">
        <f>IF(G91="","",-0.5*((J91-Components!$C$2)/Components!$D$2)^2)</f>
        <v>-36952.23245614209</v>
      </c>
      <c r="L91" s="89">
        <f>IF(G91="","",-0.5*((J91-Components!$C$3)/Components!$D$3)^2)</f>
        <v>-693.99311594205187</v>
      </c>
      <c r="M91" s="89">
        <f>IF(G91="","",-0.5*((J91-Components!$C$4)/Components!$D$4)^2)</f>
        <v>-32368.804901960913</v>
      </c>
      <c r="N91" s="89">
        <f>IF(G91="","",-0.5*((J91-Components!$C$5)/Components!$D$5)^2)</f>
        <v>-0.12652888566598366</v>
      </c>
      <c r="O91" s="89">
        <f>IF(G91="","",-0.5*((J91-Components!$C$6)/Components!$D$6)^2)</f>
        <v>-7546.8332605531605</v>
      </c>
      <c r="P91" s="89">
        <f>IF(G91="","",-0.5*((J91-Components!$C$7)/Components!$D$7)^2)</f>
        <v>-7974.7565321457278</v>
      </c>
      <c r="Q91" s="89">
        <f t="shared" si="12"/>
        <v>1</v>
      </c>
      <c r="R91" s="89">
        <f t="shared" si="13"/>
        <v>4.5453786151164605E-302</v>
      </c>
      <c r="S91" s="89">
        <f t="shared" si="14"/>
        <v>1</v>
      </c>
      <c r="T91" s="89" t="str">
        <f t="shared" si="15"/>
        <v>NG</v>
      </c>
      <c r="U91" s="117">
        <f t="shared" si="16"/>
        <v>1</v>
      </c>
      <c r="V91" s="89" t="str">
        <f>IF(G91="","",IF(T91="OK","NONE",INDEX({"S1","S2","W1","W2","N1","N2"},MATCH(MAX(K91:P91),K91:P91,0))))</f>
        <v>W2</v>
      </c>
      <c r="W91" s="117">
        <f t="shared" si="17"/>
        <v>1</v>
      </c>
      <c r="X91" s="114" t="str">
        <f t="shared" si="18"/>
        <v>CONFIDENT</v>
      </c>
      <c r="Y91" s="107"/>
    </row>
    <row r="92" spans="1:25">
      <c r="A92" s="115">
        <v>83</v>
      </c>
      <c r="B92" s="135">
        <f>'Runs Z-Score'!B85</f>
        <v>3</v>
      </c>
      <c r="C92" s="89" t="str">
        <f>'Runs Z-Score'!C85</f>
        <v>R3</v>
      </c>
      <c r="D92" s="89" t="str">
        <f>'Runs Z-Score'!D85</f>
        <v>NG</v>
      </c>
      <c r="E92" s="89" t="str">
        <f>'Runs Z-Score'!E85</f>
        <v>W2</v>
      </c>
      <c r="F92" s="89">
        <f>'Runs Z-Score'!F85</f>
        <v>5.37</v>
      </c>
      <c r="G92" s="89">
        <f t="shared" si="10"/>
        <v>6.34</v>
      </c>
      <c r="H92" s="89">
        <f>VLOOKUP(C92,Recipes!$A$2:$N$4,10,FALSE())</f>
        <v>10.940000000000001</v>
      </c>
      <c r="I92" s="89">
        <f>VLOOKUP(C92,Recipes!$A$2:$N$4,12,FALSE())</f>
        <v>5.2703573566378441E-2</v>
      </c>
      <c r="J92" s="89">
        <f t="shared" si="11"/>
        <v>4.6000000000000014</v>
      </c>
      <c r="K92" s="89">
        <f>IF(G92="","",-0.5*((J92-Components!$C$2)/Components!$D$2)^2)</f>
        <v>-39037.56140351059</v>
      </c>
      <c r="L92" s="89">
        <f>IF(G92="","",-0.5*((J92-Components!$C$3)/Components!$D$3)^2)</f>
        <v>-835.57826086959153</v>
      </c>
      <c r="M92" s="89">
        <f>IF(G92="","",-0.5*((J92-Components!$C$4)/Components!$D$4)^2)</f>
        <v>-33285.29019607856</v>
      </c>
      <c r="N92" s="89">
        <f>IF(G92="","",-0.5*((J92-Components!$C$5)/Components!$D$5)^2)</f>
        <v>-1.099153976311191</v>
      </c>
      <c r="O92" s="89">
        <f>IF(G92="","",-0.5*((J92-Components!$C$6)/Components!$D$6)^2)</f>
        <v>-7770.8070596797979</v>
      </c>
      <c r="P92" s="89">
        <f>IF(G92="","",-0.5*((J92-Components!$C$7)/Components!$D$7)^2)</f>
        <v>-8227.8541507605241</v>
      </c>
      <c r="Q92" s="89">
        <f t="shared" si="12"/>
        <v>1</v>
      </c>
      <c r="R92" s="89">
        <f t="shared" si="13"/>
        <v>0</v>
      </c>
      <c r="S92" s="89">
        <f t="shared" si="14"/>
        <v>1</v>
      </c>
      <c r="T92" s="89" t="str">
        <f t="shared" si="15"/>
        <v>NG</v>
      </c>
      <c r="U92" s="117">
        <f t="shared" si="16"/>
        <v>1</v>
      </c>
      <c r="V92" s="89" t="str">
        <f>IF(G92="","",IF(T92="OK","NONE",INDEX({"S1","S2","W1","W2","N1","N2"},MATCH(MAX(K92:P92),K92:P92,0))))</f>
        <v>W2</v>
      </c>
      <c r="W92" s="117">
        <f t="shared" si="17"/>
        <v>1</v>
      </c>
      <c r="X92" s="114" t="str">
        <f t="shared" si="18"/>
        <v>CONFIDENT</v>
      </c>
      <c r="Y92" s="107"/>
    </row>
    <row r="93" spans="1:25">
      <c r="A93" s="115">
        <v>84</v>
      </c>
      <c r="B93" s="135">
        <f>'Runs Z-Score'!B86</f>
        <v>3</v>
      </c>
      <c r="C93" s="89" t="str">
        <f>'Runs Z-Score'!C86</f>
        <v>R3</v>
      </c>
      <c r="D93" s="89" t="str">
        <f>'Runs Z-Score'!D86</f>
        <v>NG</v>
      </c>
      <c r="E93" s="89" t="str">
        <f>'Runs Z-Score'!E86</f>
        <v>W2</v>
      </c>
      <c r="F93" s="89">
        <f>'Runs Z-Score'!F86</f>
        <v>5.4</v>
      </c>
      <c r="G93" s="89">
        <f t="shared" si="10"/>
        <v>6.37</v>
      </c>
      <c r="H93" s="89">
        <f>VLOOKUP(C93,Recipes!$A$2:$N$4,10,FALSE())</f>
        <v>10.940000000000001</v>
      </c>
      <c r="I93" s="89">
        <f>VLOOKUP(C93,Recipes!$A$2:$N$4,12,FALSE())</f>
        <v>5.2703573566378441E-2</v>
      </c>
      <c r="J93" s="89">
        <f t="shared" si="11"/>
        <v>4.5700000000000012</v>
      </c>
      <c r="K93" s="89">
        <f>IF(G93="","",-0.5*((J93-Components!$C$2)/Components!$D$2)^2)</f>
        <v>-37779.495614036838</v>
      </c>
      <c r="L93" s="89">
        <f>IF(G93="","",-0.5*((J93-Components!$C$3)/Components!$D$3)^2)</f>
        <v>-749.05108695654496</v>
      </c>
      <c r="M93" s="89">
        <f>IF(G93="","",-0.5*((J93-Components!$C$4)/Components!$D$4)^2)</f>
        <v>-32733.863725490319</v>
      </c>
      <c r="N93" s="89">
        <f>IF(G93="","",-0.5*((J93-Components!$C$5)/Components!$D$5)^2)</f>
        <v>-4.2409958907390619E-2</v>
      </c>
      <c r="O93" s="89">
        <f>IF(G93="","",-0.5*((J93-Components!$C$6)/Components!$D$6)^2)</f>
        <v>-7636.0297671033768</v>
      </c>
      <c r="P93" s="89">
        <f>IF(G93="","",-0.5*((J93-Components!$C$7)/Components!$D$7)^2)</f>
        <v>-8075.5211204024063</v>
      </c>
      <c r="Q93" s="89">
        <f t="shared" si="12"/>
        <v>1</v>
      </c>
      <c r="R93" s="89">
        <f t="shared" si="13"/>
        <v>0</v>
      </c>
      <c r="S93" s="89">
        <f t="shared" si="14"/>
        <v>1</v>
      </c>
      <c r="T93" s="89" t="str">
        <f t="shared" si="15"/>
        <v>NG</v>
      </c>
      <c r="U93" s="117">
        <f t="shared" si="16"/>
        <v>1</v>
      </c>
      <c r="V93" s="89" t="str">
        <f>IF(G93="","",IF(T93="OK","NONE",INDEX({"S1","S2","W1","W2","N1","N2"},MATCH(MAX(K93:P93),K93:P93,0))))</f>
        <v>W2</v>
      </c>
      <c r="W93" s="117">
        <f t="shared" si="17"/>
        <v>1</v>
      </c>
      <c r="X93" s="114" t="str">
        <f t="shared" si="18"/>
        <v>CONFIDENT</v>
      </c>
      <c r="Y93" s="107"/>
    </row>
    <row r="94" spans="1:25">
      <c r="A94" s="115">
        <v>85</v>
      </c>
      <c r="B94" s="135">
        <f>'Runs Z-Score'!B87</f>
        <v>3</v>
      </c>
      <c r="C94" s="89" t="str">
        <f>'Runs Z-Score'!C87</f>
        <v>R3</v>
      </c>
      <c r="D94" s="89" t="str">
        <f>'Runs Z-Score'!D87</f>
        <v>NG</v>
      </c>
      <c r="E94" s="89" t="str">
        <f>'Runs Z-Score'!E87</f>
        <v>W2</v>
      </c>
      <c r="F94" s="89">
        <f>'Runs Z-Score'!F87</f>
        <v>5.35</v>
      </c>
      <c r="G94" s="89">
        <f t="shared" si="10"/>
        <v>6.3199999999999994</v>
      </c>
      <c r="H94" s="89">
        <f>VLOOKUP(C94,Recipes!$A$2:$N$4,10,FALSE())</f>
        <v>10.940000000000001</v>
      </c>
      <c r="I94" s="89">
        <f>VLOOKUP(C94,Recipes!$A$2:$N$4,12,FALSE())</f>
        <v>5.2703573566378441E-2</v>
      </c>
      <c r="J94" s="89">
        <f t="shared" si="11"/>
        <v>4.6200000000000019</v>
      </c>
      <c r="K94" s="89">
        <f>IF(G94="","",-0.5*((J94-Components!$C$2)/Components!$D$2)^2)</f>
        <v>-39887.719298247495</v>
      </c>
      <c r="L94" s="89">
        <f>IF(G94="","",-0.5*((J94-Components!$C$3)/Components!$D$3)^2)</f>
        <v>-895.88985507249345</v>
      </c>
      <c r="M94" s="89">
        <f>IF(G94="","",-0.5*((J94-Components!$C$4)/Components!$D$4)^2)</f>
        <v>-33655.466666666805</v>
      </c>
      <c r="N94" s="89">
        <f>IF(G94="","",-0.5*((J94-Components!$C$5)/Components!$D$5)^2)</f>
        <v>-2.5922649262748894</v>
      </c>
      <c r="O94" s="89">
        <f>IF(G94="","",-0.5*((J94-Components!$C$6)/Components!$D$6)^2)</f>
        <v>-7861.3136098981404</v>
      </c>
      <c r="P94" s="89">
        <f>IF(G94="","",-0.5*((J94-Components!$C$7)/Components!$D$7)^2)</f>
        <v>-8330.2002696480013</v>
      </c>
      <c r="Q94" s="89">
        <f t="shared" si="12"/>
        <v>1</v>
      </c>
      <c r="R94" s="89">
        <f t="shared" si="13"/>
        <v>0</v>
      </c>
      <c r="S94" s="89">
        <f t="shared" si="14"/>
        <v>1</v>
      </c>
      <c r="T94" s="89" t="str">
        <f t="shared" si="15"/>
        <v>NG</v>
      </c>
      <c r="U94" s="117">
        <f t="shared" si="16"/>
        <v>1</v>
      </c>
      <c r="V94" s="89" t="str">
        <f>IF(G94="","",IF(T94="OK","NONE",INDEX({"S1","S2","W1","W2","N1","N2"},MATCH(MAX(K94:P94),K94:P94,0))))</f>
        <v>W2</v>
      </c>
      <c r="W94" s="117">
        <f t="shared" si="17"/>
        <v>1</v>
      </c>
      <c r="X94" s="114" t="str">
        <f t="shared" si="18"/>
        <v>CONFIDENT</v>
      </c>
      <c r="Y94" s="107"/>
    </row>
    <row r="95" spans="1:25">
      <c r="A95" s="115">
        <v>86</v>
      </c>
      <c r="B95" s="135">
        <f>'Runs Z-Score'!B88</f>
        <v>3</v>
      </c>
      <c r="C95" s="89" t="str">
        <f>'Runs Z-Score'!C88</f>
        <v>R3</v>
      </c>
      <c r="D95" s="89" t="str">
        <f>'Runs Z-Score'!D88</f>
        <v>NG</v>
      </c>
      <c r="E95" s="89" t="str">
        <f>'Runs Z-Score'!E88</f>
        <v>W2</v>
      </c>
      <c r="F95" s="89">
        <f>'Runs Z-Score'!F88</f>
        <v>5.38</v>
      </c>
      <c r="G95" s="89">
        <f t="shared" si="10"/>
        <v>6.35</v>
      </c>
      <c r="H95" s="89">
        <f>VLOOKUP(C95,Recipes!$A$2:$N$4,10,FALSE())</f>
        <v>10.940000000000001</v>
      </c>
      <c r="I95" s="89">
        <f>VLOOKUP(C95,Recipes!$A$2:$N$4,12,FALSE())</f>
        <v>5.2703573566378441E-2</v>
      </c>
      <c r="J95" s="89">
        <f t="shared" si="11"/>
        <v>4.5900000000000016</v>
      </c>
      <c r="K95" s="89">
        <f>IF(G95="","",-0.5*((J95-Components!$C$2)/Components!$D$2)^2)</f>
        <v>-38615.916666668476</v>
      </c>
      <c r="L95" s="89">
        <f>IF(G95="","",-0.5*((J95-Components!$C$3)/Components!$D$3)^2)</f>
        <v>-806.21050724640315</v>
      </c>
      <c r="M95" s="89">
        <f>IF(G95="","",-0.5*((J95-Components!$C$4)/Components!$D$4)^2)</f>
        <v>-33100.969607843275</v>
      </c>
      <c r="N95" s="89">
        <f>IF(G95="","",-0.5*((J95-Components!$C$5)/Components!$D$5)^2)</f>
        <v>-0.58918298283770931</v>
      </c>
      <c r="O95" s="89">
        <f>IF(G95="","",-0.5*((J95-Components!$C$6)/Components!$D$6)^2)</f>
        <v>-7725.7502911208458</v>
      </c>
      <c r="P95" s="89">
        <f>IF(G95="","",-0.5*((J95-Components!$C$7)/Components!$D$7)^2)</f>
        <v>-8176.9183209114071</v>
      </c>
      <c r="Q95" s="89">
        <f t="shared" si="12"/>
        <v>1</v>
      </c>
      <c r="R95" s="89">
        <f t="shared" si="13"/>
        <v>0</v>
      </c>
      <c r="S95" s="89">
        <f t="shared" si="14"/>
        <v>1</v>
      </c>
      <c r="T95" s="89" t="str">
        <f t="shared" si="15"/>
        <v>NG</v>
      </c>
      <c r="U95" s="117">
        <f t="shared" si="16"/>
        <v>1</v>
      </c>
      <c r="V95" s="89" t="str">
        <f>IF(G95="","",IF(T95="OK","NONE",INDEX({"S1","S2","W1","W2","N1","N2"},MATCH(MAX(K95:P95),K95:P95,0))))</f>
        <v>W2</v>
      </c>
      <c r="W95" s="117">
        <f t="shared" si="17"/>
        <v>1</v>
      </c>
      <c r="X95" s="114" t="str">
        <f t="shared" si="18"/>
        <v>CONFIDENT</v>
      </c>
      <c r="Y95" s="107"/>
    </row>
    <row r="96" spans="1:25">
      <c r="A96" s="115">
        <v>87</v>
      </c>
      <c r="B96" s="135">
        <f>'Runs Z-Score'!B89</f>
        <v>3</v>
      </c>
      <c r="C96" s="89" t="str">
        <f>'Runs Z-Score'!C89</f>
        <v>R3</v>
      </c>
      <c r="D96" s="89" t="str">
        <f>'Runs Z-Score'!D89</f>
        <v>NG</v>
      </c>
      <c r="E96" s="89" t="str">
        <f>'Runs Z-Score'!E89</f>
        <v>W2</v>
      </c>
      <c r="F96" s="89">
        <f>'Runs Z-Score'!F89</f>
        <v>5.34</v>
      </c>
      <c r="G96" s="89">
        <f t="shared" si="10"/>
        <v>6.31</v>
      </c>
      <c r="H96" s="89">
        <f>VLOOKUP(C96,Recipes!$A$2:$N$4,10,FALSE())</f>
        <v>10.940000000000001</v>
      </c>
      <c r="I96" s="89">
        <f>VLOOKUP(C96,Recipes!$A$2:$N$4,12,FALSE())</f>
        <v>5.2703573566378441E-2</v>
      </c>
      <c r="J96" s="89">
        <f t="shared" si="11"/>
        <v>4.6300000000000017</v>
      </c>
      <c r="K96" s="89">
        <f>IF(G96="","",-0.5*((J96-Components!$C$2)/Components!$D$2)^2)</f>
        <v>-40316.232456142243</v>
      </c>
      <c r="L96" s="89">
        <f>IF(G96="","",-0.5*((J96-Components!$C$3)/Components!$D$3)^2)</f>
        <v>-926.83369565220357</v>
      </c>
      <c r="M96" s="89">
        <f>IF(G96="","",-0.5*((J96-Components!$C$4)/Components!$D$4)^2)</f>
        <v>-33841.322549019736</v>
      </c>
      <c r="N96" s="89">
        <f>IF(G96="","",-0.5*((J96-Components!$C$5)/Components!$D$5)^2)</f>
        <v>-3.5754048827650404</v>
      </c>
      <c r="O96" s="89">
        <f>IF(G96="","",-0.5*((J96-Components!$C$6)/Components!$D$6)^2)</f>
        <v>-7906.7633915575279</v>
      </c>
      <c r="P96" s="89">
        <f>IF(G96="","",-0.5*((J96-Components!$C$7)/Components!$D$7)^2)</f>
        <v>-8381.6105586863596</v>
      </c>
      <c r="Q96" s="89">
        <f t="shared" si="12"/>
        <v>1</v>
      </c>
      <c r="R96" s="89">
        <f t="shared" si="13"/>
        <v>0</v>
      </c>
      <c r="S96" s="89">
        <f t="shared" si="14"/>
        <v>1</v>
      </c>
      <c r="T96" s="89" t="str">
        <f t="shared" si="15"/>
        <v>NG</v>
      </c>
      <c r="U96" s="117">
        <f t="shared" si="16"/>
        <v>1</v>
      </c>
      <c r="V96" s="89" t="str">
        <f>IF(G96="","",IF(T96="OK","NONE",INDEX({"S1","S2","W1","W2","N1","N2"},MATCH(MAX(K96:P96),K96:P96,0))))</f>
        <v>W2</v>
      </c>
      <c r="W96" s="117">
        <f t="shared" si="17"/>
        <v>1</v>
      </c>
      <c r="X96" s="114" t="str">
        <f t="shared" si="18"/>
        <v>CONFIDENT</v>
      </c>
      <c r="Y96" s="107"/>
    </row>
    <row r="97" spans="1:25">
      <c r="A97" s="115">
        <v>88</v>
      </c>
      <c r="B97" s="135">
        <f>'Runs Z-Score'!B90</f>
        <v>3</v>
      </c>
      <c r="C97" s="89" t="str">
        <f>'Runs Z-Score'!C90</f>
        <v>R3</v>
      </c>
      <c r="D97" s="89" t="str">
        <f>'Runs Z-Score'!D90</f>
        <v>NG</v>
      </c>
      <c r="E97" s="89" t="str">
        <f>'Runs Z-Score'!E90</f>
        <v>W2</v>
      </c>
      <c r="F97" s="89">
        <f>'Runs Z-Score'!F90</f>
        <v>5.42</v>
      </c>
      <c r="G97" s="89">
        <f t="shared" si="10"/>
        <v>6.39</v>
      </c>
      <c r="H97" s="89">
        <f>VLOOKUP(C97,Recipes!$A$2:$N$4,10,FALSE())</f>
        <v>10.940000000000001</v>
      </c>
      <c r="I97" s="89">
        <f>VLOOKUP(C97,Recipes!$A$2:$N$4,12,FALSE())</f>
        <v>5.2703573566378441E-2</v>
      </c>
      <c r="J97" s="89">
        <f t="shared" si="11"/>
        <v>4.5500000000000016</v>
      </c>
      <c r="K97" s="89">
        <f>IF(G97="","",-0.5*((J97-Components!$C$2)/Components!$D$2)^2)</f>
        <v>-36952.23245614209</v>
      </c>
      <c r="L97" s="89">
        <f>IF(G97="","",-0.5*((J97-Components!$C$3)/Components!$D$3)^2)</f>
        <v>-693.99311594205187</v>
      </c>
      <c r="M97" s="89">
        <f>IF(G97="","",-0.5*((J97-Components!$C$4)/Components!$D$4)^2)</f>
        <v>-32368.804901960913</v>
      </c>
      <c r="N97" s="89">
        <f>IF(G97="","",-0.5*((J97-Components!$C$5)/Components!$D$5)^2)</f>
        <v>-0.12652888566598366</v>
      </c>
      <c r="O97" s="89">
        <f>IF(G97="","",-0.5*((J97-Components!$C$6)/Components!$D$6)^2)</f>
        <v>-7546.8332605531605</v>
      </c>
      <c r="P97" s="89">
        <f>IF(G97="","",-0.5*((J97-Components!$C$7)/Components!$D$7)^2)</f>
        <v>-7974.7565321457278</v>
      </c>
      <c r="Q97" s="89">
        <f t="shared" si="12"/>
        <v>1</v>
      </c>
      <c r="R97" s="89">
        <f t="shared" si="13"/>
        <v>4.5453786151164605E-302</v>
      </c>
      <c r="S97" s="89">
        <f t="shared" si="14"/>
        <v>1</v>
      </c>
      <c r="T97" s="89" t="str">
        <f t="shared" si="15"/>
        <v>NG</v>
      </c>
      <c r="U97" s="117">
        <f t="shared" si="16"/>
        <v>1</v>
      </c>
      <c r="V97" s="89" t="str">
        <f>IF(G97="","",IF(T97="OK","NONE",INDEX({"S1","S2","W1","W2","N1","N2"},MATCH(MAX(K97:P97),K97:P97,0))))</f>
        <v>W2</v>
      </c>
      <c r="W97" s="117">
        <f t="shared" si="17"/>
        <v>1</v>
      </c>
      <c r="X97" s="114" t="str">
        <f t="shared" si="18"/>
        <v>CONFIDENT</v>
      </c>
      <c r="Y97" s="107"/>
    </row>
    <row r="98" spans="1:25">
      <c r="A98" s="115">
        <v>89</v>
      </c>
      <c r="B98" s="135">
        <f>'Runs Z-Score'!B91</f>
        <v>3</v>
      </c>
      <c r="C98" s="89" t="str">
        <f>'Runs Z-Score'!C91</f>
        <v>R3</v>
      </c>
      <c r="D98" s="89" t="str">
        <f>'Runs Z-Score'!D91</f>
        <v>NG</v>
      </c>
      <c r="E98" s="89" t="str">
        <f>'Runs Z-Score'!E91</f>
        <v>W2</v>
      </c>
      <c r="F98" s="89">
        <f>'Runs Z-Score'!F91</f>
        <v>5.4</v>
      </c>
      <c r="G98" s="89">
        <f t="shared" si="10"/>
        <v>6.37</v>
      </c>
      <c r="H98" s="89">
        <f>VLOOKUP(C98,Recipes!$A$2:$N$4,10,FALSE())</f>
        <v>10.940000000000001</v>
      </c>
      <c r="I98" s="89">
        <f>VLOOKUP(C98,Recipes!$A$2:$N$4,12,FALSE())</f>
        <v>5.2703573566378441E-2</v>
      </c>
      <c r="J98" s="89">
        <f t="shared" si="11"/>
        <v>4.5700000000000012</v>
      </c>
      <c r="K98" s="89">
        <f>IF(G98="","",-0.5*((J98-Components!$C$2)/Components!$D$2)^2)</f>
        <v>-37779.495614036838</v>
      </c>
      <c r="L98" s="89">
        <f>IF(G98="","",-0.5*((J98-Components!$C$3)/Components!$D$3)^2)</f>
        <v>-749.05108695654496</v>
      </c>
      <c r="M98" s="89">
        <f>IF(G98="","",-0.5*((J98-Components!$C$4)/Components!$D$4)^2)</f>
        <v>-32733.863725490319</v>
      </c>
      <c r="N98" s="89">
        <f>IF(G98="","",-0.5*((J98-Components!$C$5)/Components!$D$5)^2)</f>
        <v>-4.2409958907390619E-2</v>
      </c>
      <c r="O98" s="89">
        <f>IF(G98="","",-0.5*((J98-Components!$C$6)/Components!$D$6)^2)</f>
        <v>-7636.0297671033768</v>
      </c>
      <c r="P98" s="89">
        <f>IF(G98="","",-0.5*((J98-Components!$C$7)/Components!$D$7)^2)</f>
        <v>-8075.5211204024063</v>
      </c>
      <c r="Q98" s="89">
        <f t="shared" si="12"/>
        <v>1</v>
      </c>
      <c r="R98" s="89">
        <f t="shared" si="13"/>
        <v>0</v>
      </c>
      <c r="S98" s="89">
        <f t="shared" si="14"/>
        <v>1</v>
      </c>
      <c r="T98" s="89" t="str">
        <f t="shared" si="15"/>
        <v>NG</v>
      </c>
      <c r="U98" s="117">
        <f t="shared" si="16"/>
        <v>1</v>
      </c>
      <c r="V98" s="89" t="str">
        <f>IF(G98="","",IF(T98="OK","NONE",INDEX({"S1","S2","W1","W2","N1","N2"},MATCH(MAX(K98:P98),K98:P98,0))))</f>
        <v>W2</v>
      </c>
      <c r="W98" s="117">
        <f t="shared" si="17"/>
        <v>1</v>
      </c>
      <c r="X98" s="114" t="str">
        <f t="shared" si="18"/>
        <v>CONFIDENT</v>
      </c>
      <c r="Y98" s="107"/>
    </row>
    <row r="99" spans="1:25">
      <c r="A99" s="115">
        <v>90</v>
      </c>
      <c r="B99" s="135">
        <f>'Runs Z-Score'!B92</f>
        <v>3</v>
      </c>
      <c r="C99" s="89" t="str">
        <f>'Runs Z-Score'!C92</f>
        <v>R3</v>
      </c>
      <c r="D99" s="89" t="str">
        <f>'Runs Z-Score'!D92</f>
        <v>NG</v>
      </c>
      <c r="E99" s="89" t="str">
        <f>'Runs Z-Score'!E92</f>
        <v>W2</v>
      </c>
      <c r="F99" s="89">
        <f>'Runs Z-Score'!F92</f>
        <v>5.42</v>
      </c>
      <c r="G99" s="89">
        <f t="shared" si="10"/>
        <v>6.39</v>
      </c>
      <c r="H99" s="89">
        <f>VLOOKUP(C99,Recipes!$A$2:$N$4,10,FALSE())</f>
        <v>10.940000000000001</v>
      </c>
      <c r="I99" s="89">
        <f>VLOOKUP(C99,Recipes!$A$2:$N$4,12,FALSE())</f>
        <v>5.2703573566378441E-2</v>
      </c>
      <c r="J99" s="89">
        <f t="shared" si="11"/>
        <v>4.5500000000000016</v>
      </c>
      <c r="K99" s="89">
        <f>IF(G99="","",-0.5*((J99-Components!$C$2)/Components!$D$2)^2)</f>
        <v>-36952.23245614209</v>
      </c>
      <c r="L99" s="89">
        <f>IF(G99="","",-0.5*((J99-Components!$C$3)/Components!$D$3)^2)</f>
        <v>-693.99311594205187</v>
      </c>
      <c r="M99" s="89">
        <f>IF(G99="","",-0.5*((J99-Components!$C$4)/Components!$D$4)^2)</f>
        <v>-32368.804901960913</v>
      </c>
      <c r="N99" s="89">
        <f>IF(G99="","",-0.5*((J99-Components!$C$5)/Components!$D$5)^2)</f>
        <v>-0.12652888566598366</v>
      </c>
      <c r="O99" s="89">
        <f>IF(G99="","",-0.5*((J99-Components!$C$6)/Components!$D$6)^2)</f>
        <v>-7546.8332605531605</v>
      </c>
      <c r="P99" s="89">
        <f>IF(G99="","",-0.5*((J99-Components!$C$7)/Components!$D$7)^2)</f>
        <v>-7974.7565321457278</v>
      </c>
      <c r="Q99" s="89">
        <f t="shared" si="12"/>
        <v>1</v>
      </c>
      <c r="R99" s="89">
        <f t="shared" si="13"/>
        <v>4.5453786151164605E-302</v>
      </c>
      <c r="S99" s="89">
        <f t="shared" si="14"/>
        <v>1</v>
      </c>
      <c r="T99" s="89" t="str">
        <f t="shared" si="15"/>
        <v>NG</v>
      </c>
      <c r="U99" s="117">
        <f t="shared" si="16"/>
        <v>1</v>
      </c>
      <c r="V99" s="89" t="str">
        <f>IF(G99="","",IF(T99="OK","NONE",INDEX({"S1","S2","W1","W2","N1","N2"},MATCH(MAX(K99:P99),K99:P99,0))))</f>
        <v>W2</v>
      </c>
      <c r="W99" s="117">
        <f t="shared" si="17"/>
        <v>1</v>
      </c>
      <c r="X99" s="114" t="str">
        <f t="shared" si="18"/>
        <v>CONFIDENT</v>
      </c>
      <c r="Y99" s="107"/>
    </row>
    <row r="100" spans="1:25">
      <c r="A100" s="115">
        <v>91</v>
      </c>
      <c r="B100" s="135">
        <f>'Runs Z-Score'!B93</f>
        <v>4</v>
      </c>
      <c r="C100" s="89" t="str">
        <f>'Runs Z-Score'!C93</f>
        <v>R3</v>
      </c>
      <c r="D100" s="89" t="str">
        <f>'Runs Z-Score'!D93</f>
        <v>NG</v>
      </c>
      <c r="E100" s="89" t="str">
        <f>'Runs Z-Score'!E93</f>
        <v>N2</v>
      </c>
      <c r="F100" s="89">
        <f>'Runs Z-Score'!F93</f>
        <v>8.61</v>
      </c>
      <c r="G100" s="89">
        <f t="shared" si="10"/>
        <v>9.58</v>
      </c>
      <c r="H100" s="89">
        <f>VLOOKUP(C100,Recipes!$A$2:$N$4,10,FALSE())</f>
        <v>10.940000000000001</v>
      </c>
      <c r="I100" s="89">
        <f>VLOOKUP(C100,Recipes!$A$2:$N$4,12,FALSE())</f>
        <v>5.2703573566378441E-2</v>
      </c>
      <c r="J100" s="89">
        <f t="shared" si="11"/>
        <v>1.3600000000000012</v>
      </c>
      <c r="K100" s="89">
        <f>IF(G100="","",-0.5*((J100-Components!$C$2)/Components!$D$2)^2)</f>
        <v>-22223.666666667439</v>
      </c>
      <c r="L100" s="89">
        <f>IF(G100="","",-0.5*((J100-Components!$C$3)/Components!$D$3)^2)</f>
        <v>-18810.534782609149</v>
      </c>
      <c r="M100" s="89">
        <f>IF(G100="","",-0.5*((J100-Components!$C$4)/Components!$D$4)^2)</f>
        <v>-344.01960784314127</v>
      </c>
      <c r="N100" s="89">
        <f>IF(G100="","",-0.5*((J100-Components!$C$5)/Components!$D$5)^2)</f>
        <v>-8088.8816050277492</v>
      </c>
      <c r="O100" s="89">
        <f>IF(G100="","",-0.5*((J100-Components!$C$6)/Components!$D$6)^2)</f>
        <v>-27.348544395923891</v>
      </c>
      <c r="P100" s="89">
        <f>IF(G100="","",-0.5*((J100-Components!$C$7)/Components!$D$7)^2)</f>
        <v>-0.16245834090761316</v>
      </c>
      <c r="Q100" s="89">
        <f t="shared" si="12"/>
        <v>0.99999999999843969</v>
      </c>
      <c r="R100" s="89">
        <f t="shared" si="13"/>
        <v>1.5603888623107904E-12</v>
      </c>
      <c r="S100" s="89">
        <f t="shared" si="14"/>
        <v>0.99999999999687927</v>
      </c>
      <c r="T100" s="89" t="str">
        <f t="shared" si="15"/>
        <v>NG</v>
      </c>
      <c r="U100" s="117">
        <f t="shared" si="16"/>
        <v>1</v>
      </c>
      <c r="V100" s="89" t="str">
        <f>IF(G100="","",IF(T100="OK","NONE",INDEX({"S1","S2","W1","W2","N1","N2"},MATCH(MAX(K100:P100),K100:P100,0))))</f>
        <v>N2</v>
      </c>
      <c r="W100" s="117">
        <f t="shared" si="17"/>
        <v>1</v>
      </c>
      <c r="X100" s="114" t="str">
        <f t="shared" si="18"/>
        <v>CONFIDENT</v>
      </c>
      <c r="Y100" s="107"/>
    </row>
    <row r="101" spans="1:25">
      <c r="A101" s="115">
        <v>92</v>
      </c>
      <c r="B101" s="135">
        <f>'Runs Z-Score'!B94</f>
        <v>4</v>
      </c>
      <c r="C101" s="89" t="str">
        <f>'Runs Z-Score'!C94</f>
        <v>R3</v>
      </c>
      <c r="D101" s="89" t="str">
        <f>'Runs Z-Score'!D94</f>
        <v>NG</v>
      </c>
      <c r="E101" s="89" t="str">
        <f>'Runs Z-Score'!E94</f>
        <v>N2</v>
      </c>
      <c r="F101" s="89">
        <f>'Runs Z-Score'!F94</f>
        <v>8.6199999999999992</v>
      </c>
      <c r="G101" s="89">
        <f t="shared" si="10"/>
        <v>9.59</v>
      </c>
      <c r="H101" s="89">
        <f>VLOOKUP(C101,Recipes!$A$2:$N$4,10,FALSE())</f>
        <v>10.940000000000001</v>
      </c>
      <c r="I101" s="89">
        <f>VLOOKUP(C101,Recipes!$A$2:$N$4,12,FALSE())</f>
        <v>5.2703573566378441E-2</v>
      </c>
      <c r="J101" s="89">
        <f t="shared" si="11"/>
        <v>1.3500000000000014</v>
      </c>
      <c r="K101" s="89">
        <f>IF(G101="","",-0.5*((J101-Components!$C$2)/Components!$D$2)^2)</f>
        <v>-22543.811403509546</v>
      </c>
      <c r="L101" s="89">
        <f>IF(G101="","",-0.5*((J101-Components!$C$3)/Components!$D$3)^2)</f>
        <v>-18951.384420290306</v>
      </c>
      <c r="M101" s="89">
        <f>IF(G101="","",-0.5*((J101-Components!$C$4)/Components!$D$4)^2)</f>
        <v>-325.5107843137298</v>
      </c>
      <c r="N101" s="89">
        <f>IF(G101="","",-0.5*((J101-Components!$C$5)/Components!$D$5)^2)</f>
        <v>-8139.4738820400753</v>
      </c>
      <c r="O101" s="89">
        <f>IF(G101="","",-0.5*((J101-Components!$C$6)/Components!$D$6)^2)</f>
        <v>-24.737190684133566</v>
      </c>
      <c r="P101" s="89">
        <f>IF(G101="","",-0.5*((J101-Components!$C$7)/Components!$D$7)^2)</f>
        <v>-0.46822092952778643</v>
      </c>
      <c r="Q101" s="89">
        <f t="shared" si="12"/>
        <v>0.99999999997115174</v>
      </c>
      <c r="R101" s="89">
        <f t="shared" si="13"/>
        <v>2.884830852619098E-11</v>
      </c>
      <c r="S101" s="89">
        <f t="shared" si="14"/>
        <v>0.99999999994230349</v>
      </c>
      <c r="T101" s="89" t="str">
        <f t="shared" si="15"/>
        <v>NG</v>
      </c>
      <c r="U101" s="117">
        <f t="shared" si="16"/>
        <v>1</v>
      </c>
      <c r="V101" s="89" t="str">
        <f>IF(G101="","",IF(T101="OK","NONE",INDEX({"S1","S2","W1","W2","N1","N2"},MATCH(MAX(K101:P101),K101:P101,0))))</f>
        <v>N2</v>
      </c>
      <c r="W101" s="117">
        <f t="shared" si="17"/>
        <v>1</v>
      </c>
      <c r="X101" s="114" t="str">
        <f t="shared" si="18"/>
        <v>CONFIDENT</v>
      </c>
      <c r="Y101" s="107"/>
    </row>
    <row r="102" spans="1:25">
      <c r="A102" s="115">
        <v>93</v>
      </c>
      <c r="B102" s="135">
        <f>'Runs Z-Score'!B95</f>
        <v>4</v>
      </c>
      <c r="C102" s="89" t="str">
        <f>'Runs Z-Score'!C95</f>
        <v>R3</v>
      </c>
      <c r="D102" s="89" t="str">
        <f>'Runs Z-Score'!D95</f>
        <v>NG</v>
      </c>
      <c r="E102" s="89" t="str">
        <f>'Runs Z-Score'!E95</f>
        <v>N2</v>
      </c>
      <c r="F102" s="89">
        <f>'Runs Z-Score'!F95</f>
        <v>8.6300000000000008</v>
      </c>
      <c r="G102" s="89">
        <f t="shared" si="10"/>
        <v>9.6000000000000014</v>
      </c>
      <c r="H102" s="89">
        <f>VLOOKUP(C102,Recipes!$A$2:$N$4,10,FALSE())</f>
        <v>10.940000000000001</v>
      </c>
      <c r="I102" s="89">
        <f>VLOOKUP(C102,Recipes!$A$2:$N$4,12,FALSE())</f>
        <v>5.2703573566378441E-2</v>
      </c>
      <c r="J102" s="89">
        <f t="shared" si="11"/>
        <v>1.3399999999999999</v>
      </c>
      <c r="K102" s="89">
        <f>IF(G102="","",-0.5*((J102-Components!$C$2)/Components!$D$2)^2)</f>
        <v>-22866.245614035925</v>
      </c>
      <c r="L102" s="89">
        <f>IF(G102="","",-0.5*((J102-Components!$C$3)/Components!$D$3)^2)</f>
        <v>-19092.759420290331</v>
      </c>
      <c r="M102" s="89">
        <f>IF(G102="","",-0.5*((J102-Components!$C$4)/Components!$D$4)^2)</f>
        <v>-307.51372549019743</v>
      </c>
      <c r="N102" s="89">
        <f>IF(G102="","",-0.5*((J102-Components!$C$5)/Components!$D$5)^2)</f>
        <v>-8190.2238820400835</v>
      </c>
      <c r="O102" s="89">
        <f>IF(G102="","",-0.5*((J102-Components!$C$6)/Components!$D$6)^2)</f>
        <v>-22.256841339155034</v>
      </c>
      <c r="P102" s="89">
        <f>IF(G102="","",-0.5*((J102-Components!$C$7)/Components!$D$7)^2)</f>
        <v>-0.93213658122748999</v>
      </c>
      <c r="Q102" s="89">
        <f t="shared" si="12"/>
        <v>0.99999999945197748</v>
      </c>
      <c r="R102" s="89">
        <f t="shared" si="13"/>
        <v>5.4802250709890652E-10</v>
      </c>
      <c r="S102" s="89">
        <f t="shared" si="14"/>
        <v>0.99999999890395497</v>
      </c>
      <c r="T102" s="89" t="str">
        <f t="shared" si="15"/>
        <v>NG</v>
      </c>
      <c r="U102" s="117">
        <f t="shared" si="16"/>
        <v>1</v>
      </c>
      <c r="V102" s="89" t="str">
        <f>IF(G102="","",IF(T102="OK","NONE",INDEX({"S1","S2","W1","W2","N1","N2"},MATCH(MAX(K102:P102),K102:P102,0))))</f>
        <v>N2</v>
      </c>
      <c r="W102" s="117">
        <f t="shared" si="17"/>
        <v>1</v>
      </c>
      <c r="X102" s="114" t="str">
        <f t="shared" si="18"/>
        <v>CONFIDENT</v>
      </c>
      <c r="Y102" s="107"/>
    </row>
    <row r="103" spans="1:25">
      <c r="A103" s="115">
        <v>94</v>
      </c>
      <c r="B103" s="135">
        <f>'Runs Z-Score'!B96</f>
        <v>4</v>
      </c>
      <c r="C103" s="89" t="str">
        <f>'Runs Z-Score'!C96</f>
        <v>R3</v>
      </c>
      <c r="D103" s="89" t="str">
        <f>'Runs Z-Score'!D96</f>
        <v>NG</v>
      </c>
      <c r="E103" s="89" t="str">
        <f>'Runs Z-Score'!E96</f>
        <v>N2</v>
      </c>
      <c r="F103" s="89">
        <f>'Runs Z-Score'!F96</f>
        <v>8.6199999999999992</v>
      </c>
      <c r="G103" s="89">
        <f t="shared" si="10"/>
        <v>9.59</v>
      </c>
      <c r="H103" s="89">
        <f>VLOOKUP(C103,Recipes!$A$2:$N$4,10,FALSE())</f>
        <v>10.940000000000001</v>
      </c>
      <c r="I103" s="89">
        <f>VLOOKUP(C103,Recipes!$A$2:$N$4,12,FALSE())</f>
        <v>5.2703573566378441E-2</v>
      </c>
      <c r="J103" s="89">
        <f t="shared" si="11"/>
        <v>1.3500000000000014</v>
      </c>
      <c r="K103" s="89">
        <f>IF(G103="","",-0.5*((J103-Components!$C$2)/Components!$D$2)^2)</f>
        <v>-22543.811403509546</v>
      </c>
      <c r="L103" s="89">
        <f>IF(G103="","",-0.5*((J103-Components!$C$3)/Components!$D$3)^2)</f>
        <v>-18951.384420290306</v>
      </c>
      <c r="M103" s="89">
        <f>IF(G103="","",-0.5*((J103-Components!$C$4)/Components!$D$4)^2)</f>
        <v>-325.5107843137298</v>
      </c>
      <c r="N103" s="89">
        <f>IF(G103="","",-0.5*((J103-Components!$C$5)/Components!$D$5)^2)</f>
        <v>-8139.4738820400753</v>
      </c>
      <c r="O103" s="89">
        <f>IF(G103="","",-0.5*((J103-Components!$C$6)/Components!$D$6)^2)</f>
        <v>-24.737190684133566</v>
      </c>
      <c r="P103" s="89">
        <f>IF(G103="","",-0.5*((J103-Components!$C$7)/Components!$D$7)^2)</f>
        <v>-0.46822092952778643</v>
      </c>
      <c r="Q103" s="89">
        <f t="shared" si="12"/>
        <v>0.99999999997115174</v>
      </c>
      <c r="R103" s="89">
        <f t="shared" si="13"/>
        <v>2.884830852619098E-11</v>
      </c>
      <c r="S103" s="89">
        <f t="shared" si="14"/>
        <v>0.99999999994230349</v>
      </c>
      <c r="T103" s="89" t="str">
        <f t="shared" si="15"/>
        <v>NG</v>
      </c>
      <c r="U103" s="117">
        <f t="shared" si="16"/>
        <v>1</v>
      </c>
      <c r="V103" s="89" t="str">
        <f>IF(G103="","",IF(T103="OK","NONE",INDEX({"S1","S2","W1","W2","N1","N2"},MATCH(MAX(K103:P103),K103:P103,0))))</f>
        <v>N2</v>
      </c>
      <c r="W103" s="117">
        <f t="shared" si="17"/>
        <v>1</v>
      </c>
      <c r="X103" s="114" t="str">
        <f t="shared" si="18"/>
        <v>CONFIDENT</v>
      </c>
      <c r="Y103" s="107"/>
    </row>
    <row r="104" spans="1:25">
      <c r="A104" s="115">
        <v>95</v>
      </c>
      <c r="B104" s="135">
        <f>'Runs Z-Score'!B97</f>
        <v>4</v>
      </c>
      <c r="C104" s="89" t="str">
        <f>'Runs Z-Score'!C97</f>
        <v>R3</v>
      </c>
      <c r="D104" s="89" t="str">
        <f>'Runs Z-Score'!D97</f>
        <v>NG</v>
      </c>
      <c r="E104" s="89" t="str">
        <f>'Runs Z-Score'!E97</f>
        <v>N2</v>
      </c>
      <c r="F104" s="89">
        <f>'Runs Z-Score'!F97</f>
        <v>8.5399999999999991</v>
      </c>
      <c r="G104" s="89">
        <f t="shared" si="10"/>
        <v>9.51</v>
      </c>
      <c r="H104" s="89">
        <f>VLOOKUP(C104,Recipes!$A$2:$N$4,10,FALSE())</f>
        <v>10.940000000000001</v>
      </c>
      <c r="I104" s="89">
        <f>VLOOKUP(C104,Recipes!$A$2:$N$4,12,FALSE())</f>
        <v>5.2703573566378441E-2</v>
      </c>
      <c r="J104" s="89">
        <f t="shared" si="11"/>
        <v>1.4300000000000015</v>
      </c>
      <c r="K104" s="89">
        <f>IF(G104="","",-0.5*((J104-Components!$C$2)/Components!$D$2)^2)</f>
        <v>-20046.758771930501</v>
      </c>
      <c r="L104" s="89">
        <f>IF(G104="","",-0.5*((J104-Components!$C$3)/Components!$D$3)^2)</f>
        <v>-17839.297463768537</v>
      </c>
      <c r="M104" s="89">
        <f>IF(G104="","",-0.5*((J104-Components!$C$4)/Components!$D$4)^2)</f>
        <v>-487.91078431373109</v>
      </c>
      <c r="N104" s="89">
        <f>IF(G104="","",-0.5*((J104-Components!$C$5)/Components!$D$5)^2)</f>
        <v>-7739.1519095962785</v>
      </c>
      <c r="O104" s="89">
        <f>IF(G104="","",-0.5*((J104-Components!$C$6)/Components!$D$6)^2)</f>
        <v>-49.296142649199027</v>
      </c>
      <c r="P104" s="89">
        <f>IF(G104="","",-0.5*((J104-Components!$C$7)/Components!$D$7)^2)</f>
        <v>-2.4504059867907082</v>
      </c>
      <c r="Q104" s="89">
        <f t="shared" si="12"/>
        <v>1</v>
      </c>
      <c r="R104" s="89">
        <f t="shared" si="13"/>
        <v>4.5201731040483242E-21</v>
      </c>
      <c r="S104" s="89">
        <f t="shared" si="14"/>
        <v>1</v>
      </c>
      <c r="T104" s="89" t="str">
        <f t="shared" si="15"/>
        <v>NG</v>
      </c>
      <c r="U104" s="117">
        <f t="shared" si="16"/>
        <v>1</v>
      </c>
      <c r="V104" s="89" t="str">
        <f>IF(G104="","",IF(T104="OK","NONE",INDEX({"S1","S2","W1","W2","N1","N2"},MATCH(MAX(K104:P104),K104:P104,0))))</f>
        <v>N2</v>
      </c>
      <c r="W104" s="117">
        <f t="shared" si="17"/>
        <v>1</v>
      </c>
      <c r="X104" s="114" t="str">
        <f t="shared" si="18"/>
        <v>CONFIDENT</v>
      </c>
      <c r="Y104" s="107"/>
    </row>
    <row r="105" spans="1:25">
      <c r="A105" s="115">
        <v>96</v>
      </c>
      <c r="B105" s="135">
        <f>'Runs Z-Score'!B98</f>
        <v>4</v>
      </c>
      <c r="C105" s="89" t="str">
        <f>'Runs Z-Score'!C98</f>
        <v>R3</v>
      </c>
      <c r="D105" s="89" t="str">
        <f>'Runs Z-Score'!D98</f>
        <v>NG</v>
      </c>
      <c r="E105" s="89" t="str">
        <f>'Runs Z-Score'!E98</f>
        <v>N2</v>
      </c>
      <c r="F105" s="89">
        <f>'Runs Z-Score'!F98</f>
        <v>8.48</v>
      </c>
      <c r="G105" s="89">
        <f t="shared" si="10"/>
        <v>9.4500000000000011</v>
      </c>
      <c r="H105" s="89">
        <f>VLOOKUP(C105,Recipes!$A$2:$N$4,10,FALSE())</f>
        <v>10.940000000000001</v>
      </c>
      <c r="I105" s="89">
        <f>VLOOKUP(C105,Recipes!$A$2:$N$4,12,FALSE())</f>
        <v>5.2703573566378441E-2</v>
      </c>
      <c r="J105" s="89">
        <f t="shared" si="11"/>
        <v>1.4900000000000002</v>
      </c>
      <c r="K105" s="89">
        <f>IF(G105="","",-0.5*((J105-Components!$C$2)/Components!$D$2)^2)</f>
        <v>-18270.127192983105</v>
      </c>
      <c r="L105" s="89">
        <f>IF(G105="","",-0.5*((J105-Components!$C$3)/Components!$D$3)^2)</f>
        <v>-17027.297463768537</v>
      </c>
      <c r="M105" s="89">
        <f>IF(G105="","",-0.5*((J105-Components!$C$4)/Components!$D$4)^2)</f>
        <v>-631.20490196078765</v>
      </c>
      <c r="N105" s="89">
        <f>IF(G105="","",-0.5*((J105-Components!$C$5)/Components!$D$5)^2)</f>
        <v>-7445.5347957456697</v>
      </c>
      <c r="O105" s="89">
        <f>IF(G105="","",-0.5*((J105-Components!$C$6)/Components!$D$6)^2)</f>
        <v>-73.217540029111106</v>
      </c>
      <c r="P105" s="89">
        <f>IF(G105="","",-0.5*((J105-Components!$C$7)/Components!$D$7)^2)</f>
        <v>-10.579473429074179</v>
      </c>
      <c r="Q105" s="89">
        <f t="shared" si="12"/>
        <v>1</v>
      </c>
      <c r="R105" s="89">
        <f t="shared" si="13"/>
        <v>6.2608502827048205E-28</v>
      </c>
      <c r="S105" s="89">
        <f t="shared" si="14"/>
        <v>1</v>
      </c>
      <c r="T105" s="89" t="str">
        <f t="shared" si="15"/>
        <v>NG</v>
      </c>
      <c r="U105" s="117">
        <f t="shared" si="16"/>
        <v>1</v>
      </c>
      <c r="V105" s="89" t="str">
        <f>IF(G105="","",IF(T105="OK","NONE",INDEX({"S1","S2","W1","W2","N1","N2"},MATCH(MAX(K105:P105),K105:P105,0))))</f>
        <v>N2</v>
      </c>
      <c r="W105" s="117">
        <f t="shared" si="17"/>
        <v>1</v>
      </c>
      <c r="X105" s="114" t="str">
        <f t="shared" si="18"/>
        <v>CONFIDENT</v>
      </c>
      <c r="Y105" s="107"/>
    </row>
    <row r="106" spans="1:25">
      <c r="A106" s="115">
        <v>97</v>
      </c>
      <c r="B106" s="135">
        <f>'Runs Z-Score'!B99</f>
        <v>4</v>
      </c>
      <c r="C106" s="89" t="str">
        <f>'Runs Z-Score'!C99</f>
        <v>R3</v>
      </c>
      <c r="D106" s="89" t="str">
        <f>'Runs Z-Score'!D99</f>
        <v>NG</v>
      </c>
      <c r="E106" s="89" t="str">
        <f>'Runs Z-Score'!E99</f>
        <v>N2</v>
      </c>
      <c r="F106" s="89">
        <f>'Runs Z-Score'!F99</f>
        <v>8.6</v>
      </c>
      <c r="G106" s="89">
        <f t="shared" si="10"/>
        <v>9.57</v>
      </c>
      <c r="H106" s="89">
        <f>VLOOKUP(C106,Recipes!$A$2:$N$4,10,FALSE())</f>
        <v>10.940000000000001</v>
      </c>
      <c r="I106" s="89">
        <f>VLOOKUP(C106,Recipes!$A$2:$N$4,12,FALSE())</f>
        <v>5.2703573566378441E-2</v>
      </c>
      <c r="J106" s="89">
        <f t="shared" si="11"/>
        <v>1.370000000000001</v>
      </c>
      <c r="K106" s="89">
        <f>IF(G106="","",-0.5*((J106-Components!$C$2)/Components!$D$2)^2)</f>
        <v>-21905.811403509535</v>
      </c>
      <c r="L106" s="89">
        <f>IF(G106="","",-0.5*((J106-Components!$C$3)/Components!$D$3)^2)</f>
        <v>-18670.210507246829</v>
      </c>
      <c r="M106" s="89">
        <f>IF(G106="","",-0.5*((J106-Components!$C$4)/Components!$D$4)^2)</f>
        <v>-363.04019607843514</v>
      </c>
      <c r="N106" s="89">
        <f>IF(G106="","",-0.5*((J106-Components!$C$5)/Components!$D$5)^2)</f>
        <v>-8038.447051003096</v>
      </c>
      <c r="O106" s="89">
        <f>IF(G106="","",-0.5*((J106-Components!$C$6)/Components!$D$6)^2)</f>
        <v>-30.090902474526441</v>
      </c>
      <c r="P106" s="89">
        <f>IF(G106="","",-0.5*((J106-Components!$C$7)/Components!$D$7)^2)</f>
        <v>-1.4848815366873906E-2</v>
      </c>
      <c r="Q106" s="89">
        <f t="shared" si="12"/>
        <v>0.99999999999991318</v>
      </c>
      <c r="R106" s="89">
        <f t="shared" si="13"/>
        <v>8.6723312599003888E-14</v>
      </c>
      <c r="S106" s="89">
        <f t="shared" si="14"/>
        <v>0.99999999999982647</v>
      </c>
      <c r="T106" s="89" t="str">
        <f t="shared" si="15"/>
        <v>NG</v>
      </c>
      <c r="U106" s="117">
        <f t="shared" si="16"/>
        <v>1</v>
      </c>
      <c r="V106" s="89" t="str">
        <f>IF(G106="","",IF(T106="OK","NONE",INDEX({"S1","S2","W1","W2","N1","N2"},MATCH(MAX(K106:P106),K106:P106,0))))</f>
        <v>N2</v>
      </c>
      <c r="W106" s="117">
        <f t="shared" si="17"/>
        <v>1</v>
      </c>
      <c r="X106" s="114" t="str">
        <f t="shared" si="18"/>
        <v>CONFIDENT</v>
      </c>
      <c r="Y106" s="107"/>
    </row>
    <row r="107" spans="1:25">
      <c r="A107" s="115">
        <v>98</v>
      </c>
      <c r="B107" s="135">
        <f>'Runs Z-Score'!B100</f>
        <v>4</v>
      </c>
      <c r="C107" s="89" t="str">
        <f>'Runs Z-Score'!C100</f>
        <v>R3</v>
      </c>
      <c r="D107" s="89" t="str">
        <f>'Runs Z-Score'!D100</f>
        <v>NG</v>
      </c>
      <c r="E107" s="89" t="str">
        <f>'Runs Z-Score'!E100</f>
        <v>N2</v>
      </c>
      <c r="F107" s="89">
        <f>'Runs Z-Score'!F100</f>
        <v>8.6300000000000008</v>
      </c>
      <c r="G107" s="89">
        <f t="shared" si="10"/>
        <v>9.6000000000000014</v>
      </c>
      <c r="H107" s="89">
        <f>VLOOKUP(C107,Recipes!$A$2:$N$4,10,FALSE())</f>
        <v>10.940000000000001</v>
      </c>
      <c r="I107" s="89">
        <f>VLOOKUP(C107,Recipes!$A$2:$N$4,12,FALSE())</f>
        <v>5.2703573566378441E-2</v>
      </c>
      <c r="J107" s="89">
        <f t="shared" si="11"/>
        <v>1.3399999999999999</v>
      </c>
      <c r="K107" s="89">
        <f>IF(G107="","",-0.5*((J107-Components!$C$2)/Components!$D$2)^2)</f>
        <v>-22866.245614035925</v>
      </c>
      <c r="L107" s="89">
        <f>IF(G107="","",-0.5*((J107-Components!$C$3)/Components!$D$3)^2)</f>
        <v>-19092.759420290331</v>
      </c>
      <c r="M107" s="89">
        <f>IF(G107="","",-0.5*((J107-Components!$C$4)/Components!$D$4)^2)</f>
        <v>-307.51372549019743</v>
      </c>
      <c r="N107" s="89">
        <f>IF(G107="","",-0.5*((J107-Components!$C$5)/Components!$D$5)^2)</f>
        <v>-8190.2238820400835</v>
      </c>
      <c r="O107" s="89">
        <f>IF(G107="","",-0.5*((J107-Components!$C$6)/Components!$D$6)^2)</f>
        <v>-22.256841339155034</v>
      </c>
      <c r="P107" s="89">
        <f>IF(G107="","",-0.5*((J107-Components!$C$7)/Components!$D$7)^2)</f>
        <v>-0.93213658122748999</v>
      </c>
      <c r="Q107" s="89">
        <f t="shared" si="12"/>
        <v>0.99999999945197748</v>
      </c>
      <c r="R107" s="89">
        <f t="shared" si="13"/>
        <v>5.4802250709890652E-10</v>
      </c>
      <c r="S107" s="89">
        <f t="shared" si="14"/>
        <v>0.99999999890395497</v>
      </c>
      <c r="T107" s="89" t="str">
        <f t="shared" si="15"/>
        <v>NG</v>
      </c>
      <c r="U107" s="117">
        <f t="shared" si="16"/>
        <v>1</v>
      </c>
      <c r="V107" s="89" t="str">
        <f>IF(G107="","",IF(T107="OK","NONE",INDEX({"S1","S2","W1","W2","N1","N2"},MATCH(MAX(K107:P107),K107:P107,0))))</f>
        <v>N2</v>
      </c>
      <c r="W107" s="117">
        <f t="shared" si="17"/>
        <v>1</v>
      </c>
      <c r="X107" s="114" t="str">
        <f t="shared" si="18"/>
        <v>CONFIDENT</v>
      </c>
      <c r="Y107" s="107"/>
    </row>
    <row r="108" spans="1:25">
      <c r="A108" s="115">
        <v>99</v>
      </c>
      <c r="B108" s="135">
        <f>'Runs Z-Score'!B101</f>
        <v>4</v>
      </c>
      <c r="C108" s="89" t="str">
        <f>'Runs Z-Score'!C101</f>
        <v>R3</v>
      </c>
      <c r="D108" s="89" t="str">
        <f>'Runs Z-Score'!D101</f>
        <v>NG</v>
      </c>
      <c r="E108" s="89" t="str">
        <f>'Runs Z-Score'!E101</f>
        <v>N2</v>
      </c>
      <c r="F108" s="89">
        <f>'Runs Z-Score'!F101</f>
        <v>8.6</v>
      </c>
      <c r="G108" s="89">
        <f t="shared" si="10"/>
        <v>9.57</v>
      </c>
      <c r="H108" s="89">
        <f>VLOOKUP(C108,Recipes!$A$2:$N$4,10,FALSE())</f>
        <v>10.940000000000001</v>
      </c>
      <c r="I108" s="89">
        <f>VLOOKUP(C108,Recipes!$A$2:$N$4,12,FALSE())</f>
        <v>5.2703573566378441E-2</v>
      </c>
      <c r="J108" s="89">
        <f t="shared" si="11"/>
        <v>1.370000000000001</v>
      </c>
      <c r="K108" s="89">
        <f>IF(G108="","",-0.5*((J108-Components!$C$2)/Components!$D$2)^2)</f>
        <v>-21905.811403509535</v>
      </c>
      <c r="L108" s="89">
        <f>IF(G108="","",-0.5*((J108-Components!$C$3)/Components!$D$3)^2)</f>
        <v>-18670.210507246829</v>
      </c>
      <c r="M108" s="89">
        <f>IF(G108="","",-0.5*((J108-Components!$C$4)/Components!$D$4)^2)</f>
        <v>-363.04019607843514</v>
      </c>
      <c r="N108" s="89">
        <f>IF(G108="","",-0.5*((J108-Components!$C$5)/Components!$D$5)^2)</f>
        <v>-8038.447051003096</v>
      </c>
      <c r="O108" s="89">
        <f>IF(G108="","",-0.5*((J108-Components!$C$6)/Components!$D$6)^2)</f>
        <v>-30.090902474526441</v>
      </c>
      <c r="P108" s="89">
        <f>IF(G108="","",-0.5*((J108-Components!$C$7)/Components!$D$7)^2)</f>
        <v>-1.4848815366873906E-2</v>
      </c>
      <c r="Q108" s="89">
        <f t="shared" si="12"/>
        <v>0.99999999999991318</v>
      </c>
      <c r="R108" s="89">
        <f t="shared" si="13"/>
        <v>8.6723312599003888E-14</v>
      </c>
      <c r="S108" s="89">
        <f t="shared" si="14"/>
        <v>0.99999999999982647</v>
      </c>
      <c r="T108" s="89" t="str">
        <f t="shared" si="15"/>
        <v>NG</v>
      </c>
      <c r="U108" s="117">
        <f t="shared" si="16"/>
        <v>1</v>
      </c>
      <c r="V108" s="89" t="str">
        <f>IF(G108="","",IF(T108="OK","NONE",INDEX({"S1","S2","W1","W2","N1","N2"},MATCH(MAX(K108:P108),K108:P108,0))))</f>
        <v>N2</v>
      </c>
      <c r="W108" s="117">
        <f t="shared" si="17"/>
        <v>1</v>
      </c>
      <c r="X108" s="114" t="str">
        <f t="shared" si="18"/>
        <v>CONFIDENT</v>
      </c>
      <c r="Y108" s="107"/>
    </row>
    <row r="109" spans="1:25">
      <c r="A109" s="115">
        <v>100</v>
      </c>
      <c r="B109" s="135">
        <f>'Runs Z-Score'!B102</f>
        <v>4</v>
      </c>
      <c r="C109" s="89" t="str">
        <f>'Runs Z-Score'!C102</f>
        <v>R3</v>
      </c>
      <c r="D109" s="89" t="str">
        <f>'Runs Z-Score'!D102</f>
        <v>NG</v>
      </c>
      <c r="E109" s="89" t="str">
        <f>'Runs Z-Score'!E102</f>
        <v>N2</v>
      </c>
      <c r="F109" s="89">
        <f>'Runs Z-Score'!F102</f>
        <v>8.6199999999999992</v>
      </c>
      <c r="G109" s="89">
        <f t="shared" si="10"/>
        <v>9.59</v>
      </c>
      <c r="H109" s="89">
        <f>VLOOKUP(C109,Recipes!$A$2:$N$4,10,FALSE())</f>
        <v>10.940000000000001</v>
      </c>
      <c r="I109" s="89">
        <f>VLOOKUP(C109,Recipes!$A$2:$N$4,12,FALSE())</f>
        <v>5.2703573566378441E-2</v>
      </c>
      <c r="J109" s="89">
        <f t="shared" si="11"/>
        <v>1.3500000000000014</v>
      </c>
      <c r="K109" s="89">
        <f>IF(G109="","",-0.5*((J109-Components!$C$2)/Components!$D$2)^2)</f>
        <v>-22543.811403509546</v>
      </c>
      <c r="L109" s="89">
        <f>IF(G109="","",-0.5*((J109-Components!$C$3)/Components!$D$3)^2)</f>
        <v>-18951.384420290306</v>
      </c>
      <c r="M109" s="89">
        <f>IF(G109="","",-0.5*((J109-Components!$C$4)/Components!$D$4)^2)</f>
        <v>-325.5107843137298</v>
      </c>
      <c r="N109" s="89">
        <f>IF(G109="","",-0.5*((J109-Components!$C$5)/Components!$D$5)^2)</f>
        <v>-8139.4738820400753</v>
      </c>
      <c r="O109" s="89">
        <f>IF(G109="","",-0.5*((J109-Components!$C$6)/Components!$D$6)^2)</f>
        <v>-24.737190684133566</v>
      </c>
      <c r="P109" s="89">
        <f>IF(G109="","",-0.5*((J109-Components!$C$7)/Components!$D$7)^2)</f>
        <v>-0.46822092952778643</v>
      </c>
      <c r="Q109" s="89">
        <f t="shared" si="12"/>
        <v>0.99999999997115174</v>
      </c>
      <c r="R109" s="89">
        <f t="shared" si="13"/>
        <v>2.884830852619098E-11</v>
      </c>
      <c r="S109" s="89">
        <f t="shared" si="14"/>
        <v>0.99999999994230349</v>
      </c>
      <c r="T109" s="89" t="str">
        <f t="shared" si="15"/>
        <v>NG</v>
      </c>
      <c r="U109" s="117">
        <f t="shared" si="16"/>
        <v>1</v>
      </c>
      <c r="V109" s="89" t="str">
        <f>IF(G109="","",IF(T109="OK","NONE",INDEX({"S1","S2","W1","W2","N1","N2"},MATCH(MAX(K109:P109),K109:P109,0))))</f>
        <v>N2</v>
      </c>
      <c r="W109" s="117">
        <f t="shared" si="17"/>
        <v>1</v>
      </c>
      <c r="X109" s="114" t="str">
        <f t="shared" si="18"/>
        <v>CONFIDENT</v>
      </c>
      <c r="Y109" s="107"/>
    </row>
    <row r="110" spans="1:25">
      <c r="A110" s="115">
        <v>101</v>
      </c>
      <c r="B110" s="135">
        <f>'Runs Z-Score'!B103</f>
        <v>4</v>
      </c>
      <c r="C110" s="89" t="str">
        <f>'Runs Z-Score'!C103</f>
        <v>R3</v>
      </c>
      <c r="D110" s="89" t="str">
        <f>'Runs Z-Score'!D103</f>
        <v>NG</v>
      </c>
      <c r="E110" s="89" t="str">
        <f>'Runs Z-Score'!E103</f>
        <v>N2</v>
      </c>
      <c r="F110" s="89">
        <f>'Runs Z-Score'!F103</f>
        <v>8.6</v>
      </c>
      <c r="G110" s="89">
        <f t="shared" si="10"/>
        <v>9.57</v>
      </c>
      <c r="H110" s="89">
        <f>VLOOKUP(C110,Recipes!$A$2:$N$4,10,FALSE())</f>
        <v>10.940000000000001</v>
      </c>
      <c r="I110" s="89">
        <f>VLOOKUP(C110,Recipes!$A$2:$N$4,12,FALSE())</f>
        <v>5.2703573566378441E-2</v>
      </c>
      <c r="J110" s="89">
        <f t="shared" si="11"/>
        <v>1.370000000000001</v>
      </c>
      <c r="K110" s="89">
        <f>IF(G110="","",-0.5*((J110-Components!$C$2)/Components!$D$2)^2)</f>
        <v>-21905.811403509535</v>
      </c>
      <c r="L110" s="89">
        <f>IF(G110="","",-0.5*((J110-Components!$C$3)/Components!$D$3)^2)</f>
        <v>-18670.210507246829</v>
      </c>
      <c r="M110" s="89">
        <f>IF(G110="","",-0.5*((J110-Components!$C$4)/Components!$D$4)^2)</f>
        <v>-363.04019607843514</v>
      </c>
      <c r="N110" s="89">
        <f>IF(G110="","",-0.5*((J110-Components!$C$5)/Components!$D$5)^2)</f>
        <v>-8038.447051003096</v>
      </c>
      <c r="O110" s="89">
        <f>IF(G110="","",-0.5*((J110-Components!$C$6)/Components!$D$6)^2)</f>
        <v>-30.090902474526441</v>
      </c>
      <c r="P110" s="89">
        <f>IF(G110="","",-0.5*((J110-Components!$C$7)/Components!$D$7)^2)</f>
        <v>-1.4848815366873906E-2</v>
      </c>
      <c r="Q110" s="89">
        <f t="shared" si="12"/>
        <v>0.99999999999991318</v>
      </c>
      <c r="R110" s="89">
        <f t="shared" si="13"/>
        <v>8.6723312599003888E-14</v>
      </c>
      <c r="S110" s="89">
        <f t="shared" si="14"/>
        <v>0.99999999999982647</v>
      </c>
      <c r="T110" s="89" t="str">
        <f t="shared" si="15"/>
        <v>NG</v>
      </c>
      <c r="U110" s="117">
        <f t="shared" si="16"/>
        <v>1</v>
      </c>
      <c r="V110" s="89" t="str">
        <f>IF(G110="","",IF(T110="OK","NONE",INDEX({"S1","S2","W1","W2","N1","N2"},MATCH(MAX(K110:P110),K110:P110,0))))</f>
        <v>N2</v>
      </c>
      <c r="W110" s="117">
        <f t="shared" si="17"/>
        <v>1</v>
      </c>
      <c r="X110" s="114" t="str">
        <f t="shared" si="18"/>
        <v>CONFIDENT</v>
      </c>
      <c r="Y110" s="107"/>
    </row>
    <row r="111" spans="1:25">
      <c r="A111" s="115">
        <v>102</v>
      </c>
      <c r="B111" s="135">
        <f>'Runs Z-Score'!B104</f>
        <v>4</v>
      </c>
      <c r="C111" s="89" t="str">
        <f>'Runs Z-Score'!C104</f>
        <v>R3</v>
      </c>
      <c r="D111" s="89" t="str">
        <f>'Runs Z-Score'!D104</f>
        <v>NG</v>
      </c>
      <c r="E111" s="89" t="str">
        <f>'Runs Z-Score'!E104</f>
        <v>N2</v>
      </c>
      <c r="F111" s="89">
        <f>'Runs Z-Score'!F104</f>
        <v>8.5399999999999991</v>
      </c>
      <c r="G111" s="89">
        <f t="shared" si="10"/>
        <v>9.51</v>
      </c>
      <c r="H111" s="89">
        <f>VLOOKUP(C111,Recipes!$A$2:$N$4,10,FALSE())</f>
        <v>10.940000000000001</v>
      </c>
      <c r="I111" s="89">
        <f>VLOOKUP(C111,Recipes!$A$2:$N$4,12,FALSE())</f>
        <v>5.2703573566378441E-2</v>
      </c>
      <c r="J111" s="89">
        <f t="shared" si="11"/>
        <v>1.4300000000000015</v>
      </c>
      <c r="K111" s="89">
        <f>IF(G111="","",-0.5*((J111-Components!$C$2)/Components!$D$2)^2)</f>
        <v>-20046.758771930501</v>
      </c>
      <c r="L111" s="89">
        <f>IF(G111="","",-0.5*((J111-Components!$C$3)/Components!$D$3)^2)</f>
        <v>-17839.297463768537</v>
      </c>
      <c r="M111" s="89">
        <f>IF(G111="","",-0.5*((J111-Components!$C$4)/Components!$D$4)^2)</f>
        <v>-487.91078431373109</v>
      </c>
      <c r="N111" s="89">
        <f>IF(G111="","",-0.5*((J111-Components!$C$5)/Components!$D$5)^2)</f>
        <v>-7739.1519095962785</v>
      </c>
      <c r="O111" s="89">
        <f>IF(G111="","",-0.5*((J111-Components!$C$6)/Components!$D$6)^2)</f>
        <v>-49.296142649199027</v>
      </c>
      <c r="P111" s="89">
        <f>IF(G111="","",-0.5*((J111-Components!$C$7)/Components!$D$7)^2)</f>
        <v>-2.4504059867907082</v>
      </c>
      <c r="Q111" s="89">
        <f t="shared" si="12"/>
        <v>1</v>
      </c>
      <c r="R111" s="89">
        <f t="shared" si="13"/>
        <v>4.5201731040483242E-21</v>
      </c>
      <c r="S111" s="89">
        <f t="shared" si="14"/>
        <v>1</v>
      </c>
      <c r="T111" s="89" t="str">
        <f t="shared" si="15"/>
        <v>NG</v>
      </c>
      <c r="U111" s="117">
        <f t="shared" si="16"/>
        <v>1</v>
      </c>
      <c r="V111" s="89" t="str">
        <f>IF(G111="","",IF(T111="OK","NONE",INDEX({"S1","S2","W1","W2","N1","N2"},MATCH(MAX(K111:P111),K111:P111,0))))</f>
        <v>N2</v>
      </c>
      <c r="W111" s="117">
        <f t="shared" si="17"/>
        <v>1</v>
      </c>
      <c r="X111" s="114" t="str">
        <f t="shared" si="18"/>
        <v>CONFIDENT</v>
      </c>
      <c r="Y111" s="107"/>
    </row>
    <row r="112" spans="1:25">
      <c r="A112" s="115">
        <v>103</v>
      </c>
      <c r="B112" s="135">
        <f>'Runs Z-Score'!B105</f>
        <v>4</v>
      </c>
      <c r="C112" s="89" t="str">
        <f>'Runs Z-Score'!C105</f>
        <v>R3</v>
      </c>
      <c r="D112" s="89" t="str">
        <f>'Runs Z-Score'!D105</f>
        <v>NG</v>
      </c>
      <c r="E112" s="89" t="str">
        <f>'Runs Z-Score'!E105</f>
        <v>N2</v>
      </c>
      <c r="F112" s="89">
        <f>'Runs Z-Score'!F105</f>
        <v>8.64</v>
      </c>
      <c r="G112" s="89">
        <f t="shared" si="10"/>
        <v>9.6100000000000012</v>
      </c>
      <c r="H112" s="89">
        <f>VLOOKUP(C112,Recipes!$A$2:$N$4,10,FALSE())</f>
        <v>10.940000000000001</v>
      </c>
      <c r="I112" s="89">
        <f>VLOOKUP(C112,Recipes!$A$2:$N$4,12,FALSE())</f>
        <v>5.2703573566378441E-2</v>
      </c>
      <c r="J112" s="89">
        <f t="shared" si="11"/>
        <v>1.33</v>
      </c>
      <c r="K112" s="89">
        <f>IF(G112="","",-0.5*((J112-Components!$C$2)/Components!$D$2)^2)</f>
        <v>-23190.969298246458</v>
      </c>
      <c r="L112" s="89">
        <f>IF(G112="","",-0.5*((J112-Components!$C$3)/Components!$D$3)^2)</f>
        <v>-19234.659782609171</v>
      </c>
      <c r="M112" s="89">
        <f>IF(G112="","",-0.5*((J112-Components!$C$4)/Components!$D$4)^2)</f>
        <v>-290.02843137255064</v>
      </c>
      <c r="N112" s="89">
        <f>IF(G112="","",-0.5*((J112-Components!$C$5)/Components!$D$5)^2)</f>
        <v>-8241.1316050277528</v>
      </c>
      <c r="O112" s="89">
        <f>IF(G112="","",-0.5*((J112-Components!$C$6)/Components!$D$6)^2)</f>
        <v>-19.907496360989175</v>
      </c>
      <c r="P112" s="89">
        <f>IF(G112="","",-0.5*((J112-Components!$C$7)/Components!$D$7)^2)</f>
        <v>-1.5542052960065593</v>
      </c>
      <c r="Q112" s="89">
        <f t="shared" si="12"/>
        <v>0.99999998930287759</v>
      </c>
      <c r="R112" s="89">
        <f t="shared" si="13"/>
        <v>1.069712229888698E-8</v>
      </c>
      <c r="S112" s="89">
        <f t="shared" si="14"/>
        <v>0.99999997860575529</v>
      </c>
      <c r="T112" s="89" t="str">
        <f t="shared" si="15"/>
        <v>NG</v>
      </c>
      <c r="U112" s="117">
        <f t="shared" si="16"/>
        <v>1</v>
      </c>
      <c r="V112" s="89" t="str">
        <f>IF(G112="","",IF(T112="OK","NONE",INDEX({"S1","S2","W1","W2","N1","N2"},MATCH(MAX(K112:P112),K112:P112,0))))</f>
        <v>N2</v>
      </c>
      <c r="W112" s="117">
        <f t="shared" si="17"/>
        <v>1</v>
      </c>
      <c r="X112" s="114" t="str">
        <f t="shared" si="18"/>
        <v>CONFIDENT</v>
      </c>
      <c r="Y112" s="107"/>
    </row>
    <row r="113" spans="1:25">
      <c r="A113" s="115">
        <v>104</v>
      </c>
      <c r="B113" s="135">
        <f>'Runs Z-Score'!B106</f>
        <v>4</v>
      </c>
      <c r="C113" s="89" t="str">
        <f>'Runs Z-Score'!C106</f>
        <v>R3</v>
      </c>
      <c r="D113" s="89" t="str">
        <f>'Runs Z-Score'!D106</f>
        <v>NG</v>
      </c>
      <c r="E113" s="89" t="str">
        <f>'Runs Z-Score'!E106</f>
        <v>N2</v>
      </c>
      <c r="F113" s="89">
        <f>'Runs Z-Score'!F106</f>
        <v>8.6</v>
      </c>
      <c r="G113" s="89">
        <f t="shared" si="10"/>
        <v>9.57</v>
      </c>
      <c r="H113" s="89">
        <f>VLOOKUP(C113,Recipes!$A$2:$N$4,10,FALSE())</f>
        <v>10.940000000000001</v>
      </c>
      <c r="I113" s="89">
        <f>VLOOKUP(C113,Recipes!$A$2:$N$4,12,FALSE())</f>
        <v>5.2703573566378441E-2</v>
      </c>
      <c r="J113" s="89">
        <f t="shared" si="11"/>
        <v>1.370000000000001</v>
      </c>
      <c r="K113" s="89">
        <f>IF(G113="","",-0.5*((J113-Components!$C$2)/Components!$D$2)^2)</f>
        <v>-21905.811403509535</v>
      </c>
      <c r="L113" s="89">
        <f>IF(G113="","",-0.5*((J113-Components!$C$3)/Components!$D$3)^2)</f>
        <v>-18670.210507246829</v>
      </c>
      <c r="M113" s="89">
        <f>IF(G113="","",-0.5*((J113-Components!$C$4)/Components!$D$4)^2)</f>
        <v>-363.04019607843514</v>
      </c>
      <c r="N113" s="89">
        <f>IF(G113="","",-0.5*((J113-Components!$C$5)/Components!$D$5)^2)</f>
        <v>-8038.447051003096</v>
      </c>
      <c r="O113" s="89">
        <f>IF(G113="","",-0.5*((J113-Components!$C$6)/Components!$D$6)^2)</f>
        <v>-30.090902474526441</v>
      </c>
      <c r="P113" s="89">
        <f>IF(G113="","",-0.5*((J113-Components!$C$7)/Components!$D$7)^2)</f>
        <v>-1.4848815366873906E-2</v>
      </c>
      <c r="Q113" s="89">
        <f t="shared" si="12"/>
        <v>0.99999999999991318</v>
      </c>
      <c r="R113" s="89">
        <f t="shared" si="13"/>
        <v>8.6723312599003888E-14</v>
      </c>
      <c r="S113" s="89">
        <f t="shared" si="14"/>
        <v>0.99999999999982647</v>
      </c>
      <c r="T113" s="89" t="str">
        <f t="shared" si="15"/>
        <v>NG</v>
      </c>
      <c r="U113" s="117">
        <f t="shared" si="16"/>
        <v>1</v>
      </c>
      <c r="V113" s="89" t="str">
        <f>IF(G113="","",IF(T113="OK","NONE",INDEX({"S1","S2","W1","W2","N1","N2"},MATCH(MAX(K113:P113),K113:P113,0))))</f>
        <v>N2</v>
      </c>
      <c r="W113" s="117">
        <f t="shared" si="17"/>
        <v>1</v>
      </c>
      <c r="X113" s="114" t="str">
        <f t="shared" si="18"/>
        <v>CONFIDENT</v>
      </c>
      <c r="Y113" s="107"/>
    </row>
    <row r="114" spans="1:25">
      <c r="A114" s="115">
        <v>105</v>
      </c>
      <c r="B114" s="135">
        <f>'Runs Z-Score'!B107</f>
        <v>4</v>
      </c>
      <c r="C114" s="89" t="str">
        <f>'Runs Z-Score'!C107</f>
        <v>R3</v>
      </c>
      <c r="D114" s="89" t="str">
        <f>'Runs Z-Score'!D107</f>
        <v>NG</v>
      </c>
      <c r="E114" s="89" t="str">
        <f>'Runs Z-Score'!E107</f>
        <v>N2</v>
      </c>
      <c r="F114" s="89">
        <f>'Runs Z-Score'!F107</f>
        <v>8.59</v>
      </c>
      <c r="G114" s="89">
        <f t="shared" si="10"/>
        <v>9.56</v>
      </c>
      <c r="H114" s="89">
        <f>VLOOKUP(C114,Recipes!$A$2:$N$4,10,FALSE())</f>
        <v>10.940000000000001</v>
      </c>
      <c r="I114" s="89">
        <f>VLOOKUP(C114,Recipes!$A$2:$N$4,12,FALSE())</f>
        <v>5.2703573566378441E-2</v>
      </c>
      <c r="J114" s="89">
        <f t="shared" si="11"/>
        <v>1.3800000000000008</v>
      </c>
      <c r="K114" s="89">
        <f>IF(G114="","",-0.5*((J114-Components!$C$2)/Components!$D$2)^2)</f>
        <v>-21590.245614035848</v>
      </c>
      <c r="L114" s="89">
        <f>IF(G114="","",-0.5*((J114-Components!$C$3)/Components!$D$3)^2)</f>
        <v>-18530.411594203346</v>
      </c>
      <c r="M114" s="89">
        <f>IF(G114="","",-0.5*((J114-Components!$C$4)/Components!$D$4)^2)</f>
        <v>-382.5725490196113</v>
      </c>
      <c r="N114" s="89">
        <f>IF(G114="","",-0.5*((J114-Components!$C$5)/Components!$D$5)^2)</f>
        <v>-7988.1702199661131</v>
      </c>
      <c r="O114" s="89">
        <f>IF(G114="","",-0.5*((J114-Components!$C$6)/Components!$D$6)^2)</f>
        <v>-32.964264919941208</v>
      </c>
      <c r="P114" s="89">
        <f>IF(G114="","",-0.5*((J114-Components!$C$7)/Components!$D$7)^2)</f>
        <v>-2.5392352905568624E-2</v>
      </c>
      <c r="Q114" s="89">
        <f t="shared" si="12"/>
        <v>0.99999999999999512</v>
      </c>
      <c r="R114" s="89">
        <f t="shared" si="13"/>
        <v>4.9525561036466335E-15</v>
      </c>
      <c r="S114" s="89">
        <f t="shared" si="14"/>
        <v>0.99999999999999012</v>
      </c>
      <c r="T114" s="89" t="str">
        <f t="shared" si="15"/>
        <v>NG</v>
      </c>
      <c r="U114" s="117">
        <f t="shared" si="16"/>
        <v>1</v>
      </c>
      <c r="V114" s="89" t="str">
        <f>IF(G114="","",IF(T114="OK","NONE",INDEX({"S1","S2","W1","W2","N1","N2"},MATCH(MAX(K114:P114),K114:P114,0))))</f>
        <v>N2</v>
      </c>
      <c r="W114" s="117">
        <f t="shared" si="17"/>
        <v>1</v>
      </c>
      <c r="X114" s="114" t="str">
        <f t="shared" si="18"/>
        <v>CONFIDENT</v>
      </c>
      <c r="Y114" s="107"/>
    </row>
    <row r="115" spans="1:25">
      <c r="A115" s="115">
        <v>106</v>
      </c>
      <c r="B115" s="135">
        <f>'Runs Z-Score'!B108</f>
        <v>4</v>
      </c>
      <c r="C115" s="89" t="str">
        <f>'Runs Z-Score'!C108</f>
        <v>R3</v>
      </c>
      <c r="D115" s="89" t="str">
        <f>'Runs Z-Score'!D108</f>
        <v>NG</v>
      </c>
      <c r="E115" s="89" t="str">
        <f>'Runs Z-Score'!E108</f>
        <v>N2</v>
      </c>
      <c r="F115" s="89">
        <f>'Runs Z-Score'!F108</f>
        <v>8.57</v>
      </c>
      <c r="G115" s="89">
        <f t="shared" si="10"/>
        <v>9.5400000000000009</v>
      </c>
      <c r="H115" s="89">
        <f>VLOOKUP(C115,Recipes!$A$2:$N$4,10,FALSE())</f>
        <v>10.940000000000001</v>
      </c>
      <c r="I115" s="89">
        <f>VLOOKUP(C115,Recipes!$A$2:$N$4,12,FALSE())</f>
        <v>5.2703573566378441E-2</v>
      </c>
      <c r="J115" s="89">
        <f t="shared" si="11"/>
        <v>1.4000000000000004</v>
      </c>
      <c r="K115" s="89">
        <f>IF(G115="","",-0.5*((J115-Components!$C$2)/Components!$D$2)^2)</f>
        <v>-20965.982456141097</v>
      </c>
      <c r="L115" s="89">
        <f>IF(G115="","",-0.5*((J115-Components!$C$3)/Components!$D$3)^2)</f>
        <v>-18252.389855072914</v>
      </c>
      <c r="M115" s="89">
        <f>IF(G115="","",-0.5*((J115-Components!$C$4)/Components!$D$4)^2)</f>
        <v>-423.17254901961064</v>
      </c>
      <c r="N115" s="89">
        <f>IF(G115="","",-0.5*((J115-Components!$C$5)/Components!$D$5)^2)</f>
        <v>-7888.0897268551662</v>
      </c>
      <c r="O115" s="89">
        <f>IF(G115="","",-0.5*((J115-Components!$C$6)/Components!$D$6)^2)</f>
        <v>-39.104002911207402</v>
      </c>
      <c r="P115" s="89">
        <f>IF(G115="","",-0.5*((J115-Components!$C$7)/Components!$D$7)^2)</f>
        <v>-0.52093861722126</v>
      </c>
      <c r="Q115" s="89">
        <f t="shared" si="12"/>
        <v>1</v>
      </c>
      <c r="R115" s="89">
        <f t="shared" si="13"/>
        <v>1.7522177773200307E-17</v>
      </c>
      <c r="S115" s="89">
        <f t="shared" si="14"/>
        <v>1</v>
      </c>
      <c r="T115" s="89" t="str">
        <f t="shared" si="15"/>
        <v>NG</v>
      </c>
      <c r="U115" s="117">
        <f t="shared" si="16"/>
        <v>1</v>
      </c>
      <c r="V115" s="89" t="str">
        <f>IF(G115="","",IF(T115="OK","NONE",INDEX({"S1","S2","W1","W2","N1","N2"},MATCH(MAX(K115:P115),K115:P115,0))))</f>
        <v>N2</v>
      </c>
      <c r="W115" s="117">
        <f t="shared" si="17"/>
        <v>1</v>
      </c>
      <c r="X115" s="114" t="str">
        <f t="shared" si="18"/>
        <v>CONFIDENT</v>
      </c>
      <c r="Y115" s="107"/>
    </row>
    <row r="116" spans="1:25">
      <c r="A116" s="115">
        <v>107</v>
      </c>
      <c r="B116" s="135">
        <f>'Runs Z-Score'!B109</f>
        <v>4</v>
      </c>
      <c r="C116" s="89" t="str">
        <f>'Runs Z-Score'!C109</f>
        <v>R3</v>
      </c>
      <c r="D116" s="89" t="str">
        <f>'Runs Z-Score'!D109</f>
        <v>NG</v>
      </c>
      <c r="E116" s="89" t="str">
        <f>'Runs Z-Score'!E109</f>
        <v>N2</v>
      </c>
      <c r="F116" s="89">
        <f>'Runs Z-Score'!F109</f>
        <v>8.61</v>
      </c>
      <c r="G116" s="89">
        <f t="shared" si="10"/>
        <v>9.58</v>
      </c>
      <c r="H116" s="89">
        <f>VLOOKUP(C116,Recipes!$A$2:$N$4,10,FALSE())</f>
        <v>10.940000000000001</v>
      </c>
      <c r="I116" s="89">
        <f>VLOOKUP(C116,Recipes!$A$2:$N$4,12,FALSE())</f>
        <v>5.2703573566378441E-2</v>
      </c>
      <c r="J116" s="89">
        <f t="shared" si="11"/>
        <v>1.3600000000000012</v>
      </c>
      <c r="K116" s="89">
        <f>IF(G116="","",-0.5*((J116-Components!$C$2)/Components!$D$2)^2)</f>
        <v>-22223.666666667439</v>
      </c>
      <c r="L116" s="89">
        <f>IF(G116="","",-0.5*((J116-Components!$C$3)/Components!$D$3)^2)</f>
        <v>-18810.534782609149</v>
      </c>
      <c r="M116" s="89">
        <f>IF(G116="","",-0.5*((J116-Components!$C$4)/Components!$D$4)^2)</f>
        <v>-344.01960784314127</v>
      </c>
      <c r="N116" s="89">
        <f>IF(G116="","",-0.5*((J116-Components!$C$5)/Components!$D$5)^2)</f>
        <v>-8088.8816050277492</v>
      </c>
      <c r="O116" s="89">
        <f>IF(G116="","",-0.5*((J116-Components!$C$6)/Components!$D$6)^2)</f>
        <v>-27.348544395923891</v>
      </c>
      <c r="P116" s="89">
        <f>IF(G116="","",-0.5*((J116-Components!$C$7)/Components!$D$7)^2)</f>
        <v>-0.16245834090761316</v>
      </c>
      <c r="Q116" s="89">
        <f t="shared" si="12"/>
        <v>0.99999999999843969</v>
      </c>
      <c r="R116" s="89">
        <f t="shared" si="13"/>
        <v>1.5603888623107904E-12</v>
      </c>
      <c r="S116" s="89">
        <f t="shared" si="14"/>
        <v>0.99999999999687927</v>
      </c>
      <c r="T116" s="89" t="str">
        <f t="shared" si="15"/>
        <v>NG</v>
      </c>
      <c r="U116" s="117">
        <f t="shared" si="16"/>
        <v>1</v>
      </c>
      <c r="V116" s="89" t="str">
        <f>IF(G116="","",IF(T116="OK","NONE",INDEX({"S1","S2","W1","W2","N1","N2"},MATCH(MAX(K116:P116),K116:P116,0))))</f>
        <v>N2</v>
      </c>
      <c r="W116" s="117">
        <f t="shared" si="17"/>
        <v>1</v>
      </c>
      <c r="X116" s="114" t="str">
        <f t="shared" si="18"/>
        <v>CONFIDENT</v>
      </c>
      <c r="Y116" s="107"/>
    </row>
    <row r="117" spans="1:25">
      <c r="A117" s="115">
        <v>108</v>
      </c>
      <c r="B117" s="135">
        <f>'Runs Z-Score'!B110</f>
        <v>4</v>
      </c>
      <c r="C117" s="89" t="str">
        <f>'Runs Z-Score'!C110</f>
        <v>R3</v>
      </c>
      <c r="D117" s="89" t="str">
        <f>'Runs Z-Score'!D110</f>
        <v>NG</v>
      </c>
      <c r="E117" s="89" t="str">
        <f>'Runs Z-Score'!E110</f>
        <v>N2</v>
      </c>
      <c r="F117" s="89">
        <f>'Runs Z-Score'!F110</f>
        <v>8.59</v>
      </c>
      <c r="G117" s="89">
        <f t="shared" si="10"/>
        <v>9.56</v>
      </c>
      <c r="H117" s="89">
        <f>VLOOKUP(C117,Recipes!$A$2:$N$4,10,FALSE())</f>
        <v>10.940000000000001</v>
      </c>
      <c r="I117" s="89">
        <f>VLOOKUP(C117,Recipes!$A$2:$N$4,12,FALSE())</f>
        <v>5.2703573566378441E-2</v>
      </c>
      <c r="J117" s="89">
        <f t="shared" si="11"/>
        <v>1.3800000000000008</v>
      </c>
      <c r="K117" s="89">
        <f>IF(G117="","",-0.5*((J117-Components!$C$2)/Components!$D$2)^2)</f>
        <v>-21590.245614035848</v>
      </c>
      <c r="L117" s="89">
        <f>IF(G117="","",-0.5*((J117-Components!$C$3)/Components!$D$3)^2)</f>
        <v>-18530.411594203346</v>
      </c>
      <c r="M117" s="89">
        <f>IF(G117="","",-0.5*((J117-Components!$C$4)/Components!$D$4)^2)</f>
        <v>-382.5725490196113</v>
      </c>
      <c r="N117" s="89">
        <f>IF(G117="","",-0.5*((J117-Components!$C$5)/Components!$D$5)^2)</f>
        <v>-7988.1702199661131</v>
      </c>
      <c r="O117" s="89">
        <f>IF(G117="","",-0.5*((J117-Components!$C$6)/Components!$D$6)^2)</f>
        <v>-32.964264919941208</v>
      </c>
      <c r="P117" s="89">
        <f>IF(G117="","",-0.5*((J117-Components!$C$7)/Components!$D$7)^2)</f>
        <v>-2.5392352905568624E-2</v>
      </c>
      <c r="Q117" s="89">
        <f t="shared" si="12"/>
        <v>0.99999999999999512</v>
      </c>
      <c r="R117" s="89">
        <f t="shared" si="13"/>
        <v>4.9525561036466335E-15</v>
      </c>
      <c r="S117" s="89">
        <f t="shared" si="14"/>
        <v>0.99999999999999012</v>
      </c>
      <c r="T117" s="89" t="str">
        <f t="shared" si="15"/>
        <v>NG</v>
      </c>
      <c r="U117" s="117">
        <f t="shared" si="16"/>
        <v>1</v>
      </c>
      <c r="V117" s="89" t="str">
        <f>IF(G117="","",IF(T117="OK","NONE",INDEX({"S1","S2","W1","W2","N1","N2"},MATCH(MAX(K117:P117),K117:P117,0))))</f>
        <v>N2</v>
      </c>
      <c r="W117" s="117">
        <f t="shared" si="17"/>
        <v>1</v>
      </c>
      <c r="X117" s="114" t="str">
        <f t="shared" si="18"/>
        <v>CONFIDENT</v>
      </c>
      <c r="Y117" s="107"/>
    </row>
    <row r="118" spans="1:25">
      <c r="A118" s="115">
        <v>109</v>
      </c>
      <c r="B118" s="135">
        <f>'Runs Z-Score'!B111</f>
        <v>4</v>
      </c>
      <c r="C118" s="89" t="str">
        <f>'Runs Z-Score'!C111</f>
        <v>R3</v>
      </c>
      <c r="D118" s="89" t="str">
        <f>'Runs Z-Score'!D111</f>
        <v>NG</v>
      </c>
      <c r="E118" s="89" t="str">
        <f>'Runs Z-Score'!E111</f>
        <v>N2</v>
      </c>
      <c r="F118" s="89">
        <f>'Runs Z-Score'!F111</f>
        <v>8.5</v>
      </c>
      <c r="G118" s="89">
        <f t="shared" si="10"/>
        <v>9.4700000000000006</v>
      </c>
      <c r="H118" s="89">
        <f>VLOOKUP(C118,Recipes!$A$2:$N$4,10,FALSE())</f>
        <v>10.940000000000001</v>
      </c>
      <c r="I118" s="89">
        <f>VLOOKUP(C118,Recipes!$A$2:$N$4,12,FALSE())</f>
        <v>5.2703573566378441E-2</v>
      </c>
      <c r="J118" s="89">
        <f t="shared" si="11"/>
        <v>1.4700000000000006</v>
      </c>
      <c r="K118" s="89">
        <f>IF(G118="","",-0.5*((J118-Components!$C$2)/Components!$D$2)^2)</f>
        <v>-18853.179824562063</v>
      </c>
      <c r="L118" s="89">
        <f>IF(G118="","",-0.5*((J118-Components!$C$3)/Components!$D$3)^2)</f>
        <v>-17295.862681159844</v>
      </c>
      <c r="M118" s="89">
        <f>IF(G118="","",-0.5*((J118-Components!$C$4)/Components!$D$4)^2)</f>
        <v>-581.39313725490615</v>
      </c>
      <c r="N118" s="89">
        <f>IF(G118="","",-0.5*((J118-Components!$C$5)/Components!$D$5)^2)</f>
        <v>-7542.7762750785168</v>
      </c>
      <c r="O118" s="89">
        <f>IF(G118="","",-0.5*((J118-Components!$C$6)/Components!$D$6)^2)</f>
        <v>-64.71972343522485</v>
      </c>
      <c r="P118" s="89">
        <f>IF(G118="","",-0.5*((J118-Components!$C$7)/Components!$D$7)^2)</f>
        <v>-7.2371720293286197</v>
      </c>
      <c r="Q118" s="89">
        <f t="shared" si="12"/>
        <v>1</v>
      </c>
      <c r="R118" s="89">
        <f t="shared" si="13"/>
        <v>1.0855382196284265E-25</v>
      </c>
      <c r="S118" s="89">
        <f t="shared" si="14"/>
        <v>1</v>
      </c>
      <c r="T118" s="89" t="str">
        <f t="shared" si="15"/>
        <v>NG</v>
      </c>
      <c r="U118" s="117">
        <f t="shared" si="16"/>
        <v>1</v>
      </c>
      <c r="V118" s="89" t="str">
        <f>IF(G118="","",IF(T118="OK","NONE",INDEX({"S1","S2","W1","W2","N1","N2"},MATCH(MAX(K118:P118),K118:P118,0))))</f>
        <v>N2</v>
      </c>
      <c r="W118" s="117">
        <f t="shared" si="17"/>
        <v>1</v>
      </c>
      <c r="X118" s="114" t="str">
        <f t="shared" si="18"/>
        <v>CONFIDENT</v>
      </c>
      <c r="Y118" s="107"/>
    </row>
    <row r="119" spans="1:25">
      <c r="A119" s="115">
        <v>110</v>
      </c>
      <c r="B119" s="135">
        <f>'Runs Z-Score'!B112</f>
        <v>4</v>
      </c>
      <c r="C119" s="89" t="str">
        <f>'Runs Z-Score'!C112</f>
        <v>R3</v>
      </c>
      <c r="D119" s="89" t="str">
        <f>'Runs Z-Score'!D112</f>
        <v>NG</v>
      </c>
      <c r="E119" s="89" t="str">
        <f>'Runs Z-Score'!E112</f>
        <v>N2</v>
      </c>
      <c r="F119" s="89">
        <f>'Runs Z-Score'!F112</f>
        <v>8.6199999999999992</v>
      </c>
      <c r="G119" s="89">
        <f t="shared" si="10"/>
        <v>9.59</v>
      </c>
      <c r="H119" s="89">
        <f>VLOOKUP(C119,Recipes!$A$2:$N$4,10,FALSE())</f>
        <v>10.940000000000001</v>
      </c>
      <c r="I119" s="89">
        <f>VLOOKUP(C119,Recipes!$A$2:$N$4,12,FALSE())</f>
        <v>5.2703573566378441E-2</v>
      </c>
      <c r="J119" s="89">
        <f t="shared" si="11"/>
        <v>1.3500000000000014</v>
      </c>
      <c r="K119" s="89">
        <f>IF(G119="","",-0.5*((J119-Components!$C$2)/Components!$D$2)^2)</f>
        <v>-22543.811403509546</v>
      </c>
      <c r="L119" s="89">
        <f>IF(G119="","",-0.5*((J119-Components!$C$3)/Components!$D$3)^2)</f>
        <v>-18951.384420290306</v>
      </c>
      <c r="M119" s="89">
        <f>IF(G119="","",-0.5*((J119-Components!$C$4)/Components!$D$4)^2)</f>
        <v>-325.5107843137298</v>
      </c>
      <c r="N119" s="89">
        <f>IF(G119="","",-0.5*((J119-Components!$C$5)/Components!$D$5)^2)</f>
        <v>-8139.4738820400753</v>
      </c>
      <c r="O119" s="89">
        <f>IF(G119="","",-0.5*((J119-Components!$C$6)/Components!$D$6)^2)</f>
        <v>-24.737190684133566</v>
      </c>
      <c r="P119" s="89">
        <f>IF(G119="","",-0.5*((J119-Components!$C$7)/Components!$D$7)^2)</f>
        <v>-0.46822092952778643</v>
      </c>
      <c r="Q119" s="89">
        <f t="shared" si="12"/>
        <v>0.99999999997115174</v>
      </c>
      <c r="R119" s="89">
        <f t="shared" si="13"/>
        <v>2.884830852619098E-11</v>
      </c>
      <c r="S119" s="89">
        <f t="shared" si="14"/>
        <v>0.99999999994230349</v>
      </c>
      <c r="T119" s="89" t="str">
        <f t="shared" si="15"/>
        <v>NG</v>
      </c>
      <c r="U119" s="117">
        <f t="shared" si="16"/>
        <v>1</v>
      </c>
      <c r="V119" s="89" t="str">
        <f>IF(G119="","",IF(T119="OK","NONE",INDEX({"S1","S2","W1","W2","N1","N2"},MATCH(MAX(K119:P119),K119:P119,0))))</f>
        <v>N2</v>
      </c>
      <c r="W119" s="117">
        <f t="shared" si="17"/>
        <v>1</v>
      </c>
      <c r="X119" s="114" t="str">
        <f t="shared" si="18"/>
        <v>CONFIDENT</v>
      </c>
      <c r="Y119" s="107"/>
    </row>
    <row r="120" spans="1:25">
      <c r="A120" s="115">
        <v>111</v>
      </c>
      <c r="B120" s="135">
        <f>'Runs Z-Score'!B113</f>
        <v>4</v>
      </c>
      <c r="C120" s="89" t="str">
        <f>'Runs Z-Score'!C113</f>
        <v>R3</v>
      </c>
      <c r="D120" s="89" t="str">
        <f>'Runs Z-Score'!D113</f>
        <v>NG</v>
      </c>
      <c r="E120" s="89" t="str">
        <f>'Runs Z-Score'!E113</f>
        <v>N2</v>
      </c>
      <c r="F120" s="89">
        <f>'Runs Z-Score'!F113</f>
        <v>8.61</v>
      </c>
      <c r="G120" s="89">
        <f t="shared" si="10"/>
        <v>9.58</v>
      </c>
      <c r="H120" s="89">
        <f>VLOOKUP(C120,Recipes!$A$2:$N$4,10,FALSE())</f>
        <v>10.940000000000001</v>
      </c>
      <c r="I120" s="89">
        <f>VLOOKUP(C120,Recipes!$A$2:$N$4,12,FALSE())</f>
        <v>5.2703573566378441E-2</v>
      </c>
      <c r="J120" s="89">
        <f t="shared" si="11"/>
        <v>1.3600000000000012</v>
      </c>
      <c r="K120" s="89">
        <f>IF(G120="","",-0.5*((J120-Components!$C$2)/Components!$D$2)^2)</f>
        <v>-22223.666666667439</v>
      </c>
      <c r="L120" s="89">
        <f>IF(G120="","",-0.5*((J120-Components!$C$3)/Components!$D$3)^2)</f>
        <v>-18810.534782609149</v>
      </c>
      <c r="M120" s="89">
        <f>IF(G120="","",-0.5*((J120-Components!$C$4)/Components!$D$4)^2)</f>
        <v>-344.01960784314127</v>
      </c>
      <c r="N120" s="89">
        <f>IF(G120="","",-0.5*((J120-Components!$C$5)/Components!$D$5)^2)</f>
        <v>-8088.8816050277492</v>
      </c>
      <c r="O120" s="89">
        <f>IF(G120="","",-0.5*((J120-Components!$C$6)/Components!$D$6)^2)</f>
        <v>-27.348544395923891</v>
      </c>
      <c r="P120" s="89">
        <f>IF(G120="","",-0.5*((J120-Components!$C$7)/Components!$D$7)^2)</f>
        <v>-0.16245834090761316</v>
      </c>
      <c r="Q120" s="89">
        <f t="shared" si="12"/>
        <v>0.99999999999843969</v>
      </c>
      <c r="R120" s="89">
        <f t="shared" si="13"/>
        <v>1.5603888623107904E-12</v>
      </c>
      <c r="S120" s="89">
        <f t="shared" si="14"/>
        <v>0.99999999999687927</v>
      </c>
      <c r="T120" s="89" t="str">
        <f t="shared" si="15"/>
        <v>NG</v>
      </c>
      <c r="U120" s="117">
        <f t="shared" si="16"/>
        <v>1</v>
      </c>
      <c r="V120" s="89" t="str">
        <f>IF(G120="","",IF(T120="OK","NONE",INDEX({"S1","S2","W1","W2","N1","N2"},MATCH(MAX(K120:P120),K120:P120,0))))</f>
        <v>N2</v>
      </c>
      <c r="W120" s="117">
        <f t="shared" si="17"/>
        <v>1</v>
      </c>
      <c r="X120" s="114" t="str">
        <f t="shared" si="18"/>
        <v>CONFIDENT</v>
      </c>
      <c r="Y120" s="107"/>
    </row>
    <row r="121" spans="1:25">
      <c r="A121" s="115">
        <v>112</v>
      </c>
      <c r="B121" s="135">
        <f>'Runs Z-Score'!B114</f>
        <v>4</v>
      </c>
      <c r="C121" s="89" t="str">
        <f>'Runs Z-Score'!C114</f>
        <v>R3</v>
      </c>
      <c r="D121" s="89" t="str">
        <f>'Runs Z-Score'!D114</f>
        <v>NG</v>
      </c>
      <c r="E121" s="89" t="str">
        <f>'Runs Z-Score'!E114</f>
        <v>N2</v>
      </c>
      <c r="F121" s="89">
        <f>'Runs Z-Score'!F114</f>
        <v>8.58</v>
      </c>
      <c r="G121" s="89">
        <f t="shared" si="10"/>
        <v>9.5500000000000007</v>
      </c>
      <c r="H121" s="89">
        <f>VLOOKUP(C121,Recipes!$A$2:$N$4,10,FALSE())</f>
        <v>10.940000000000001</v>
      </c>
      <c r="I121" s="89">
        <f>VLOOKUP(C121,Recipes!$A$2:$N$4,12,FALSE())</f>
        <v>5.2703573566378441E-2</v>
      </c>
      <c r="J121" s="89">
        <f t="shared" si="11"/>
        <v>1.3900000000000006</v>
      </c>
      <c r="K121" s="89">
        <f>IF(G121="","",-0.5*((J121-Components!$C$2)/Components!$D$2)^2)</f>
        <v>-21276.969298246368</v>
      </c>
      <c r="L121" s="89">
        <f>IF(G121="","",-0.5*((J121-Components!$C$3)/Components!$D$3)^2)</f>
        <v>-18391.138043478713</v>
      </c>
      <c r="M121" s="89">
        <f>IF(G121="","",-0.5*((J121-Components!$C$4)/Components!$D$4)^2)</f>
        <v>-402.6166666666698</v>
      </c>
      <c r="N121" s="89">
        <f>IF(G121="","",-0.5*((J121-Components!$C$5)/Components!$D$5)^2)</f>
        <v>-7938.0511119168041</v>
      </c>
      <c r="O121" s="89">
        <f>IF(G121="","",-0.5*((J121-Components!$C$6)/Components!$D$6)^2)</f>
        <v>-35.968631732168198</v>
      </c>
      <c r="P121" s="89">
        <f>IF(G121="","",-0.5*((J121-Components!$C$7)/Components!$D$7)^2)</f>
        <v>-0.19408895352369729</v>
      </c>
      <c r="Q121" s="89">
        <f t="shared" si="12"/>
        <v>0.99999999999999978</v>
      </c>
      <c r="R121" s="89">
        <f t="shared" si="13"/>
        <v>2.9061195672495988E-16</v>
      </c>
      <c r="S121" s="89">
        <f t="shared" si="14"/>
        <v>0.99999999999999944</v>
      </c>
      <c r="T121" s="89" t="str">
        <f t="shared" si="15"/>
        <v>NG</v>
      </c>
      <c r="U121" s="117">
        <f t="shared" si="16"/>
        <v>1</v>
      </c>
      <c r="V121" s="89" t="str">
        <f>IF(G121="","",IF(T121="OK","NONE",INDEX({"S1","S2","W1","W2","N1","N2"},MATCH(MAX(K121:P121),K121:P121,0))))</f>
        <v>N2</v>
      </c>
      <c r="W121" s="117">
        <f t="shared" si="17"/>
        <v>1</v>
      </c>
      <c r="X121" s="114" t="str">
        <f t="shared" si="18"/>
        <v>CONFIDENT</v>
      </c>
      <c r="Y121" s="107"/>
    </row>
    <row r="122" spans="1:25">
      <c r="A122" s="115">
        <v>113</v>
      </c>
      <c r="B122" s="135">
        <f>'Runs Z-Score'!B115</f>
        <v>4</v>
      </c>
      <c r="C122" s="89" t="str">
        <f>'Runs Z-Score'!C115</f>
        <v>R3</v>
      </c>
      <c r="D122" s="89" t="str">
        <f>'Runs Z-Score'!D115</f>
        <v>NG</v>
      </c>
      <c r="E122" s="89" t="str">
        <f>'Runs Z-Score'!E115</f>
        <v>N2</v>
      </c>
      <c r="F122" s="89">
        <f>'Runs Z-Score'!F115</f>
        <v>8.59</v>
      </c>
      <c r="G122" s="89">
        <f t="shared" si="10"/>
        <v>9.56</v>
      </c>
      <c r="H122" s="89">
        <f>VLOOKUP(C122,Recipes!$A$2:$N$4,10,FALSE())</f>
        <v>10.940000000000001</v>
      </c>
      <c r="I122" s="89">
        <f>VLOOKUP(C122,Recipes!$A$2:$N$4,12,FALSE())</f>
        <v>5.2703573566378441E-2</v>
      </c>
      <c r="J122" s="89">
        <f t="shared" si="11"/>
        <v>1.3800000000000008</v>
      </c>
      <c r="K122" s="89">
        <f>IF(G122="","",-0.5*((J122-Components!$C$2)/Components!$D$2)^2)</f>
        <v>-21590.245614035848</v>
      </c>
      <c r="L122" s="89">
        <f>IF(G122="","",-0.5*((J122-Components!$C$3)/Components!$D$3)^2)</f>
        <v>-18530.411594203346</v>
      </c>
      <c r="M122" s="89">
        <f>IF(G122="","",-0.5*((J122-Components!$C$4)/Components!$D$4)^2)</f>
        <v>-382.5725490196113</v>
      </c>
      <c r="N122" s="89">
        <f>IF(G122="","",-0.5*((J122-Components!$C$5)/Components!$D$5)^2)</f>
        <v>-7988.1702199661131</v>
      </c>
      <c r="O122" s="89">
        <f>IF(G122="","",-0.5*((J122-Components!$C$6)/Components!$D$6)^2)</f>
        <v>-32.964264919941208</v>
      </c>
      <c r="P122" s="89">
        <f>IF(G122="","",-0.5*((J122-Components!$C$7)/Components!$D$7)^2)</f>
        <v>-2.5392352905568624E-2</v>
      </c>
      <c r="Q122" s="89">
        <f t="shared" si="12"/>
        <v>0.99999999999999512</v>
      </c>
      <c r="R122" s="89">
        <f t="shared" si="13"/>
        <v>4.9525561036466335E-15</v>
      </c>
      <c r="S122" s="89">
        <f t="shared" si="14"/>
        <v>0.99999999999999012</v>
      </c>
      <c r="T122" s="89" t="str">
        <f t="shared" si="15"/>
        <v>NG</v>
      </c>
      <c r="U122" s="117">
        <f t="shared" si="16"/>
        <v>1</v>
      </c>
      <c r="V122" s="89" t="str">
        <f>IF(G122="","",IF(T122="OK","NONE",INDEX({"S1","S2","W1","W2","N1","N2"},MATCH(MAX(K122:P122),K122:P122,0))))</f>
        <v>N2</v>
      </c>
      <c r="W122" s="117">
        <f t="shared" si="17"/>
        <v>1</v>
      </c>
      <c r="X122" s="114" t="str">
        <f t="shared" si="18"/>
        <v>CONFIDENT</v>
      </c>
      <c r="Y122" s="107"/>
    </row>
    <row r="123" spans="1:25">
      <c r="A123" s="115">
        <v>114</v>
      </c>
      <c r="B123" s="135">
        <f>'Runs Z-Score'!B116</f>
        <v>4</v>
      </c>
      <c r="C123" s="89" t="str">
        <f>'Runs Z-Score'!C116</f>
        <v>R3</v>
      </c>
      <c r="D123" s="89" t="str">
        <f>'Runs Z-Score'!D116</f>
        <v>NG</v>
      </c>
      <c r="E123" s="89" t="str">
        <f>'Runs Z-Score'!E116</f>
        <v>N2</v>
      </c>
      <c r="F123" s="89">
        <f>'Runs Z-Score'!F116</f>
        <v>8.6300000000000008</v>
      </c>
      <c r="G123" s="89">
        <f t="shared" si="10"/>
        <v>9.6000000000000014</v>
      </c>
      <c r="H123" s="89">
        <f>VLOOKUP(C123,Recipes!$A$2:$N$4,10,FALSE())</f>
        <v>10.940000000000001</v>
      </c>
      <c r="I123" s="89">
        <f>VLOOKUP(C123,Recipes!$A$2:$N$4,12,FALSE())</f>
        <v>5.2703573566378441E-2</v>
      </c>
      <c r="J123" s="89">
        <f t="shared" si="11"/>
        <v>1.3399999999999999</v>
      </c>
      <c r="K123" s="89">
        <f>IF(G123="","",-0.5*((J123-Components!$C$2)/Components!$D$2)^2)</f>
        <v>-22866.245614035925</v>
      </c>
      <c r="L123" s="89">
        <f>IF(G123="","",-0.5*((J123-Components!$C$3)/Components!$D$3)^2)</f>
        <v>-19092.759420290331</v>
      </c>
      <c r="M123" s="89">
        <f>IF(G123="","",-0.5*((J123-Components!$C$4)/Components!$D$4)^2)</f>
        <v>-307.51372549019743</v>
      </c>
      <c r="N123" s="89">
        <f>IF(G123="","",-0.5*((J123-Components!$C$5)/Components!$D$5)^2)</f>
        <v>-8190.2238820400835</v>
      </c>
      <c r="O123" s="89">
        <f>IF(G123="","",-0.5*((J123-Components!$C$6)/Components!$D$6)^2)</f>
        <v>-22.256841339155034</v>
      </c>
      <c r="P123" s="89">
        <f>IF(G123="","",-0.5*((J123-Components!$C$7)/Components!$D$7)^2)</f>
        <v>-0.93213658122748999</v>
      </c>
      <c r="Q123" s="89">
        <f t="shared" si="12"/>
        <v>0.99999999945197748</v>
      </c>
      <c r="R123" s="89">
        <f t="shared" si="13"/>
        <v>5.4802250709890652E-10</v>
      </c>
      <c r="S123" s="89">
        <f t="shared" si="14"/>
        <v>0.99999999890395497</v>
      </c>
      <c r="T123" s="89" t="str">
        <f t="shared" si="15"/>
        <v>NG</v>
      </c>
      <c r="U123" s="117">
        <f t="shared" si="16"/>
        <v>1</v>
      </c>
      <c r="V123" s="89" t="str">
        <f>IF(G123="","",IF(T123="OK","NONE",INDEX({"S1","S2","W1","W2","N1","N2"},MATCH(MAX(K123:P123),K123:P123,0))))</f>
        <v>N2</v>
      </c>
      <c r="W123" s="117">
        <f t="shared" si="17"/>
        <v>1</v>
      </c>
      <c r="X123" s="114" t="str">
        <f t="shared" si="18"/>
        <v>CONFIDENT</v>
      </c>
      <c r="Y123" s="107"/>
    </row>
    <row r="124" spans="1:25">
      <c r="A124" s="115">
        <v>115</v>
      </c>
      <c r="B124" s="135">
        <f>'Runs Z-Score'!B117</f>
        <v>4</v>
      </c>
      <c r="C124" s="89" t="str">
        <f>'Runs Z-Score'!C117</f>
        <v>R3</v>
      </c>
      <c r="D124" s="89" t="str">
        <f>'Runs Z-Score'!D117</f>
        <v>NG</v>
      </c>
      <c r="E124" s="89" t="str">
        <f>'Runs Z-Score'!E117</f>
        <v>N2</v>
      </c>
      <c r="F124" s="89">
        <f>'Runs Z-Score'!F117</f>
        <v>8.6300000000000008</v>
      </c>
      <c r="G124" s="89">
        <f t="shared" si="10"/>
        <v>9.6000000000000014</v>
      </c>
      <c r="H124" s="89">
        <f>VLOOKUP(C124,Recipes!$A$2:$N$4,10,FALSE())</f>
        <v>10.940000000000001</v>
      </c>
      <c r="I124" s="89">
        <f>VLOOKUP(C124,Recipes!$A$2:$N$4,12,FALSE())</f>
        <v>5.2703573566378441E-2</v>
      </c>
      <c r="J124" s="89">
        <f t="shared" si="11"/>
        <v>1.3399999999999999</v>
      </c>
      <c r="K124" s="89">
        <f>IF(G124="","",-0.5*((J124-Components!$C$2)/Components!$D$2)^2)</f>
        <v>-22866.245614035925</v>
      </c>
      <c r="L124" s="89">
        <f>IF(G124="","",-0.5*((J124-Components!$C$3)/Components!$D$3)^2)</f>
        <v>-19092.759420290331</v>
      </c>
      <c r="M124" s="89">
        <f>IF(G124="","",-0.5*((J124-Components!$C$4)/Components!$D$4)^2)</f>
        <v>-307.51372549019743</v>
      </c>
      <c r="N124" s="89">
        <f>IF(G124="","",-0.5*((J124-Components!$C$5)/Components!$D$5)^2)</f>
        <v>-8190.2238820400835</v>
      </c>
      <c r="O124" s="89">
        <f>IF(G124="","",-0.5*((J124-Components!$C$6)/Components!$D$6)^2)</f>
        <v>-22.256841339155034</v>
      </c>
      <c r="P124" s="89">
        <f>IF(G124="","",-0.5*((J124-Components!$C$7)/Components!$D$7)^2)</f>
        <v>-0.93213658122748999</v>
      </c>
      <c r="Q124" s="89">
        <f t="shared" si="12"/>
        <v>0.99999999945197748</v>
      </c>
      <c r="R124" s="89">
        <f t="shared" si="13"/>
        <v>5.4802250709890652E-10</v>
      </c>
      <c r="S124" s="89">
        <f t="shared" si="14"/>
        <v>0.99999999890395497</v>
      </c>
      <c r="T124" s="89" t="str">
        <f t="shared" si="15"/>
        <v>NG</v>
      </c>
      <c r="U124" s="117">
        <f t="shared" si="16"/>
        <v>1</v>
      </c>
      <c r="V124" s="89" t="str">
        <f>IF(G124="","",IF(T124="OK","NONE",INDEX({"S1","S2","W1","W2","N1","N2"},MATCH(MAX(K124:P124),K124:P124,0))))</f>
        <v>N2</v>
      </c>
      <c r="W124" s="117">
        <f t="shared" si="17"/>
        <v>1</v>
      </c>
      <c r="X124" s="114" t="str">
        <f t="shared" si="18"/>
        <v>CONFIDENT</v>
      </c>
      <c r="Y124" s="107"/>
    </row>
    <row r="125" spans="1:25">
      <c r="A125" s="115">
        <v>116</v>
      </c>
      <c r="B125" s="135">
        <f>'Runs Z-Score'!B118</f>
        <v>4</v>
      </c>
      <c r="C125" s="89" t="str">
        <f>'Runs Z-Score'!C118</f>
        <v>R3</v>
      </c>
      <c r="D125" s="89" t="str">
        <f>'Runs Z-Score'!D118</f>
        <v>NG</v>
      </c>
      <c r="E125" s="89" t="str">
        <f>'Runs Z-Score'!E118</f>
        <v>N2</v>
      </c>
      <c r="F125" s="89">
        <f>'Runs Z-Score'!F118</f>
        <v>8.59</v>
      </c>
      <c r="G125" s="89">
        <f t="shared" si="10"/>
        <v>9.56</v>
      </c>
      <c r="H125" s="89">
        <f>VLOOKUP(C125,Recipes!$A$2:$N$4,10,FALSE())</f>
        <v>10.940000000000001</v>
      </c>
      <c r="I125" s="89">
        <f>VLOOKUP(C125,Recipes!$A$2:$N$4,12,FALSE())</f>
        <v>5.2703573566378441E-2</v>
      </c>
      <c r="J125" s="89">
        <f t="shared" si="11"/>
        <v>1.3800000000000008</v>
      </c>
      <c r="K125" s="89">
        <f>IF(G125="","",-0.5*((J125-Components!$C$2)/Components!$D$2)^2)</f>
        <v>-21590.245614035848</v>
      </c>
      <c r="L125" s="89">
        <f>IF(G125="","",-0.5*((J125-Components!$C$3)/Components!$D$3)^2)</f>
        <v>-18530.411594203346</v>
      </c>
      <c r="M125" s="89">
        <f>IF(G125="","",-0.5*((J125-Components!$C$4)/Components!$D$4)^2)</f>
        <v>-382.5725490196113</v>
      </c>
      <c r="N125" s="89">
        <f>IF(G125="","",-0.5*((J125-Components!$C$5)/Components!$D$5)^2)</f>
        <v>-7988.1702199661131</v>
      </c>
      <c r="O125" s="89">
        <f>IF(G125="","",-0.5*((J125-Components!$C$6)/Components!$D$6)^2)</f>
        <v>-32.964264919941208</v>
      </c>
      <c r="P125" s="89">
        <f>IF(G125="","",-0.5*((J125-Components!$C$7)/Components!$D$7)^2)</f>
        <v>-2.5392352905568624E-2</v>
      </c>
      <c r="Q125" s="89">
        <f t="shared" si="12"/>
        <v>0.99999999999999512</v>
      </c>
      <c r="R125" s="89">
        <f t="shared" si="13"/>
        <v>4.9525561036466335E-15</v>
      </c>
      <c r="S125" s="89">
        <f t="shared" si="14"/>
        <v>0.99999999999999012</v>
      </c>
      <c r="T125" s="89" t="str">
        <f t="shared" si="15"/>
        <v>NG</v>
      </c>
      <c r="U125" s="117">
        <f t="shared" si="16"/>
        <v>1</v>
      </c>
      <c r="V125" s="89" t="str">
        <f>IF(G125="","",IF(T125="OK","NONE",INDEX({"S1","S2","W1","W2","N1","N2"},MATCH(MAX(K125:P125),K125:P125,0))))</f>
        <v>N2</v>
      </c>
      <c r="W125" s="117">
        <f t="shared" si="17"/>
        <v>1</v>
      </c>
      <c r="X125" s="114" t="str">
        <f t="shared" si="18"/>
        <v>CONFIDENT</v>
      </c>
      <c r="Y125" s="107"/>
    </row>
    <row r="126" spans="1:25">
      <c r="A126" s="115">
        <v>117</v>
      </c>
      <c r="B126" s="135">
        <f>'Runs Z-Score'!B119</f>
        <v>4</v>
      </c>
      <c r="C126" s="89" t="str">
        <f>'Runs Z-Score'!C119</f>
        <v>R3</v>
      </c>
      <c r="D126" s="89" t="str">
        <f>'Runs Z-Score'!D119</f>
        <v>NG</v>
      </c>
      <c r="E126" s="89" t="str">
        <f>'Runs Z-Score'!E119</f>
        <v>N2</v>
      </c>
      <c r="F126" s="89">
        <f>'Runs Z-Score'!F119</f>
        <v>8.56</v>
      </c>
      <c r="G126" s="89">
        <f t="shared" si="10"/>
        <v>9.5300000000000011</v>
      </c>
      <c r="H126" s="89">
        <f>VLOOKUP(C126,Recipes!$A$2:$N$4,10,FALSE())</f>
        <v>10.940000000000001</v>
      </c>
      <c r="I126" s="89">
        <f>VLOOKUP(C126,Recipes!$A$2:$N$4,12,FALSE())</f>
        <v>5.2703573566378441E-2</v>
      </c>
      <c r="J126" s="89">
        <f t="shared" si="11"/>
        <v>1.4100000000000001</v>
      </c>
      <c r="K126" s="89">
        <f>IF(G126="","",-0.5*((J126-Components!$C$2)/Components!$D$2)^2)</f>
        <v>-20657.285087720044</v>
      </c>
      <c r="L126" s="89">
        <f>IF(G126="","",-0.5*((J126-Components!$C$3)/Components!$D$3)^2)</f>
        <v>-18114.167028985954</v>
      </c>
      <c r="M126" s="89">
        <f>IF(G126="","",-0.5*((J126-Components!$C$4)/Components!$D$4)^2)</f>
        <v>-444.24019607843383</v>
      </c>
      <c r="N126" s="89">
        <f>IF(G126="","",-0.5*((J126-Components!$C$5)/Components!$D$5)^2)</f>
        <v>-7838.2860647812013</v>
      </c>
      <c r="O126" s="89">
        <f>IF(G126="","",-0.5*((J126-Components!$C$6)/Components!$D$6)^2)</f>
        <v>-42.370378457058848</v>
      </c>
      <c r="P126" s="89">
        <f>IF(G126="","",-0.5*((J126-Components!$C$7)/Components!$D$7)^2)</f>
        <v>-1.0059413439982567</v>
      </c>
      <c r="Q126" s="89">
        <f t="shared" si="12"/>
        <v>1</v>
      </c>
      <c r="R126" s="89">
        <f t="shared" si="13"/>
        <v>1.0855584562873698E-18</v>
      </c>
      <c r="S126" s="89">
        <f t="shared" si="14"/>
        <v>1</v>
      </c>
      <c r="T126" s="89" t="str">
        <f t="shared" si="15"/>
        <v>NG</v>
      </c>
      <c r="U126" s="117">
        <f t="shared" si="16"/>
        <v>1</v>
      </c>
      <c r="V126" s="89" t="str">
        <f>IF(G126="","",IF(T126="OK","NONE",INDEX({"S1","S2","W1","W2","N1","N2"},MATCH(MAX(K126:P126),K126:P126,0))))</f>
        <v>N2</v>
      </c>
      <c r="W126" s="117">
        <f t="shared" si="17"/>
        <v>1</v>
      </c>
      <c r="X126" s="114" t="str">
        <f t="shared" si="18"/>
        <v>CONFIDENT</v>
      </c>
      <c r="Y126" s="107"/>
    </row>
    <row r="127" spans="1:25">
      <c r="A127" s="115">
        <v>118</v>
      </c>
      <c r="B127" s="135">
        <f>'Runs Z-Score'!B120</f>
        <v>4</v>
      </c>
      <c r="C127" s="89" t="str">
        <f>'Runs Z-Score'!C120</f>
        <v>R3</v>
      </c>
      <c r="D127" s="89" t="str">
        <f>'Runs Z-Score'!D120</f>
        <v>NG</v>
      </c>
      <c r="E127" s="89" t="str">
        <f>'Runs Z-Score'!E120</f>
        <v>N2</v>
      </c>
      <c r="F127" s="89">
        <f>'Runs Z-Score'!F120</f>
        <v>8.58</v>
      </c>
      <c r="G127" s="89">
        <f t="shared" si="10"/>
        <v>9.5500000000000007</v>
      </c>
      <c r="H127" s="89">
        <f>VLOOKUP(C127,Recipes!$A$2:$N$4,10,FALSE())</f>
        <v>10.940000000000001</v>
      </c>
      <c r="I127" s="89">
        <f>VLOOKUP(C127,Recipes!$A$2:$N$4,12,FALSE())</f>
        <v>5.2703573566378441E-2</v>
      </c>
      <c r="J127" s="89">
        <f t="shared" si="11"/>
        <v>1.3900000000000006</v>
      </c>
      <c r="K127" s="89">
        <f>IF(G127="","",-0.5*((J127-Components!$C$2)/Components!$D$2)^2)</f>
        <v>-21276.969298246368</v>
      </c>
      <c r="L127" s="89">
        <f>IF(G127="","",-0.5*((J127-Components!$C$3)/Components!$D$3)^2)</f>
        <v>-18391.138043478713</v>
      </c>
      <c r="M127" s="89">
        <f>IF(G127="","",-0.5*((J127-Components!$C$4)/Components!$D$4)^2)</f>
        <v>-402.6166666666698</v>
      </c>
      <c r="N127" s="89">
        <f>IF(G127="","",-0.5*((J127-Components!$C$5)/Components!$D$5)^2)</f>
        <v>-7938.0511119168041</v>
      </c>
      <c r="O127" s="89">
        <f>IF(G127="","",-0.5*((J127-Components!$C$6)/Components!$D$6)^2)</f>
        <v>-35.968631732168198</v>
      </c>
      <c r="P127" s="89">
        <f>IF(G127="","",-0.5*((J127-Components!$C$7)/Components!$D$7)^2)</f>
        <v>-0.19408895352369729</v>
      </c>
      <c r="Q127" s="89">
        <f t="shared" si="12"/>
        <v>0.99999999999999978</v>
      </c>
      <c r="R127" s="89">
        <f t="shared" si="13"/>
        <v>2.9061195672495988E-16</v>
      </c>
      <c r="S127" s="89">
        <f t="shared" si="14"/>
        <v>0.99999999999999944</v>
      </c>
      <c r="T127" s="89" t="str">
        <f t="shared" si="15"/>
        <v>NG</v>
      </c>
      <c r="U127" s="117">
        <f t="shared" si="16"/>
        <v>1</v>
      </c>
      <c r="V127" s="89" t="str">
        <f>IF(G127="","",IF(T127="OK","NONE",INDEX({"S1","S2","W1","W2","N1","N2"},MATCH(MAX(K127:P127),K127:P127,0))))</f>
        <v>N2</v>
      </c>
      <c r="W127" s="117">
        <f t="shared" si="17"/>
        <v>1</v>
      </c>
      <c r="X127" s="114" t="str">
        <f t="shared" si="18"/>
        <v>CONFIDENT</v>
      </c>
      <c r="Y127" s="107"/>
    </row>
    <row r="128" spans="1:25">
      <c r="A128" s="115">
        <v>119</v>
      </c>
      <c r="B128" s="135">
        <f>'Runs Z-Score'!B121</f>
        <v>4</v>
      </c>
      <c r="C128" s="89" t="str">
        <f>'Runs Z-Score'!C121</f>
        <v>R3</v>
      </c>
      <c r="D128" s="89" t="str">
        <f>'Runs Z-Score'!D121</f>
        <v>NG</v>
      </c>
      <c r="E128" s="89" t="str">
        <f>'Runs Z-Score'!E121</f>
        <v>N2</v>
      </c>
      <c r="F128" s="89">
        <f>'Runs Z-Score'!F121</f>
        <v>8.6300000000000008</v>
      </c>
      <c r="G128" s="89">
        <f t="shared" si="10"/>
        <v>9.6000000000000014</v>
      </c>
      <c r="H128" s="89">
        <f>VLOOKUP(C128,Recipes!$A$2:$N$4,10,FALSE())</f>
        <v>10.940000000000001</v>
      </c>
      <c r="I128" s="89">
        <f>VLOOKUP(C128,Recipes!$A$2:$N$4,12,FALSE())</f>
        <v>5.2703573566378441E-2</v>
      </c>
      <c r="J128" s="89">
        <f t="shared" si="11"/>
        <v>1.3399999999999999</v>
      </c>
      <c r="K128" s="89">
        <f>IF(G128="","",-0.5*((J128-Components!$C$2)/Components!$D$2)^2)</f>
        <v>-22866.245614035925</v>
      </c>
      <c r="L128" s="89">
        <f>IF(G128="","",-0.5*((J128-Components!$C$3)/Components!$D$3)^2)</f>
        <v>-19092.759420290331</v>
      </c>
      <c r="M128" s="89">
        <f>IF(G128="","",-0.5*((J128-Components!$C$4)/Components!$D$4)^2)</f>
        <v>-307.51372549019743</v>
      </c>
      <c r="N128" s="89">
        <f>IF(G128="","",-0.5*((J128-Components!$C$5)/Components!$D$5)^2)</f>
        <v>-8190.2238820400835</v>
      </c>
      <c r="O128" s="89">
        <f>IF(G128="","",-0.5*((J128-Components!$C$6)/Components!$D$6)^2)</f>
        <v>-22.256841339155034</v>
      </c>
      <c r="P128" s="89">
        <f>IF(G128="","",-0.5*((J128-Components!$C$7)/Components!$D$7)^2)</f>
        <v>-0.93213658122748999</v>
      </c>
      <c r="Q128" s="89">
        <f t="shared" si="12"/>
        <v>0.99999999945197748</v>
      </c>
      <c r="R128" s="89">
        <f t="shared" si="13"/>
        <v>5.4802250709890652E-10</v>
      </c>
      <c r="S128" s="89">
        <f t="shared" si="14"/>
        <v>0.99999999890395497</v>
      </c>
      <c r="T128" s="89" t="str">
        <f t="shared" si="15"/>
        <v>NG</v>
      </c>
      <c r="U128" s="117">
        <f t="shared" si="16"/>
        <v>1</v>
      </c>
      <c r="V128" s="89" t="str">
        <f>IF(G128="","",IF(T128="OK","NONE",INDEX({"S1","S2","W1","W2","N1","N2"},MATCH(MAX(K128:P128),K128:P128,0))))</f>
        <v>N2</v>
      </c>
      <c r="W128" s="117">
        <f t="shared" si="17"/>
        <v>1</v>
      </c>
      <c r="X128" s="114" t="str">
        <f t="shared" si="18"/>
        <v>CONFIDENT</v>
      </c>
      <c r="Y128" s="107"/>
    </row>
    <row r="129" spans="1:25">
      <c r="A129" s="115">
        <v>120</v>
      </c>
      <c r="B129" s="135">
        <f>'Runs Z-Score'!B122</f>
        <v>4</v>
      </c>
      <c r="C129" s="89" t="str">
        <f>'Runs Z-Score'!C122</f>
        <v>R3</v>
      </c>
      <c r="D129" s="89" t="str">
        <f>'Runs Z-Score'!D122</f>
        <v>NG</v>
      </c>
      <c r="E129" s="89" t="str">
        <f>'Runs Z-Score'!E122</f>
        <v>N2</v>
      </c>
      <c r="F129" s="89">
        <f>'Runs Z-Score'!F122</f>
        <v>8.59</v>
      </c>
      <c r="G129" s="89">
        <f t="shared" si="10"/>
        <v>9.56</v>
      </c>
      <c r="H129" s="89">
        <f>VLOOKUP(C129,Recipes!$A$2:$N$4,10,FALSE())</f>
        <v>10.940000000000001</v>
      </c>
      <c r="I129" s="89">
        <f>VLOOKUP(C129,Recipes!$A$2:$N$4,12,FALSE())</f>
        <v>5.2703573566378441E-2</v>
      </c>
      <c r="J129" s="89">
        <f t="shared" si="11"/>
        <v>1.3800000000000008</v>
      </c>
      <c r="K129" s="89">
        <f>IF(G129="","",-0.5*((J129-Components!$C$2)/Components!$D$2)^2)</f>
        <v>-21590.245614035848</v>
      </c>
      <c r="L129" s="89">
        <f>IF(G129="","",-0.5*((J129-Components!$C$3)/Components!$D$3)^2)</f>
        <v>-18530.411594203346</v>
      </c>
      <c r="M129" s="89">
        <f>IF(G129="","",-0.5*((J129-Components!$C$4)/Components!$D$4)^2)</f>
        <v>-382.5725490196113</v>
      </c>
      <c r="N129" s="89">
        <f>IF(G129="","",-0.5*((J129-Components!$C$5)/Components!$D$5)^2)</f>
        <v>-7988.1702199661131</v>
      </c>
      <c r="O129" s="89">
        <f>IF(G129="","",-0.5*((J129-Components!$C$6)/Components!$D$6)^2)</f>
        <v>-32.964264919941208</v>
      </c>
      <c r="P129" s="89">
        <f>IF(G129="","",-0.5*((J129-Components!$C$7)/Components!$D$7)^2)</f>
        <v>-2.5392352905568624E-2</v>
      </c>
      <c r="Q129" s="89">
        <f t="shared" si="12"/>
        <v>0.99999999999999512</v>
      </c>
      <c r="R129" s="89">
        <f t="shared" si="13"/>
        <v>4.9525561036466335E-15</v>
      </c>
      <c r="S129" s="89">
        <f t="shared" si="14"/>
        <v>0.99999999999999012</v>
      </c>
      <c r="T129" s="89" t="str">
        <f t="shared" si="15"/>
        <v>NG</v>
      </c>
      <c r="U129" s="117">
        <f t="shared" si="16"/>
        <v>1</v>
      </c>
      <c r="V129" s="89" t="str">
        <f>IF(G129="","",IF(T129="OK","NONE",INDEX({"S1","S2","W1","W2","N1","N2"},MATCH(MAX(K129:P129),K129:P129,0))))</f>
        <v>N2</v>
      </c>
      <c r="W129" s="117">
        <f t="shared" si="17"/>
        <v>1</v>
      </c>
      <c r="X129" s="114" t="str">
        <f t="shared" si="18"/>
        <v>CONFIDENT</v>
      </c>
      <c r="Y129" s="107"/>
    </row>
    <row r="130" spans="1:25">
      <c r="A130" s="115">
        <v>121</v>
      </c>
      <c r="B130" s="135">
        <f>'Runs Z-Score'!B123</f>
        <v>5</v>
      </c>
      <c r="C130" s="89" t="str">
        <f>'Runs Z-Score'!C123</f>
        <v>R4</v>
      </c>
      <c r="D130" s="89" t="str">
        <f>'Runs Z-Score'!D123</f>
        <v>OK</v>
      </c>
      <c r="E130" s="89" t="str">
        <f>'Runs Z-Score'!E123</f>
        <v>NONE</v>
      </c>
      <c r="F130" s="89">
        <f>'Runs Z-Score'!F123</f>
        <v>8.9499999999999993</v>
      </c>
      <c r="G130" s="89">
        <f t="shared" si="10"/>
        <v>9.92</v>
      </c>
      <c r="H130" s="89">
        <v>9.91</v>
      </c>
      <c r="I130" s="89">
        <f>VLOOKUP(C130,Recipes!$A$2:$N$4,12,FALSE())</f>
        <v>5.0137397426368718E-2</v>
      </c>
      <c r="J130" s="89">
        <f t="shared" si="11"/>
        <v>-9.9999999999997868E-3</v>
      </c>
      <c r="K130" s="89">
        <f>IF(G130="","",-0.5*((J130-Components!$C$2)/Components!$D$2)^2)</f>
        <v>-87412.232456143727</v>
      </c>
      <c r="L130" s="89">
        <f>IF(G130="","",-0.5*((J130-Components!$C$3)/Components!$D$3)^2)</f>
        <v>-43001.210507247451</v>
      </c>
      <c r="M130" s="89">
        <f>IF(G130="","",-0.5*((J130-Components!$C$4)/Components!$D$4)^2)</f>
        <v>-2575.9107843137303</v>
      </c>
      <c r="N130" s="89">
        <f>IF(G130="","",-0.5*((J130-Components!$C$5)/Components!$D$5)^2)</f>
        <v>-16489.37090887106</v>
      </c>
      <c r="O130" s="89">
        <f>IF(G130="","",-0.5*((J130-Components!$C$6)/Components!$D$6)^2)</f>
        <v>-890.02976710335702</v>
      </c>
      <c r="P130" s="89">
        <f>IF(G130="","",-0.5*((J130-Components!$C$7)/Components!$D$7)^2)</f>
        <v>-1515.4058686299443</v>
      </c>
      <c r="Q130" s="89">
        <f t="shared" si="12"/>
        <v>1</v>
      </c>
      <c r="R130" s="89">
        <f t="shared" si="13"/>
        <v>2.5270276439824205E-272</v>
      </c>
      <c r="S130" s="89">
        <f t="shared" si="14"/>
        <v>1</v>
      </c>
      <c r="T130" s="89" t="str">
        <f t="shared" si="15"/>
        <v>OK</v>
      </c>
      <c r="U130" s="117">
        <f t="shared" si="16"/>
        <v>1</v>
      </c>
      <c r="V130" s="89" t="str">
        <f>IF(G130="","",IF(T130="OK","NONE",INDEX({"S1","S2","W1","W2","N1","N2"},MATCH(MAX(K130:P130),K130:P130,0))))</f>
        <v>NONE</v>
      </c>
      <c r="W130" s="117">
        <f t="shared" si="17"/>
        <v>1</v>
      </c>
      <c r="X130" s="114" t="str">
        <f t="shared" si="18"/>
        <v>CONFIDENT</v>
      </c>
      <c r="Y130" s="107"/>
    </row>
    <row r="131" spans="1:25">
      <c r="A131" s="115">
        <v>122</v>
      </c>
      <c r="B131" s="135">
        <f>'Runs Z-Score'!B124</f>
        <v>5</v>
      </c>
      <c r="C131" s="89" t="str">
        <f>'Runs Z-Score'!C124</f>
        <v>R4</v>
      </c>
      <c r="D131" s="89" t="str">
        <f>'Runs Z-Score'!D124</f>
        <v>OK</v>
      </c>
      <c r="E131" s="89" t="str">
        <f>'Runs Z-Score'!E124</f>
        <v>NONE</v>
      </c>
      <c r="F131" s="89">
        <f>'Runs Z-Score'!F124</f>
        <v>8.94</v>
      </c>
      <c r="G131" s="89">
        <f t="shared" si="10"/>
        <v>9.91</v>
      </c>
      <c r="H131" s="89">
        <v>9.91</v>
      </c>
      <c r="I131" s="89">
        <f>VLOOKUP(C131,Recipes!$A$2:$N$4,12,FALSE())</f>
        <v>5.0137397426368718E-2</v>
      </c>
      <c r="J131" s="89">
        <f t="shared" si="11"/>
        <v>0</v>
      </c>
      <c r="K131" s="89">
        <f>IF(G131="","",-0.5*((J131-Components!$C$2)/Components!$D$2)^2)</f>
        <v>-86780.71929824898</v>
      </c>
      <c r="L131" s="89">
        <f>IF(G131="","",-0.5*((J131-Components!$C$3)/Components!$D$3)^2)</f>
        <v>-42788.911594203972</v>
      </c>
      <c r="M131" s="89">
        <f>IF(G131="","",-0.5*((J131-Components!$C$4)/Components!$D$4)^2)</f>
        <v>-2524.8196078431424</v>
      </c>
      <c r="N131" s="89">
        <f>IF(G131="","",-0.5*((J131-Components!$C$5)/Components!$D$5)^2)</f>
        <v>-16417.328305535317</v>
      </c>
      <c r="O131" s="89">
        <f>IF(G131="","",-0.5*((J131-Components!$C$6)/Components!$D$6)^2)</f>
        <v>-874.8245269286848</v>
      </c>
      <c r="P131" s="89">
        <f>IF(G131="","",-0.5*((J131-Components!$C$7)/Components!$D$7)^2)</f>
        <v>-1493.5912894625205</v>
      </c>
      <c r="Q131" s="89">
        <f t="shared" si="12"/>
        <v>1</v>
      </c>
      <c r="R131" s="89">
        <f t="shared" si="13"/>
        <v>1.8750352918449774E-269</v>
      </c>
      <c r="S131" s="89">
        <f t="shared" si="14"/>
        <v>1</v>
      </c>
      <c r="T131" s="89" t="str">
        <f t="shared" si="15"/>
        <v>OK</v>
      </c>
      <c r="U131" s="117">
        <f t="shared" si="16"/>
        <v>1</v>
      </c>
      <c r="V131" s="89" t="str">
        <f>IF(G131="","",IF(T131="OK","NONE",INDEX({"S1","S2","W1","W2","N1","N2"},MATCH(MAX(K131:P131),K131:P131,0))))</f>
        <v>NONE</v>
      </c>
      <c r="W131" s="117">
        <f t="shared" si="17"/>
        <v>1</v>
      </c>
      <c r="X131" s="114" t="str">
        <f t="shared" si="18"/>
        <v>CONFIDENT</v>
      </c>
      <c r="Y131" s="107"/>
    </row>
    <row r="132" spans="1:25">
      <c r="A132" s="115">
        <v>123</v>
      </c>
      <c r="B132" s="135">
        <f>'Runs Z-Score'!B125</f>
        <v>5</v>
      </c>
      <c r="C132" s="89" t="str">
        <f>'Runs Z-Score'!C125</f>
        <v>R4</v>
      </c>
      <c r="D132" s="89" t="str">
        <f>'Runs Z-Score'!D125</f>
        <v>OK</v>
      </c>
      <c r="E132" s="89" t="str">
        <f>'Runs Z-Score'!E125</f>
        <v>NONE</v>
      </c>
      <c r="F132" s="89">
        <f>'Runs Z-Score'!F125</f>
        <v>8.94</v>
      </c>
      <c r="G132" s="89">
        <f t="shared" si="10"/>
        <v>9.91</v>
      </c>
      <c r="H132" s="89">
        <v>9.91</v>
      </c>
      <c r="I132" s="89">
        <f>VLOOKUP(C132,Recipes!$A$2:$N$4,12,FALSE())</f>
        <v>5.0137397426368718E-2</v>
      </c>
      <c r="J132" s="89">
        <f t="shared" si="11"/>
        <v>0</v>
      </c>
      <c r="K132" s="89">
        <f>IF(G132="","",-0.5*((J132-Components!$C$2)/Components!$D$2)^2)</f>
        <v>-86780.71929824898</v>
      </c>
      <c r="L132" s="89">
        <f>IF(G132="","",-0.5*((J132-Components!$C$3)/Components!$D$3)^2)</f>
        <v>-42788.911594203972</v>
      </c>
      <c r="M132" s="89">
        <f>IF(G132="","",-0.5*((J132-Components!$C$4)/Components!$D$4)^2)</f>
        <v>-2524.8196078431424</v>
      </c>
      <c r="N132" s="89">
        <f>IF(G132="","",-0.5*((J132-Components!$C$5)/Components!$D$5)^2)</f>
        <v>-16417.328305535317</v>
      </c>
      <c r="O132" s="89">
        <f>IF(G132="","",-0.5*((J132-Components!$C$6)/Components!$D$6)^2)</f>
        <v>-874.8245269286848</v>
      </c>
      <c r="P132" s="89">
        <f>IF(G132="","",-0.5*((J132-Components!$C$7)/Components!$D$7)^2)</f>
        <v>-1493.5912894625205</v>
      </c>
      <c r="Q132" s="89">
        <f t="shared" si="12"/>
        <v>1</v>
      </c>
      <c r="R132" s="89">
        <f t="shared" si="13"/>
        <v>1.8750352918449774E-269</v>
      </c>
      <c r="S132" s="89">
        <f t="shared" si="14"/>
        <v>1</v>
      </c>
      <c r="T132" s="89" t="str">
        <f t="shared" si="15"/>
        <v>OK</v>
      </c>
      <c r="U132" s="117">
        <f t="shared" si="16"/>
        <v>1</v>
      </c>
      <c r="V132" s="89" t="str">
        <f>IF(G132="","",IF(T132="OK","NONE",INDEX({"S1","S2","W1","W2","N1","N2"},MATCH(MAX(K132:P132),K132:P132,0))))</f>
        <v>NONE</v>
      </c>
      <c r="W132" s="117">
        <f t="shared" si="17"/>
        <v>1</v>
      </c>
      <c r="X132" s="114" t="str">
        <f t="shared" si="18"/>
        <v>CONFIDENT</v>
      </c>
      <c r="Y132" s="107"/>
    </row>
    <row r="133" spans="1:25">
      <c r="A133" s="115">
        <v>124</v>
      </c>
      <c r="B133" s="135">
        <f>'Runs Z-Score'!B126</f>
        <v>5</v>
      </c>
      <c r="C133" s="89" t="str">
        <f>'Runs Z-Score'!C126</f>
        <v>R4</v>
      </c>
      <c r="D133" s="89" t="str">
        <f>'Runs Z-Score'!D126</f>
        <v>OK</v>
      </c>
      <c r="E133" s="89" t="str">
        <f>'Runs Z-Score'!E126</f>
        <v>NONE</v>
      </c>
      <c r="F133" s="89">
        <f>'Runs Z-Score'!F126</f>
        <v>8.89</v>
      </c>
      <c r="G133" s="89">
        <f t="shared" si="10"/>
        <v>9.8600000000000012</v>
      </c>
      <c r="H133" s="89">
        <v>9.91</v>
      </c>
      <c r="I133" s="89">
        <f>VLOOKUP(C133,Recipes!$A$2:$N$4,12,FALSE())</f>
        <v>5.0137397426368718E-2</v>
      </c>
      <c r="J133" s="89">
        <f t="shared" si="11"/>
        <v>4.9999999999998934E-2</v>
      </c>
      <c r="K133" s="89">
        <f>IF(G133="","",-0.5*((J133-Components!$C$2)/Components!$D$2)^2)</f>
        <v>-83657.495614038387</v>
      </c>
      <c r="L133" s="89">
        <f>IF(G133="","",-0.5*((J133-Components!$C$3)/Components!$D$3)^2)</f>
        <v>-41735.297463769188</v>
      </c>
      <c r="M133" s="89">
        <f>IF(G133="","",-0.5*((J133-Components!$C$4)/Components!$D$4)^2)</f>
        <v>-2277.0401960784416</v>
      </c>
      <c r="N133" s="89">
        <f>IF(G133="","",-0.5*((J133-Components!$C$5)/Components!$D$5)^2)</f>
        <v>-16059.481133671656</v>
      </c>
      <c r="O133" s="89">
        <f>IF(G133="","",-0.5*((J133-Components!$C$6)/Components!$D$6)^2)</f>
        <v>-800.76339155750668</v>
      </c>
      <c r="P133" s="89">
        <f>IF(G133="","",-0.5*((J133-Components!$C$7)/Components!$D$7)^2)</f>
        <v>-1386.8906895715941</v>
      </c>
      <c r="Q133" s="89">
        <f t="shared" si="12"/>
        <v>1</v>
      </c>
      <c r="R133" s="89">
        <f t="shared" si="13"/>
        <v>2.8063948816882376E-255</v>
      </c>
      <c r="S133" s="89">
        <f t="shared" si="14"/>
        <v>1</v>
      </c>
      <c r="T133" s="89" t="str">
        <f t="shared" si="15"/>
        <v>OK</v>
      </c>
      <c r="U133" s="117">
        <f t="shared" si="16"/>
        <v>1</v>
      </c>
      <c r="V133" s="89" t="str">
        <f>IF(G133="","",IF(T133="OK","NONE",INDEX({"S1","S2","W1","W2","N1","N2"},MATCH(MAX(K133:P133),K133:P133,0))))</f>
        <v>NONE</v>
      </c>
      <c r="W133" s="117">
        <f t="shared" si="17"/>
        <v>1</v>
      </c>
      <c r="X133" s="114" t="str">
        <f t="shared" si="18"/>
        <v>CONFIDENT</v>
      </c>
      <c r="Y133" s="107"/>
    </row>
    <row r="134" spans="1:25">
      <c r="A134" s="115">
        <v>125</v>
      </c>
      <c r="B134" s="135">
        <f>'Runs Z-Score'!B127</f>
        <v>5</v>
      </c>
      <c r="C134" s="89" t="str">
        <f>'Runs Z-Score'!C127</f>
        <v>R4</v>
      </c>
      <c r="D134" s="89" t="str">
        <f>'Runs Z-Score'!D127</f>
        <v>OK</v>
      </c>
      <c r="E134" s="89" t="str">
        <f>'Runs Z-Score'!E127</f>
        <v>NONE</v>
      </c>
      <c r="F134" s="89">
        <f>'Runs Z-Score'!F127</f>
        <v>8.89</v>
      </c>
      <c r="G134" s="89">
        <f t="shared" si="10"/>
        <v>9.8600000000000012</v>
      </c>
      <c r="H134" s="89">
        <v>9.91</v>
      </c>
      <c r="I134" s="89">
        <f>VLOOKUP(C134,Recipes!$A$2:$N$4,12,FALSE())</f>
        <v>5.0137397426368718E-2</v>
      </c>
      <c r="J134" s="89">
        <f t="shared" si="11"/>
        <v>4.9999999999998934E-2</v>
      </c>
      <c r="K134" s="89">
        <f>IF(G134="","",-0.5*((J134-Components!$C$2)/Components!$D$2)^2)</f>
        <v>-83657.495614038387</v>
      </c>
      <c r="L134" s="89">
        <f>IF(G134="","",-0.5*((J134-Components!$C$3)/Components!$D$3)^2)</f>
        <v>-41735.297463769188</v>
      </c>
      <c r="M134" s="89">
        <f>IF(G134="","",-0.5*((J134-Components!$C$4)/Components!$D$4)^2)</f>
        <v>-2277.0401960784416</v>
      </c>
      <c r="N134" s="89">
        <f>IF(G134="","",-0.5*((J134-Components!$C$5)/Components!$D$5)^2)</f>
        <v>-16059.481133671656</v>
      </c>
      <c r="O134" s="89">
        <f>IF(G134="","",-0.5*((J134-Components!$C$6)/Components!$D$6)^2)</f>
        <v>-800.76339155750668</v>
      </c>
      <c r="P134" s="89">
        <f>IF(G134="","",-0.5*((J134-Components!$C$7)/Components!$D$7)^2)</f>
        <v>-1386.8906895715941</v>
      </c>
      <c r="Q134" s="89">
        <f t="shared" si="12"/>
        <v>1</v>
      </c>
      <c r="R134" s="89">
        <f t="shared" si="13"/>
        <v>2.8063948816882376E-255</v>
      </c>
      <c r="S134" s="89">
        <f t="shared" si="14"/>
        <v>1</v>
      </c>
      <c r="T134" s="89" t="str">
        <f t="shared" si="15"/>
        <v>OK</v>
      </c>
      <c r="U134" s="117">
        <f t="shared" si="16"/>
        <v>1</v>
      </c>
      <c r="V134" s="89" t="str">
        <f>IF(G134="","",IF(T134="OK","NONE",INDEX({"S1","S2","W1","W2","N1","N2"},MATCH(MAX(K134:P134),K134:P134,0))))</f>
        <v>NONE</v>
      </c>
      <c r="W134" s="117">
        <f t="shared" si="17"/>
        <v>1</v>
      </c>
      <c r="X134" s="114" t="str">
        <f t="shared" si="18"/>
        <v>CONFIDENT</v>
      </c>
      <c r="Y134" s="107"/>
    </row>
    <row r="135" spans="1:25">
      <c r="A135" s="115">
        <v>126</v>
      </c>
      <c r="B135" s="135">
        <f>'Runs Z-Score'!B128</f>
        <v>5</v>
      </c>
      <c r="C135" s="89" t="str">
        <f>'Runs Z-Score'!C128</f>
        <v>R4</v>
      </c>
      <c r="D135" s="89" t="str">
        <f>'Runs Z-Score'!D128</f>
        <v>OK</v>
      </c>
      <c r="E135" s="89" t="str">
        <f>'Runs Z-Score'!E128</f>
        <v>NONE</v>
      </c>
      <c r="F135" s="89">
        <f>'Runs Z-Score'!F128</f>
        <v>8.8800000000000008</v>
      </c>
      <c r="G135" s="89">
        <f t="shared" si="10"/>
        <v>9.8500000000000014</v>
      </c>
      <c r="H135" s="89">
        <v>9.91</v>
      </c>
      <c r="I135" s="89">
        <f>VLOOKUP(C135,Recipes!$A$2:$N$4,12,FALSE())</f>
        <v>5.0137397426368718E-2</v>
      </c>
      <c r="J135" s="89">
        <f t="shared" si="11"/>
        <v>5.9999999999998721E-2</v>
      </c>
      <c r="K135" s="89">
        <f>IF(G135="","",-0.5*((J135-Components!$C$2)/Components!$D$2)^2)</f>
        <v>-83039.719298248907</v>
      </c>
      <c r="L135" s="89">
        <f>IF(G135="","",-0.5*((J135-Components!$C$3)/Components!$D$3)^2)</f>
        <v>-41526.150724638748</v>
      </c>
      <c r="M135" s="89">
        <f>IF(G135="","",-0.5*((J135-Components!$C$4)/Components!$D$4)^2)</f>
        <v>-2229.0196078431477</v>
      </c>
      <c r="N135" s="89">
        <f>IF(G135="","",-0.5*((J135-Components!$C$5)/Components!$D$5)^2)</f>
        <v>-15988.384868261939</v>
      </c>
      <c r="O135" s="89">
        <f>IF(G135="","",-0.5*((J135-Components!$C$6)/Components!$D$6)^2)</f>
        <v>-786.34417758370773</v>
      </c>
      <c r="P135" s="89">
        <f>IF(G135="","",-0.5*((J135-Components!$C$7)/Components!$D$7)^2)</f>
        <v>-1366.025028782647</v>
      </c>
      <c r="Q135" s="89">
        <f t="shared" si="12"/>
        <v>1</v>
      </c>
      <c r="R135" s="89">
        <f t="shared" si="13"/>
        <v>1.7693145922263675E-252</v>
      </c>
      <c r="S135" s="89">
        <f t="shared" si="14"/>
        <v>1</v>
      </c>
      <c r="T135" s="89" t="str">
        <f t="shared" si="15"/>
        <v>OK</v>
      </c>
      <c r="U135" s="117">
        <f t="shared" si="16"/>
        <v>1</v>
      </c>
      <c r="V135" s="89" t="str">
        <f>IF(G135="","",IF(T135="OK","NONE",INDEX({"S1","S2","W1","W2","N1","N2"},MATCH(MAX(K135:P135),K135:P135,0))))</f>
        <v>NONE</v>
      </c>
      <c r="W135" s="117">
        <f t="shared" si="17"/>
        <v>1</v>
      </c>
      <c r="X135" s="114" t="str">
        <f t="shared" si="18"/>
        <v>CONFIDENT</v>
      </c>
      <c r="Y135" s="107"/>
    </row>
    <row r="136" spans="1:25">
      <c r="A136" s="115">
        <v>127</v>
      </c>
      <c r="B136" s="135">
        <f>'Runs Z-Score'!B129</f>
        <v>5</v>
      </c>
      <c r="C136" s="89" t="str">
        <f>'Runs Z-Score'!C129</f>
        <v>R4</v>
      </c>
      <c r="D136" s="89" t="str">
        <f>'Runs Z-Score'!D129</f>
        <v>OK</v>
      </c>
      <c r="E136" s="89" t="str">
        <f>'Runs Z-Score'!E129</f>
        <v>NONE</v>
      </c>
      <c r="F136" s="89">
        <f>'Runs Z-Score'!F129</f>
        <v>8.91</v>
      </c>
      <c r="G136" s="89">
        <f t="shared" si="10"/>
        <v>9.8800000000000008</v>
      </c>
      <c r="H136" s="89">
        <v>9.91</v>
      </c>
      <c r="I136" s="89">
        <f>VLOOKUP(C136,Recipes!$A$2:$N$4,12,FALSE())</f>
        <v>5.0137397426368718E-2</v>
      </c>
      <c r="J136" s="89">
        <f t="shared" si="11"/>
        <v>2.9999999999999361E-2</v>
      </c>
      <c r="K136" s="89">
        <f>IF(G136="","",-0.5*((J136-Components!$C$2)/Components!$D$2)^2)</f>
        <v>-84899.916666670004</v>
      </c>
      <c r="L136" s="89">
        <f>IF(G136="","",-0.5*((J136-Components!$C$3)/Components!$D$3)^2)</f>
        <v>-42155.167028986565</v>
      </c>
      <c r="M136" s="89">
        <f>IF(G136="","",-0.5*((J136-Components!$C$4)/Components!$D$4)^2)</f>
        <v>-2374.616666666675</v>
      </c>
      <c r="N136" s="89">
        <f>IF(G136="","",-0.5*((J136-Components!$C$5)/Components!$D$5)^2)</f>
        <v>-16202.1468334541</v>
      </c>
      <c r="O136" s="89">
        <f>IF(G136="","",-0.5*((J136-Components!$C$6)/Components!$D$6)^2)</f>
        <v>-829.99483260554132</v>
      </c>
      <c r="P136" s="89">
        <f>IF(G136="","",-0.5*((J136-Components!$C$7)/Components!$D$7)^2)</f>
        <v>-1429.0964703387265</v>
      </c>
      <c r="Q136" s="89">
        <f t="shared" si="12"/>
        <v>1</v>
      </c>
      <c r="R136" s="89">
        <f t="shared" si="13"/>
        <v>6.5082560877054208E-261</v>
      </c>
      <c r="S136" s="89">
        <f t="shared" si="14"/>
        <v>1</v>
      </c>
      <c r="T136" s="89" t="str">
        <f t="shared" si="15"/>
        <v>OK</v>
      </c>
      <c r="U136" s="117">
        <f t="shared" si="16"/>
        <v>1</v>
      </c>
      <c r="V136" s="89" t="str">
        <f>IF(G136="","",IF(T136="OK","NONE",INDEX({"S1","S2","W1","W2","N1","N2"},MATCH(MAX(K136:P136),K136:P136,0))))</f>
        <v>NONE</v>
      </c>
      <c r="W136" s="117">
        <f t="shared" si="17"/>
        <v>1</v>
      </c>
      <c r="X136" s="114" t="str">
        <f t="shared" si="18"/>
        <v>CONFIDENT</v>
      </c>
      <c r="Y136" s="107"/>
    </row>
    <row r="137" spans="1:25">
      <c r="A137" s="115">
        <v>128</v>
      </c>
      <c r="B137" s="135">
        <f>'Runs Z-Score'!B130</f>
        <v>5</v>
      </c>
      <c r="C137" s="89" t="str">
        <f>'Runs Z-Score'!C130</f>
        <v>R4</v>
      </c>
      <c r="D137" s="89" t="str">
        <f>'Runs Z-Score'!D130</f>
        <v>OK</v>
      </c>
      <c r="E137" s="89" t="str">
        <f>'Runs Z-Score'!E130</f>
        <v>NONE</v>
      </c>
      <c r="F137" s="89">
        <f>'Runs Z-Score'!F130</f>
        <v>8.85</v>
      </c>
      <c r="G137" s="89">
        <f t="shared" si="10"/>
        <v>9.82</v>
      </c>
      <c r="H137" s="89">
        <v>9.91</v>
      </c>
      <c r="I137" s="89">
        <f>VLOOKUP(C137,Recipes!$A$2:$N$4,12,FALSE())</f>
        <v>5.0137397426368718E-2</v>
      </c>
      <c r="J137" s="89">
        <f t="shared" si="11"/>
        <v>8.9999999999999858E-2</v>
      </c>
      <c r="K137" s="89">
        <f>IF(G137="","",-0.5*((J137-Components!$C$2)/Components!$D$2)^2)</f>
        <v>-81200.127192985601</v>
      </c>
      <c r="L137" s="89">
        <f>IF(G137="","",-0.5*((J137-Components!$C$3)/Components!$D$3)^2)</f>
        <v>-40901.862681160441</v>
      </c>
      <c r="M137" s="89">
        <f>IF(G137="","",-0.5*((J137-Components!$C$4)/Components!$D$4)^2)</f>
        <v>-2088.0284313725542</v>
      </c>
      <c r="N137" s="89">
        <f>IF(G137="","",-0.5*((J137-Components!$C$5)/Components!$D$5)^2)</f>
        <v>-15776.042409958818</v>
      </c>
      <c r="O137" s="89">
        <f>IF(G137="","",-0.5*((J137-Components!$C$6)/Components!$D$6)^2)</f>
        <v>-743.87256186318177</v>
      </c>
      <c r="P137" s="89">
        <f>IF(G137="","",-0.5*((J137-Components!$C$7)/Components!$D$7)^2)</f>
        <v>-1304.3769647942788</v>
      </c>
      <c r="Q137" s="89">
        <f t="shared" si="12"/>
        <v>1</v>
      </c>
      <c r="R137" s="89">
        <f t="shared" si="13"/>
        <v>3.7673045017047001E-244</v>
      </c>
      <c r="S137" s="89">
        <f t="shared" si="14"/>
        <v>1</v>
      </c>
      <c r="T137" s="89" t="str">
        <f t="shared" si="15"/>
        <v>OK</v>
      </c>
      <c r="U137" s="117">
        <f t="shared" si="16"/>
        <v>1</v>
      </c>
      <c r="V137" s="89" t="str">
        <f>IF(G137="","",IF(T137="OK","NONE",INDEX({"S1","S2","W1","W2","N1","N2"},MATCH(MAX(K137:P137),K137:P137,0))))</f>
        <v>NONE</v>
      </c>
      <c r="W137" s="117">
        <f t="shared" si="17"/>
        <v>1</v>
      </c>
      <c r="X137" s="114" t="str">
        <f t="shared" si="18"/>
        <v>CONFIDENT</v>
      </c>
      <c r="Y137" s="107"/>
    </row>
    <row r="138" spans="1:25">
      <c r="A138" s="115">
        <v>129</v>
      </c>
      <c r="B138" s="135">
        <f>'Runs Z-Score'!B131</f>
        <v>5</v>
      </c>
      <c r="C138" s="89" t="str">
        <f>'Runs Z-Score'!C131</f>
        <v>R4</v>
      </c>
      <c r="D138" s="89" t="str">
        <f>'Runs Z-Score'!D131</f>
        <v>OK</v>
      </c>
      <c r="E138" s="89" t="str">
        <f>'Runs Z-Score'!E131</f>
        <v>NONE</v>
      </c>
      <c r="F138" s="89">
        <f>'Runs Z-Score'!F131</f>
        <v>8.8800000000000008</v>
      </c>
      <c r="G138" s="89">
        <f t="shared" ref="G138:G201" si="19">0.97+F138</f>
        <v>9.8500000000000014</v>
      </c>
      <c r="H138" s="89">
        <v>9.91</v>
      </c>
      <c r="I138" s="89">
        <f>VLOOKUP(C138,Recipes!$A$2:$N$4,12,FALSE())</f>
        <v>5.0137397426368718E-2</v>
      </c>
      <c r="J138" s="89">
        <f t="shared" si="11"/>
        <v>5.9999999999998721E-2</v>
      </c>
      <c r="K138" s="89">
        <f>IF(G138="","",-0.5*((J138-Components!$C$2)/Components!$D$2)^2)</f>
        <v>-83039.719298248907</v>
      </c>
      <c r="L138" s="89">
        <f>IF(G138="","",-0.5*((J138-Components!$C$3)/Components!$D$3)^2)</f>
        <v>-41526.150724638748</v>
      </c>
      <c r="M138" s="89">
        <f>IF(G138="","",-0.5*((J138-Components!$C$4)/Components!$D$4)^2)</f>
        <v>-2229.0196078431477</v>
      </c>
      <c r="N138" s="89">
        <f>IF(G138="","",-0.5*((J138-Components!$C$5)/Components!$D$5)^2)</f>
        <v>-15988.384868261939</v>
      </c>
      <c r="O138" s="89">
        <f>IF(G138="","",-0.5*((J138-Components!$C$6)/Components!$D$6)^2)</f>
        <v>-786.34417758370773</v>
      </c>
      <c r="P138" s="89">
        <f>IF(G138="","",-0.5*((J138-Components!$C$7)/Components!$D$7)^2)</f>
        <v>-1366.025028782647</v>
      </c>
      <c r="Q138" s="89">
        <f t="shared" si="12"/>
        <v>1</v>
      </c>
      <c r="R138" s="89">
        <f t="shared" si="13"/>
        <v>1.7693145922263675E-252</v>
      </c>
      <c r="S138" s="89">
        <f t="shared" si="14"/>
        <v>1</v>
      </c>
      <c r="T138" s="89" t="str">
        <f t="shared" si="15"/>
        <v>OK</v>
      </c>
      <c r="U138" s="117">
        <f t="shared" si="16"/>
        <v>1</v>
      </c>
      <c r="V138" s="89" t="str">
        <f>IF(G138="","",IF(T138="OK","NONE",INDEX({"S1","S2","W1","W2","N1","N2"},MATCH(MAX(K138:P138),K138:P138,0))))</f>
        <v>NONE</v>
      </c>
      <c r="W138" s="117">
        <f t="shared" si="17"/>
        <v>1</v>
      </c>
      <c r="X138" s="114" t="str">
        <f t="shared" si="18"/>
        <v>CONFIDENT</v>
      </c>
      <c r="Y138" s="107"/>
    </row>
    <row r="139" spans="1:25">
      <c r="A139" s="115">
        <v>130</v>
      </c>
      <c r="B139" s="135">
        <f>'Runs Z-Score'!B132</f>
        <v>5</v>
      </c>
      <c r="C139" s="89" t="str">
        <f>'Runs Z-Score'!C132</f>
        <v>R4</v>
      </c>
      <c r="D139" s="89" t="str">
        <f>'Runs Z-Score'!D132</f>
        <v>OK</v>
      </c>
      <c r="E139" s="89" t="str">
        <f>'Runs Z-Score'!E132</f>
        <v>NONE</v>
      </c>
      <c r="F139" s="89">
        <f>'Runs Z-Score'!F132</f>
        <v>8.8699999999999992</v>
      </c>
      <c r="G139" s="89">
        <f t="shared" si="19"/>
        <v>9.84</v>
      </c>
      <c r="H139" s="89">
        <v>9.91</v>
      </c>
      <c r="I139" s="89">
        <f>VLOOKUP(C139,Recipes!$A$2:$N$4,12,FALSE())</f>
        <v>5.0137397426368718E-2</v>
      </c>
      <c r="J139" s="89">
        <f t="shared" ref="J139:J202" si="20">IF(G139="","",H139-G139)</f>
        <v>7.0000000000000284E-2</v>
      </c>
      <c r="K139" s="89">
        <f>IF(G139="","",-0.5*((J139-Components!$C$2)/Components!$D$2)^2)</f>
        <v>-82424.232456143523</v>
      </c>
      <c r="L139" s="89">
        <f>IF(G139="","",-0.5*((J139-Components!$C$3)/Components!$D$3)^2)</f>
        <v>-41317.52934782712</v>
      </c>
      <c r="M139" s="89">
        <f>IF(G139="","",-0.5*((J139-Components!$C$4)/Components!$D$4)^2)</f>
        <v>-2181.5107843137289</v>
      </c>
      <c r="N139" s="89">
        <f>IF(G139="","",-0.5*((J139-Components!$C$5)/Components!$D$5)^2)</f>
        <v>-15917.446325839885</v>
      </c>
      <c r="O139" s="89">
        <f>IF(G139="","",-0.5*((J139-Components!$C$6)/Components!$D$6)^2)</f>
        <v>-772.05596797671831</v>
      </c>
      <c r="P139" s="89">
        <f>IF(G139="","",-0.5*((J139-Components!$C$7)/Components!$D$7)^2)</f>
        <v>-1345.3175210567756</v>
      </c>
      <c r="Q139" s="89">
        <f t="shared" ref="Q139:Q202" si="21">IF(G139="","",EXP(LARGE(K139:P139,1)-MAX(K139:P139))/(EXP(K139-MAX(K139:P139))+EXP(L139-MAX(K139:P139))+EXP(M139-MAX(K139:P139))+EXP(N139-MAX(K139:P139))+EXP(O139-MAX(K139:P139))+EXP(P139-MAX(K139:P139))))</f>
        <v>1</v>
      </c>
      <c r="R139" s="89">
        <f t="shared" ref="R139:R202" si="22">IF(G139="","",EXP(LARGE(K139:P139,2)-MAX(K139:P139))/(EXP(K139-MAX(K139:P139))+EXP(L139-MAX(K139:P139))+EXP(M139-MAX(K139:P139))+EXP(N139-MAX(K139:P139))+EXP(O139-MAX(K139:P139))+EXP(P139-MAX(K139:P139))))</f>
        <v>1.0856024381751793E-249</v>
      </c>
      <c r="S139" s="89">
        <f t="shared" ref="S139:S202" si="23">IF(G139="","",Q139-R139)</f>
        <v>1</v>
      </c>
      <c r="T139" s="89" t="str">
        <f t="shared" ref="T139:T202" si="24">IF(G139="","",IF(AND(G139&gt;=H139-$B$6*I139,G139&lt;=H139+$B$6*I139),"OK","NG"))</f>
        <v>OK</v>
      </c>
      <c r="U139" s="117">
        <f t="shared" ref="U139:U202" si="25">IF(T139="","",IF(T139=D139,1,0))</f>
        <v>1</v>
      </c>
      <c r="V139" s="89" t="str">
        <f>IF(G139="","",IF(T139="OK","NONE",INDEX({"S1","S2","W1","W2","N1","N2"},MATCH(MAX(K139:P139),K139:P139,0))))</f>
        <v>NONE</v>
      </c>
      <c r="W139" s="117">
        <f t="shared" ref="W139:W202" si="26">IF(G139="","",IF(V139=E139,1,0))</f>
        <v>1</v>
      </c>
      <c r="X139" s="114" t="str">
        <f t="shared" ref="X139:X202" si="27">IF(G139="","",IF(AND(T139="NG",S139&lt;$B$7),"AMBIGUOUS","CONFIDENT"))</f>
        <v>CONFIDENT</v>
      </c>
      <c r="Y139" s="107"/>
    </row>
    <row r="140" spans="1:25">
      <c r="A140" s="115">
        <v>131</v>
      </c>
      <c r="B140" s="135">
        <f>'Runs Z-Score'!B133</f>
        <v>5</v>
      </c>
      <c r="C140" s="89" t="str">
        <f>'Runs Z-Score'!C133</f>
        <v>R4</v>
      </c>
      <c r="D140" s="89" t="str">
        <f>'Runs Z-Score'!D133</f>
        <v>OK</v>
      </c>
      <c r="E140" s="89" t="str">
        <f>'Runs Z-Score'!E133</f>
        <v>NONE</v>
      </c>
      <c r="F140" s="89">
        <f>'Runs Z-Score'!F133</f>
        <v>8.89</v>
      </c>
      <c r="G140" s="89">
        <f t="shared" si="19"/>
        <v>9.8600000000000012</v>
      </c>
      <c r="H140" s="89">
        <v>9.91</v>
      </c>
      <c r="I140" s="89">
        <f>VLOOKUP(C140,Recipes!$A$2:$N$4,12,FALSE())</f>
        <v>5.0137397426368718E-2</v>
      </c>
      <c r="J140" s="89">
        <f t="shared" si="20"/>
        <v>4.9999999999998934E-2</v>
      </c>
      <c r="K140" s="89">
        <f>IF(G140="","",-0.5*((J140-Components!$C$2)/Components!$D$2)^2)</f>
        <v>-83657.495614038387</v>
      </c>
      <c r="L140" s="89">
        <f>IF(G140="","",-0.5*((J140-Components!$C$3)/Components!$D$3)^2)</f>
        <v>-41735.297463769188</v>
      </c>
      <c r="M140" s="89">
        <f>IF(G140="","",-0.5*((J140-Components!$C$4)/Components!$D$4)^2)</f>
        <v>-2277.0401960784416</v>
      </c>
      <c r="N140" s="89">
        <f>IF(G140="","",-0.5*((J140-Components!$C$5)/Components!$D$5)^2)</f>
        <v>-16059.481133671656</v>
      </c>
      <c r="O140" s="89">
        <f>IF(G140="","",-0.5*((J140-Components!$C$6)/Components!$D$6)^2)</f>
        <v>-800.76339155750668</v>
      </c>
      <c r="P140" s="89">
        <f>IF(G140="","",-0.5*((J140-Components!$C$7)/Components!$D$7)^2)</f>
        <v>-1386.8906895715941</v>
      </c>
      <c r="Q140" s="89">
        <f t="shared" si="21"/>
        <v>1</v>
      </c>
      <c r="R140" s="89">
        <f t="shared" si="22"/>
        <v>2.8063948816882376E-255</v>
      </c>
      <c r="S140" s="89">
        <f t="shared" si="23"/>
        <v>1</v>
      </c>
      <c r="T140" s="89" t="str">
        <f t="shared" si="24"/>
        <v>OK</v>
      </c>
      <c r="U140" s="117">
        <f t="shared" si="25"/>
        <v>1</v>
      </c>
      <c r="V140" s="89" t="str">
        <f>IF(G140="","",IF(T140="OK","NONE",INDEX({"S1","S2","W1","W2","N1","N2"},MATCH(MAX(K140:P140),K140:P140,0))))</f>
        <v>NONE</v>
      </c>
      <c r="W140" s="117">
        <f t="shared" si="26"/>
        <v>1</v>
      </c>
      <c r="X140" s="114" t="str">
        <f t="shared" si="27"/>
        <v>CONFIDENT</v>
      </c>
      <c r="Y140" s="107"/>
    </row>
    <row r="141" spans="1:25">
      <c r="A141" s="115">
        <v>132</v>
      </c>
      <c r="B141" s="135">
        <f>'Runs Z-Score'!B134</f>
        <v>5</v>
      </c>
      <c r="C141" s="89" t="str">
        <f>'Runs Z-Score'!C134</f>
        <v>R4</v>
      </c>
      <c r="D141" s="89" t="str">
        <f>'Runs Z-Score'!D134</f>
        <v>OK</v>
      </c>
      <c r="E141" s="89" t="str">
        <f>'Runs Z-Score'!E134</f>
        <v>NONE</v>
      </c>
      <c r="F141" s="89">
        <f>'Runs Z-Score'!F134</f>
        <v>8.8699999999999992</v>
      </c>
      <c r="G141" s="89">
        <f t="shared" si="19"/>
        <v>9.84</v>
      </c>
      <c r="H141" s="89">
        <v>9.91</v>
      </c>
      <c r="I141" s="89">
        <f>VLOOKUP(C141,Recipes!$A$2:$N$4,12,FALSE())</f>
        <v>5.0137397426368718E-2</v>
      </c>
      <c r="J141" s="89">
        <f t="shared" si="20"/>
        <v>7.0000000000000284E-2</v>
      </c>
      <c r="K141" s="89">
        <f>IF(G141="","",-0.5*((J141-Components!$C$2)/Components!$D$2)^2)</f>
        <v>-82424.232456143523</v>
      </c>
      <c r="L141" s="89">
        <f>IF(G141="","",-0.5*((J141-Components!$C$3)/Components!$D$3)^2)</f>
        <v>-41317.52934782712</v>
      </c>
      <c r="M141" s="89">
        <f>IF(G141="","",-0.5*((J141-Components!$C$4)/Components!$D$4)^2)</f>
        <v>-2181.5107843137289</v>
      </c>
      <c r="N141" s="89">
        <f>IF(G141="","",-0.5*((J141-Components!$C$5)/Components!$D$5)^2)</f>
        <v>-15917.446325839885</v>
      </c>
      <c r="O141" s="89">
        <f>IF(G141="","",-0.5*((J141-Components!$C$6)/Components!$D$6)^2)</f>
        <v>-772.05596797671831</v>
      </c>
      <c r="P141" s="89">
        <f>IF(G141="","",-0.5*((J141-Components!$C$7)/Components!$D$7)^2)</f>
        <v>-1345.3175210567756</v>
      </c>
      <c r="Q141" s="89">
        <f t="shared" si="21"/>
        <v>1</v>
      </c>
      <c r="R141" s="89">
        <f t="shared" si="22"/>
        <v>1.0856024381751793E-249</v>
      </c>
      <c r="S141" s="89">
        <f t="shared" si="23"/>
        <v>1</v>
      </c>
      <c r="T141" s="89" t="str">
        <f t="shared" si="24"/>
        <v>OK</v>
      </c>
      <c r="U141" s="117">
        <f t="shared" si="25"/>
        <v>1</v>
      </c>
      <c r="V141" s="89" t="str">
        <f>IF(G141="","",IF(T141="OK","NONE",INDEX({"S1","S2","W1","W2","N1","N2"},MATCH(MAX(K141:P141),K141:P141,0))))</f>
        <v>NONE</v>
      </c>
      <c r="W141" s="117">
        <f t="shared" si="26"/>
        <v>1</v>
      </c>
      <c r="X141" s="114" t="str">
        <f t="shared" si="27"/>
        <v>CONFIDENT</v>
      </c>
      <c r="Y141" s="107"/>
    </row>
    <row r="142" spans="1:25">
      <c r="A142" s="115">
        <v>133</v>
      </c>
      <c r="B142" s="135">
        <f>'Runs Z-Score'!B135</f>
        <v>5</v>
      </c>
      <c r="C142" s="89" t="str">
        <f>'Runs Z-Score'!C135</f>
        <v>R4</v>
      </c>
      <c r="D142" s="89" t="str">
        <f>'Runs Z-Score'!D135</f>
        <v>OK</v>
      </c>
      <c r="E142" s="89" t="str">
        <f>'Runs Z-Score'!E135</f>
        <v>NONE</v>
      </c>
      <c r="F142" s="89">
        <f>'Runs Z-Score'!F135</f>
        <v>8.9700000000000006</v>
      </c>
      <c r="G142" s="89">
        <f t="shared" si="19"/>
        <v>9.9400000000000013</v>
      </c>
      <c r="H142" s="89">
        <v>9.91</v>
      </c>
      <c r="I142" s="89">
        <f>VLOOKUP(C142,Recipes!$A$2:$N$4,12,FALSE())</f>
        <v>5.0137397426368718E-2</v>
      </c>
      <c r="J142" s="89">
        <f t="shared" si="20"/>
        <v>-3.0000000000001137E-2</v>
      </c>
      <c r="K142" s="89">
        <f>IF(G142="","",-0.5*((J142-Components!$C$2)/Components!$D$2)^2)</f>
        <v>-88682.127192985965</v>
      </c>
      <c r="L142" s="89">
        <f>IF(G142="","",-0.5*((J142-Components!$C$3)/Components!$D$3)^2)</f>
        <v>-43427.384420290968</v>
      </c>
      <c r="M142" s="89">
        <f>IF(G142="","",-0.5*((J142-Components!$C$4)/Components!$D$4)^2)</f>
        <v>-2679.6284313725614</v>
      </c>
      <c r="N142" s="89">
        <f>IF(G142="","",-0.5*((J142-Components!$C$5)/Components!$D$5)^2)</f>
        <v>-16633.92928450559</v>
      </c>
      <c r="O142" s="89">
        <f>IF(G142="","",-0.5*((J142-Components!$C$6)/Components!$D$6)^2)</f>
        <v>-920.83326055314103</v>
      </c>
      <c r="P142" s="89">
        <f>IF(G142="","",-0.5*((J142-Components!$C$7)/Components!$D$7)^2)</f>
        <v>-1559.5094861540338</v>
      </c>
      <c r="Q142" s="89">
        <f t="shared" si="21"/>
        <v>1</v>
      </c>
      <c r="R142" s="89">
        <f t="shared" si="22"/>
        <v>4.2309656432095735E-278</v>
      </c>
      <c r="S142" s="89">
        <f t="shared" si="23"/>
        <v>1</v>
      </c>
      <c r="T142" s="89" t="str">
        <f t="shared" si="24"/>
        <v>OK</v>
      </c>
      <c r="U142" s="117">
        <f t="shared" si="25"/>
        <v>1</v>
      </c>
      <c r="V142" s="89" t="str">
        <f>IF(G142="","",IF(T142="OK","NONE",INDEX({"S1","S2","W1","W2","N1","N2"},MATCH(MAX(K142:P142),K142:P142,0))))</f>
        <v>NONE</v>
      </c>
      <c r="W142" s="117">
        <f t="shared" si="26"/>
        <v>1</v>
      </c>
      <c r="X142" s="114" t="str">
        <f t="shared" si="27"/>
        <v>CONFIDENT</v>
      </c>
      <c r="Y142" s="107"/>
    </row>
    <row r="143" spans="1:25">
      <c r="A143" s="115">
        <v>134</v>
      </c>
      <c r="B143" s="135">
        <f>'Runs Z-Score'!B136</f>
        <v>5</v>
      </c>
      <c r="C143" s="89" t="str">
        <f>'Runs Z-Score'!C136</f>
        <v>R4</v>
      </c>
      <c r="D143" s="89" t="str">
        <f>'Runs Z-Score'!D136</f>
        <v>OK</v>
      </c>
      <c r="E143" s="89" t="str">
        <f>'Runs Z-Score'!E136</f>
        <v>NONE</v>
      </c>
      <c r="F143" s="89">
        <f>'Runs Z-Score'!F136</f>
        <v>8.94</v>
      </c>
      <c r="G143" s="89">
        <f t="shared" si="19"/>
        <v>9.91</v>
      </c>
      <c r="H143" s="89">
        <v>9.91</v>
      </c>
      <c r="I143" s="89">
        <f>VLOOKUP(C143,Recipes!$A$2:$N$4,12,FALSE())</f>
        <v>5.0137397426368718E-2</v>
      </c>
      <c r="J143" s="89">
        <f t="shared" si="20"/>
        <v>0</v>
      </c>
      <c r="K143" s="89">
        <f>IF(G143="","",-0.5*((J143-Components!$C$2)/Components!$D$2)^2)</f>
        <v>-86780.71929824898</v>
      </c>
      <c r="L143" s="89">
        <f>IF(G143="","",-0.5*((J143-Components!$C$3)/Components!$D$3)^2)</f>
        <v>-42788.911594203972</v>
      </c>
      <c r="M143" s="89">
        <f>IF(G143="","",-0.5*((J143-Components!$C$4)/Components!$D$4)^2)</f>
        <v>-2524.8196078431424</v>
      </c>
      <c r="N143" s="89">
        <f>IF(G143="","",-0.5*((J143-Components!$C$5)/Components!$D$5)^2)</f>
        <v>-16417.328305535317</v>
      </c>
      <c r="O143" s="89">
        <f>IF(G143="","",-0.5*((J143-Components!$C$6)/Components!$D$6)^2)</f>
        <v>-874.8245269286848</v>
      </c>
      <c r="P143" s="89">
        <f>IF(G143="","",-0.5*((J143-Components!$C$7)/Components!$D$7)^2)</f>
        <v>-1493.5912894625205</v>
      </c>
      <c r="Q143" s="89">
        <f t="shared" si="21"/>
        <v>1</v>
      </c>
      <c r="R143" s="89">
        <f t="shared" si="22"/>
        <v>1.8750352918449774E-269</v>
      </c>
      <c r="S143" s="89">
        <f t="shared" si="23"/>
        <v>1</v>
      </c>
      <c r="T143" s="89" t="str">
        <f t="shared" si="24"/>
        <v>OK</v>
      </c>
      <c r="U143" s="117">
        <f t="shared" si="25"/>
        <v>1</v>
      </c>
      <c r="V143" s="89" t="str">
        <f>IF(G143="","",IF(T143="OK","NONE",INDEX({"S1","S2","W1","W2","N1","N2"},MATCH(MAX(K143:P143),K143:P143,0))))</f>
        <v>NONE</v>
      </c>
      <c r="W143" s="117">
        <f t="shared" si="26"/>
        <v>1</v>
      </c>
      <c r="X143" s="114" t="str">
        <f t="shared" si="27"/>
        <v>CONFIDENT</v>
      </c>
      <c r="Y143" s="107"/>
    </row>
    <row r="144" spans="1:25">
      <c r="A144" s="115">
        <v>135</v>
      </c>
      <c r="B144" s="135">
        <f>'Runs Z-Score'!B137</f>
        <v>5</v>
      </c>
      <c r="C144" s="89" t="str">
        <f>'Runs Z-Score'!C137</f>
        <v>R4</v>
      </c>
      <c r="D144" s="89" t="str">
        <f>'Runs Z-Score'!D137</f>
        <v>OK</v>
      </c>
      <c r="E144" s="89" t="str">
        <f>'Runs Z-Score'!E137</f>
        <v>NONE</v>
      </c>
      <c r="F144" s="89">
        <f>'Runs Z-Score'!F137</f>
        <v>8.89</v>
      </c>
      <c r="G144" s="89">
        <f t="shared" si="19"/>
        <v>9.8600000000000012</v>
      </c>
      <c r="H144" s="89">
        <v>9.91</v>
      </c>
      <c r="I144" s="89">
        <f>VLOOKUP(C144,Recipes!$A$2:$N$4,12,FALSE())</f>
        <v>5.0137397426368718E-2</v>
      </c>
      <c r="J144" s="89">
        <f t="shared" si="20"/>
        <v>4.9999999999998934E-2</v>
      </c>
      <c r="K144" s="89">
        <f>IF(G144="","",-0.5*((J144-Components!$C$2)/Components!$D$2)^2)</f>
        <v>-83657.495614038387</v>
      </c>
      <c r="L144" s="89">
        <f>IF(G144="","",-0.5*((J144-Components!$C$3)/Components!$D$3)^2)</f>
        <v>-41735.297463769188</v>
      </c>
      <c r="M144" s="89">
        <f>IF(G144="","",-0.5*((J144-Components!$C$4)/Components!$D$4)^2)</f>
        <v>-2277.0401960784416</v>
      </c>
      <c r="N144" s="89">
        <f>IF(G144="","",-0.5*((J144-Components!$C$5)/Components!$D$5)^2)</f>
        <v>-16059.481133671656</v>
      </c>
      <c r="O144" s="89">
        <f>IF(G144="","",-0.5*((J144-Components!$C$6)/Components!$D$6)^2)</f>
        <v>-800.76339155750668</v>
      </c>
      <c r="P144" s="89">
        <f>IF(G144="","",-0.5*((J144-Components!$C$7)/Components!$D$7)^2)</f>
        <v>-1386.8906895715941</v>
      </c>
      <c r="Q144" s="89">
        <f t="shared" si="21"/>
        <v>1</v>
      </c>
      <c r="R144" s="89">
        <f t="shared" si="22"/>
        <v>2.8063948816882376E-255</v>
      </c>
      <c r="S144" s="89">
        <f t="shared" si="23"/>
        <v>1</v>
      </c>
      <c r="T144" s="89" t="str">
        <f t="shared" si="24"/>
        <v>OK</v>
      </c>
      <c r="U144" s="117">
        <f t="shared" si="25"/>
        <v>1</v>
      </c>
      <c r="V144" s="89" t="str">
        <f>IF(G144="","",IF(T144="OK","NONE",INDEX({"S1","S2","W1","W2","N1","N2"},MATCH(MAX(K144:P144),K144:P144,0))))</f>
        <v>NONE</v>
      </c>
      <c r="W144" s="117">
        <f t="shared" si="26"/>
        <v>1</v>
      </c>
      <c r="X144" s="114" t="str">
        <f t="shared" si="27"/>
        <v>CONFIDENT</v>
      </c>
      <c r="Y144" s="107"/>
    </row>
    <row r="145" spans="1:25">
      <c r="A145" s="115">
        <v>136</v>
      </c>
      <c r="B145" s="135">
        <f>'Runs Z-Score'!B138</f>
        <v>5</v>
      </c>
      <c r="C145" s="89" t="str">
        <f>'Runs Z-Score'!C138</f>
        <v>R4</v>
      </c>
      <c r="D145" s="89" t="str">
        <f>'Runs Z-Score'!D138</f>
        <v>OK</v>
      </c>
      <c r="E145" s="89" t="str">
        <f>'Runs Z-Score'!E138</f>
        <v>NONE</v>
      </c>
      <c r="F145" s="89">
        <f>'Runs Z-Score'!F138</f>
        <v>8.8800000000000008</v>
      </c>
      <c r="G145" s="89">
        <f t="shared" si="19"/>
        <v>9.8500000000000014</v>
      </c>
      <c r="H145" s="89">
        <v>9.91</v>
      </c>
      <c r="I145" s="89">
        <f>VLOOKUP(C145,Recipes!$A$2:$N$4,12,FALSE())</f>
        <v>5.0137397426368718E-2</v>
      </c>
      <c r="J145" s="89">
        <f t="shared" si="20"/>
        <v>5.9999999999998721E-2</v>
      </c>
      <c r="K145" s="89">
        <f>IF(G145="","",-0.5*((J145-Components!$C$2)/Components!$D$2)^2)</f>
        <v>-83039.719298248907</v>
      </c>
      <c r="L145" s="89">
        <f>IF(G145="","",-0.5*((J145-Components!$C$3)/Components!$D$3)^2)</f>
        <v>-41526.150724638748</v>
      </c>
      <c r="M145" s="89">
        <f>IF(G145="","",-0.5*((J145-Components!$C$4)/Components!$D$4)^2)</f>
        <v>-2229.0196078431477</v>
      </c>
      <c r="N145" s="89">
        <f>IF(G145="","",-0.5*((J145-Components!$C$5)/Components!$D$5)^2)</f>
        <v>-15988.384868261939</v>
      </c>
      <c r="O145" s="89">
        <f>IF(G145="","",-0.5*((J145-Components!$C$6)/Components!$D$6)^2)</f>
        <v>-786.34417758370773</v>
      </c>
      <c r="P145" s="89">
        <f>IF(G145="","",-0.5*((J145-Components!$C$7)/Components!$D$7)^2)</f>
        <v>-1366.025028782647</v>
      </c>
      <c r="Q145" s="89">
        <f t="shared" si="21"/>
        <v>1</v>
      </c>
      <c r="R145" s="89">
        <f t="shared" si="22"/>
        <v>1.7693145922263675E-252</v>
      </c>
      <c r="S145" s="89">
        <f t="shared" si="23"/>
        <v>1</v>
      </c>
      <c r="T145" s="89" t="str">
        <f t="shared" si="24"/>
        <v>OK</v>
      </c>
      <c r="U145" s="117">
        <f t="shared" si="25"/>
        <v>1</v>
      </c>
      <c r="V145" s="89" t="str">
        <f>IF(G145="","",IF(T145="OK","NONE",INDEX({"S1","S2","W1","W2","N1","N2"},MATCH(MAX(K145:P145),K145:P145,0))))</f>
        <v>NONE</v>
      </c>
      <c r="W145" s="117">
        <f t="shared" si="26"/>
        <v>1</v>
      </c>
      <c r="X145" s="114" t="str">
        <f t="shared" si="27"/>
        <v>CONFIDENT</v>
      </c>
      <c r="Y145" s="107"/>
    </row>
    <row r="146" spans="1:25">
      <c r="A146" s="115">
        <v>137</v>
      </c>
      <c r="B146" s="135">
        <f>'Runs Z-Score'!B139</f>
        <v>5</v>
      </c>
      <c r="C146" s="89" t="str">
        <f>'Runs Z-Score'!C139</f>
        <v>R4</v>
      </c>
      <c r="D146" s="89" t="str">
        <f>'Runs Z-Score'!D139</f>
        <v>OK</v>
      </c>
      <c r="E146" s="89" t="str">
        <f>'Runs Z-Score'!E139</f>
        <v>NONE</v>
      </c>
      <c r="F146" s="89">
        <f>'Runs Z-Score'!F139</f>
        <v>8.93</v>
      </c>
      <c r="G146" s="89">
        <f t="shared" si="19"/>
        <v>9.9</v>
      </c>
      <c r="H146" s="89">
        <v>9.91</v>
      </c>
      <c r="I146" s="89">
        <f>VLOOKUP(C146,Recipes!$A$2:$N$4,12,FALSE())</f>
        <v>5.0137397426368718E-2</v>
      </c>
      <c r="J146" s="89">
        <f t="shared" si="20"/>
        <v>9.9999999999997868E-3</v>
      </c>
      <c r="K146" s="89">
        <f>IF(G146="","",-0.5*((J146-Components!$C$2)/Components!$D$2)^2)</f>
        <v>-86151.495614038431</v>
      </c>
      <c r="L146" s="89">
        <f>IF(G146="","",-0.5*((J146-Components!$C$3)/Components!$D$3)^2)</f>
        <v>-42577.138043479332</v>
      </c>
      <c r="M146" s="89">
        <f>IF(G146="","",-0.5*((J146-Components!$C$4)/Components!$D$4)^2)</f>
        <v>-2474.2401960784382</v>
      </c>
      <c r="N146" s="89">
        <f>IF(G146="","",-0.5*((J146-Components!$C$5)/Components!$D$5)^2)</f>
        <v>-16345.443425187239</v>
      </c>
      <c r="O146" s="89">
        <f>IF(G146="","",-0.5*((J146-Components!$C$6)/Components!$D$6)^2)</f>
        <v>-859.75029112082484</v>
      </c>
      <c r="P146" s="89">
        <f>IF(G146="","",-0.5*((J146-Components!$C$7)/Components!$D$7)^2)</f>
        <v>-1471.9348633581767</v>
      </c>
      <c r="Q146" s="89">
        <f t="shared" si="21"/>
        <v>1</v>
      </c>
      <c r="R146" s="89">
        <f t="shared" si="22"/>
        <v>1.3539990854737896E-266</v>
      </c>
      <c r="S146" s="89">
        <f t="shared" si="23"/>
        <v>1</v>
      </c>
      <c r="T146" s="89" t="str">
        <f t="shared" si="24"/>
        <v>OK</v>
      </c>
      <c r="U146" s="117">
        <f t="shared" si="25"/>
        <v>1</v>
      </c>
      <c r="V146" s="89" t="str">
        <f>IF(G146="","",IF(T146="OK","NONE",INDEX({"S1","S2","W1","W2","N1","N2"},MATCH(MAX(K146:P146),K146:P146,0))))</f>
        <v>NONE</v>
      </c>
      <c r="W146" s="117">
        <f t="shared" si="26"/>
        <v>1</v>
      </c>
      <c r="X146" s="114" t="str">
        <f t="shared" si="27"/>
        <v>CONFIDENT</v>
      </c>
      <c r="Y146" s="107"/>
    </row>
    <row r="147" spans="1:25">
      <c r="A147" s="115">
        <v>138</v>
      </c>
      <c r="B147" s="135">
        <f>'Runs Z-Score'!B140</f>
        <v>5</v>
      </c>
      <c r="C147" s="89" t="str">
        <f>'Runs Z-Score'!C140</f>
        <v>R4</v>
      </c>
      <c r="D147" s="89" t="str">
        <f>'Runs Z-Score'!D140</f>
        <v>OK</v>
      </c>
      <c r="E147" s="89" t="str">
        <f>'Runs Z-Score'!E140</f>
        <v>NONE</v>
      </c>
      <c r="F147" s="89">
        <f>'Runs Z-Score'!F140</f>
        <v>8.93</v>
      </c>
      <c r="G147" s="89">
        <f t="shared" si="19"/>
        <v>9.9</v>
      </c>
      <c r="H147" s="89">
        <v>9.91</v>
      </c>
      <c r="I147" s="89">
        <f>VLOOKUP(C147,Recipes!$A$2:$N$4,12,FALSE())</f>
        <v>5.0137397426368718E-2</v>
      </c>
      <c r="J147" s="89">
        <f t="shared" si="20"/>
        <v>9.9999999999997868E-3</v>
      </c>
      <c r="K147" s="89">
        <f>IF(G147="","",-0.5*((J147-Components!$C$2)/Components!$D$2)^2)</f>
        <v>-86151.495614038431</v>
      </c>
      <c r="L147" s="89">
        <f>IF(G147="","",-0.5*((J147-Components!$C$3)/Components!$D$3)^2)</f>
        <v>-42577.138043479332</v>
      </c>
      <c r="M147" s="89">
        <f>IF(G147="","",-0.5*((J147-Components!$C$4)/Components!$D$4)^2)</f>
        <v>-2474.2401960784382</v>
      </c>
      <c r="N147" s="89">
        <f>IF(G147="","",-0.5*((J147-Components!$C$5)/Components!$D$5)^2)</f>
        <v>-16345.443425187239</v>
      </c>
      <c r="O147" s="89">
        <f>IF(G147="","",-0.5*((J147-Components!$C$6)/Components!$D$6)^2)</f>
        <v>-859.75029112082484</v>
      </c>
      <c r="P147" s="89">
        <f>IF(G147="","",-0.5*((J147-Components!$C$7)/Components!$D$7)^2)</f>
        <v>-1471.9348633581767</v>
      </c>
      <c r="Q147" s="89">
        <f t="shared" si="21"/>
        <v>1</v>
      </c>
      <c r="R147" s="89">
        <f t="shared" si="22"/>
        <v>1.3539990854737896E-266</v>
      </c>
      <c r="S147" s="89">
        <f t="shared" si="23"/>
        <v>1</v>
      </c>
      <c r="T147" s="89" t="str">
        <f t="shared" si="24"/>
        <v>OK</v>
      </c>
      <c r="U147" s="117">
        <f t="shared" si="25"/>
        <v>1</v>
      </c>
      <c r="V147" s="89" t="str">
        <f>IF(G147="","",IF(T147="OK","NONE",INDEX({"S1","S2","W1","W2","N1","N2"},MATCH(MAX(K147:P147),K147:P147,0))))</f>
        <v>NONE</v>
      </c>
      <c r="W147" s="117">
        <f t="shared" si="26"/>
        <v>1</v>
      </c>
      <c r="X147" s="114" t="str">
        <f t="shared" si="27"/>
        <v>CONFIDENT</v>
      </c>
      <c r="Y147" s="107"/>
    </row>
    <row r="148" spans="1:25">
      <c r="A148" s="115">
        <v>139</v>
      </c>
      <c r="B148" s="135">
        <f>'Runs Z-Score'!B141</f>
        <v>5</v>
      </c>
      <c r="C148" s="89" t="str">
        <f>'Runs Z-Score'!C141</f>
        <v>R4</v>
      </c>
      <c r="D148" s="89" t="str">
        <f>'Runs Z-Score'!D141</f>
        <v>OK</v>
      </c>
      <c r="E148" s="89" t="str">
        <f>'Runs Z-Score'!E141</f>
        <v>NONE</v>
      </c>
      <c r="F148" s="89">
        <f>'Runs Z-Score'!F141</f>
        <v>8.92</v>
      </c>
      <c r="G148" s="89">
        <f t="shared" si="19"/>
        <v>9.89</v>
      </c>
      <c r="H148" s="89">
        <v>9.91</v>
      </c>
      <c r="I148" s="89">
        <f>VLOOKUP(C148,Recipes!$A$2:$N$4,12,FALSE())</f>
        <v>5.0137397426368718E-2</v>
      </c>
      <c r="J148" s="89">
        <f t="shared" si="20"/>
        <v>1.9999999999999574E-2</v>
      </c>
      <c r="K148" s="89">
        <f>IF(G148="","",-0.5*((J148-Components!$C$2)/Components!$D$2)^2)</f>
        <v>-85524.561403512125</v>
      </c>
      <c r="L148" s="89">
        <f>IF(G148="","",-0.5*((J148-Components!$C$3)/Components!$D$3)^2)</f>
        <v>-42365.889855073525</v>
      </c>
      <c r="M148" s="89">
        <f>IF(G148="","",-0.5*((J148-Components!$C$4)/Components!$D$4)^2)</f>
        <v>-2424.172549019615</v>
      </c>
      <c r="N148" s="89">
        <f>IF(G148="","",-0.5*((J148-Components!$C$5)/Components!$D$5)^2)</f>
        <v>-16273.716267826834</v>
      </c>
      <c r="O148" s="89">
        <f>IF(G148="","",-0.5*((J148-Components!$C$6)/Components!$D$6)^2)</f>
        <v>-844.80705967977678</v>
      </c>
      <c r="P148" s="89">
        <f>IF(G148="","",-0.5*((J148-Components!$C$7)/Components!$D$7)^2)</f>
        <v>-1450.4365903169119</v>
      </c>
      <c r="Q148" s="89">
        <f t="shared" si="21"/>
        <v>1</v>
      </c>
      <c r="R148" s="89">
        <f t="shared" si="22"/>
        <v>9.5156129051036305E-264</v>
      </c>
      <c r="S148" s="89">
        <f t="shared" si="23"/>
        <v>1</v>
      </c>
      <c r="T148" s="89" t="str">
        <f t="shared" si="24"/>
        <v>OK</v>
      </c>
      <c r="U148" s="117">
        <f t="shared" si="25"/>
        <v>1</v>
      </c>
      <c r="V148" s="89" t="str">
        <f>IF(G148="","",IF(T148="OK","NONE",INDEX({"S1","S2","W1","W2","N1","N2"},MATCH(MAX(K148:P148),K148:P148,0))))</f>
        <v>NONE</v>
      </c>
      <c r="W148" s="117">
        <f t="shared" si="26"/>
        <v>1</v>
      </c>
      <c r="X148" s="114" t="str">
        <f t="shared" si="27"/>
        <v>CONFIDENT</v>
      </c>
      <c r="Y148" s="107"/>
    </row>
    <row r="149" spans="1:25">
      <c r="A149" s="115">
        <v>140</v>
      </c>
      <c r="B149" s="135">
        <f>'Runs Z-Score'!B142</f>
        <v>5</v>
      </c>
      <c r="C149" s="89" t="str">
        <f>'Runs Z-Score'!C142</f>
        <v>R4</v>
      </c>
      <c r="D149" s="89" t="str">
        <f>'Runs Z-Score'!D142</f>
        <v>OK</v>
      </c>
      <c r="E149" s="89" t="str">
        <f>'Runs Z-Score'!E142</f>
        <v>NONE</v>
      </c>
      <c r="F149" s="89">
        <f>'Runs Z-Score'!F142</f>
        <v>8.8800000000000008</v>
      </c>
      <c r="G149" s="89">
        <f t="shared" si="19"/>
        <v>9.8500000000000014</v>
      </c>
      <c r="H149" s="89">
        <v>9.91</v>
      </c>
      <c r="I149" s="89">
        <f>VLOOKUP(C149,Recipes!$A$2:$N$4,12,FALSE())</f>
        <v>5.0137397426368718E-2</v>
      </c>
      <c r="J149" s="89">
        <f t="shared" si="20"/>
        <v>5.9999999999998721E-2</v>
      </c>
      <c r="K149" s="89">
        <f>IF(G149="","",-0.5*((J149-Components!$C$2)/Components!$D$2)^2)</f>
        <v>-83039.719298248907</v>
      </c>
      <c r="L149" s="89">
        <f>IF(G149="","",-0.5*((J149-Components!$C$3)/Components!$D$3)^2)</f>
        <v>-41526.150724638748</v>
      </c>
      <c r="M149" s="89">
        <f>IF(G149="","",-0.5*((J149-Components!$C$4)/Components!$D$4)^2)</f>
        <v>-2229.0196078431477</v>
      </c>
      <c r="N149" s="89">
        <f>IF(G149="","",-0.5*((J149-Components!$C$5)/Components!$D$5)^2)</f>
        <v>-15988.384868261939</v>
      </c>
      <c r="O149" s="89">
        <f>IF(G149="","",-0.5*((J149-Components!$C$6)/Components!$D$6)^2)</f>
        <v>-786.34417758370773</v>
      </c>
      <c r="P149" s="89">
        <f>IF(G149="","",-0.5*((J149-Components!$C$7)/Components!$D$7)^2)</f>
        <v>-1366.025028782647</v>
      </c>
      <c r="Q149" s="89">
        <f t="shared" si="21"/>
        <v>1</v>
      </c>
      <c r="R149" s="89">
        <f t="shared" si="22"/>
        <v>1.7693145922263675E-252</v>
      </c>
      <c r="S149" s="89">
        <f t="shared" si="23"/>
        <v>1</v>
      </c>
      <c r="T149" s="89" t="str">
        <f t="shared" si="24"/>
        <v>OK</v>
      </c>
      <c r="U149" s="117">
        <f t="shared" si="25"/>
        <v>1</v>
      </c>
      <c r="V149" s="89" t="str">
        <f>IF(G149="","",IF(T149="OK","NONE",INDEX({"S1","S2","W1","W2","N1","N2"},MATCH(MAX(K149:P149),K149:P149,0))))</f>
        <v>NONE</v>
      </c>
      <c r="W149" s="117">
        <f t="shared" si="26"/>
        <v>1</v>
      </c>
      <c r="X149" s="114" t="str">
        <f t="shared" si="27"/>
        <v>CONFIDENT</v>
      </c>
      <c r="Y149" s="107"/>
    </row>
    <row r="150" spans="1:25">
      <c r="A150" s="115">
        <v>141</v>
      </c>
      <c r="B150" s="135">
        <f>'Runs Z-Score'!B143</f>
        <v>5</v>
      </c>
      <c r="C150" s="89" t="str">
        <f>'Runs Z-Score'!C143</f>
        <v>R4</v>
      </c>
      <c r="D150" s="89" t="str">
        <f>'Runs Z-Score'!D143</f>
        <v>OK</v>
      </c>
      <c r="E150" s="89" t="str">
        <f>'Runs Z-Score'!E143</f>
        <v>NONE</v>
      </c>
      <c r="F150" s="89">
        <f>'Runs Z-Score'!F143</f>
        <v>8.9</v>
      </c>
      <c r="G150" s="89">
        <f t="shared" si="19"/>
        <v>9.870000000000001</v>
      </c>
      <c r="H150" s="89">
        <v>9.91</v>
      </c>
      <c r="I150" s="89">
        <f>VLOOKUP(C150,Recipes!$A$2:$N$4,12,FALSE())</f>
        <v>5.0137397426368718E-2</v>
      </c>
      <c r="J150" s="89">
        <f t="shared" si="20"/>
        <v>3.9999999999999147E-2</v>
      </c>
      <c r="K150" s="89">
        <f>IF(G150="","",-0.5*((J150-Components!$C$2)/Components!$D$2)^2)</f>
        <v>-84277.561403512096</v>
      </c>
      <c r="L150" s="89">
        <f>IF(G150="","",-0.5*((J150-Components!$C$3)/Components!$D$3)^2)</f>
        <v>-41944.969565218467</v>
      </c>
      <c r="M150" s="89">
        <f>IF(G150="","",-0.5*((J150-Components!$C$4)/Components!$D$4)^2)</f>
        <v>-2325.5725490196169</v>
      </c>
      <c r="N150" s="89">
        <f>IF(G150="","",-0.5*((J150-Components!$C$5)/Components!$D$5)^2)</f>
        <v>-16130.735122069045</v>
      </c>
      <c r="O150" s="89">
        <f>IF(G150="","",-0.5*((J150-Components!$C$6)/Components!$D$6)^2)</f>
        <v>-815.31360989811799</v>
      </c>
      <c r="P150" s="89">
        <f>IF(G150="","",-0.5*((J150-Components!$C$7)/Components!$D$7)^2)</f>
        <v>-1407.9145034236205</v>
      </c>
      <c r="Q150" s="89">
        <f t="shared" si="21"/>
        <v>1</v>
      </c>
      <c r="R150" s="89">
        <f t="shared" si="22"/>
        <v>4.332134891147107E-258</v>
      </c>
      <c r="S150" s="89">
        <f t="shared" si="23"/>
        <v>1</v>
      </c>
      <c r="T150" s="89" t="str">
        <f t="shared" si="24"/>
        <v>OK</v>
      </c>
      <c r="U150" s="117">
        <f t="shared" si="25"/>
        <v>1</v>
      </c>
      <c r="V150" s="89" t="str">
        <f>IF(G150="","",IF(T150="OK","NONE",INDEX({"S1","S2","W1","W2","N1","N2"},MATCH(MAX(K150:P150),K150:P150,0))))</f>
        <v>NONE</v>
      </c>
      <c r="W150" s="117">
        <f t="shared" si="26"/>
        <v>1</v>
      </c>
      <c r="X150" s="114" t="str">
        <f t="shared" si="27"/>
        <v>CONFIDENT</v>
      </c>
      <c r="Y150" s="107"/>
    </row>
    <row r="151" spans="1:25">
      <c r="A151" s="115">
        <v>142</v>
      </c>
      <c r="B151" s="135">
        <f>'Runs Z-Score'!B144</f>
        <v>5</v>
      </c>
      <c r="C151" s="89" t="str">
        <f>'Runs Z-Score'!C144</f>
        <v>R4</v>
      </c>
      <c r="D151" s="89" t="str">
        <f>'Runs Z-Score'!D144</f>
        <v>OK</v>
      </c>
      <c r="E151" s="89" t="str">
        <f>'Runs Z-Score'!E144</f>
        <v>NONE</v>
      </c>
      <c r="F151" s="89">
        <f>'Runs Z-Score'!F144</f>
        <v>8.8699999999999992</v>
      </c>
      <c r="G151" s="89">
        <f t="shared" si="19"/>
        <v>9.84</v>
      </c>
      <c r="H151" s="89">
        <v>9.91</v>
      </c>
      <c r="I151" s="89">
        <f>VLOOKUP(C151,Recipes!$A$2:$N$4,12,FALSE())</f>
        <v>5.0137397426368718E-2</v>
      </c>
      <c r="J151" s="89">
        <f t="shared" si="20"/>
        <v>7.0000000000000284E-2</v>
      </c>
      <c r="K151" s="89">
        <f>IF(G151="","",-0.5*((J151-Components!$C$2)/Components!$D$2)^2)</f>
        <v>-82424.232456143523</v>
      </c>
      <c r="L151" s="89">
        <f>IF(G151="","",-0.5*((J151-Components!$C$3)/Components!$D$3)^2)</f>
        <v>-41317.52934782712</v>
      </c>
      <c r="M151" s="89">
        <f>IF(G151="","",-0.5*((J151-Components!$C$4)/Components!$D$4)^2)</f>
        <v>-2181.5107843137289</v>
      </c>
      <c r="N151" s="89">
        <f>IF(G151="","",-0.5*((J151-Components!$C$5)/Components!$D$5)^2)</f>
        <v>-15917.446325839885</v>
      </c>
      <c r="O151" s="89">
        <f>IF(G151="","",-0.5*((J151-Components!$C$6)/Components!$D$6)^2)</f>
        <v>-772.05596797671831</v>
      </c>
      <c r="P151" s="89">
        <f>IF(G151="","",-0.5*((J151-Components!$C$7)/Components!$D$7)^2)</f>
        <v>-1345.3175210567756</v>
      </c>
      <c r="Q151" s="89">
        <f t="shared" si="21"/>
        <v>1</v>
      </c>
      <c r="R151" s="89">
        <f t="shared" si="22"/>
        <v>1.0856024381751793E-249</v>
      </c>
      <c r="S151" s="89">
        <f t="shared" si="23"/>
        <v>1</v>
      </c>
      <c r="T151" s="89" t="str">
        <f t="shared" si="24"/>
        <v>OK</v>
      </c>
      <c r="U151" s="117">
        <f t="shared" si="25"/>
        <v>1</v>
      </c>
      <c r="V151" s="89" t="str">
        <f>IF(G151="","",IF(T151="OK","NONE",INDEX({"S1","S2","W1","W2","N1","N2"},MATCH(MAX(K151:P151),K151:P151,0))))</f>
        <v>NONE</v>
      </c>
      <c r="W151" s="117">
        <f t="shared" si="26"/>
        <v>1</v>
      </c>
      <c r="X151" s="114" t="str">
        <f t="shared" si="27"/>
        <v>CONFIDENT</v>
      </c>
      <c r="Y151" s="107"/>
    </row>
    <row r="152" spans="1:25">
      <c r="A152" s="115">
        <v>143</v>
      </c>
      <c r="B152" s="135">
        <f>'Runs Z-Score'!B145</f>
        <v>5</v>
      </c>
      <c r="C152" s="89" t="str">
        <f>'Runs Z-Score'!C145</f>
        <v>R4</v>
      </c>
      <c r="D152" s="89" t="str">
        <f>'Runs Z-Score'!D145</f>
        <v>OK</v>
      </c>
      <c r="E152" s="89" t="str">
        <f>'Runs Z-Score'!E145</f>
        <v>NONE</v>
      </c>
      <c r="F152" s="89">
        <f>'Runs Z-Score'!F145</f>
        <v>8.93</v>
      </c>
      <c r="G152" s="89">
        <f t="shared" si="19"/>
        <v>9.9</v>
      </c>
      <c r="H152" s="89">
        <v>9.91</v>
      </c>
      <c r="I152" s="89">
        <f>VLOOKUP(C152,Recipes!$A$2:$N$4,12,FALSE())</f>
        <v>5.0137397426368718E-2</v>
      </c>
      <c r="J152" s="89">
        <f t="shared" si="20"/>
        <v>9.9999999999997868E-3</v>
      </c>
      <c r="K152" s="89">
        <f>IF(G152="","",-0.5*((J152-Components!$C$2)/Components!$D$2)^2)</f>
        <v>-86151.495614038431</v>
      </c>
      <c r="L152" s="89">
        <f>IF(G152="","",-0.5*((J152-Components!$C$3)/Components!$D$3)^2)</f>
        <v>-42577.138043479332</v>
      </c>
      <c r="M152" s="89">
        <f>IF(G152="","",-0.5*((J152-Components!$C$4)/Components!$D$4)^2)</f>
        <v>-2474.2401960784382</v>
      </c>
      <c r="N152" s="89">
        <f>IF(G152="","",-0.5*((J152-Components!$C$5)/Components!$D$5)^2)</f>
        <v>-16345.443425187239</v>
      </c>
      <c r="O152" s="89">
        <f>IF(G152="","",-0.5*((J152-Components!$C$6)/Components!$D$6)^2)</f>
        <v>-859.75029112082484</v>
      </c>
      <c r="P152" s="89">
        <f>IF(G152="","",-0.5*((J152-Components!$C$7)/Components!$D$7)^2)</f>
        <v>-1471.9348633581767</v>
      </c>
      <c r="Q152" s="89">
        <f t="shared" si="21"/>
        <v>1</v>
      </c>
      <c r="R152" s="89">
        <f t="shared" si="22"/>
        <v>1.3539990854737896E-266</v>
      </c>
      <c r="S152" s="89">
        <f t="shared" si="23"/>
        <v>1</v>
      </c>
      <c r="T152" s="89" t="str">
        <f t="shared" si="24"/>
        <v>OK</v>
      </c>
      <c r="U152" s="117">
        <f t="shared" si="25"/>
        <v>1</v>
      </c>
      <c r="V152" s="89" t="str">
        <f>IF(G152="","",IF(T152="OK","NONE",INDEX({"S1","S2","W1","W2","N1","N2"},MATCH(MAX(K152:P152),K152:P152,0))))</f>
        <v>NONE</v>
      </c>
      <c r="W152" s="117">
        <f t="shared" si="26"/>
        <v>1</v>
      </c>
      <c r="X152" s="114" t="str">
        <f t="shared" si="27"/>
        <v>CONFIDENT</v>
      </c>
      <c r="Y152" s="107"/>
    </row>
    <row r="153" spans="1:25">
      <c r="A153" s="115">
        <v>144</v>
      </c>
      <c r="B153" s="135">
        <f>'Runs Z-Score'!B146</f>
        <v>5</v>
      </c>
      <c r="C153" s="89" t="str">
        <f>'Runs Z-Score'!C146</f>
        <v>R4</v>
      </c>
      <c r="D153" s="89" t="str">
        <f>'Runs Z-Score'!D146</f>
        <v>OK</v>
      </c>
      <c r="E153" s="89" t="str">
        <f>'Runs Z-Score'!E146</f>
        <v>NONE</v>
      </c>
      <c r="F153" s="89">
        <f>'Runs Z-Score'!F146</f>
        <v>8.94</v>
      </c>
      <c r="G153" s="89">
        <f t="shared" si="19"/>
        <v>9.91</v>
      </c>
      <c r="H153" s="89">
        <v>9.91</v>
      </c>
      <c r="I153" s="89">
        <f>VLOOKUP(C153,Recipes!$A$2:$N$4,12,FALSE())</f>
        <v>5.0137397426368718E-2</v>
      </c>
      <c r="J153" s="89">
        <f t="shared" si="20"/>
        <v>0</v>
      </c>
      <c r="K153" s="89">
        <f>IF(G153="","",-0.5*((J153-Components!$C$2)/Components!$D$2)^2)</f>
        <v>-86780.71929824898</v>
      </c>
      <c r="L153" s="89">
        <f>IF(G153="","",-0.5*((J153-Components!$C$3)/Components!$D$3)^2)</f>
        <v>-42788.911594203972</v>
      </c>
      <c r="M153" s="89">
        <f>IF(G153="","",-0.5*((J153-Components!$C$4)/Components!$D$4)^2)</f>
        <v>-2524.8196078431424</v>
      </c>
      <c r="N153" s="89">
        <f>IF(G153="","",-0.5*((J153-Components!$C$5)/Components!$D$5)^2)</f>
        <v>-16417.328305535317</v>
      </c>
      <c r="O153" s="89">
        <f>IF(G153="","",-0.5*((J153-Components!$C$6)/Components!$D$6)^2)</f>
        <v>-874.8245269286848</v>
      </c>
      <c r="P153" s="89">
        <f>IF(G153="","",-0.5*((J153-Components!$C$7)/Components!$D$7)^2)</f>
        <v>-1493.5912894625205</v>
      </c>
      <c r="Q153" s="89">
        <f t="shared" si="21"/>
        <v>1</v>
      </c>
      <c r="R153" s="89">
        <f t="shared" si="22"/>
        <v>1.8750352918449774E-269</v>
      </c>
      <c r="S153" s="89">
        <f t="shared" si="23"/>
        <v>1</v>
      </c>
      <c r="T153" s="89" t="str">
        <f t="shared" si="24"/>
        <v>OK</v>
      </c>
      <c r="U153" s="117">
        <f t="shared" si="25"/>
        <v>1</v>
      </c>
      <c r="V153" s="89" t="str">
        <f>IF(G153="","",IF(T153="OK","NONE",INDEX({"S1","S2","W1","W2","N1","N2"},MATCH(MAX(K153:P153),K153:P153,0))))</f>
        <v>NONE</v>
      </c>
      <c r="W153" s="117">
        <f t="shared" si="26"/>
        <v>1</v>
      </c>
      <c r="X153" s="114" t="str">
        <f t="shared" si="27"/>
        <v>CONFIDENT</v>
      </c>
      <c r="Y153" s="107"/>
    </row>
    <row r="154" spans="1:25">
      <c r="A154" s="115">
        <v>145</v>
      </c>
      <c r="B154" s="135">
        <f>'Runs Z-Score'!B147</f>
        <v>5</v>
      </c>
      <c r="C154" s="89" t="str">
        <f>'Runs Z-Score'!C147</f>
        <v>R4</v>
      </c>
      <c r="D154" s="89" t="str">
        <f>'Runs Z-Score'!D147</f>
        <v>OK</v>
      </c>
      <c r="E154" s="89" t="str">
        <f>'Runs Z-Score'!E147</f>
        <v>NONE</v>
      </c>
      <c r="F154" s="89">
        <f>'Runs Z-Score'!F147</f>
        <v>8.8800000000000008</v>
      </c>
      <c r="G154" s="89">
        <f t="shared" si="19"/>
        <v>9.8500000000000014</v>
      </c>
      <c r="H154" s="89">
        <v>9.91</v>
      </c>
      <c r="I154" s="89">
        <f>VLOOKUP(C154,Recipes!$A$2:$N$4,12,FALSE())</f>
        <v>5.0137397426368718E-2</v>
      </c>
      <c r="J154" s="89">
        <f t="shared" si="20"/>
        <v>5.9999999999998721E-2</v>
      </c>
      <c r="K154" s="89">
        <f>IF(G154="","",-0.5*((J154-Components!$C$2)/Components!$D$2)^2)</f>
        <v>-83039.719298248907</v>
      </c>
      <c r="L154" s="89">
        <f>IF(G154="","",-0.5*((J154-Components!$C$3)/Components!$D$3)^2)</f>
        <v>-41526.150724638748</v>
      </c>
      <c r="M154" s="89">
        <f>IF(G154="","",-0.5*((J154-Components!$C$4)/Components!$D$4)^2)</f>
        <v>-2229.0196078431477</v>
      </c>
      <c r="N154" s="89">
        <f>IF(G154="","",-0.5*((J154-Components!$C$5)/Components!$D$5)^2)</f>
        <v>-15988.384868261939</v>
      </c>
      <c r="O154" s="89">
        <f>IF(G154="","",-0.5*((J154-Components!$C$6)/Components!$D$6)^2)</f>
        <v>-786.34417758370773</v>
      </c>
      <c r="P154" s="89">
        <f>IF(G154="","",-0.5*((J154-Components!$C$7)/Components!$D$7)^2)</f>
        <v>-1366.025028782647</v>
      </c>
      <c r="Q154" s="89">
        <f t="shared" si="21"/>
        <v>1</v>
      </c>
      <c r="R154" s="89">
        <f t="shared" si="22"/>
        <v>1.7693145922263675E-252</v>
      </c>
      <c r="S154" s="89">
        <f t="shared" si="23"/>
        <v>1</v>
      </c>
      <c r="T154" s="89" t="str">
        <f t="shared" si="24"/>
        <v>OK</v>
      </c>
      <c r="U154" s="117">
        <f t="shared" si="25"/>
        <v>1</v>
      </c>
      <c r="V154" s="89" t="str">
        <f>IF(G154="","",IF(T154="OK","NONE",INDEX({"S1","S2","W1","W2","N1","N2"},MATCH(MAX(K154:P154),K154:P154,0))))</f>
        <v>NONE</v>
      </c>
      <c r="W154" s="117">
        <f t="shared" si="26"/>
        <v>1</v>
      </c>
      <c r="X154" s="114" t="str">
        <f t="shared" si="27"/>
        <v>CONFIDENT</v>
      </c>
      <c r="Y154" s="107"/>
    </row>
    <row r="155" spans="1:25">
      <c r="A155" s="115">
        <v>146</v>
      </c>
      <c r="B155" s="135">
        <f>'Runs Z-Score'!B148</f>
        <v>5</v>
      </c>
      <c r="C155" s="89" t="str">
        <f>'Runs Z-Score'!C148</f>
        <v>R4</v>
      </c>
      <c r="D155" s="89" t="str">
        <f>'Runs Z-Score'!D148</f>
        <v>OK</v>
      </c>
      <c r="E155" s="89" t="str">
        <f>'Runs Z-Score'!E148</f>
        <v>NONE</v>
      </c>
      <c r="F155" s="89">
        <f>'Runs Z-Score'!F148</f>
        <v>8.89</v>
      </c>
      <c r="G155" s="89">
        <f t="shared" si="19"/>
        <v>9.8600000000000012</v>
      </c>
      <c r="H155" s="89">
        <v>9.91</v>
      </c>
      <c r="I155" s="89">
        <f>VLOOKUP(C155,Recipes!$A$2:$N$4,12,FALSE())</f>
        <v>5.0137397426368718E-2</v>
      </c>
      <c r="J155" s="89">
        <f t="shared" si="20"/>
        <v>4.9999999999998934E-2</v>
      </c>
      <c r="K155" s="89">
        <f>IF(G155="","",-0.5*((J155-Components!$C$2)/Components!$D$2)^2)</f>
        <v>-83657.495614038387</v>
      </c>
      <c r="L155" s="89">
        <f>IF(G155="","",-0.5*((J155-Components!$C$3)/Components!$D$3)^2)</f>
        <v>-41735.297463769188</v>
      </c>
      <c r="M155" s="89">
        <f>IF(G155="","",-0.5*((J155-Components!$C$4)/Components!$D$4)^2)</f>
        <v>-2277.0401960784416</v>
      </c>
      <c r="N155" s="89">
        <f>IF(G155="","",-0.5*((J155-Components!$C$5)/Components!$D$5)^2)</f>
        <v>-16059.481133671656</v>
      </c>
      <c r="O155" s="89">
        <f>IF(G155="","",-0.5*((J155-Components!$C$6)/Components!$D$6)^2)</f>
        <v>-800.76339155750668</v>
      </c>
      <c r="P155" s="89">
        <f>IF(G155="","",-0.5*((J155-Components!$C$7)/Components!$D$7)^2)</f>
        <v>-1386.8906895715941</v>
      </c>
      <c r="Q155" s="89">
        <f t="shared" si="21"/>
        <v>1</v>
      </c>
      <c r="R155" s="89">
        <f t="shared" si="22"/>
        <v>2.8063948816882376E-255</v>
      </c>
      <c r="S155" s="89">
        <f t="shared" si="23"/>
        <v>1</v>
      </c>
      <c r="T155" s="89" t="str">
        <f t="shared" si="24"/>
        <v>OK</v>
      </c>
      <c r="U155" s="117">
        <f t="shared" si="25"/>
        <v>1</v>
      </c>
      <c r="V155" s="89" t="str">
        <f>IF(G155="","",IF(T155="OK","NONE",INDEX({"S1","S2","W1","W2","N1","N2"},MATCH(MAX(K155:P155),K155:P155,0))))</f>
        <v>NONE</v>
      </c>
      <c r="W155" s="117">
        <f t="shared" si="26"/>
        <v>1</v>
      </c>
      <c r="X155" s="114" t="str">
        <f t="shared" si="27"/>
        <v>CONFIDENT</v>
      </c>
      <c r="Y155" s="107"/>
    </row>
    <row r="156" spans="1:25">
      <c r="A156" s="115">
        <v>147</v>
      </c>
      <c r="B156" s="135">
        <f>'Runs Z-Score'!B149</f>
        <v>5</v>
      </c>
      <c r="C156" s="89" t="str">
        <f>'Runs Z-Score'!C149</f>
        <v>R4</v>
      </c>
      <c r="D156" s="89" t="str">
        <f>'Runs Z-Score'!D149</f>
        <v>OK</v>
      </c>
      <c r="E156" s="89" t="str">
        <f>'Runs Z-Score'!E149</f>
        <v>NONE</v>
      </c>
      <c r="F156" s="89">
        <f>'Runs Z-Score'!F149</f>
        <v>8.8800000000000008</v>
      </c>
      <c r="G156" s="89">
        <f t="shared" si="19"/>
        <v>9.8500000000000014</v>
      </c>
      <c r="H156" s="89">
        <v>9.91</v>
      </c>
      <c r="I156" s="89">
        <f>VLOOKUP(C156,Recipes!$A$2:$N$4,12,FALSE())</f>
        <v>5.0137397426368718E-2</v>
      </c>
      <c r="J156" s="89">
        <f t="shared" si="20"/>
        <v>5.9999999999998721E-2</v>
      </c>
      <c r="K156" s="89">
        <f>IF(G156="","",-0.5*((J156-Components!$C$2)/Components!$D$2)^2)</f>
        <v>-83039.719298248907</v>
      </c>
      <c r="L156" s="89">
        <f>IF(G156="","",-0.5*((J156-Components!$C$3)/Components!$D$3)^2)</f>
        <v>-41526.150724638748</v>
      </c>
      <c r="M156" s="89">
        <f>IF(G156="","",-0.5*((J156-Components!$C$4)/Components!$D$4)^2)</f>
        <v>-2229.0196078431477</v>
      </c>
      <c r="N156" s="89">
        <f>IF(G156="","",-0.5*((J156-Components!$C$5)/Components!$D$5)^2)</f>
        <v>-15988.384868261939</v>
      </c>
      <c r="O156" s="89">
        <f>IF(G156="","",-0.5*((J156-Components!$C$6)/Components!$D$6)^2)</f>
        <v>-786.34417758370773</v>
      </c>
      <c r="P156" s="89">
        <f>IF(G156="","",-0.5*((J156-Components!$C$7)/Components!$D$7)^2)</f>
        <v>-1366.025028782647</v>
      </c>
      <c r="Q156" s="89">
        <f t="shared" si="21"/>
        <v>1</v>
      </c>
      <c r="R156" s="89">
        <f t="shared" si="22"/>
        <v>1.7693145922263675E-252</v>
      </c>
      <c r="S156" s="89">
        <f t="shared" si="23"/>
        <v>1</v>
      </c>
      <c r="T156" s="89" t="str">
        <f t="shared" si="24"/>
        <v>OK</v>
      </c>
      <c r="U156" s="117">
        <f t="shared" si="25"/>
        <v>1</v>
      </c>
      <c r="V156" s="89" t="str">
        <f>IF(G156="","",IF(T156="OK","NONE",INDEX({"S1","S2","W1","W2","N1","N2"},MATCH(MAX(K156:P156),K156:P156,0))))</f>
        <v>NONE</v>
      </c>
      <c r="W156" s="117">
        <f t="shared" si="26"/>
        <v>1</v>
      </c>
      <c r="X156" s="114" t="str">
        <f t="shared" si="27"/>
        <v>CONFIDENT</v>
      </c>
      <c r="Y156" s="107"/>
    </row>
    <row r="157" spans="1:25">
      <c r="A157" s="115">
        <v>148</v>
      </c>
      <c r="B157" s="135">
        <f>'Runs Z-Score'!B150</f>
        <v>5</v>
      </c>
      <c r="C157" s="89" t="str">
        <f>'Runs Z-Score'!C150</f>
        <v>R4</v>
      </c>
      <c r="D157" s="89" t="str">
        <f>'Runs Z-Score'!D150</f>
        <v>OK</v>
      </c>
      <c r="E157" s="89" t="str">
        <f>'Runs Z-Score'!E150</f>
        <v>NONE</v>
      </c>
      <c r="F157" s="89">
        <f>'Runs Z-Score'!F150</f>
        <v>8.7100000000000009</v>
      </c>
      <c r="G157" s="89">
        <f t="shared" si="19"/>
        <v>9.6800000000000015</v>
      </c>
      <c r="H157" s="89">
        <v>9.91</v>
      </c>
      <c r="I157" s="89">
        <f>VLOOKUP(C157,Recipes!$A$2:$N$4,12,FALSE())</f>
        <v>5.0137397426368718E-2</v>
      </c>
      <c r="J157" s="89">
        <f t="shared" si="20"/>
        <v>0.22999999999999865</v>
      </c>
      <c r="K157" s="89">
        <f>IF(G157="","",-0.5*((J157-Components!$C$2)/Components!$D$2)^2)</f>
        <v>-72887.811403511674</v>
      </c>
      <c r="L157" s="89">
        <f>IF(G157="","",-0.5*((J157-Components!$C$3)/Components!$D$3)^2)</f>
        <v>-38051.036594203877</v>
      </c>
      <c r="M157" s="89">
        <f>IF(G157="","",-0.5*((J157-Components!$C$4)/Components!$D$4)^2)</f>
        <v>-1490.9696078431455</v>
      </c>
      <c r="N157" s="89">
        <f>IF(G157="","",-0.5*((J157-Components!$C$5)/Components!$D$5)^2)</f>
        <v>-14803.879973410607</v>
      </c>
      <c r="O157" s="89">
        <f>IF(G157="","",-0.5*((J157-Components!$C$6)/Components!$D$6)^2)</f>
        <v>-561.26120815139132</v>
      </c>
      <c r="P157" s="89">
        <f>IF(G157="","",-0.5*((J157-Components!$C$7)/Components!$D$7)^2)</f>
        <v>-1035.5062140216937</v>
      </c>
      <c r="Q157" s="89">
        <f t="shared" si="21"/>
        <v>1</v>
      </c>
      <c r="R157" s="89">
        <f t="shared" si="22"/>
        <v>1.09146768057752E-206</v>
      </c>
      <c r="S157" s="89">
        <f t="shared" si="23"/>
        <v>1</v>
      </c>
      <c r="T157" s="89" t="str">
        <f t="shared" si="24"/>
        <v>NG</v>
      </c>
      <c r="U157" s="117">
        <f t="shared" si="25"/>
        <v>0</v>
      </c>
      <c r="V157" s="89" t="str">
        <f>IF(G157="","",IF(T157="OK","NONE",INDEX({"S1","S2","W1","W2","N1","N2"},MATCH(MAX(K157:P157),K157:P157,0))))</f>
        <v>N1</v>
      </c>
      <c r="W157" s="122">
        <f t="shared" si="26"/>
        <v>0</v>
      </c>
      <c r="X157" s="114" t="str">
        <f t="shared" si="27"/>
        <v>CONFIDENT</v>
      </c>
      <c r="Y157" s="107"/>
    </row>
    <row r="158" spans="1:25">
      <c r="A158" s="115">
        <v>149</v>
      </c>
      <c r="B158" s="135">
        <f>'Runs Z-Score'!B151</f>
        <v>5</v>
      </c>
      <c r="C158" s="89" t="str">
        <f>'Runs Z-Score'!C151</f>
        <v>R4</v>
      </c>
      <c r="D158" s="89" t="str">
        <f>'Runs Z-Score'!D151</f>
        <v>OK</v>
      </c>
      <c r="E158" s="89" t="str">
        <f>'Runs Z-Score'!E151</f>
        <v>NONE</v>
      </c>
      <c r="F158" s="89">
        <f>'Runs Z-Score'!F151</f>
        <v>8.94</v>
      </c>
      <c r="G158" s="89">
        <f t="shared" si="19"/>
        <v>9.91</v>
      </c>
      <c r="H158" s="89">
        <v>9.91</v>
      </c>
      <c r="I158" s="89">
        <f>VLOOKUP(C158,Recipes!$A$2:$N$4,12,FALSE())</f>
        <v>5.0137397426368718E-2</v>
      </c>
      <c r="J158" s="89">
        <f t="shared" si="20"/>
        <v>0</v>
      </c>
      <c r="K158" s="89">
        <f>IF(G158="","",-0.5*((J158-Components!$C$2)/Components!$D$2)^2)</f>
        <v>-86780.71929824898</v>
      </c>
      <c r="L158" s="89">
        <f>IF(G158="","",-0.5*((J158-Components!$C$3)/Components!$D$3)^2)</f>
        <v>-42788.911594203972</v>
      </c>
      <c r="M158" s="89">
        <f>IF(G158="","",-0.5*((J158-Components!$C$4)/Components!$D$4)^2)</f>
        <v>-2524.8196078431424</v>
      </c>
      <c r="N158" s="89">
        <f>IF(G158="","",-0.5*((J158-Components!$C$5)/Components!$D$5)^2)</f>
        <v>-16417.328305535317</v>
      </c>
      <c r="O158" s="89">
        <f>IF(G158="","",-0.5*((J158-Components!$C$6)/Components!$D$6)^2)</f>
        <v>-874.8245269286848</v>
      </c>
      <c r="P158" s="89">
        <f>IF(G158="","",-0.5*((J158-Components!$C$7)/Components!$D$7)^2)</f>
        <v>-1493.5912894625205</v>
      </c>
      <c r="Q158" s="89">
        <f t="shared" si="21"/>
        <v>1</v>
      </c>
      <c r="R158" s="89">
        <f t="shared" si="22"/>
        <v>1.8750352918449774E-269</v>
      </c>
      <c r="S158" s="89">
        <f t="shared" si="23"/>
        <v>1</v>
      </c>
      <c r="T158" s="89" t="str">
        <f t="shared" si="24"/>
        <v>OK</v>
      </c>
      <c r="U158" s="117">
        <f t="shared" si="25"/>
        <v>1</v>
      </c>
      <c r="V158" s="89" t="str">
        <f>IF(G158="","",IF(T158="OK","NONE",INDEX({"S1","S2","W1","W2","N1","N2"},MATCH(MAX(K158:P158),K158:P158,0))))</f>
        <v>NONE</v>
      </c>
      <c r="W158" s="117">
        <f t="shared" si="26"/>
        <v>1</v>
      </c>
      <c r="X158" s="114" t="str">
        <f t="shared" si="27"/>
        <v>CONFIDENT</v>
      </c>
      <c r="Y158" s="107"/>
    </row>
    <row r="159" spans="1:25">
      <c r="A159" s="115">
        <v>150</v>
      </c>
      <c r="B159" s="135">
        <f>'Runs Z-Score'!B152</f>
        <v>5</v>
      </c>
      <c r="C159" s="89" t="str">
        <f>'Runs Z-Score'!C152</f>
        <v>R4</v>
      </c>
      <c r="D159" s="89" t="str">
        <f>'Runs Z-Score'!D152</f>
        <v>OK</v>
      </c>
      <c r="E159" s="89" t="str">
        <f>'Runs Z-Score'!E152</f>
        <v>NONE</v>
      </c>
      <c r="F159" s="89">
        <f>'Runs Z-Score'!F152</f>
        <v>8.9700000000000006</v>
      </c>
      <c r="G159" s="89">
        <f t="shared" si="19"/>
        <v>9.9400000000000013</v>
      </c>
      <c r="H159" s="89">
        <v>9.91</v>
      </c>
      <c r="I159" s="89">
        <f>VLOOKUP(C159,Recipes!$A$2:$N$4,12,FALSE())</f>
        <v>5.0137397426368718E-2</v>
      </c>
      <c r="J159" s="89">
        <f t="shared" si="20"/>
        <v>-3.0000000000001137E-2</v>
      </c>
      <c r="K159" s="89">
        <f>IF(G159="","",-0.5*((J159-Components!$C$2)/Components!$D$2)^2)</f>
        <v>-88682.127192985965</v>
      </c>
      <c r="L159" s="89">
        <f>IF(G159="","",-0.5*((J159-Components!$C$3)/Components!$D$3)^2)</f>
        <v>-43427.384420290968</v>
      </c>
      <c r="M159" s="89">
        <f>IF(G159="","",-0.5*((J159-Components!$C$4)/Components!$D$4)^2)</f>
        <v>-2679.6284313725614</v>
      </c>
      <c r="N159" s="89">
        <f>IF(G159="","",-0.5*((J159-Components!$C$5)/Components!$D$5)^2)</f>
        <v>-16633.92928450559</v>
      </c>
      <c r="O159" s="89">
        <f>IF(G159="","",-0.5*((J159-Components!$C$6)/Components!$D$6)^2)</f>
        <v>-920.83326055314103</v>
      </c>
      <c r="P159" s="89">
        <f>IF(G159="","",-0.5*((J159-Components!$C$7)/Components!$D$7)^2)</f>
        <v>-1559.5094861540338</v>
      </c>
      <c r="Q159" s="89">
        <f t="shared" si="21"/>
        <v>1</v>
      </c>
      <c r="R159" s="89">
        <f t="shared" si="22"/>
        <v>4.2309656432095735E-278</v>
      </c>
      <c r="S159" s="89">
        <f t="shared" si="23"/>
        <v>1</v>
      </c>
      <c r="T159" s="89" t="str">
        <f t="shared" si="24"/>
        <v>OK</v>
      </c>
      <c r="U159" s="117">
        <f t="shared" si="25"/>
        <v>1</v>
      </c>
      <c r="V159" s="89" t="str">
        <f>IF(G159="","",IF(T159="OK","NONE",INDEX({"S1","S2","W1","W2","N1","N2"},MATCH(MAX(K159:P159),K159:P159,0))))</f>
        <v>NONE</v>
      </c>
      <c r="W159" s="117">
        <f t="shared" si="26"/>
        <v>1</v>
      </c>
      <c r="X159" s="114" t="str">
        <f t="shared" si="27"/>
        <v>CONFIDENT</v>
      </c>
      <c r="Y159" s="107"/>
    </row>
    <row r="160" spans="1:25">
      <c r="A160" s="115">
        <v>151</v>
      </c>
      <c r="B160" s="135">
        <f>'Runs Z-Score'!B153</f>
        <v>6</v>
      </c>
      <c r="C160" s="89" t="str">
        <f>'Runs Z-Score'!C153</f>
        <v>R4</v>
      </c>
      <c r="D160" s="89" t="str">
        <f>'Runs Z-Score'!D153</f>
        <v>NG</v>
      </c>
      <c r="E160" s="89" t="str">
        <f>'Runs Z-Score'!E153</f>
        <v>S1</v>
      </c>
      <c r="F160" s="89">
        <f>'Runs Z-Score'!F153</f>
        <v>6.18</v>
      </c>
      <c r="G160" s="89">
        <f t="shared" si="19"/>
        <v>7.1499999999999995</v>
      </c>
      <c r="H160" s="89">
        <v>9.91</v>
      </c>
      <c r="I160" s="89">
        <f>VLOOKUP(C160,Recipes!$A$2:$N$4,12,FALSE())</f>
        <v>5.0137397426368718E-2</v>
      </c>
      <c r="J160" s="89">
        <f t="shared" si="20"/>
        <v>2.7600000000000007</v>
      </c>
      <c r="K160" s="89">
        <f>IF(G160="","",-0.5*((J160-Components!$C$2)/Components!$D$2)^2)</f>
        <v>-0.50877192982521613</v>
      </c>
      <c r="L160" s="89">
        <f>IF(G160="","",-0.5*((J160-Components!$C$3)/Components!$D$3)^2)</f>
        <v>-4276.9115942029994</v>
      </c>
      <c r="M160" s="89">
        <f>IF(G160="","",-0.5*((J160-Components!$C$4)/Components!$D$4)^2)</f>
        <v>-7986.3725490196412</v>
      </c>
      <c r="N160" s="89">
        <f>IF(G160="","",-0.5*((J160-Components!$C$5)/Components!$D$5)^2)</f>
        <v>-2562.6887116267726</v>
      </c>
      <c r="O160" s="89">
        <f>IF(G160="","",-0.5*((J160-Components!$C$6)/Components!$D$6)^2)</f>
        <v>-1685.9511644832637</v>
      </c>
      <c r="P160" s="89">
        <f>IF(G160="","",-0.5*((J160-Components!$C$7)/Components!$D$7)^2)</f>
        <v>-1518.3264285281607</v>
      </c>
      <c r="Q160" s="89">
        <f t="shared" si="21"/>
        <v>1</v>
      </c>
      <c r="R160" s="89">
        <f t="shared" si="22"/>
        <v>0</v>
      </c>
      <c r="S160" s="89">
        <f t="shared" si="23"/>
        <v>1</v>
      </c>
      <c r="T160" s="89" t="str">
        <f t="shared" si="24"/>
        <v>NG</v>
      </c>
      <c r="U160" s="117">
        <f t="shared" si="25"/>
        <v>1</v>
      </c>
      <c r="V160" s="89" t="str">
        <f>IF(G160="","",IF(T160="OK","NONE",INDEX({"S1","S2","W1","W2","N1","N2"},MATCH(MAX(K160:P160),K160:P160,0))))</f>
        <v>S1</v>
      </c>
      <c r="W160" s="117">
        <f t="shared" si="26"/>
        <v>1</v>
      </c>
      <c r="X160" s="114" t="str">
        <f t="shared" si="27"/>
        <v>CONFIDENT</v>
      </c>
      <c r="Y160" s="107"/>
    </row>
    <row r="161" spans="1:25">
      <c r="A161" s="115">
        <v>152</v>
      </c>
      <c r="B161" s="135">
        <f>'Runs Z-Score'!B154</f>
        <v>6</v>
      </c>
      <c r="C161" s="89" t="str">
        <f>'Runs Z-Score'!C154</f>
        <v>R4</v>
      </c>
      <c r="D161" s="89" t="str">
        <f>'Runs Z-Score'!D154</f>
        <v>NG</v>
      </c>
      <c r="E161" s="89" t="str">
        <f>'Runs Z-Score'!E154</f>
        <v>S1</v>
      </c>
      <c r="F161" s="89">
        <f>'Runs Z-Score'!F154</f>
        <v>6.18</v>
      </c>
      <c r="G161" s="89">
        <f t="shared" si="19"/>
        <v>7.1499999999999995</v>
      </c>
      <c r="H161" s="89">
        <v>9.91</v>
      </c>
      <c r="I161" s="89">
        <f>VLOOKUP(C161,Recipes!$A$2:$N$4,12,FALSE())</f>
        <v>5.0137397426368718E-2</v>
      </c>
      <c r="J161" s="89">
        <f t="shared" si="20"/>
        <v>2.7600000000000007</v>
      </c>
      <c r="K161" s="89">
        <f>IF(G161="","",-0.5*((J161-Components!$C$2)/Components!$D$2)^2)</f>
        <v>-0.50877192982521613</v>
      </c>
      <c r="L161" s="89">
        <f>IF(G161="","",-0.5*((J161-Components!$C$3)/Components!$D$3)^2)</f>
        <v>-4276.9115942029994</v>
      </c>
      <c r="M161" s="89">
        <f>IF(G161="","",-0.5*((J161-Components!$C$4)/Components!$D$4)^2)</f>
        <v>-7986.3725490196412</v>
      </c>
      <c r="N161" s="89">
        <f>IF(G161="","",-0.5*((J161-Components!$C$5)/Components!$D$5)^2)</f>
        <v>-2562.6887116267726</v>
      </c>
      <c r="O161" s="89">
        <f>IF(G161="","",-0.5*((J161-Components!$C$6)/Components!$D$6)^2)</f>
        <v>-1685.9511644832637</v>
      </c>
      <c r="P161" s="89">
        <f>IF(G161="","",-0.5*((J161-Components!$C$7)/Components!$D$7)^2)</f>
        <v>-1518.3264285281607</v>
      </c>
      <c r="Q161" s="89">
        <f t="shared" si="21"/>
        <v>1</v>
      </c>
      <c r="R161" s="89">
        <f t="shared" si="22"/>
        <v>0</v>
      </c>
      <c r="S161" s="89">
        <f t="shared" si="23"/>
        <v>1</v>
      </c>
      <c r="T161" s="89" t="str">
        <f t="shared" si="24"/>
        <v>NG</v>
      </c>
      <c r="U161" s="117">
        <f t="shared" si="25"/>
        <v>1</v>
      </c>
      <c r="V161" s="89" t="str">
        <f>IF(G161="","",IF(T161="OK","NONE",INDEX({"S1","S2","W1","W2","N1","N2"},MATCH(MAX(K161:P161),K161:P161,0))))</f>
        <v>S1</v>
      </c>
      <c r="W161" s="117">
        <f t="shared" si="26"/>
        <v>1</v>
      </c>
      <c r="X161" s="114" t="str">
        <f t="shared" si="27"/>
        <v>CONFIDENT</v>
      </c>
      <c r="Y161" s="107"/>
    </row>
    <row r="162" spans="1:25">
      <c r="A162" s="115">
        <v>153</v>
      </c>
      <c r="B162" s="135">
        <f>'Runs Z-Score'!B155</f>
        <v>6</v>
      </c>
      <c r="C162" s="89" t="str">
        <f>'Runs Z-Score'!C155</f>
        <v>R4</v>
      </c>
      <c r="D162" s="89" t="str">
        <f>'Runs Z-Score'!D155</f>
        <v>NG</v>
      </c>
      <c r="E162" s="89" t="str">
        <f>'Runs Z-Score'!E155</f>
        <v>S1</v>
      </c>
      <c r="F162" s="89">
        <f>'Runs Z-Score'!F155</f>
        <v>6.15</v>
      </c>
      <c r="G162" s="89">
        <f t="shared" si="19"/>
        <v>7.12</v>
      </c>
      <c r="H162" s="89">
        <v>9.91</v>
      </c>
      <c r="I162" s="89">
        <f>VLOOKUP(C162,Recipes!$A$2:$N$4,12,FALSE())</f>
        <v>5.0137397426368718E-2</v>
      </c>
      <c r="J162" s="89">
        <f t="shared" si="20"/>
        <v>2.79</v>
      </c>
      <c r="K162" s="89">
        <f>IF(G162="","",-0.5*((J162-Components!$C$2)/Components!$D$2)^2)</f>
        <v>-15.390350877196566</v>
      </c>
      <c r="L162" s="89">
        <f>IF(G162="","",-0.5*((J162-Components!$C$3)/Components!$D$3)^2)</f>
        <v>-4078.167028985607</v>
      </c>
      <c r="M162" s="89">
        <f>IF(G162="","",-0.5*((J162-Components!$C$4)/Components!$D$4)^2)</f>
        <v>-8259.9107843137535</v>
      </c>
      <c r="N162" s="89">
        <f>IF(G162="","",-0.5*((J162-Components!$C$5)/Components!$D$5)^2)</f>
        <v>-2478.1018733381593</v>
      </c>
      <c r="O162" s="89">
        <f>IF(G162="","",-0.5*((J162-Components!$C$6)/Components!$D$6)^2)</f>
        <v>-1749.5930858806423</v>
      </c>
      <c r="P162" s="89">
        <f>IF(G162="","",-0.5*((J162-Components!$C$7)/Components!$D$7)^2)</f>
        <v>-1584.7823456341405</v>
      </c>
      <c r="Q162" s="89">
        <f t="shared" si="21"/>
        <v>1</v>
      </c>
      <c r="R162" s="89">
        <f t="shared" si="22"/>
        <v>0</v>
      </c>
      <c r="S162" s="89">
        <f t="shared" si="23"/>
        <v>1</v>
      </c>
      <c r="T162" s="89" t="str">
        <f t="shared" si="24"/>
        <v>NG</v>
      </c>
      <c r="U162" s="117">
        <f t="shared" si="25"/>
        <v>1</v>
      </c>
      <c r="V162" s="89" t="str">
        <f>IF(G162="","",IF(T162="OK","NONE",INDEX({"S1","S2","W1","W2","N1","N2"},MATCH(MAX(K162:P162),K162:P162,0))))</f>
        <v>S1</v>
      </c>
      <c r="W162" s="117">
        <f t="shared" si="26"/>
        <v>1</v>
      </c>
      <c r="X162" s="114" t="str">
        <f t="shared" si="27"/>
        <v>CONFIDENT</v>
      </c>
      <c r="Y162" s="107"/>
    </row>
    <row r="163" spans="1:25">
      <c r="A163" s="115">
        <v>154</v>
      </c>
      <c r="B163" s="135">
        <f>'Runs Z-Score'!B156</f>
        <v>6</v>
      </c>
      <c r="C163" s="89" t="str">
        <f>'Runs Z-Score'!C156</f>
        <v>R4</v>
      </c>
      <c r="D163" s="89" t="str">
        <f>'Runs Z-Score'!D156</f>
        <v>NG</v>
      </c>
      <c r="E163" s="89" t="str">
        <f>'Runs Z-Score'!E156</f>
        <v>S1</v>
      </c>
      <c r="F163" s="89">
        <f>'Runs Z-Score'!F156</f>
        <v>6.12</v>
      </c>
      <c r="G163" s="89">
        <f t="shared" si="19"/>
        <v>7.09</v>
      </c>
      <c r="H163" s="89">
        <v>9.91</v>
      </c>
      <c r="I163" s="89">
        <f>VLOOKUP(C163,Recipes!$A$2:$N$4,12,FALSE())</f>
        <v>5.0137397426368718E-2</v>
      </c>
      <c r="J163" s="89">
        <f t="shared" si="20"/>
        <v>2.8200000000000003</v>
      </c>
      <c r="K163" s="89">
        <f>IF(G163="","",-0.5*((J163-Components!$C$2)/Components!$D$2)^2)</f>
        <v>-50.877192982463988</v>
      </c>
      <c r="L163" s="89">
        <f>IF(G163="","",-0.5*((J163-Components!$C$3)/Components!$D$3)^2)</f>
        <v>-3884.1507246377741</v>
      </c>
      <c r="M163" s="89">
        <f>IF(G163="","",-0.5*((J163-Components!$C$4)/Components!$D$4)^2)</f>
        <v>-8538.0549019608152</v>
      </c>
      <c r="N163" s="89">
        <f>IF(G163="","",-0.5*((J163-Components!$C$5)/Components!$D$5)^2)</f>
        <v>-2394.9345419385936</v>
      </c>
      <c r="O163" s="89">
        <f>IF(G163="","",-0.5*((J163-Components!$C$6)/Components!$D$6)^2)</f>
        <v>-1814.4140465793328</v>
      </c>
      <c r="P163" s="89">
        <f>IF(G163="","",-0.5*((J163-Components!$C$7)/Components!$D$7)^2)</f>
        <v>-1652.6616403078372</v>
      </c>
      <c r="Q163" s="89">
        <f t="shared" si="21"/>
        <v>1</v>
      </c>
      <c r="R163" s="89">
        <f t="shared" si="22"/>
        <v>0</v>
      </c>
      <c r="S163" s="89">
        <f t="shared" si="23"/>
        <v>1</v>
      </c>
      <c r="T163" s="89" t="str">
        <f t="shared" si="24"/>
        <v>NG</v>
      </c>
      <c r="U163" s="117">
        <f t="shared" si="25"/>
        <v>1</v>
      </c>
      <c r="V163" s="89" t="str">
        <f>IF(G163="","",IF(T163="OK","NONE",INDEX({"S1","S2","W1","W2","N1","N2"},MATCH(MAX(K163:P163),K163:P163,0))))</f>
        <v>S1</v>
      </c>
      <c r="W163" s="117">
        <f t="shared" si="26"/>
        <v>1</v>
      </c>
      <c r="X163" s="114" t="str">
        <f t="shared" si="27"/>
        <v>CONFIDENT</v>
      </c>
      <c r="Y163" s="107"/>
    </row>
    <row r="164" spans="1:25">
      <c r="A164" s="115">
        <v>155</v>
      </c>
      <c r="B164" s="135">
        <f>'Runs Z-Score'!B157</f>
        <v>6</v>
      </c>
      <c r="C164" s="89" t="str">
        <f>'Runs Z-Score'!C157</f>
        <v>R4</v>
      </c>
      <c r="D164" s="89" t="str">
        <f>'Runs Z-Score'!D157</f>
        <v>NG</v>
      </c>
      <c r="E164" s="89" t="str">
        <f>'Runs Z-Score'!E157</f>
        <v>S1</v>
      </c>
      <c r="F164" s="89">
        <f>'Runs Z-Score'!F157</f>
        <v>6.16</v>
      </c>
      <c r="G164" s="89">
        <f t="shared" si="19"/>
        <v>7.13</v>
      </c>
      <c r="H164" s="89">
        <v>9.91</v>
      </c>
      <c r="I164" s="89">
        <f>VLOOKUP(C164,Recipes!$A$2:$N$4,12,FALSE())</f>
        <v>5.0137397426368718E-2</v>
      </c>
      <c r="J164" s="89">
        <f t="shared" si="20"/>
        <v>2.7800000000000002</v>
      </c>
      <c r="K164" s="89">
        <f>IF(G164="","",-0.5*((J164-Components!$C$2)/Components!$D$2)^2)</f>
        <v>-8.1403508771955941</v>
      </c>
      <c r="L164" s="89">
        <f>IF(G164="","",-0.5*((J164-Components!$C$3)/Components!$D$3)^2)</f>
        <v>-4143.8898550725635</v>
      </c>
      <c r="M164" s="89">
        <f>IF(G164="","",-0.5*((J164-Components!$C$4)/Components!$D$4)^2)</f>
        <v>-8168.2196078431671</v>
      </c>
      <c r="N164" s="89">
        <f>IF(G164="","",-0.5*((J164-Components!$C$5)/Components!$D$5)^2)</f>
        <v>-2506.1397631133582</v>
      </c>
      <c r="O164" s="89">
        <f>IF(G164="","",-0.5*((J164-Components!$C$6)/Components!$D$6)^2)</f>
        <v>-1728.2481077147036</v>
      </c>
      <c r="P164" s="89">
        <f>IF(G164="","",-0.5*((J164-Components!$C$7)/Components!$D$7)^2)</f>
        <v>-1562.4722202024011</v>
      </c>
      <c r="Q164" s="89">
        <f t="shared" si="21"/>
        <v>1</v>
      </c>
      <c r="R164" s="89">
        <f t="shared" si="22"/>
        <v>0</v>
      </c>
      <c r="S164" s="89">
        <f t="shared" si="23"/>
        <v>1</v>
      </c>
      <c r="T164" s="89" t="str">
        <f t="shared" si="24"/>
        <v>NG</v>
      </c>
      <c r="U164" s="117">
        <f t="shared" si="25"/>
        <v>1</v>
      </c>
      <c r="V164" s="89" t="str">
        <f>IF(G164="","",IF(T164="OK","NONE",INDEX({"S1","S2","W1","W2","N1","N2"},MATCH(MAX(K164:P164),K164:P164,0))))</f>
        <v>S1</v>
      </c>
      <c r="W164" s="117">
        <f t="shared" si="26"/>
        <v>1</v>
      </c>
      <c r="X164" s="114" t="str">
        <f t="shared" si="27"/>
        <v>CONFIDENT</v>
      </c>
      <c r="Y164" s="107"/>
    </row>
    <row r="165" spans="1:25">
      <c r="A165" s="115">
        <v>156</v>
      </c>
      <c r="B165" s="135">
        <f>'Runs Z-Score'!B158</f>
        <v>6</v>
      </c>
      <c r="C165" s="89" t="str">
        <f>'Runs Z-Score'!C158</f>
        <v>R4</v>
      </c>
      <c r="D165" s="89" t="str">
        <f>'Runs Z-Score'!D158</f>
        <v>NG</v>
      </c>
      <c r="E165" s="89" t="str">
        <f>'Runs Z-Score'!E158</f>
        <v>S1</v>
      </c>
      <c r="F165" s="89">
        <f>'Runs Z-Score'!F158</f>
        <v>6.19</v>
      </c>
      <c r="G165" s="89">
        <f t="shared" si="19"/>
        <v>7.16</v>
      </c>
      <c r="H165" s="89">
        <v>9.91</v>
      </c>
      <c r="I165" s="89">
        <f>VLOOKUP(C165,Recipes!$A$2:$N$4,12,FALSE())</f>
        <v>5.0137397426368718E-2</v>
      </c>
      <c r="J165" s="89">
        <f t="shared" si="20"/>
        <v>2.75</v>
      </c>
      <c r="K165" s="89">
        <f>IF(G165="","",-0.5*((J165-Components!$C$2)/Components!$D$2)^2)</f>
        <v>-0.12719298245588034</v>
      </c>
      <c r="L165" s="89">
        <f>IF(G165="","",-0.5*((J165-Components!$C$3)/Components!$D$3)^2)</f>
        <v>-4344.2105072464838</v>
      </c>
      <c r="M165" s="89">
        <f>IF(G165="","",-0.5*((J165-Components!$C$4)/Components!$D$4)^2)</f>
        <v>-7896.2166666666935</v>
      </c>
      <c r="N165" s="89">
        <f>IF(G165="","",-0.5*((J165-Components!$C$5)/Components!$D$5)^2)</f>
        <v>-2591.1997703649904</v>
      </c>
      <c r="O165" s="89">
        <f>IF(G165="","",-0.5*((J165-Components!$C$6)/Components!$D$6)^2)</f>
        <v>-1664.9991994177599</v>
      </c>
      <c r="P165" s="89">
        <f>IF(G165="","",-0.5*((J165-Components!$C$7)/Components!$D$7)^2)</f>
        <v>-1496.4907622856579</v>
      </c>
      <c r="Q165" s="89">
        <f t="shared" si="21"/>
        <v>1</v>
      </c>
      <c r="R165" s="89">
        <f t="shared" si="22"/>
        <v>0</v>
      </c>
      <c r="S165" s="89">
        <f t="shared" si="23"/>
        <v>1</v>
      </c>
      <c r="T165" s="89" t="str">
        <f t="shared" si="24"/>
        <v>NG</v>
      </c>
      <c r="U165" s="117">
        <f t="shared" si="25"/>
        <v>1</v>
      </c>
      <c r="V165" s="89" t="str">
        <f>IF(G165="","",IF(T165="OK","NONE",INDEX({"S1","S2","W1","W2","N1","N2"},MATCH(MAX(K165:P165),K165:P165,0))))</f>
        <v>S1</v>
      </c>
      <c r="W165" s="117">
        <f t="shared" si="26"/>
        <v>1</v>
      </c>
      <c r="X165" s="114" t="str">
        <f t="shared" si="27"/>
        <v>CONFIDENT</v>
      </c>
      <c r="Y165" s="107"/>
    </row>
    <row r="166" spans="1:25">
      <c r="A166" s="115">
        <v>157</v>
      </c>
      <c r="B166" s="135">
        <f>'Runs Z-Score'!B159</f>
        <v>6</v>
      </c>
      <c r="C166" s="89" t="str">
        <f>'Runs Z-Score'!C159</f>
        <v>R4</v>
      </c>
      <c r="D166" s="89" t="str">
        <f>'Runs Z-Score'!D159</f>
        <v>NG</v>
      </c>
      <c r="E166" s="89" t="str">
        <f>'Runs Z-Score'!E159</f>
        <v>S1</v>
      </c>
      <c r="F166" s="89">
        <f>'Runs Z-Score'!F159</f>
        <v>6.18</v>
      </c>
      <c r="G166" s="89">
        <f t="shared" si="19"/>
        <v>7.1499999999999995</v>
      </c>
      <c r="H166" s="89">
        <v>9.91</v>
      </c>
      <c r="I166" s="89">
        <f>VLOOKUP(C166,Recipes!$A$2:$N$4,12,FALSE())</f>
        <v>5.0137397426368718E-2</v>
      </c>
      <c r="J166" s="89">
        <f t="shared" si="20"/>
        <v>2.7600000000000007</v>
      </c>
      <c r="K166" s="89">
        <f>IF(G166="","",-0.5*((J166-Components!$C$2)/Components!$D$2)^2)</f>
        <v>-0.50877192982521613</v>
      </c>
      <c r="L166" s="89">
        <f>IF(G166="","",-0.5*((J166-Components!$C$3)/Components!$D$3)^2)</f>
        <v>-4276.9115942029994</v>
      </c>
      <c r="M166" s="89">
        <f>IF(G166="","",-0.5*((J166-Components!$C$4)/Components!$D$4)^2)</f>
        <v>-7986.3725490196412</v>
      </c>
      <c r="N166" s="89">
        <f>IF(G166="","",-0.5*((J166-Components!$C$5)/Components!$D$5)^2)</f>
        <v>-2562.6887116267726</v>
      </c>
      <c r="O166" s="89">
        <f>IF(G166="","",-0.5*((J166-Components!$C$6)/Components!$D$6)^2)</f>
        <v>-1685.9511644832637</v>
      </c>
      <c r="P166" s="89">
        <f>IF(G166="","",-0.5*((J166-Components!$C$7)/Components!$D$7)^2)</f>
        <v>-1518.3264285281607</v>
      </c>
      <c r="Q166" s="89">
        <f t="shared" si="21"/>
        <v>1</v>
      </c>
      <c r="R166" s="89">
        <f t="shared" si="22"/>
        <v>0</v>
      </c>
      <c r="S166" s="89">
        <f t="shared" si="23"/>
        <v>1</v>
      </c>
      <c r="T166" s="89" t="str">
        <f t="shared" si="24"/>
        <v>NG</v>
      </c>
      <c r="U166" s="117">
        <f t="shared" si="25"/>
        <v>1</v>
      </c>
      <c r="V166" s="89" t="str">
        <f>IF(G166="","",IF(T166="OK","NONE",INDEX({"S1","S2","W1","W2","N1","N2"},MATCH(MAX(K166:P166),K166:P166,0))))</f>
        <v>S1</v>
      </c>
      <c r="W166" s="117">
        <f t="shared" si="26"/>
        <v>1</v>
      </c>
      <c r="X166" s="114" t="str">
        <f t="shared" si="27"/>
        <v>CONFIDENT</v>
      </c>
      <c r="Y166" s="107"/>
    </row>
    <row r="167" spans="1:25">
      <c r="A167" s="115">
        <v>158</v>
      </c>
      <c r="B167" s="135">
        <f>'Runs Z-Score'!B160</f>
        <v>6</v>
      </c>
      <c r="C167" s="89" t="str">
        <f>'Runs Z-Score'!C160</f>
        <v>R4</v>
      </c>
      <c r="D167" s="89" t="str">
        <f>'Runs Z-Score'!D160</f>
        <v>NG</v>
      </c>
      <c r="E167" s="89" t="str">
        <f>'Runs Z-Score'!E160</f>
        <v>S1</v>
      </c>
      <c r="F167" s="89">
        <f>'Runs Z-Score'!F160</f>
        <v>6.13</v>
      </c>
      <c r="G167" s="89">
        <f t="shared" si="19"/>
        <v>7.1</v>
      </c>
      <c r="H167" s="89">
        <v>9.91</v>
      </c>
      <c r="I167" s="89">
        <f>VLOOKUP(C167,Recipes!$A$2:$N$4,12,FALSE())</f>
        <v>5.0137397426368718E-2</v>
      </c>
      <c r="J167" s="89">
        <f t="shared" si="20"/>
        <v>2.8100000000000005</v>
      </c>
      <c r="K167" s="89">
        <f>IF(G167="","",-0.5*((J167-Components!$C$2)/Components!$D$2)^2)</f>
        <v>-36.758771929831234</v>
      </c>
      <c r="L167" s="89">
        <f>IF(G167="","",-0.5*((J167-Components!$C$3)/Components!$D$3)^2)</f>
        <v>-3948.29746376821</v>
      </c>
      <c r="M167" s="89">
        <f>IF(G167="","",-0.5*((J167-Components!$C$4)/Components!$D$4)^2)</f>
        <v>-8444.8284313725817</v>
      </c>
      <c r="N167" s="89">
        <f>IF(G167="","",-0.5*((J167-Components!$C$5)/Components!$D$5)^2)</f>
        <v>-2422.4992627507763</v>
      </c>
      <c r="O167" s="89">
        <f>IF(G167="","",-0.5*((J167-Components!$C$6)/Components!$D$6)^2)</f>
        <v>-1792.6760553129579</v>
      </c>
      <c r="P167" s="89">
        <f>IF(G167="","",-0.5*((J167-Components!$C$7)/Components!$D$7)^2)</f>
        <v>-1629.8770556868596</v>
      </c>
      <c r="Q167" s="89">
        <f t="shared" si="21"/>
        <v>1</v>
      </c>
      <c r="R167" s="89">
        <f t="shared" si="22"/>
        <v>0</v>
      </c>
      <c r="S167" s="89">
        <f t="shared" si="23"/>
        <v>1</v>
      </c>
      <c r="T167" s="89" t="str">
        <f t="shared" si="24"/>
        <v>NG</v>
      </c>
      <c r="U167" s="117">
        <f t="shared" si="25"/>
        <v>1</v>
      </c>
      <c r="V167" s="89" t="str">
        <f>IF(G167="","",IF(T167="OK","NONE",INDEX({"S1","S2","W1","W2","N1","N2"},MATCH(MAX(K167:P167),K167:P167,0))))</f>
        <v>S1</v>
      </c>
      <c r="W167" s="117">
        <f t="shared" si="26"/>
        <v>1</v>
      </c>
      <c r="X167" s="114" t="str">
        <f t="shared" si="27"/>
        <v>CONFIDENT</v>
      </c>
      <c r="Y167" s="107"/>
    </row>
    <row r="168" spans="1:25">
      <c r="A168" s="115">
        <v>159</v>
      </c>
      <c r="B168" s="135">
        <f>'Runs Z-Score'!B161</f>
        <v>6</v>
      </c>
      <c r="C168" s="89" t="str">
        <f>'Runs Z-Score'!C161</f>
        <v>R4</v>
      </c>
      <c r="D168" s="89" t="str">
        <f>'Runs Z-Score'!D161</f>
        <v>NG</v>
      </c>
      <c r="E168" s="89" t="str">
        <f>'Runs Z-Score'!E161</f>
        <v>S1</v>
      </c>
      <c r="F168" s="89">
        <f>'Runs Z-Score'!F161</f>
        <v>6.22</v>
      </c>
      <c r="G168" s="89">
        <f t="shared" si="19"/>
        <v>7.1899999999999995</v>
      </c>
      <c r="H168" s="89">
        <v>9.91</v>
      </c>
      <c r="I168" s="89">
        <f>VLOOKUP(C168,Recipes!$A$2:$N$4,12,FALSE())</f>
        <v>5.0137397426368718E-2</v>
      </c>
      <c r="J168" s="89">
        <f t="shared" si="20"/>
        <v>2.7200000000000006</v>
      </c>
      <c r="K168" s="89">
        <f>IF(G168="","",-0.5*((J168-Components!$C$2)/Components!$D$2)^2)</f>
        <v>-12.719298245611419</v>
      </c>
      <c r="L168" s="89">
        <f>IF(G168="","",-0.5*((J168-Components!$C$3)/Components!$D$3)^2)</f>
        <v>-4549.2594202899627</v>
      </c>
      <c r="M168" s="89">
        <f>IF(G168="","",-0.5*((J168-Components!$C$4)/Components!$D$4)^2)</f>
        <v>-7628.8196078431693</v>
      </c>
      <c r="N168" s="89">
        <f>IF(G168="","",-0.5*((J168-Components!$C$5)/Components!$D$5)^2)</f>
        <v>-2677.6792845056693</v>
      </c>
      <c r="O168" s="89">
        <f>IF(G168="","",-0.5*((J168-Components!$C$6)/Components!$D$6)^2)</f>
        <v>-1602.9293304221278</v>
      </c>
      <c r="P168" s="89">
        <f>IF(G168="","",-0.5*((J168-Components!$C$7)/Components!$D$7)^2)</f>
        <v>-1431.9326819366313</v>
      </c>
      <c r="Q168" s="89">
        <f t="shared" si="21"/>
        <v>1</v>
      </c>
      <c r="R168" s="89">
        <f t="shared" si="22"/>
        <v>0</v>
      </c>
      <c r="S168" s="89">
        <f t="shared" si="23"/>
        <v>1</v>
      </c>
      <c r="T168" s="89" t="str">
        <f t="shared" si="24"/>
        <v>NG</v>
      </c>
      <c r="U168" s="117">
        <f t="shared" si="25"/>
        <v>1</v>
      </c>
      <c r="V168" s="89" t="str">
        <f>IF(G168="","",IF(T168="OK","NONE",INDEX({"S1","S2","W1","W2","N1","N2"},MATCH(MAX(K168:P168),K168:P168,0))))</f>
        <v>S1</v>
      </c>
      <c r="W168" s="117">
        <f t="shared" si="26"/>
        <v>1</v>
      </c>
      <c r="X168" s="114" t="str">
        <f t="shared" si="27"/>
        <v>CONFIDENT</v>
      </c>
      <c r="Y168" s="107"/>
    </row>
    <row r="169" spans="1:25">
      <c r="A169" s="115">
        <v>160</v>
      </c>
      <c r="B169" s="135">
        <f>'Runs Z-Score'!B162</f>
        <v>6</v>
      </c>
      <c r="C169" s="89" t="str">
        <f>'Runs Z-Score'!C162</f>
        <v>R4</v>
      </c>
      <c r="D169" s="89" t="str">
        <f>'Runs Z-Score'!D162</f>
        <v>NG</v>
      </c>
      <c r="E169" s="89" t="str">
        <f>'Runs Z-Score'!E162</f>
        <v>S1</v>
      </c>
      <c r="F169" s="89">
        <f>'Runs Z-Score'!F162</f>
        <v>6.17</v>
      </c>
      <c r="G169" s="89">
        <f t="shared" si="19"/>
        <v>7.14</v>
      </c>
      <c r="H169" s="89">
        <v>9.91</v>
      </c>
      <c r="I169" s="89">
        <f>VLOOKUP(C169,Recipes!$A$2:$N$4,12,FALSE())</f>
        <v>5.0137397426368718E-2</v>
      </c>
      <c r="J169" s="89">
        <f t="shared" si="20"/>
        <v>2.7700000000000005</v>
      </c>
      <c r="K169" s="89">
        <f>IF(G169="","",-0.5*((J169-Components!$C$2)/Components!$D$2)^2)</f>
        <v>-3.1798245614051428</v>
      </c>
      <c r="L169" s="89">
        <f>IF(G169="","",-0.5*((J169-Components!$C$3)/Components!$D$3)^2)</f>
        <v>-4210.1380434783614</v>
      </c>
      <c r="M169" s="89">
        <f>IF(G169="","",-0.5*((J169-Components!$C$4)/Components!$D$4)^2)</f>
        <v>-8077.0401960784639</v>
      </c>
      <c r="N169" s="89">
        <f>IF(G169="","",-0.5*((J169-Components!$C$5)/Components!$D$5)^2)</f>
        <v>-2534.3353758762287</v>
      </c>
      <c r="O169" s="89">
        <f>IF(G169="","",-0.5*((J169-Components!$C$6)/Components!$D$6)^2)</f>
        <v>-1707.0341339155775</v>
      </c>
      <c r="P169" s="89">
        <f>IF(G169="","",-0.5*((J169-Components!$C$7)/Components!$D$7)^2)</f>
        <v>-1540.3202478337412</v>
      </c>
      <c r="Q169" s="89">
        <f t="shared" si="21"/>
        <v>1</v>
      </c>
      <c r="R169" s="89">
        <f t="shared" si="22"/>
        <v>0</v>
      </c>
      <c r="S169" s="89">
        <f t="shared" si="23"/>
        <v>1</v>
      </c>
      <c r="T169" s="89" t="str">
        <f t="shared" si="24"/>
        <v>NG</v>
      </c>
      <c r="U169" s="117">
        <f t="shared" si="25"/>
        <v>1</v>
      </c>
      <c r="V169" s="89" t="str">
        <f>IF(G169="","",IF(T169="OK","NONE",INDEX({"S1","S2","W1","W2","N1","N2"},MATCH(MAX(K169:P169),K169:P169,0))))</f>
        <v>S1</v>
      </c>
      <c r="W169" s="117">
        <f t="shared" si="26"/>
        <v>1</v>
      </c>
      <c r="X169" s="114" t="str">
        <f t="shared" si="27"/>
        <v>CONFIDENT</v>
      </c>
      <c r="Y169" s="107"/>
    </row>
    <row r="170" spans="1:25">
      <c r="A170" s="115">
        <v>161</v>
      </c>
      <c r="B170" s="135">
        <f>'Runs Z-Score'!B163</f>
        <v>6</v>
      </c>
      <c r="C170" s="89" t="str">
        <f>'Runs Z-Score'!C163</f>
        <v>R4</v>
      </c>
      <c r="D170" s="89" t="str">
        <f>'Runs Z-Score'!D163</f>
        <v>NG</v>
      </c>
      <c r="E170" s="89" t="str">
        <f>'Runs Z-Score'!E163</f>
        <v>S1</v>
      </c>
      <c r="F170" s="89">
        <f>'Runs Z-Score'!F163</f>
        <v>6.16</v>
      </c>
      <c r="G170" s="89">
        <f t="shared" si="19"/>
        <v>7.13</v>
      </c>
      <c r="H170" s="89">
        <v>9.91</v>
      </c>
      <c r="I170" s="89">
        <f>VLOOKUP(C170,Recipes!$A$2:$N$4,12,FALSE())</f>
        <v>5.0137397426368718E-2</v>
      </c>
      <c r="J170" s="89">
        <f t="shared" si="20"/>
        <v>2.7800000000000002</v>
      </c>
      <c r="K170" s="89">
        <f>IF(G170="","",-0.5*((J170-Components!$C$2)/Components!$D$2)^2)</f>
        <v>-8.1403508771955941</v>
      </c>
      <c r="L170" s="89">
        <f>IF(G170="","",-0.5*((J170-Components!$C$3)/Components!$D$3)^2)</f>
        <v>-4143.8898550725635</v>
      </c>
      <c r="M170" s="89">
        <f>IF(G170="","",-0.5*((J170-Components!$C$4)/Components!$D$4)^2)</f>
        <v>-8168.2196078431671</v>
      </c>
      <c r="N170" s="89">
        <f>IF(G170="","",-0.5*((J170-Components!$C$5)/Components!$D$5)^2)</f>
        <v>-2506.1397631133582</v>
      </c>
      <c r="O170" s="89">
        <f>IF(G170="","",-0.5*((J170-Components!$C$6)/Components!$D$6)^2)</f>
        <v>-1728.2481077147036</v>
      </c>
      <c r="P170" s="89">
        <f>IF(G170="","",-0.5*((J170-Components!$C$7)/Components!$D$7)^2)</f>
        <v>-1562.4722202024011</v>
      </c>
      <c r="Q170" s="89">
        <f t="shared" si="21"/>
        <v>1</v>
      </c>
      <c r="R170" s="89">
        <f t="shared" si="22"/>
        <v>0</v>
      </c>
      <c r="S170" s="89">
        <f t="shared" si="23"/>
        <v>1</v>
      </c>
      <c r="T170" s="89" t="str">
        <f t="shared" si="24"/>
        <v>NG</v>
      </c>
      <c r="U170" s="117">
        <f t="shared" si="25"/>
        <v>1</v>
      </c>
      <c r="V170" s="89" t="str">
        <f>IF(G170="","",IF(T170="OK","NONE",INDEX({"S1","S2","W1","W2","N1","N2"},MATCH(MAX(K170:P170),K170:P170,0))))</f>
        <v>S1</v>
      </c>
      <c r="W170" s="117">
        <f t="shared" si="26"/>
        <v>1</v>
      </c>
      <c r="X170" s="114" t="str">
        <f t="shared" si="27"/>
        <v>CONFIDENT</v>
      </c>
      <c r="Y170" s="107"/>
    </row>
    <row r="171" spans="1:25">
      <c r="A171" s="115">
        <v>162</v>
      </c>
      <c r="B171" s="135">
        <f>'Runs Z-Score'!B164</f>
        <v>6</v>
      </c>
      <c r="C171" s="89" t="str">
        <f>'Runs Z-Score'!C164</f>
        <v>R4</v>
      </c>
      <c r="D171" s="89" t="str">
        <f>'Runs Z-Score'!D164</f>
        <v>NG</v>
      </c>
      <c r="E171" s="89" t="str">
        <f>'Runs Z-Score'!E164</f>
        <v>S1</v>
      </c>
      <c r="F171" s="89">
        <f>'Runs Z-Score'!F164</f>
        <v>6.17</v>
      </c>
      <c r="G171" s="89">
        <f t="shared" si="19"/>
        <v>7.14</v>
      </c>
      <c r="H171" s="89">
        <v>9.91</v>
      </c>
      <c r="I171" s="89">
        <f>VLOOKUP(C171,Recipes!$A$2:$N$4,12,FALSE())</f>
        <v>5.0137397426368718E-2</v>
      </c>
      <c r="J171" s="89">
        <f t="shared" si="20"/>
        <v>2.7700000000000005</v>
      </c>
      <c r="K171" s="89">
        <f>IF(G171="","",-0.5*((J171-Components!$C$2)/Components!$D$2)^2)</f>
        <v>-3.1798245614051428</v>
      </c>
      <c r="L171" s="89">
        <f>IF(G171="","",-0.5*((J171-Components!$C$3)/Components!$D$3)^2)</f>
        <v>-4210.1380434783614</v>
      </c>
      <c r="M171" s="89">
        <f>IF(G171="","",-0.5*((J171-Components!$C$4)/Components!$D$4)^2)</f>
        <v>-8077.0401960784639</v>
      </c>
      <c r="N171" s="89">
        <f>IF(G171="","",-0.5*((J171-Components!$C$5)/Components!$D$5)^2)</f>
        <v>-2534.3353758762287</v>
      </c>
      <c r="O171" s="89">
        <f>IF(G171="","",-0.5*((J171-Components!$C$6)/Components!$D$6)^2)</f>
        <v>-1707.0341339155775</v>
      </c>
      <c r="P171" s="89">
        <f>IF(G171="","",-0.5*((J171-Components!$C$7)/Components!$D$7)^2)</f>
        <v>-1540.3202478337412</v>
      </c>
      <c r="Q171" s="89">
        <f t="shared" si="21"/>
        <v>1</v>
      </c>
      <c r="R171" s="89">
        <f t="shared" si="22"/>
        <v>0</v>
      </c>
      <c r="S171" s="89">
        <f t="shared" si="23"/>
        <v>1</v>
      </c>
      <c r="T171" s="89" t="str">
        <f t="shared" si="24"/>
        <v>NG</v>
      </c>
      <c r="U171" s="117">
        <f t="shared" si="25"/>
        <v>1</v>
      </c>
      <c r="V171" s="89" t="str">
        <f>IF(G171="","",IF(T171="OK","NONE",INDEX({"S1","S2","W1","W2","N1","N2"},MATCH(MAX(K171:P171),K171:P171,0))))</f>
        <v>S1</v>
      </c>
      <c r="W171" s="117">
        <f t="shared" si="26"/>
        <v>1</v>
      </c>
      <c r="X171" s="114" t="str">
        <f t="shared" si="27"/>
        <v>CONFIDENT</v>
      </c>
      <c r="Y171" s="107"/>
    </row>
    <row r="172" spans="1:25">
      <c r="A172" s="115">
        <v>163</v>
      </c>
      <c r="B172" s="135">
        <f>'Runs Z-Score'!B165</f>
        <v>6</v>
      </c>
      <c r="C172" s="89" t="str">
        <f>'Runs Z-Score'!C165</f>
        <v>R4</v>
      </c>
      <c r="D172" s="89" t="str">
        <f>'Runs Z-Score'!D165</f>
        <v>NG</v>
      </c>
      <c r="E172" s="89" t="str">
        <f>'Runs Z-Score'!E165</f>
        <v>S1</v>
      </c>
      <c r="F172" s="89">
        <f>'Runs Z-Score'!F165</f>
        <v>6.14</v>
      </c>
      <c r="G172" s="89">
        <f t="shared" si="19"/>
        <v>7.1099999999999994</v>
      </c>
      <c r="H172" s="89">
        <v>9.91</v>
      </c>
      <c r="I172" s="89">
        <f>VLOOKUP(C172,Recipes!$A$2:$N$4,12,FALSE())</f>
        <v>5.0137397426368718E-2</v>
      </c>
      <c r="J172" s="89">
        <f t="shared" si="20"/>
        <v>2.8000000000000007</v>
      </c>
      <c r="K172" s="89">
        <f>IF(G172="","",-0.5*((J172-Components!$C$2)/Components!$D$2)^2)</f>
        <v>-24.929824561409013</v>
      </c>
      <c r="L172" s="89">
        <f>IF(G172="","",-0.5*((J172-Components!$C$3)/Components!$D$3)^2)</f>
        <v>-4012.9695652174851</v>
      </c>
      <c r="M172" s="89">
        <f>IF(G172="","",-0.5*((J172-Components!$C$4)/Components!$D$4)^2)</f>
        <v>-8352.1137254902314</v>
      </c>
      <c r="N172" s="89">
        <f>IF(G172="","",-0.5*((J172-Components!$C$5)/Components!$D$5)^2)</f>
        <v>-2450.2217065506302</v>
      </c>
      <c r="O172" s="89">
        <f>IF(G172="","",-0.5*((J172-Components!$C$6)/Components!$D$6)^2)</f>
        <v>-1771.0690684133951</v>
      </c>
      <c r="P172" s="89">
        <f>IF(G172="","",-0.5*((J172-Components!$C$7)/Components!$D$7)^2)</f>
        <v>-1607.2506241289614</v>
      </c>
      <c r="Q172" s="89">
        <f t="shared" si="21"/>
        <v>1</v>
      </c>
      <c r="R172" s="89">
        <f t="shared" si="22"/>
        <v>0</v>
      </c>
      <c r="S172" s="89">
        <f t="shared" si="23"/>
        <v>1</v>
      </c>
      <c r="T172" s="89" t="str">
        <f t="shared" si="24"/>
        <v>NG</v>
      </c>
      <c r="U172" s="117">
        <f t="shared" si="25"/>
        <v>1</v>
      </c>
      <c r="V172" s="89" t="str">
        <f>IF(G172="","",IF(T172="OK","NONE",INDEX({"S1","S2","W1","W2","N1","N2"},MATCH(MAX(K172:P172),K172:P172,0))))</f>
        <v>S1</v>
      </c>
      <c r="W172" s="117">
        <f t="shared" si="26"/>
        <v>1</v>
      </c>
      <c r="X172" s="114" t="str">
        <f t="shared" si="27"/>
        <v>CONFIDENT</v>
      </c>
      <c r="Y172" s="107"/>
    </row>
    <row r="173" spans="1:25">
      <c r="A173" s="115">
        <v>164</v>
      </c>
      <c r="B173" s="135">
        <f>'Runs Z-Score'!B166</f>
        <v>6</v>
      </c>
      <c r="C173" s="89" t="str">
        <f>'Runs Z-Score'!C166</f>
        <v>R4</v>
      </c>
      <c r="D173" s="89" t="str">
        <f>'Runs Z-Score'!D166</f>
        <v>NG</v>
      </c>
      <c r="E173" s="89" t="str">
        <f>'Runs Z-Score'!E166</f>
        <v>S1</v>
      </c>
      <c r="F173" s="89">
        <f>'Runs Z-Score'!F166</f>
        <v>6.2</v>
      </c>
      <c r="G173" s="89">
        <f t="shared" si="19"/>
        <v>7.17</v>
      </c>
      <c r="H173" s="89">
        <v>9.91</v>
      </c>
      <c r="I173" s="89">
        <f>VLOOKUP(C173,Recipes!$A$2:$N$4,12,FALSE())</f>
        <v>5.0137397426368718E-2</v>
      </c>
      <c r="J173" s="89">
        <f t="shared" si="20"/>
        <v>2.74</v>
      </c>
      <c r="K173" s="89">
        <f>IF(G173="","",-0.5*((J173-Components!$C$2)/Components!$D$2)^2)</f>
        <v>-2.0350877192972034</v>
      </c>
      <c r="L173" s="89">
        <f>IF(G173="","",-0.5*((J173-Components!$C$3)/Components!$D$3)^2)</f>
        <v>-4412.0347826088027</v>
      </c>
      <c r="M173" s="89">
        <f>IF(G173="","",-0.5*((J173-Components!$C$4)/Components!$D$4)^2)</f>
        <v>-7806.5725490196364</v>
      </c>
      <c r="N173" s="89">
        <f>IF(G173="","",-0.5*((J173-Components!$C$5)/Components!$D$5)^2)</f>
        <v>-2619.8685520908775</v>
      </c>
      <c r="O173" s="89">
        <f>IF(G173="","",-0.5*((J173-Components!$C$6)/Components!$D$6)^2)</f>
        <v>-1644.1782387190701</v>
      </c>
      <c r="P173" s="89">
        <f>IF(G173="","",-0.5*((J173-Components!$C$7)/Components!$D$7)^2)</f>
        <v>-1474.8132491062361</v>
      </c>
      <c r="Q173" s="89">
        <f t="shared" si="21"/>
        <v>1</v>
      </c>
      <c r="R173" s="89">
        <f t="shared" si="22"/>
        <v>0</v>
      </c>
      <c r="S173" s="89">
        <f t="shared" si="23"/>
        <v>1</v>
      </c>
      <c r="T173" s="89" t="str">
        <f t="shared" si="24"/>
        <v>NG</v>
      </c>
      <c r="U173" s="117">
        <f t="shared" si="25"/>
        <v>1</v>
      </c>
      <c r="V173" s="89" t="str">
        <f>IF(G173="","",IF(T173="OK","NONE",INDEX({"S1","S2","W1","W2","N1","N2"},MATCH(MAX(K173:P173),K173:P173,0))))</f>
        <v>S1</v>
      </c>
      <c r="W173" s="117">
        <f t="shared" si="26"/>
        <v>1</v>
      </c>
      <c r="X173" s="114" t="str">
        <f t="shared" si="27"/>
        <v>CONFIDENT</v>
      </c>
      <c r="Y173" s="107"/>
    </row>
    <row r="174" spans="1:25">
      <c r="A174" s="115">
        <v>165</v>
      </c>
      <c r="B174" s="135">
        <f>'Runs Z-Score'!B167</f>
        <v>6</v>
      </c>
      <c r="C174" s="89" t="str">
        <f>'Runs Z-Score'!C167</f>
        <v>R4</v>
      </c>
      <c r="D174" s="89" t="str">
        <f>'Runs Z-Score'!D167</f>
        <v>NG</v>
      </c>
      <c r="E174" s="89" t="str">
        <f>'Runs Z-Score'!E167</f>
        <v>S1</v>
      </c>
      <c r="F174" s="89">
        <f>'Runs Z-Score'!F167</f>
        <v>6.19</v>
      </c>
      <c r="G174" s="89">
        <f t="shared" si="19"/>
        <v>7.16</v>
      </c>
      <c r="H174" s="89">
        <v>9.91</v>
      </c>
      <c r="I174" s="89">
        <f>VLOOKUP(C174,Recipes!$A$2:$N$4,12,FALSE())</f>
        <v>5.0137397426368718E-2</v>
      </c>
      <c r="J174" s="89">
        <f t="shared" si="20"/>
        <v>2.75</v>
      </c>
      <c r="K174" s="89">
        <f>IF(G174="","",-0.5*((J174-Components!$C$2)/Components!$D$2)^2)</f>
        <v>-0.12719298245588034</v>
      </c>
      <c r="L174" s="89">
        <f>IF(G174="","",-0.5*((J174-Components!$C$3)/Components!$D$3)^2)</f>
        <v>-4344.2105072464838</v>
      </c>
      <c r="M174" s="89">
        <f>IF(G174="","",-0.5*((J174-Components!$C$4)/Components!$D$4)^2)</f>
        <v>-7896.2166666666935</v>
      </c>
      <c r="N174" s="89">
        <f>IF(G174="","",-0.5*((J174-Components!$C$5)/Components!$D$5)^2)</f>
        <v>-2591.1997703649904</v>
      </c>
      <c r="O174" s="89">
        <f>IF(G174="","",-0.5*((J174-Components!$C$6)/Components!$D$6)^2)</f>
        <v>-1664.9991994177599</v>
      </c>
      <c r="P174" s="89">
        <f>IF(G174="","",-0.5*((J174-Components!$C$7)/Components!$D$7)^2)</f>
        <v>-1496.4907622856579</v>
      </c>
      <c r="Q174" s="89">
        <f t="shared" si="21"/>
        <v>1</v>
      </c>
      <c r="R174" s="89">
        <f t="shared" si="22"/>
        <v>0</v>
      </c>
      <c r="S174" s="89">
        <f t="shared" si="23"/>
        <v>1</v>
      </c>
      <c r="T174" s="89" t="str">
        <f t="shared" si="24"/>
        <v>NG</v>
      </c>
      <c r="U174" s="117">
        <f t="shared" si="25"/>
        <v>1</v>
      </c>
      <c r="V174" s="89" t="str">
        <f>IF(G174="","",IF(T174="OK","NONE",INDEX({"S1","S2","W1","W2","N1","N2"},MATCH(MAX(K174:P174),K174:P174,0))))</f>
        <v>S1</v>
      </c>
      <c r="W174" s="117">
        <f t="shared" si="26"/>
        <v>1</v>
      </c>
      <c r="X174" s="114" t="str">
        <f t="shared" si="27"/>
        <v>CONFIDENT</v>
      </c>
      <c r="Y174" s="107"/>
    </row>
    <row r="175" spans="1:25">
      <c r="A175" s="115">
        <v>166</v>
      </c>
      <c r="B175" s="135">
        <f>'Runs Z-Score'!B168</f>
        <v>6</v>
      </c>
      <c r="C175" s="89" t="str">
        <f>'Runs Z-Score'!C168</f>
        <v>R4</v>
      </c>
      <c r="D175" s="89" t="str">
        <f>'Runs Z-Score'!D168</f>
        <v>NG</v>
      </c>
      <c r="E175" s="89" t="str">
        <f>'Runs Z-Score'!E168</f>
        <v>S1</v>
      </c>
      <c r="F175" s="89">
        <f>'Runs Z-Score'!F168</f>
        <v>6.19</v>
      </c>
      <c r="G175" s="89">
        <f t="shared" si="19"/>
        <v>7.16</v>
      </c>
      <c r="H175" s="89">
        <v>9.91</v>
      </c>
      <c r="I175" s="89">
        <f>VLOOKUP(C175,Recipes!$A$2:$N$4,12,FALSE())</f>
        <v>5.0137397426368718E-2</v>
      </c>
      <c r="J175" s="89">
        <f t="shared" si="20"/>
        <v>2.75</v>
      </c>
      <c r="K175" s="89">
        <f>IF(G175="","",-0.5*((J175-Components!$C$2)/Components!$D$2)^2)</f>
        <v>-0.12719298245588034</v>
      </c>
      <c r="L175" s="89">
        <f>IF(G175="","",-0.5*((J175-Components!$C$3)/Components!$D$3)^2)</f>
        <v>-4344.2105072464838</v>
      </c>
      <c r="M175" s="89">
        <f>IF(G175="","",-0.5*((J175-Components!$C$4)/Components!$D$4)^2)</f>
        <v>-7896.2166666666935</v>
      </c>
      <c r="N175" s="89">
        <f>IF(G175="","",-0.5*((J175-Components!$C$5)/Components!$D$5)^2)</f>
        <v>-2591.1997703649904</v>
      </c>
      <c r="O175" s="89">
        <f>IF(G175="","",-0.5*((J175-Components!$C$6)/Components!$D$6)^2)</f>
        <v>-1664.9991994177599</v>
      </c>
      <c r="P175" s="89">
        <f>IF(G175="","",-0.5*((J175-Components!$C$7)/Components!$D$7)^2)</f>
        <v>-1496.4907622856579</v>
      </c>
      <c r="Q175" s="89">
        <f t="shared" si="21"/>
        <v>1</v>
      </c>
      <c r="R175" s="89">
        <f t="shared" si="22"/>
        <v>0</v>
      </c>
      <c r="S175" s="89">
        <f t="shared" si="23"/>
        <v>1</v>
      </c>
      <c r="T175" s="89" t="str">
        <f t="shared" si="24"/>
        <v>NG</v>
      </c>
      <c r="U175" s="117">
        <f t="shared" si="25"/>
        <v>1</v>
      </c>
      <c r="V175" s="89" t="str">
        <f>IF(G175="","",IF(T175="OK","NONE",INDEX({"S1","S2","W1","W2","N1","N2"},MATCH(MAX(K175:P175),K175:P175,0))))</f>
        <v>S1</v>
      </c>
      <c r="W175" s="117">
        <f t="shared" si="26"/>
        <v>1</v>
      </c>
      <c r="X175" s="114" t="str">
        <f t="shared" si="27"/>
        <v>CONFIDENT</v>
      </c>
      <c r="Y175" s="107"/>
    </row>
    <row r="176" spans="1:25">
      <c r="A176" s="115">
        <v>167</v>
      </c>
      <c r="B176" s="135">
        <f>'Runs Z-Score'!B169</f>
        <v>6</v>
      </c>
      <c r="C176" s="89" t="str">
        <f>'Runs Z-Score'!C169</f>
        <v>R4</v>
      </c>
      <c r="D176" s="89" t="str">
        <f>'Runs Z-Score'!D169</f>
        <v>NG</v>
      </c>
      <c r="E176" s="89" t="str">
        <f>'Runs Z-Score'!E169</f>
        <v>S1</v>
      </c>
      <c r="F176" s="89">
        <f>'Runs Z-Score'!F169</f>
        <v>6.13</v>
      </c>
      <c r="G176" s="89">
        <f t="shared" si="19"/>
        <v>7.1</v>
      </c>
      <c r="H176" s="89">
        <v>9.91</v>
      </c>
      <c r="I176" s="89">
        <f>VLOOKUP(C176,Recipes!$A$2:$N$4,12,FALSE())</f>
        <v>5.0137397426368718E-2</v>
      </c>
      <c r="J176" s="89">
        <f t="shared" si="20"/>
        <v>2.8100000000000005</v>
      </c>
      <c r="K176" s="89">
        <f>IF(G176="","",-0.5*((J176-Components!$C$2)/Components!$D$2)^2)</f>
        <v>-36.758771929831234</v>
      </c>
      <c r="L176" s="89">
        <f>IF(G176="","",-0.5*((J176-Components!$C$3)/Components!$D$3)^2)</f>
        <v>-3948.29746376821</v>
      </c>
      <c r="M176" s="89">
        <f>IF(G176="","",-0.5*((J176-Components!$C$4)/Components!$D$4)^2)</f>
        <v>-8444.8284313725817</v>
      </c>
      <c r="N176" s="89">
        <f>IF(G176="","",-0.5*((J176-Components!$C$5)/Components!$D$5)^2)</f>
        <v>-2422.4992627507763</v>
      </c>
      <c r="O176" s="89">
        <f>IF(G176="","",-0.5*((J176-Components!$C$6)/Components!$D$6)^2)</f>
        <v>-1792.6760553129579</v>
      </c>
      <c r="P176" s="89">
        <f>IF(G176="","",-0.5*((J176-Components!$C$7)/Components!$D$7)^2)</f>
        <v>-1629.8770556868596</v>
      </c>
      <c r="Q176" s="89">
        <f t="shared" si="21"/>
        <v>1</v>
      </c>
      <c r="R176" s="89">
        <f t="shared" si="22"/>
        <v>0</v>
      </c>
      <c r="S176" s="89">
        <f t="shared" si="23"/>
        <v>1</v>
      </c>
      <c r="T176" s="89" t="str">
        <f t="shared" si="24"/>
        <v>NG</v>
      </c>
      <c r="U176" s="117">
        <f t="shared" si="25"/>
        <v>1</v>
      </c>
      <c r="V176" s="89" t="str">
        <f>IF(G176="","",IF(T176="OK","NONE",INDEX({"S1","S2","W1","W2","N1","N2"},MATCH(MAX(K176:P176),K176:P176,0))))</f>
        <v>S1</v>
      </c>
      <c r="W176" s="117">
        <f t="shared" si="26"/>
        <v>1</v>
      </c>
      <c r="X176" s="114" t="str">
        <f t="shared" si="27"/>
        <v>CONFIDENT</v>
      </c>
      <c r="Y176" s="107"/>
    </row>
    <row r="177" spans="1:25">
      <c r="A177" s="115">
        <v>168</v>
      </c>
      <c r="B177" s="135">
        <f>'Runs Z-Score'!B170</f>
        <v>6</v>
      </c>
      <c r="C177" s="89" t="str">
        <f>'Runs Z-Score'!C170</f>
        <v>R4</v>
      </c>
      <c r="D177" s="89" t="str">
        <f>'Runs Z-Score'!D170</f>
        <v>NG</v>
      </c>
      <c r="E177" s="89" t="str">
        <f>'Runs Z-Score'!E170</f>
        <v>S1</v>
      </c>
      <c r="F177" s="89">
        <f>'Runs Z-Score'!F170</f>
        <v>6.17</v>
      </c>
      <c r="G177" s="89">
        <f t="shared" si="19"/>
        <v>7.14</v>
      </c>
      <c r="H177" s="89">
        <v>9.91</v>
      </c>
      <c r="I177" s="89">
        <f>VLOOKUP(C177,Recipes!$A$2:$N$4,12,FALSE())</f>
        <v>5.0137397426368718E-2</v>
      </c>
      <c r="J177" s="89">
        <f t="shared" si="20"/>
        <v>2.7700000000000005</v>
      </c>
      <c r="K177" s="89">
        <f>IF(G177="","",-0.5*((J177-Components!$C$2)/Components!$D$2)^2)</f>
        <v>-3.1798245614051428</v>
      </c>
      <c r="L177" s="89">
        <f>IF(G177="","",-0.5*((J177-Components!$C$3)/Components!$D$3)^2)</f>
        <v>-4210.1380434783614</v>
      </c>
      <c r="M177" s="89">
        <f>IF(G177="","",-0.5*((J177-Components!$C$4)/Components!$D$4)^2)</f>
        <v>-8077.0401960784639</v>
      </c>
      <c r="N177" s="89">
        <f>IF(G177="","",-0.5*((J177-Components!$C$5)/Components!$D$5)^2)</f>
        <v>-2534.3353758762287</v>
      </c>
      <c r="O177" s="89">
        <f>IF(G177="","",-0.5*((J177-Components!$C$6)/Components!$D$6)^2)</f>
        <v>-1707.0341339155775</v>
      </c>
      <c r="P177" s="89">
        <f>IF(G177="","",-0.5*((J177-Components!$C$7)/Components!$D$7)^2)</f>
        <v>-1540.3202478337412</v>
      </c>
      <c r="Q177" s="89">
        <f t="shared" si="21"/>
        <v>1</v>
      </c>
      <c r="R177" s="89">
        <f t="shared" si="22"/>
        <v>0</v>
      </c>
      <c r="S177" s="89">
        <f t="shared" si="23"/>
        <v>1</v>
      </c>
      <c r="T177" s="89" t="str">
        <f t="shared" si="24"/>
        <v>NG</v>
      </c>
      <c r="U177" s="117">
        <f t="shared" si="25"/>
        <v>1</v>
      </c>
      <c r="V177" s="89" t="str">
        <f>IF(G177="","",IF(T177="OK","NONE",INDEX({"S1","S2","W1","W2","N1","N2"},MATCH(MAX(K177:P177),K177:P177,0))))</f>
        <v>S1</v>
      </c>
      <c r="W177" s="117">
        <f t="shared" si="26"/>
        <v>1</v>
      </c>
      <c r="X177" s="114" t="str">
        <f t="shared" si="27"/>
        <v>CONFIDENT</v>
      </c>
      <c r="Y177" s="107"/>
    </row>
    <row r="178" spans="1:25">
      <c r="A178" s="115">
        <v>169</v>
      </c>
      <c r="B178" s="135">
        <f>'Runs Z-Score'!B171</f>
        <v>6</v>
      </c>
      <c r="C178" s="89" t="str">
        <f>'Runs Z-Score'!C171</f>
        <v>R4</v>
      </c>
      <c r="D178" s="89" t="str">
        <f>'Runs Z-Score'!D171</f>
        <v>NG</v>
      </c>
      <c r="E178" s="89" t="str">
        <f>'Runs Z-Score'!E171</f>
        <v>S1</v>
      </c>
      <c r="F178" s="89">
        <f>'Runs Z-Score'!F171</f>
        <v>6.19</v>
      </c>
      <c r="G178" s="89">
        <f t="shared" si="19"/>
        <v>7.16</v>
      </c>
      <c r="H178" s="89">
        <v>9.91</v>
      </c>
      <c r="I178" s="89">
        <f>VLOOKUP(C178,Recipes!$A$2:$N$4,12,FALSE())</f>
        <v>5.0137397426368718E-2</v>
      </c>
      <c r="J178" s="89">
        <f t="shared" si="20"/>
        <v>2.75</v>
      </c>
      <c r="K178" s="89">
        <f>IF(G178="","",-0.5*((J178-Components!$C$2)/Components!$D$2)^2)</f>
        <v>-0.12719298245588034</v>
      </c>
      <c r="L178" s="89">
        <f>IF(G178="","",-0.5*((J178-Components!$C$3)/Components!$D$3)^2)</f>
        <v>-4344.2105072464838</v>
      </c>
      <c r="M178" s="89">
        <f>IF(G178="","",-0.5*((J178-Components!$C$4)/Components!$D$4)^2)</f>
        <v>-7896.2166666666935</v>
      </c>
      <c r="N178" s="89">
        <f>IF(G178="","",-0.5*((J178-Components!$C$5)/Components!$D$5)^2)</f>
        <v>-2591.1997703649904</v>
      </c>
      <c r="O178" s="89">
        <f>IF(G178="","",-0.5*((J178-Components!$C$6)/Components!$D$6)^2)</f>
        <v>-1664.9991994177599</v>
      </c>
      <c r="P178" s="89">
        <f>IF(G178="","",-0.5*((J178-Components!$C$7)/Components!$D$7)^2)</f>
        <v>-1496.4907622856579</v>
      </c>
      <c r="Q178" s="89">
        <f t="shared" si="21"/>
        <v>1</v>
      </c>
      <c r="R178" s="89">
        <f t="shared" si="22"/>
        <v>0</v>
      </c>
      <c r="S178" s="89">
        <f t="shared" si="23"/>
        <v>1</v>
      </c>
      <c r="T178" s="89" t="str">
        <f t="shared" si="24"/>
        <v>NG</v>
      </c>
      <c r="U178" s="117">
        <f t="shared" si="25"/>
        <v>1</v>
      </c>
      <c r="V178" s="89" t="str">
        <f>IF(G178="","",IF(T178="OK","NONE",INDEX({"S1","S2","W1","W2","N1","N2"},MATCH(MAX(K178:P178),K178:P178,0))))</f>
        <v>S1</v>
      </c>
      <c r="W178" s="117">
        <f t="shared" si="26"/>
        <v>1</v>
      </c>
      <c r="X178" s="114" t="str">
        <f t="shared" si="27"/>
        <v>CONFIDENT</v>
      </c>
      <c r="Y178" s="107"/>
    </row>
    <row r="179" spans="1:25">
      <c r="A179" s="115">
        <v>170</v>
      </c>
      <c r="B179" s="135">
        <f>'Runs Z-Score'!B172</f>
        <v>6</v>
      </c>
      <c r="C179" s="89" t="str">
        <f>'Runs Z-Score'!C172</f>
        <v>R4</v>
      </c>
      <c r="D179" s="89" t="str">
        <f>'Runs Z-Score'!D172</f>
        <v>NG</v>
      </c>
      <c r="E179" s="89" t="str">
        <f>'Runs Z-Score'!E172</f>
        <v>S1</v>
      </c>
      <c r="F179" s="89">
        <f>'Runs Z-Score'!F172</f>
        <v>6.09</v>
      </c>
      <c r="G179" s="89">
        <f t="shared" si="19"/>
        <v>7.06</v>
      </c>
      <c r="H179" s="89">
        <v>9.91</v>
      </c>
      <c r="I179" s="89">
        <f>VLOOKUP(C179,Recipes!$A$2:$N$4,12,FALSE())</f>
        <v>5.0137397426368718E-2</v>
      </c>
      <c r="J179" s="89">
        <f t="shared" si="20"/>
        <v>2.8500000000000005</v>
      </c>
      <c r="K179" s="89">
        <f>IF(G179="","",-0.5*((J179-Components!$C$2)/Components!$D$2)^2)</f>
        <v>-106.96929824562733</v>
      </c>
      <c r="L179" s="89">
        <f>IF(G179="","",-0.5*((J179-Components!$C$3)/Components!$D$3)^2)</f>
        <v>-3694.8626811595077</v>
      </c>
      <c r="M179" s="89">
        <f>IF(G179="","",-0.5*((J179-Components!$C$4)/Components!$D$4)^2)</f>
        <v>-8820.8049019608188</v>
      </c>
      <c r="N179" s="89">
        <f>IF(G179="","",-0.5*((J179-Components!$C$5)/Components!$D$5)^2)</f>
        <v>-2313.1867174280796</v>
      </c>
      <c r="O179" s="89">
        <f>IF(G179="","",-0.5*((J179-Components!$C$6)/Components!$D$6)^2)</f>
        <v>-1880.4140465793339</v>
      </c>
      <c r="P179" s="89">
        <f>IF(G179="","",-0.5*((J179-Components!$C$7)/Components!$D$7)^2)</f>
        <v>-1721.9643125492489</v>
      </c>
      <c r="Q179" s="89">
        <f t="shared" si="21"/>
        <v>1</v>
      </c>
      <c r="R179" s="89">
        <f t="shared" si="22"/>
        <v>0</v>
      </c>
      <c r="S179" s="89">
        <f t="shared" si="23"/>
        <v>1</v>
      </c>
      <c r="T179" s="89" t="str">
        <f t="shared" si="24"/>
        <v>NG</v>
      </c>
      <c r="U179" s="117">
        <f t="shared" si="25"/>
        <v>1</v>
      </c>
      <c r="V179" s="89" t="str">
        <f>IF(G179="","",IF(T179="OK","NONE",INDEX({"S1","S2","W1","W2","N1","N2"},MATCH(MAX(K179:P179),K179:P179,0))))</f>
        <v>S1</v>
      </c>
      <c r="W179" s="117">
        <f t="shared" si="26"/>
        <v>1</v>
      </c>
      <c r="X179" s="114" t="str">
        <f t="shared" si="27"/>
        <v>CONFIDENT</v>
      </c>
      <c r="Y179" s="107"/>
    </row>
    <row r="180" spans="1:25">
      <c r="A180" s="115">
        <v>171</v>
      </c>
      <c r="B180" s="135">
        <f>'Runs Z-Score'!B173</f>
        <v>6</v>
      </c>
      <c r="C180" s="89" t="str">
        <f>'Runs Z-Score'!C173</f>
        <v>R4</v>
      </c>
      <c r="D180" s="89" t="str">
        <f>'Runs Z-Score'!D173</f>
        <v>NG</v>
      </c>
      <c r="E180" s="89" t="str">
        <f>'Runs Z-Score'!E173</f>
        <v>S1</v>
      </c>
      <c r="F180" s="89">
        <f>'Runs Z-Score'!F173</f>
        <v>6.19</v>
      </c>
      <c r="G180" s="89">
        <f t="shared" si="19"/>
        <v>7.16</v>
      </c>
      <c r="H180" s="89">
        <v>9.91</v>
      </c>
      <c r="I180" s="89">
        <f>VLOOKUP(C180,Recipes!$A$2:$N$4,12,FALSE())</f>
        <v>5.0137397426368718E-2</v>
      </c>
      <c r="J180" s="89">
        <f t="shared" si="20"/>
        <v>2.75</v>
      </c>
      <c r="K180" s="89">
        <f>IF(G180="","",-0.5*((J180-Components!$C$2)/Components!$D$2)^2)</f>
        <v>-0.12719298245588034</v>
      </c>
      <c r="L180" s="89">
        <f>IF(G180="","",-0.5*((J180-Components!$C$3)/Components!$D$3)^2)</f>
        <v>-4344.2105072464838</v>
      </c>
      <c r="M180" s="89">
        <f>IF(G180="","",-0.5*((J180-Components!$C$4)/Components!$D$4)^2)</f>
        <v>-7896.2166666666935</v>
      </c>
      <c r="N180" s="89">
        <f>IF(G180="","",-0.5*((J180-Components!$C$5)/Components!$D$5)^2)</f>
        <v>-2591.1997703649904</v>
      </c>
      <c r="O180" s="89">
        <f>IF(G180="","",-0.5*((J180-Components!$C$6)/Components!$D$6)^2)</f>
        <v>-1664.9991994177599</v>
      </c>
      <c r="P180" s="89">
        <f>IF(G180="","",-0.5*((J180-Components!$C$7)/Components!$D$7)^2)</f>
        <v>-1496.4907622856579</v>
      </c>
      <c r="Q180" s="89">
        <f t="shared" si="21"/>
        <v>1</v>
      </c>
      <c r="R180" s="89">
        <f t="shared" si="22"/>
        <v>0</v>
      </c>
      <c r="S180" s="89">
        <f t="shared" si="23"/>
        <v>1</v>
      </c>
      <c r="T180" s="89" t="str">
        <f t="shared" si="24"/>
        <v>NG</v>
      </c>
      <c r="U180" s="117">
        <f t="shared" si="25"/>
        <v>1</v>
      </c>
      <c r="V180" s="89" t="str">
        <f>IF(G180="","",IF(T180="OK","NONE",INDEX({"S1","S2","W1","W2","N1","N2"},MATCH(MAX(K180:P180),K180:P180,0))))</f>
        <v>S1</v>
      </c>
      <c r="W180" s="117">
        <f t="shared" si="26"/>
        <v>1</v>
      </c>
      <c r="X180" s="114" t="str">
        <f t="shared" si="27"/>
        <v>CONFIDENT</v>
      </c>
      <c r="Y180" s="107"/>
    </row>
    <row r="181" spans="1:25">
      <c r="A181" s="115">
        <v>172</v>
      </c>
      <c r="B181" s="135">
        <f>'Runs Z-Score'!B174</f>
        <v>6</v>
      </c>
      <c r="C181" s="89" t="str">
        <f>'Runs Z-Score'!C174</f>
        <v>R4</v>
      </c>
      <c r="D181" s="89" t="str">
        <f>'Runs Z-Score'!D174</f>
        <v>NG</v>
      </c>
      <c r="E181" s="89" t="str">
        <f>'Runs Z-Score'!E174</f>
        <v>S1</v>
      </c>
      <c r="F181" s="89">
        <f>'Runs Z-Score'!F174</f>
        <v>6.18</v>
      </c>
      <c r="G181" s="89">
        <f t="shared" si="19"/>
        <v>7.1499999999999995</v>
      </c>
      <c r="H181" s="89">
        <v>9.91</v>
      </c>
      <c r="I181" s="89">
        <f>VLOOKUP(C181,Recipes!$A$2:$N$4,12,FALSE())</f>
        <v>5.0137397426368718E-2</v>
      </c>
      <c r="J181" s="89">
        <f t="shared" si="20"/>
        <v>2.7600000000000007</v>
      </c>
      <c r="K181" s="89">
        <f>IF(G181="","",-0.5*((J181-Components!$C$2)/Components!$D$2)^2)</f>
        <v>-0.50877192982521613</v>
      </c>
      <c r="L181" s="89">
        <f>IF(G181="","",-0.5*((J181-Components!$C$3)/Components!$D$3)^2)</f>
        <v>-4276.9115942029994</v>
      </c>
      <c r="M181" s="89">
        <f>IF(G181="","",-0.5*((J181-Components!$C$4)/Components!$D$4)^2)</f>
        <v>-7986.3725490196412</v>
      </c>
      <c r="N181" s="89">
        <f>IF(G181="","",-0.5*((J181-Components!$C$5)/Components!$D$5)^2)</f>
        <v>-2562.6887116267726</v>
      </c>
      <c r="O181" s="89">
        <f>IF(G181="","",-0.5*((J181-Components!$C$6)/Components!$D$6)^2)</f>
        <v>-1685.9511644832637</v>
      </c>
      <c r="P181" s="89">
        <f>IF(G181="","",-0.5*((J181-Components!$C$7)/Components!$D$7)^2)</f>
        <v>-1518.3264285281607</v>
      </c>
      <c r="Q181" s="89">
        <f t="shared" si="21"/>
        <v>1</v>
      </c>
      <c r="R181" s="89">
        <f t="shared" si="22"/>
        <v>0</v>
      </c>
      <c r="S181" s="89">
        <f t="shared" si="23"/>
        <v>1</v>
      </c>
      <c r="T181" s="89" t="str">
        <f t="shared" si="24"/>
        <v>NG</v>
      </c>
      <c r="U181" s="117">
        <f t="shared" si="25"/>
        <v>1</v>
      </c>
      <c r="V181" s="89" t="str">
        <f>IF(G181="","",IF(T181="OK","NONE",INDEX({"S1","S2","W1","W2","N1","N2"},MATCH(MAX(K181:P181),K181:P181,0))))</f>
        <v>S1</v>
      </c>
      <c r="W181" s="117">
        <f t="shared" si="26"/>
        <v>1</v>
      </c>
      <c r="X181" s="114" t="str">
        <f t="shared" si="27"/>
        <v>CONFIDENT</v>
      </c>
      <c r="Y181" s="107"/>
    </row>
    <row r="182" spans="1:25">
      <c r="A182" s="115">
        <v>173</v>
      </c>
      <c r="B182" s="135">
        <f>'Runs Z-Score'!B175</f>
        <v>6</v>
      </c>
      <c r="C182" s="89" t="str">
        <f>'Runs Z-Score'!C175</f>
        <v>R4</v>
      </c>
      <c r="D182" s="89" t="str">
        <f>'Runs Z-Score'!D175</f>
        <v>NG</v>
      </c>
      <c r="E182" s="89" t="str">
        <f>'Runs Z-Score'!E175</f>
        <v>S1</v>
      </c>
      <c r="F182" s="89">
        <f>'Runs Z-Score'!F175</f>
        <v>6.19</v>
      </c>
      <c r="G182" s="89">
        <f t="shared" si="19"/>
        <v>7.16</v>
      </c>
      <c r="H182" s="89">
        <v>9.91</v>
      </c>
      <c r="I182" s="89">
        <f>VLOOKUP(C182,Recipes!$A$2:$N$4,12,FALSE())</f>
        <v>5.0137397426368718E-2</v>
      </c>
      <c r="J182" s="89">
        <f t="shared" si="20"/>
        <v>2.75</v>
      </c>
      <c r="K182" s="89">
        <f>IF(G182="","",-0.5*((J182-Components!$C$2)/Components!$D$2)^2)</f>
        <v>-0.12719298245588034</v>
      </c>
      <c r="L182" s="89">
        <f>IF(G182="","",-0.5*((J182-Components!$C$3)/Components!$D$3)^2)</f>
        <v>-4344.2105072464838</v>
      </c>
      <c r="M182" s="89">
        <f>IF(G182="","",-0.5*((J182-Components!$C$4)/Components!$D$4)^2)</f>
        <v>-7896.2166666666935</v>
      </c>
      <c r="N182" s="89">
        <f>IF(G182="","",-0.5*((J182-Components!$C$5)/Components!$D$5)^2)</f>
        <v>-2591.1997703649904</v>
      </c>
      <c r="O182" s="89">
        <f>IF(G182="","",-0.5*((J182-Components!$C$6)/Components!$D$6)^2)</f>
        <v>-1664.9991994177599</v>
      </c>
      <c r="P182" s="89">
        <f>IF(G182="","",-0.5*((J182-Components!$C$7)/Components!$D$7)^2)</f>
        <v>-1496.4907622856579</v>
      </c>
      <c r="Q182" s="89">
        <f t="shared" si="21"/>
        <v>1</v>
      </c>
      <c r="R182" s="89">
        <f t="shared" si="22"/>
        <v>0</v>
      </c>
      <c r="S182" s="89">
        <f t="shared" si="23"/>
        <v>1</v>
      </c>
      <c r="T182" s="89" t="str">
        <f t="shared" si="24"/>
        <v>NG</v>
      </c>
      <c r="U182" s="117">
        <f t="shared" si="25"/>
        <v>1</v>
      </c>
      <c r="V182" s="89" t="str">
        <f>IF(G182="","",IF(T182="OK","NONE",INDEX({"S1","S2","W1","W2","N1","N2"},MATCH(MAX(K182:P182),K182:P182,0))))</f>
        <v>S1</v>
      </c>
      <c r="W182" s="117">
        <f t="shared" si="26"/>
        <v>1</v>
      </c>
      <c r="X182" s="114" t="str">
        <f t="shared" si="27"/>
        <v>CONFIDENT</v>
      </c>
      <c r="Y182" s="107"/>
    </row>
    <row r="183" spans="1:25">
      <c r="A183" s="115">
        <v>174</v>
      </c>
      <c r="B183" s="135">
        <f>'Runs Z-Score'!B176</f>
        <v>6</v>
      </c>
      <c r="C183" s="89" t="str">
        <f>'Runs Z-Score'!C176</f>
        <v>R4</v>
      </c>
      <c r="D183" s="89" t="str">
        <f>'Runs Z-Score'!D176</f>
        <v>NG</v>
      </c>
      <c r="E183" s="89" t="str">
        <f>'Runs Z-Score'!E176</f>
        <v>S1</v>
      </c>
      <c r="F183" s="89">
        <f>'Runs Z-Score'!F176</f>
        <v>6.15</v>
      </c>
      <c r="G183" s="89">
        <f t="shared" si="19"/>
        <v>7.12</v>
      </c>
      <c r="H183" s="89">
        <v>9.91</v>
      </c>
      <c r="I183" s="89">
        <f>VLOOKUP(C183,Recipes!$A$2:$N$4,12,FALSE())</f>
        <v>5.0137397426368718E-2</v>
      </c>
      <c r="J183" s="89">
        <f t="shared" si="20"/>
        <v>2.79</v>
      </c>
      <c r="K183" s="89">
        <f>IF(G183="","",-0.5*((J183-Components!$C$2)/Components!$D$2)^2)</f>
        <v>-15.390350877196566</v>
      </c>
      <c r="L183" s="89">
        <f>IF(G183="","",-0.5*((J183-Components!$C$3)/Components!$D$3)^2)</f>
        <v>-4078.167028985607</v>
      </c>
      <c r="M183" s="89">
        <f>IF(G183="","",-0.5*((J183-Components!$C$4)/Components!$D$4)^2)</f>
        <v>-8259.9107843137535</v>
      </c>
      <c r="N183" s="89">
        <f>IF(G183="","",-0.5*((J183-Components!$C$5)/Components!$D$5)^2)</f>
        <v>-2478.1018733381593</v>
      </c>
      <c r="O183" s="89">
        <f>IF(G183="","",-0.5*((J183-Components!$C$6)/Components!$D$6)^2)</f>
        <v>-1749.5930858806423</v>
      </c>
      <c r="P183" s="89">
        <f>IF(G183="","",-0.5*((J183-Components!$C$7)/Components!$D$7)^2)</f>
        <v>-1584.7823456341405</v>
      </c>
      <c r="Q183" s="89">
        <f t="shared" si="21"/>
        <v>1</v>
      </c>
      <c r="R183" s="89">
        <f t="shared" si="22"/>
        <v>0</v>
      </c>
      <c r="S183" s="89">
        <f t="shared" si="23"/>
        <v>1</v>
      </c>
      <c r="T183" s="89" t="str">
        <f t="shared" si="24"/>
        <v>NG</v>
      </c>
      <c r="U183" s="117">
        <f t="shared" si="25"/>
        <v>1</v>
      </c>
      <c r="V183" s="89" t="str">
        <f>IF(G183="","",IF(T183="OK","NONE",INDEX({"S1","S2","W1","W2","N1","N2"},MATCH(MAX(K183:P183),K183:P183,0))))</f>
        <v>S1</v>
      </c>
      <c r="W183" s="117">
        <f t="shared" si="26"/>
        <v>1</v>
      </c>
      <c r="X183" s="114" t="str">
        <f t="shared" si="27"/>
        <v>CONFIDENT</v>
      </c>
      <c r="Y183" s="107"/>
    </row>
    <row r="184" spans="1:25">
      <c r="A184" s="115">
        <v>175</v>
      </c>
      <c r="B184" s="135">
        <f>'Runs Z-Score'!B177</f>
        <v>6</v>
      </c>
      <c r="C184" s="89" t="str">
        <f>'Runs Z-Score'!C177</f>
        <v>R4</v>
      </c>
      <c r="D184" s="89" t="str">
        <f>'Runs Z-Score'!D177</f>
        <v>NG</v>
      </c>
      <c r="E184" s="89" t="str">
        <f>'Runs Z-Score'!E177</f>
        <v>S1</v>
      </c>
      <c r="F184" s="89">
        <f>'Runs Z-Score'!F177</f>
        <v>6.16</v>
      </c>
      <c r="G184" s="89">
        <f t="shared" si="19"/>
        <v>7.13</v>
      </c>
      <c r="H184" s="89">
        <v>9.91</v>
      </c>
      <c r="I184" s="89">
        <f>VLOOKUP(C184,Recipes!$A$2:$N$4,12,FALSE())</f>
        <v>5.0137397426368718E-2</v>
      </c>
      <c r="J184" s="89">
        <f t="shared" si="20"/>
        <v>2.7800000000000002</v>
      </c>
      <c r="K184" s="89">
        <f>IF(G184="","",-0.5*((J184-Components!$C$2)/Components!$D$2)^2)</f>
        <v>-8.1403508771955941</v>
      </c>
      <c r="L184" s="89">
        <f>IF(G184="","",-0.5*((J184-Components!$C$3)/Components!$D$3)^2)</f>
        <v>-4143.8898550725635</v>
      </c>
      <c r="M184" s="89">
        <f>IF(G184="","",-0.5*((J184-Components!$C$4)/Components!$D$4)^2)</f>
        <v>-8168.2196078431671</v>
      </c>
      <c r="N184" s="89">
        <f>IF(G184="","",-0.5*((J184-Components!$C$5)/Components!$D$5)^2)</f>
        <v>-2506.1397631133582</v>
      </c>
      <c r="O184" s="89">
        <f>IF(G184="","",-0.5*((J184-Components!$C$6)/Components!$D$6)^2)</f>
        <v>-1728.2481077147036</v>
      </c>
      <c r="P184" s="89">
        <f>IF(G184="","",-0.5*((J184-Components!$C$7)/Components!$D$7)^2)</f>
        <v>-1562.4722202024011</v>
      </c>
      <c r="Q184" s="89">
        <f t="shared" si="21"/>
        <v>1</v>
      </c>
      <c r="R184" s="89">
        <f t="shared" si="22"/>
        <v>0</v>
      </c>
      <c r="S184" s="89">
        <f t="shared" si="23"/>
        <v>1</v>
      </c>
      <c r="T184" s="89" t="str">
        <f t="shared" si="24"/>
        <v>NG</v>
      </c>
      <c r="U184" s="117">
        <f t="shared" si="25"/>
        <v>1</v>
      </c>
      <c r="V184" s="89" t="str">
        <f>IF(G184="","",IF(T184="OK","NONE",INDEX({"S1","S2","W1","W2","N1","N2"},MATCH(MAX(K184:P184),K184:P184,0))))</f>
        <v>S1</v>
      </c>
      <c r="W184" s="117">
        <f t="shared" si="26"/>
        <v>1</v>
      </c>
      <c r="X184" s="114" t="str">
        <f t="shared" si="27"/>
        <v>CONFIDENT</v>
      </c>
      <c r="Y184" s="107"/>
    </row>
    <row r="185" spans="1:25">
      <c r="A185" s="115">
        <v>176</v>
      </c>
      <c r="B185" s="135">
        <f>'Runs Z-Score'!B178</f>
        <v>6</v>
      </c>
      <c r="C185" s="89" t="str">
        <f>'Runs Z-Score'!C178</f>
        <v>R4</v>
      </c>
      <c r="D185" s="89" t="str">
        <f>'Runs Z-Score'!D178</f>
        <v>NG</v>
      </c>
      <c r="E185" s="89" t="str">
        <f>'Runs Z-Score'!E178</f>
        <v>S1</v>
      </c>
      <c r="F185" s="89">
        <f>'Runs Z-Score'!F178</f>
        <v>6.16</v>
      </c>
      <c r="G185" s="89">
        <f t="shared" si="19"/>
        <v>7.13</v>
      </c>
      <c r="H185" s="89">
        <v>9.91</v>
      </c>
      <c r="I185" s="89">
        <f>VLOOKUP(C185,Recipes!$A$2:$N$4,12,FALSE())</f>
        <v>5.0137397426368718E-2</v>
      </c>
      <c r="J185" s="89">
        <f t="shared" si="20"/>
        <v>2.7800000000000002</v>
      </c>
      <c r="K185" s="89">
        <f>IF(G185="","",-0.5*((J185-Components!$C$2)/Components!$D$2)^2)</f>
        <v>-8.1403508771955941</v>
      </c>
      <c r="L185" s="89">
        <f>IF(G185="","",-0.5*((J185-Components!$C$3)/Components!$D$3)^2)</f>
        <v>-4143.8898550725635</v>
      </c>
      <c r="M185" s="89">
        <f>IF(G185="","",-0.5*((J185-Components!$C$4)/Components!$D$4)^2)</f>
        <v>-8168.2196078431671</v>
      </c>
      <c r="N185" s="89">
        <f>IF(G185="","",-0.5*((J185-Components!$C$5)/Components!$D$5)^2)</f>
        <v>-2506.1397631133582</v>
      </c>
      <c r="O185" s="89">
        <f>IF(G185="","",-0.5*((J185-Components!$C$6)/Components!$D$6)^2)</f>
        <v>-1728.2481077147036</v>
      </c>
      <c r="P185" s="89">
        <f>IF(G185="","",-0.5*((J185-Components!$C$7)/Components!$D$7)^2)</f>
        <v>-1562.4722202024011</v>
      </c>
      <c r="Q185" s="89">
        <f t="shared" si="21"/>
        <v>1</v>
      </c>
      <c r="R185" s="89">
        <f t="shared" si="22"/>
        <v>0</v>
      </c>
      <c r="S185" s="89">
        <f t="shared" si="23"/>
        <v>1</v>
      </c>
      <c r="T185" s="89" t="str">
        <f t="shared" si="24"/>
        <v>NG</v>
      </c>
      <c r="U185" s="117">
        <f t="shared" si="25"/>
        <v>1</v>
      </c>
      <c r="V185" s="89" t="str">
        <f>IF(G185="","",IF(T185="OK","NONE",INDEX({"S1","S2","W1","W2","N1","N2"},MATCH(MAX(K185:P185),K185:P185,0))))</f>
        <v>S1</v>
      </c>
      <c r="W185" s="117">
        <f t="shared" si="26"/>
        <v>1</v>
      </c>
      <c r="X185" s="114" t="str">
        <f t="shared" si="27"/>
        <v>CONFIDENT</v>
      </c>
      <c r="Y185" s="107"/>
    </row>
    <row r="186" spans="1:25">
      <c r="A186" s="115">
        <v>177</v>
      </c>
      <c r="B186" s="135">
        <f>'Runs Z-Score'!B179</f>
        <v>6</v>
      </c>
      <c r="C186" s="89" t="str">
        <f>'Runs Z-Score'!C179</f>
        <v>R4</v>
      </c>
      <c r="D186" s="89" t="str">
        <f>'Runs Z-Score'!D179</f>
        <v>NG</v>
      </c>
      <c r="E186" s="89" t="str">
        <f>'Runs Z-Score'!E179</f>
        <v>S1</v>
      </c>
      <c r="F186" s="89">
        <f>'Runs Z-Score'!F179</f>
        <v>6.15</v>
      </c>
      <c r="G186" s="89">
        <f t="shared" si="19"/>
        <v>7.12</v>
      </c>
      <c r="H186" s="89">
        <v>9.91</v>
      </c>
      <c r="I186" s="89">
        <f>VLOOKUP(C186,Recipes!$A$2:$N$4,12,FALSE())</f>
        <v>5.0137397426368718E-2</v>
      </c>
      <c r="J186" s="89">
        <f t="shared" si="20"/>
        <v>2.79</v>
      </c>
      <c r="K186" s="89">
        <f>IF(G186="","",-0.5*((J186-Components!$C$2)/Components!$D$2)^2)</f>
        <v>-15.390350877196566</v>
      </c>
      <c r="L186" s="89">
        <f>IF(G186="","",-0.5*((J186-Components!$C$3)/Components!$D$3)^2)</f>
        <v>-4078.167028985607</v>
      </c>
      <c r="M186" s="89">
        <f>IF(G186="","",-0.5*((J186-Components!$C$4)/Components!$D$4)^2)</f>
        <v>-8259.9107843137535</v>
      </c>
      <c r="N186" s="89">
        <f>IF(G186="","",-0.5*((J186-Components!$C$5)/Components!$D$5)^2)</f>
        <v>-2478.1018733381593</v>
      </c>
      <c r="O186" s="89">
        <f>IF(G186="","",-0.5*((J186-Components!$C$6)/Components!$D$6)^2)</f>
        <v>-1749.5930858806423</v>
      </c>
      <c r="P186" s="89">
        <f>IF(G186="","",-0.5*((J186-Components!$C$7)/Components!$D$7)^2)</f>
        <v>-1584.7823456341405</v>
      </c>
      <c r="Q186" s="89">
        <f t="shared" si="21"/>
        <v>1</v>
      </c>
      <c r="R186" s="89">
        <f t="shared" si="22"/>
        <v>0</v>
      </c>
      <c r="S186" s="89">
        <f t="shared" si="23"/>
        <v>1</v>
      </c>
      <c r="T186" s="89" t="str">
        <f t="shared" si="24"/>
        <v>NG</v>
      </c>
      <c r="U186" s="117">
        <f t="shared" si="25"/>
        <v>1</v>
      </c>
      <c r="V186" s="89" t="str">
        <f>IF(G186="","",IF(T186="OK","NONE",INDEX({"S1","S2","W1","W2","N1","N2"},MATCH(MAX(K186:P186),K186:P186,0))))</f>
        <v>S1</v>
      </c>
      <c r="W186" s="117">
        <f t="shared" si="26"/>
        <v>1</v>
      </c>
      <c r="X186" s="114" t="str">
        <f t="shared" si="27"/>
        <v>CONFIDENT</v>
      </c>
      <c r="Y186" s="107"/>
    </row>
    <row r="187" spans="1:25">
      <c r="A187" s="115">
        <v>178</v>
      </c>
      <c r="B187" s="135">
        <f>'Runs Z-Score'!B180</f>
        <v>6</v>
      </c>
      <c r="C187" s="89" t="str">
        <f>'Runs Z-Score'!C180</f>
        <v>R4</v>
      </c>
      <c r="D187" s="89" t="str">
        <f>'Runs Z-Score'!D180</f>
        <v>NG</v>
      </c>
      <c r="E187" s="89" t="str">
        <f>'Runs Z-Score'!E180</f>
        <v>S1</v>
      </c>
      <c r="F187" s="89">
        <f>'Runs Z-Score'!F180</f>
        <v>6.17</v>
      </c>
      <c r="G187" s="89">
        <f t="shared" si="19"/>
        <v>7.14</v>
      </c>
      <c r="H187" s="89">
        <v>9.91</v>
      </c>
      <c r="I187" s="89">
        <f>VLOOKUP(C187,Recipes!$A$2:$N$4,12,FALSE())</f>
        <v>5.0137397426368718E-2</v>
      </c>
      <c r="J187" s="89">
        <f t="shared" si="20"/>
        <v>2.7700000000000005</v>
      </c>
      <c r="K187" s="89">
        <f>IF(G187="","",-0.5*((J187-Components!$C$2)/Components!$D$2)^2)</f>
        <v>-3.1798245614051428</v>
      </c>
      <c r="L187" s="89">
        <f>IF(G187="","",-0.5*((J187-Components!$C$3)/Components!$D$3)^2)</f>
        <v>-4210.1380434783614</v>
      </c>
      <c r="M187" s="89">
        <f>IF(G187="","",-0.5*((J187-Components!$C$4)/Components!$D$4)^2)</f>
        <v>-8077.0401960784639</v>
      </c>
      <c r="N187" s="89">
        <f>IF(G187="","",-0.5*((J187-Components!$C$5)/Components!$D$5)^2)</f>
        <v>-2534.3353758762287</v>
      </c>
      <c r="O187" s="89">
        <f>IF(G187="","",-0.5*((J187-Components!$C$6)/Components!$D$6)^2)</f>
        <v>-1707.0341339155775</v>
      </c>
      <c r="P187" s="89">
        <f>IF(G187="","",-0.5*((J187-Components!$C$7)/Components!$D$7)^2)</f>
        <v>-1540.3202478337412</v>
      </c>
      <c r="Q187" s="89">
        <f t="shared" si="21"/>
        <v>1</v>
      </c>
      <c r="R187" s="89">
        <f t="shared" si="22"/>
        <v>0</v>
      </c>
      <c r="S187" s="89">
        <f t="shared" si="23"/>
        <v>1</v>
      </c>
      <c r="T187" s="89" t="str">
        <f t="shared" si="24"/>
        <v>NG</v>
      </c>
      <c r="U187" s="117">
        <f t="shared" si="25"/>
        <v>1</v>
      </c>
      <c r="V187" s="89" t="str">
        <f>IF(G187="","",IF(T187="OK","NONE",INDEX({"S1","S2","W1","W2","N1","N2"},MATCH(MAX(K187:P187),K187:P187,0))))</f>
        <v>S1</v>
      </c>
      <c r="W187" s="117">
        <f t="shared" si="26"/>
        <v>1</v>
      </c>
      <c r="X187" s="114" t="str">
        <f t="shared" si="27"/>
        <v>CONFIDENT</v>
      </c>
      <c r="Y187" s="107"/>
    </row>
    <row r="188" spans="1:25">
      <c r="A188" s="115">
        <v>179</v>
      </c>
      <c r="B188" s="135">
        <f>'Runs Z-Score'!B181</f>
        <v>6</v>
      </c>
      <c r="C188" s="89" t="str">
        <f>'Runs Z-Score'!C181</f>
        <v>R4</v>
      </c>
      <c r="D188" s="89" t="str">
        <f>'Runs Z-Score'!D181</f>
        <v>NG</v>
      </c>
      <c r="E188" s="89" t="str">
        <f>'Runs Z-Score'!E181</f>
        <v>S1</v>
      </c>
      <c r="F188" s="89">
        <f>'Runs Z-Score'!F181</f>
        <v>6.2</v>
      </c>
      <c r="G188" s="89">
        <f t="shared" si="19"/>
        <v>7.17</v>
      </c>
      <c r="H188" s="89">
        <v>9.91</v>
      </c>
      <c r="I188" s="89">
        <f>VLOOKUP(C188,Recipes!$A$2:$N$4,12,FALSE())</f>
        <v>5.0137397426368718E-2</v>
      </c>
      <c r="J188" s="89">
        <f t="shared" si="20"/>
        <v>2.74</v>
      </c>
      <c r="K188" s="89">
        <f>IF(G188="","",-0.5*((J188-Components!$C$2)/Components!$D$2)^2)</f>
        <v>-2.0350877192972034</v>
      </c>
      <c r="L188" s="89">
        <f>IF(G188="","",-0.5*((J188-Components!$C$3)/Components!$D$3)^2)</f>
        <v>-4412.0347826088027</v>
      </c>
      <c r="M188" s="89">
        <f>IF(G188="","",-0.5*((J188-Components!$C$4)/Components!$D$4)^2)</f>
        <v>-7806.5725490196364</v>
      </c>
      <c r="N188" s="89">
        <f>IF(G188="","",-0.5*((J188-Components!$C$5)/Components!$D$5)^2)</f>
        <v>-2619.8685520908775</v>
      </c>
      <c r="O188" s="89">
        <f>IF(G188="","",-0.5*((J188-Components!$C$6)/Components!$D$6)^2)</f>
        <v>-1644.1782387190701</v>
      </c>
      <c r="P188" s="89">
        <f>IF(G188="","",-0.5*((J188-Components!$C$7)/Components!$D$7)^2)</f>
        <v>-1474.8132491062361</v>
      </c>
      <c r="Q188" s="89">
        <f t="shared" si="21"/>
        <v>1</v>
      </c>
      <c r="R188" s="89">
        <f t="shared" si="22"/>
        <v>0</v>
      </c>
      <c r="S188" s="89">
        <f t="shared" si="23"/>
        <v>1</v>
      </c>
      <c r="T188" s="89" t="str">
        <f t="shared" si="24"/>
        <v>NG</v>
      </c>
      <c r="U188" s="117">
        <f t="shared" si="25"/>
        <v>1</v>
      </c>
      <c r="V188" s="89" t="str">
        <f>IF(G188="","",IF(T188="OK","NONE",INDEX({"S1","S2","W1","W2","N1","N2"},MATCH(MAX(K188:P188),K188:P188,0))))</f>
        <v>S1</v>
      </c>
      <c r="W188" s="117">
        <f t="shared" si="26"/>
        <v>1</v>
      </c>
      <c r="X188" s="114" t="str">
        <f t="shared" si="27"/>
        <v>CONFIDENT</v>
      </c>
      <c r="Y188" s="107"/>
    </row>
    <row r="189" spans="1:25">
      <c r="A189" s="115">
        <v>180</v>
      </c>
      <c r="B189" s="135">
        <f>'Runs Z-Score'!B182</f>
        <v>6</v>
      </c>
      <c r="C189" s="89" t="str">
        <f>'Runs Z-Score'!C182</f>
        <v>R4</v>
      </c>
      <c r="D189" s="89" t="str">
        <f>'Runs Z-Score'!D182</f>
        <v>NG</v>
      </c>
      <c r="E189" s="89" t="str">
        <f>'Runs Z-Score'!E182</f>
        <v>S1</v>
      </c>
      <c r="F189" s="89">
        <f>'Runs Z-Score'!F182</f>
        <v>6.14</v>
      </c>
      <c r="G189" s="89">
        <f t="shared" si="19"/>
        <v>7.1099999999999994</v>
      </c>
      <c r="H189" s="89">
        <v>9.91</v>
      </c>
      <c r="I189" s="89">
        <f>VLOOKUP(C189,Recipes!$A$2:$N$4,12,FALSE())</f>
        <v>5.0137397426368718E-2</v>
      </c>
      <c r="J189" s="89">
        <f t="shared" si="20"/>
        <v>2.8000000000000007</v>
      </c>
      <c r="K189" s="89">
        <f>IF(G189="","",-0.5*((J189-Components!$C$2)/Components!$D$2)^2)</f>
        <v>-24.929824561409013</v>
      </c>
      <c r="L189" s="89">
        <f>IF(G189="","",-0.5*((J189-Components!$C$3)/Components!$D$3)^2)</f>
        <v>-4012.9695652174851</v>
      </c>
      <c r="M189" s="89">
        <f>IF(G189="","",-0.5*((J189-Components!$C$4)/Components!$D$4)^2)</f>
        <v>-8352.1137254902314</v>
      </c>
      <c r="N189" s="89">
        <f>IF(G189="","",-0.5*((J189-Components!$C$5)/Components!$D$5)^2)</f>
        <v>-2450.2217065506302</v>
      </c>
      <c r="O189" s="89">
        <f>IF(G189="","",-0.5*((J189-Components!$C$6)/Components!$D$6)^2)</f>
        <v>-1771.0690684133951</v>
      </c>
      <c r="P189" s="89">
        <f>IF(G189="","",-0.5*((J189-Components!$C$7)/Components!$D$7)^2)</f>
        <v>-1607.2506241289614</v>
      </c>
      <c r="Q189" s="89">
        <f t="shared" si="21"/>
        <v>1</v>
      </c>
      <c r="R189" s="89">
        <f t="shared" si="22"/>
        <v>0</v>
      </c>
      <c r="S189" s="89">
        <f t="shared" si="23"/>
        <v>1</v>
      </c>
      <c r="T189" s="89" t="str">
        <f t="shared" si="24"/>
        <v>NG</v>
      </c>
      <c r="U189" s="117">
        <f t="shared" si="25"/>
        <v>1</v>
      </c>
      <c r="V189" s="89" t="str">
        <f>IF(G189="","",IF(T189="OK","NONE",INDEX({"S1","S2","W1","W2","N1","N2"},MATCH(MAX(K189:P189),K189:P189,0))))</f>
        <v>S1</v>
      </c>
      <c r="W189" s="117">
        <f t="shared" si="26"/>
        <v>1</v>
      </c>
      <c r="X189" s="114" t="str">
        <f t="shared" si="27"/>
        <v>CONFIDENT</v>
      </c>
      <c r="Y189" s="107"/>
    </row>
    <row r="190" spans="1:25">
      <c r="A190" s="115">
        <v>181</v>
      </c>
      <c r="B190" s="135">
        <f>'Runs Z-Score'!B183</f>
        <v>7</v>
      </c>
      <c r="C190" s="89" t="str">
        <f>'Runs Z-Score'!C183</f>
        <v>R4</v>
      </c>
      <c r="D190" s="89" t="str">
        <f>'Runs Z-Score'!D183</f>
        <v>NG</v>
      </c>
      <c r="E190" s="89" t="str">
        <f>'Runs Z-Score'!E183</f>
        <v>W1</v>
      </c>
      <c r="F190" s="89">
        <f>'Runs Z-Score'!F183</f>
        <v>7.99</v>
      </c>
      <c r="G190" s="89">
        <f t="shared" si="19"/>
        <v>8.9600000000000009</v>
      </c>
      <c r="H190" s="89">
        <v>9.91</v>
      </c>
      <c r="I190" s="89">
        <f>VLOOKUP(C190,Recipes!$A$2:$N$4,12,FALSE())</f>
        <v>5.0137397426368718E-2</v>
      </c>
      <c r="J190" s="89">
        <f t="shared" si="20"/>
        <v>0.94999999999999929</v>
      </c>
      <c r="K190" s="89">
        <f>IF(G190="","",-0.5*((J190-Components!$C$2)/Components!$D$2)^2)</f>
        <v>-37226.969298247037</v>
      </c>
      <c r="L190" s="89">
        <f>IF(G190="","",-0.5*((J190-Components!$C$3)/Components!$D$3)^2)</f>
        <v>-25016.167028986139</v>
      </c>
      <c r="M190" s="89">
        <f>IF(G190="","",-0.5*((J190-Components!$C$4)/Components!$D$4)^2)</f>
        <v>-4.8049019607844023</v>
      </c>
      <c r="N190" s="89">
        <f>IF(G190="","",-0.5*((J190-Components!$C$5)/Components!$D$5)^2)</f>
        <v>-10292.497812424408</v>
      </c>
      <c r="O190" s="89">
        <f>IF(G190="","",-0.5*((J190-Components!$C$6)/Components!$D$6)^2)</f>
        <v>-27.706622998545612</v>
      </c>
      <c r="P190" s="89">
        <f>IF(G190="","",-0.5*((J190-Components!$C$7)/Components!$D$7)^2)</f>
        <v>-142.38423619947773</v>
      </c>
      <c r="Q190" s="89">
        <f t="shared" si="21"/>
        <v>0.99999999988678367</v>
      </c>
      <c r="R190" s="89">
        <f t="shared" si="22"/>
        <v>1.1321629204295097E-10</v>
      </c>
      <c r="S190" s="89">
        <f t="shared" si="23"/>
        <v>0.99999999977356735</v>
      </c>
      <c r="T190" s="89" t="str">
        <f t="shared" si="24"/>
        <v>NG</v>
      </c>
      <c r="U190" s="117">
        <f t="shared" si="25"/>
        <v>1</v>
      </c>
      <c r="V190" s="89" t="str">
        <f>IF(G190="","",IF(T190="OK","NONE",INDEX({"S1","S2","W1","W2","N1","N2"},MATCH(MAX(K190:P190),K190:P190,0))))</f>
        <v>W1</v>
      </c>
      <c r="W190" s="117">
        <f t="shared" si="26"/>
        <v>1</v>
      </c>
      <c r="X190" s="114" t="str">
        <f t="shared" si="27"/>
        <v>CONFIDENT</v>
      </c>
      <c r="Y190" s="107"/>
    </row>
    <row r="191" spans="1:25">
      <c r="A191" s="115">
        <v>182</v>
      </c>
      <c r="B191" s="135">
        <f>'Runs Z-Score'!B184</f>
        <v>7</v>
      </c>
      <c r="C191" s="89" t="str">
        <f>'Runs Z-Score'!C184</f>
        <v>R4</v>
      </c>
      <c r="D191" s="89" t="str">
        <f>'Runs Z-Score'!D184</f>
        <v>NG</v>
      </c>
      <c r="E191" s="89" t="str">
        <f>'Runs Z-Score'!E184</f>
        <v>W1</v>
      </c>
      <c r="F191" s="89">
        <f>'Runs Z-Score'!F184</f>
        <v>7.97</v>
      </c>
      <c r="G191" s="89">
        <f t="shared" si="19"/>
        <v>8.94</v>
      </c>
      <c r="H191" s="89">
        <v>9.91</v>
      </c>
      <c r="I191" s="89">
        <f>VLOOKUP(C191,Recipes!$A$2:$N$4,12,FALSE())</f>
        <v>5.0137397426368718E-2</v>
      </c>
      <c r="J191" s="89">
        <f t="shared" si="20"/>
        <v>0.97000000000000064</v>
      </c>
      <c r="K191" s="89">
        <f>IF(G191="","",-0.5*((J191-Components!$C$2)/Components!$D$2)^2)</f>
        <v>-36405.81140351011</v>
      </c>
      <c r="L191" s="89">
        <f>IF(G191="","",-0.5*((J191-Components!$C$3)/Components!$D$3)^2)</f>
        <v>-24692.964130435386</v>
      </c>
      <c r="M191" s="89">
        <f>IF(G191="","",-0.5*((J191-Components!$C$4)/Components!$D$4)^2)</f>
        <v>-1.3931372549018437</v>
      </c>
      <c r="N191" s="89">
        <f>IF(G191="","",-0.5*((J191-Components!$C$5)/Components!$D$5)^2)</f>
        <v>-10178.85314237364</v>
      </c>
      <c r="O191" s="89">
        <f>IF(G191="","",-0.5*((J191-Components!$C$6)/Components!$D$6)^2)</f>
        <v>-22.579985443959998</v>
      </c>
      <c r="P191" s="89">
        <f>IF(G191="","",-0.5*((J191-Components!$C$7)/Components!$D$7)^2)</f>
        <v>-129.27861903896061</v>
      </c>
      <c r="Q191" s="89">
        <f t="shared" si="21"/>
        <v>0.99999999937097384</v>
      </c>
      <c r="R191" s="89">
        <f t="shared" si="22"/>
        <v>6.2902621068733355E-10</v>
      </c>
      <c r="S191" s="89">
        <f t="shared" si="23"/>
        <v>0.99999999874194767</v>
      </c>
      <c r="T191" s="89" t="str">
        <f t="shared" si="24"/>
        <v>NG</v>
      </c>
      <c r="U191" s="117">
        <f t="shared" si="25"/>
        <v>1</v>
      </c>
      <c r="V191" s="89" t="str">
        <f>IF(G191="","",IF(T191="OK","NONE",INDEX({"S1","S2","W1","W2","N1","N2"},MATCH(MAX(K191:P191),K191:P191,0))))</f>
        <v>W1</v>
      </c>
      <c r="W191" s="117">
        <f t="shared" si="26"/>
        <v>1</v>
      </c>
      <c r="X191" s="114" t="str">
        <f t="shared" si="27"/>
        <v>CONFIDENT</v>
      </c>
      <c r="Y191" s="107"/>
    </row>
    <row r="192" spans="1:25">
      <c r="A192" s="115">
        <v>183</v>
      </c>
      <c r="B192" s="135">
        <f>'Runs Z-Score'!B185</f>
        <v>7</v>
      </c>
      <c r="C192" s="89" t="str">
        <f>'Runs Z-Score'!C185</f>
        <v>R4</v>
      </c>
      <c r="D192" s="89" t="str">
        <f>'Runs Z-Score'!D185</f>
        <v>NG</v>
      </c>
      <c r="E192" s="89" t="str">
        <f>'Runs Z-Score'!E185</f>
        <v>W1</v>
      </c>
      <c r="F192" s="89">
        <f>'Runs Z-Score'!F185</f>
        <v>7.97</v>
      </c>
      <c r="G192" s="89">
        <f t="shared" si="19"/>
        <v>8.94</v>
      </c>
      <c r="H192" s="89">
        <v>9.91</v>
      </c>
      <c r="I192" s="89">
        <f>VLOOKUP(C192,Recipes!$A$2:$N$4,12,FALSE())</f>
        <v>5.0137397426368718E-2</v>
      </c>
      <c r="J192" s="89">
        <f t="shared" si="20"/>
        <v>0.97000000000000064</v>
      </c>
      <c r="K192" s="89">
        <f>IF(G192="","",-0.5*((J192-Components!$C$2)/Components!$D$2)^2)</f>
        <v>-36405.81140351011</v>
      </c>
      <c r="L192" s="89">
        <f>IF(G192="","",-0.5*((J192-Components!$C$3)/Components!$D$3)^2)</f>
        <v>-24692.964130435386</v>
      </c>
      <c r="M192" s="89">
        <f>IF(G192="","",-0.5*((J192-Components!$C$4)/Components!$D$4)^2)</f>
        <v>-1.3931372549018437</v>
      </c>
      <c r="N192" s="89">
        <f>IF(G192="","",-0.5*((J192-Components!$C$5)/Components!$D$5)^2)</f>
        <v>-10178.85314237364</v>
      </c>
      <c r="O192" s="89">
        <f>IF(G192="","",-0.5*((J192-Components!$C$6)/Components!$D$6)^2)</f>
        <v>-22.579985443959998</v>
      </c>
      <c r="P192" s="89">
        <f>IF(G192="","",-0.5*((J192-Components!$C$7)/Components!$D$7)^2)</f>
        <v>-129.27861903896061</v>
      </c>
      <c r="Q192" s="89">
        <f t="shared" si="21"/>
        <v>0.99999999937097384</v>
      </c>
      <c r="R192" s="89">
        <f t="shared" si="22"/>
        <v>6.2902621068733355E-10</v>
      </c>
      <c r="S192" s="89">
        <f t="shared" si="23"/>
        <v>0.99999999874194767</v>
      </c>
      <c r="T192" s="89" t="str">
        <f t="shared" si="24"/>
        <v>NG</v>
      </c>
      <c r="U192" s="117">
        <f t="shared" si="25"/>
        <v>1</v>
      </c>
      <c r="V192" s="89" t="str">
        <f>IF(G192="","",IF(T192="OK","NONE",INDEX({"S1","S2","W1","W2","N1","N2"},MATCH(MAX(K192:P192),K192:P192,0))))</f>
        <v>W1</v>
      </c>
      <c r="W192" s="117">
        <f t="shared" si="26"/>
        <v>1</v>
      </c>
      <c r="X192" s="114" t="str">
        <f t="shared" si="27"/>
        <v>CONFIDENT</v>
      </c>
      <c r="Y192" s="107"/>
    </row>
    <row r="193" spans="1:25">
      <c r="A193" s="115">
        <v>184</v>
      </c>
      <c r="B193" s="135">
        <f>'Runs Z-Score'!B186</f>
        <v>7</v>
      </c>
      <c r="C193" s="89" t="str">
        <f>'Runs Z-Score'!C186</f>
        <v>R4</v>
      </c>
      <c r="D193" s="89" t="str">
        <f>'Runs Z-Score'!D186</f>
        <v>NG</v>
      </c>
      <c r="E193" s="89" t="str">
        <f>'Runs Z-Score'!E186</f>
        <v>W1</v>
      </c>
      <c r="F193" s="89">
        <f>'Runs Z-Score'!F186</f>
        <v>7.94</v>
      </c>
      <c r="G193" s="89">
        <f t="shared" si="19"/>
        <v>8.91</v>
      </c>
      <c r="H193" s="89">
        <v>9.91</v>
      </c>
      <c r="I193" s="89">
        <f>VLOOKUP(C193,Recipes!$A$2:$N$4,12,FALSE())</f>
        <v>5.0137397426368718E-2</v>
      </c>
      <c r="J193" s="89">
        <f t="shared" si="20"/>
        <v>1</v>
      </c>
      <c r="K193" s="89">
        <f>IF(G193="","",-0.5*((J193-Components!$C$2)/Components!$D$2)^2)</f>
        <v>-35191.245614036394</v>
      </c>
      <c r="L193" s="89">
        <f>IF(G193="","",-0.5*((J193-Components!$C$3)/Components!$D$3)^2)</f>
        <v>-24212.100000000602</v>
      </c>
      <c r="M193" s="89">
        <f>IF(G193="","",-0.5*((J193-Components!$C$4)/Components!$D$4)^2)</f>
        <v>-0.1137254901960916</v>
      </c>
      <c r="N193" s="89">
        <f>IF(G193="","",-0.5*((J193-Components!$C$5)/Components!$D$5)^2)</f>
        <v>-10009.569059705045</v>
      </c>
      <c r="O193" s="89">
        <f>IF(G193="","",-0.5*((J193-Components!$C$6)/Components!$D$6)^2)</f>
        <v>-15.872561863173967</v>
      </c>
      <c r="P193" s="89">
        <f>IF(G193="","",-0.5*((J193-Components!$C$7)/Components!$D$7)^2)</f>
        <v>-110.80634127128251</v>
      </c>
      <c r="Q193" s="89">
        <f t="shared" si="21"/>
        <v>0.99999985677320968</v>
      </c>
      <c r="R193" s="89">
        <f t="shared" si="22"/>
        <v>1.4322679038772536E-7</v>
      </c>
      <c r="S193" s="89">
        <f t="shared" si="23"/>
        <v>0.99999971354641926</v>
      </c>
      <c r="T193" s="89" t="str">
        <f t="shared" si="24"/>
        <v>NG</v>
      </c>
      <c r="U193" s="117">
        <f t="shared" si="25"/>
        <v>1</v>
      </c>
      <c r="V193" s="89" t="str">
        <f>IF(G193="","",IF(T193="OK","NONE",INDEX({"S1","S2","W1","W2","N1","N2"},MATCH(MAX(K193:P193),K193:P193,0))))</f>
        <v>W1</v>
      </c>
      <c r="W193" s="117">
        <f t="shared" si="26"/>
        <v>1</v>
      </c>
      <c r="X193" s="114" t="str">
        <f t="shared" si="27"/>
        <v>CONFIDENT</v>
      </c>
      <c r="Y193" s="107"/>
    </row>
    <row r="194" spans="1:25">
      <c r="A194" s="115">
        <v>185</v>
      </c>
      <c r="B194" s="135">
        <f>'Runs Z-Score'!B187</f>
        <v>7</v>
      </c>
      <c r="C194" s="89" t="str">
        <f>'Runs Z-Score'!C187</f>
        <v>R4</v>
      </c>
      <c r="D194" s="89" t="str">
        <f>'Runs Z-Score'!D187</f>
        <v>NG</v>
      </c>
      <c r="E194" s="89" t="str">
        <f>'Runs Z-Score'!E187</f>
        <v>W1</v>
      </c>
      <c r="F194" s="89">
        <f>'Runs Z-Score'!F187</f>
        <v>7.96</v>
      </c>
      <c r="G194" s="89">
        <f t="shared" si="19"/>
        <v>8.93</v>
      </c>
      <c r="H194" s="89">
        <v>9.91</v>
      </c>
      <c r="I194" s="89">
        <f>VLOOKUP(C194,Recipes!$A$2:$N$4,12,FALSE())</f>
        <v>5.0137397426368718E-2</v>
      </c>
      <c r="J194" s="89">
        <f t="shared" si="20"/>
        <v>0.98000000000000043</v>
      </c>
      <c r="K194" s="89">
        <f>IF(G194="","",-0.5*((J194-Components!$C$2)/Components!$D$2)^2)</f>
        <v>-35998.666666667996</v>
      </c>
      <c r="L194" s="89">
        <f>IF(G194="","",-0.5*((J194-Components!$C$3)/Components!$D$3)^2)</f>
        <v>-24532.150724638286</v>
      </c>
      <c r="M194" s="89">
        <f>IF(G194="","",-0.5*((J194-Components!$C$4)/Components!$D$4)^2)</f>
        <v>-0.45490196078426037</v>
      </c>
      <c r="N194" s="89">
        <f>IF(G194="","",-0.5*((J194-Components!$C$5)/Components!$D$5)^2)</f>
        <v>-10122.267391829771</v>
      </c>
      <c r="O194" s="89">
        <f>IF(G194="","",-0.5*((J194-Components!$C$6)/Components!$D$6)^2)</f>
        <v>-20.213173216885764</v>
      </c>
      <c r="P194" s="89">
        <f>IF(G194="","",-0.5*((J194-Components!$C$7)/Components!$D$7)^2)</f>
        <v>-122.96304005332181</v>
      </c>
      <c r="Q194" s="89">
        <f t="shared" si="21"/>
        <v>0.99999999737522649</v>
      </c>
      <c r="R194" s="89">
        <f t="shared" si="22"/>
        <v>2.6247734254922817E-9</v>
      </c>
      <c r="S194" s="89">
        <f t="shared" si="23"/>
        <v>0.99999999475045309</v>
      </c>
      <c r="T194" s="89" t="str">
        <f t="shared" si="24"/>
        <v>NG</v>
      </c>
      <c r="U194" s="117">
        <f t="shared" si="25"/>
        <v>1</v>
      </c>
      <c r="V194" s="89" t="str">
        <f>IF(G194="","",IF(T194="OK","NONE",INDEX({"S1","S2","W1","W2","N1","N2"},MATCH(MAX(K194:P194),K194:P194,0))))</f>
        <v>W1</v>
      </c>
      <c r="W194" s="117">
        <f t="shared" si="26"/>
        <v>1</v>
      </c>
      <c r="X194" s="114" t="str">
        <f t="shared" si="27"/>
        <v>CONFIDENT</v>
      </c>
      <c r="Y194" s="107"/>
    </row>
    <row r="195" spans="1:25">
      <c r="A195" s="115">
        <v>186</v>
      </c>
      <c r="B195" s="135">
        <f>'Runs Z-Score'!B188</f>
        <v>7</v>
      </c>
      <c r="C195" s="89" t="str">
        <f>'Runs Z-Score'!C188</f>
        <v>R4</v>
      </c>
      <c r="D195" s="89" t="str">
        <f>'Runs Z-Score'!D188</f>
        <v>NG</v>
      </c>
      <c r="E195" s="89" t="str">
        <f>'Runs Z-Score'!E188</f>
        <v>W1</v>
      </c>
      <c r="F195" s="89">
        <f>'Runs Z-Score'!F188</f>
        <v>8.02</v>
      </c>
      <c r="G195" s="89">
        <f t="shared" si="19"/>
        <v>8.99</v>
      </c>
      <c r="H195" s="89">
        <v>9.91</v>
      </c>
      <c r="I195" s="89">
        <f>VLOOKUP(C195,Recipes!$A$2:$N$4,12,FALSE())</f>
        <v>5.0137397426368718E-2</v>
      </c>
      <c r="J195" s="89">
        <f t="shared" si="20"/>
        <v>0.91999999999999993</v>
      </c>
      <c r="K195" s="89">
        <f>IF(G195="","",-0.5*((J195-Components!$C$2)/Components!$D$2)^2)</f>
        <v>-38475.877192983899</v>
      </c>
      <c r="L195" s="89">
        <f>IF(G195="","",-0.5*((J195-Components!$C$3)/Components!$D$3)^2)</f>
        <v>-25504.911594203535</v>
      </c>
      <c r="M195" s="89">
        <f>IF(G195="","",-0.5*((J195-Components!$C$4)/Components!$D$4)^2)</f>
        <v>-13.760784313725416</v>
      </c>
      <c r="N195" s="89">
        <f>IF(G195="","",-0.5*((J195-Components!$C$5)/Components!$D$5)^2)</f>
        <v>-10464.147739908087</v>
      </c>
      <c r="O195" s="89">
        <f>IF(G195="","",-0.5*((J195-Components!$C$6)/Components!$D$6)^2)</f>
        <v>-36.379112081515053</v>
      </c>
      <c r="P195" s="89">
        <f>IF(G195="","",-0.5*((J195-Components!$C$7)/Components!$D$7)^2)</f>
        <v>-163.22880991334745</v>
      </c>
      <c r="Q195" s="89">
        <f t="shared" si="21"/>
        <v>0.9999999998496909</v>
      </c>
      <c r="R195" s="89">
        <f t="shared" si="22"/>
        <v>1.503090259708275E-10</v>
      </c>
      <c r="S195" s="89">
        <f t="shared" si="23"/>
        <v>0.99999999969938191</v>
      </c>
      <c r="T195" s="89" t="str">
        <f t="shared" si="24"/>
        <v>NG</v>
      </c>
      <c r="U195" s="117">
        <f t="shared" si="25"/>
        <v>1</v>
      </c>
      <c r="V195" s="89" t="str">
        <f>IF(G195="","",IF(T195="OK","NONE",INDEX({"S1","S2","W1","W2","N1","N2"},MATCH(MAX(K195:P195),K195:P195,0))))</f>
        <v>W1</v>
      </c>
      <c r="W195" s="117">
        <f t="shared" si="26"/>
        <v>1</v>
      </c>
      <c r="X195" s="114" t="str">
        <f t="shared" si="27"/>
        <v>CONFIDENT</v>
      </c>
      <c r="Y195" s="107"/>
    </row>
    <row r="196" spans="1:25">
      <c r="A196" s="115">
        <v>187</v>
      </c>
      <c r="B196" s="135">
        <f>'Runs Z-Score'!B189</f>
        <v>7</v>
      </c>
      <c r="C196" s="89" t="str">
        <f>'Runs Z-Score'!C189</f>
        <v>R4</v>
      </c>
      <c r="D196" s="89" t="str">
        <f>'Runs Z-Score'!D189</f>
        <v>NG</v>
      </c>
      <c r="E196" s="89" t="str">
        <f>'Runs Z-Score'!E189</f>
        <v>W1</v>
      </c>
      <c r="F196" s="89">
        <f>'Runs Z-Score'!F189</f>
        <v>8.07</v>
      </c>
      <c r="G196" s="89">
        <f t="shared" si="19"/>
        <v>9.0400000000000009</v>
      </c>
      <c r="H196" s="89">
        <v>9.91</v>
      </c>
      <c r="I196" s="89">
        <f>VLOOKUP(C196,Recipes!$A$2:$N$4,12,FALSE())</f>
        <v>5.0137397426368718E-2</v>
      </c>
      <c r="J196" s="89">
        <f t="shared" si="20"/>
        <v>0.86999999999999922</v>
      </c>
      <c r="K196" s="89">
        <f>IF(G196="","",-0.5*((J196-Components!$C$2)/Components!$D$2)^2)</f>
        <v>-40603.179824562962</v>
      </c>
      <c r="L196" s="89">
        <f>IF(G196="","",-0.5*((J196-Components!$C$3)/Components!$D$3)^2)</f>
        <v>-26329.993115942696</v>
      </c>
      <c r="M196" s="89">
        <f>IF(G196="","",-0.5*((J196-Components!$C$4)/Components!$D$4)^2)</f>
        <v>-38.922549019608219</v>
      </c>
      <c r="N196" s="89">
        <f>IF(G196="","",-0.5*((J196-Components!$C$5)/Components!$D$5)^2)</f>
        <v>-10753.385412134339</v>
      </c>
      <c r="O196" s="89">
        <f>IF(G196="","",-0.5*((J196-Components!$C$6)/Components!$D$6)^2)</f>
        <v>-53.453347889375891</v>
      </c>
      <c r="P196" s="89">
        <f>IF(G196="","",-0.5*((J196-Components!$C$7)/Components!$D$7)^2)</f>
        <v>-201.13282736472038</v>
      </c>
      <c r="Q196" s="89">
        <f t="shared" si="21"/>
        <v>0.99999951094914685</v>
      </c>
      <c r="R196" s="89">
        <f t="shared" si="22"/>
        <v>4.8905085309529197E-7</v>
      </c>
      <c r="S196" s="89">
        <f t="shared" si="23"/>
        <v>0.99999902189829371</v>
      </c>
      <c r="T196" s="89" t="str">
        <f t="shared" si="24"/>
        <v>NG</v>
      </c>
      <c r="U196" s="117">
        <f t="shared" si="25"/>
        <v>1</v>
      </c>
      <c r="V196" s="89" t="str">
        <f>IF(G196="","",IF(T196="OK","NONE",INDEX({"S1","S2","W1","W2","N1","N2"},MATCH(MAX(K196:P196),K196:P196,0))))</f>
        <v>W1</v>
      </c>
      <c r="W196" s="117">
        <f t="shared" si="26"/>
        <v>1</v>
      </c>
      <c r="X196" s="114" t="str">
        <f t="shared" si="27"/>
        <v>CONFIDENT</v>
      </c>
      <c r="Y196" s="107"/>
    </row>
    <row r="197" spans="1:25">
      <c r="A197" s="115">
        <v>188</v>
      </c>
      <c r="B197" s="135">
        <f>'Runs Z-Score'!B190</f>
        <v>7</v>
      </c>
      <c r="C197" s="89" t="str">
        <f>'Runs Z-Score'!C190</f>
        <v>R4</v>
      </c>
      <c r="D197" s="89" t="str">
        <f>'Runs Z-Score'!D190</f>
        <v>NG</v>
      </c>
      <c r="E197" s="89" t="str">
        <f>'Runs Z-Score'!E190</f>
        <v>W1</v>
      </c>
      <c r="F197" s="89">
        <f>'Runs Z-Score'!F190</f>
        <v>7.89</v>
      </c>
      <c r="G197" s="89">
        <f t="shared" si="19"/>
        <v>8.86</v>
      </c>
      <c r="H197" s="89">
        <v>9.91</v>
      </c>
      <c r="I197" s="89">
        <f>VLOOKUP(C197,Recipes!$A$2:$N$4,12,FALSE())</f>
        <v>5.0137397426368718E-2</v>
      </c>
      <c r="J197" s="89">
        <f t="shared" si="20"/>
        <v>1.0500000000000007</v>
      </c>
      <c r="K197" s="89">
        <f>IF(G197="","",-0.5*((J197-Components!$C$2)/Components!$D$2)^2)</f>
        <v>-33212.75877193104</v>
      </c>
      <c r="L197" s="89">
        <f>IF(G197="","",-0.5*((J197-Components!$C$3)/Components!$D$3)^2)</f>
        <v>-23421.167028986078</v>
      </c>
      <c r="M197" s="89">
        <f>IF(G197="","",-0.5*((J197-Components!$C$4)/Components!$D$4)^2)</f>
        <v>-8.2166666666670061</v>
      </c>
      <c r="N197" s="89">
        <f>IF(G197="","",-0.5*((J197-Components!$C$5)/Components!$D$5)^2)</f>
        <v>-9730.5833816774866</v>
      </c>
      <c r="O197" s="89">
        <f>IF(G197="","",-0.5*((J197-Components!$C$6)/Components!$D$6)^2)</f>
        <v>-7.3136098981081075</v>
      </c>
      <c r="P197" s="89">
        <f>IF(G197="","",-0.5*((J197-Components!$C$7)/Components!$D$7)^2)</f>
        <v>-83.18227292007343</v>
      </c>
      <c r="Q197" s="89">
        <f t="shared" si="21"/>
        <v>0.71157726421890266</v>
      </c>
      <c r="R197" s="89">
        <f t="shared" si="22"/>
        <v>0.28842273578109745</v>
      </c>
      <c r="S197" s="89">
        <f t="shared" si="23"/>
        <v>0.42315452843780521</v>
      </c>
      <c r="T197" s="89" t="str">
        <f t="shared" si="24"/>
        <v>NG</v>
      </c>
      <c r="U197" s="117">
        <f t="shared" si="25"/>
        <v>1</v>
      </c>
      <c r="V197" s="89" t="str">
        <f>IF(G197="","",IF(T197="OK","NONE",INDEX({"S1","S2","W1","W2","N1","N2"},MATCH(MAX(K197:P197),K197:P197,0))))</f>
        <v>N1</v>
      </c>
      <c r="W197" s="122">
        <f t="shared" si="26"/>
        <v>0</v>
      </c>
      <c r="X197" s="114" t="str">
        <f t="shared" si="27"/>
        <v>CONFIDENT</v>
      </c>
      <c r="Y197" s="107"/>
    </row>
    <row r="198" spans="1:25">
      <c r="A198" s="115">
        <v>189</v>
      </c>
      <c r="B198" s="135">
        <f>'Runs Z-Score'!B191</f>
        <v>7</v>
      </c>
      <c r="C198" s="89" t="str">
        <f>'Runs Z-Score'!C191</f>
        <v>R4</v>
      </c>
      <c r="D198" s="89" t="str">
        <f>'Runs Z-Score'!D191</f>
        <v>NG</v>
      </c>
      <c r="E198" s="89" t="str">
        <f>'Runs Z-Score'!E191</f>
        <v>W1</v>
      </c>
      <c r="F198" s="89">
        <f>'Runs Z-Score'!F191</f>
        <v>7.91</v>
      </c>
      <c r="G198" s="89">
        <f t="shared" si="19"/>
        <v>8.8800000000000008</v>
      </c>
      <c r="H198" s="89">
        <v>9.91</v>
      </c>
      <c r="I198" s="89">
        <f>VLOOKUP(C198,Recipes!$A$2:$N$4,12,FALSE())</f>
        <v>5.0137397426368718E-2</v>
      </c>
      <c r="J198" s="89">
        <f t="shared" si="20"/>
        <v>1.0299999999999994</v>
      </c>
      <c r="K198" s="89">
        <f>IF(G198="","",-0.5*((J198-Components!$C$2)/Components!$D$2)^2)</f>
        <v>-33997.285087720593</v>
      </c>
      <c r="L198" s="89">
        <f>IF(G198="","",-0.5*((J198-Components!$C$3)/Components!$D$3)^2)</f>
        <v>-23735.964130435383</v>
      </c>
      <c r="M198" s="89">
        <f>IF(G198="","",-0.5*((J198-Components!$C$4)/Components!$D$4)^2)</f>
        <v>-3.4401960784313332</v>
      </c>
      <c r="N198" s="89">
        <f>IF(G198="","",-0.5*((J198-Components!$C$5)/Components!$D$5)^2)</f>
        <v>-9841.7044839254995</v>
      </c>
      <c r="O198" s="89">
        <f>IF(G198="","",-0.5*((J198-Components!$C$6)/Components!$D$6)^2)</f>
        <v>-10.344177583697935</v>
      </c>
      <c r="P198" s="89">
        <f>IF(G198="","",-0.5*((J198-Components!$C$7)/Components!$D$7)^2)</f>
        <v>-93.757441071319292</v>
      </c>
      <c r="Q198" s="89">
        <f t="shared" si="21"/>
        <v>0.99899722566236515</v>
      </c>
      <c r="R198" s="89">
        <f t="shared" si="22"/>
        <v>1.0027743376348011E-3</v>
      </c>
      <c r="S198" s="89">
        <f t="shared" si="23"/>
        <v>0.9979944513247303</v>
      </c>
      <c r="T198" s="89" t="str">
        <f t="shared" si="24"/>
        <v>NG</v>
      </c>
      <c r="U198" s="117">
        <f t="shared" si="25"/>
        <v>1</v>
      </c>
      <c r="V198" s="89" t="str">
        <f>IF(G198="","",IF(T198="OK","NONE",INDEX({"S1","S2","W1","W2","N1","N2"},MATCH(MAX(K198:P198),K198:P198,0))))</f>
        <v>W1</v>
      </c>
      <c r="W198" s="117">
        <f t="shared" si="26"/>
        <v>1</v>
      </c>
      <c r="X198" s="114" t="str">
        <f t="shared" si="27"/>
        <v>CONFIDENT</v>
      </c>
      <c r="Y198" s="107"/>
    </row>
    <row r="199" spans="1:25">
      <c r="A199" s="115">
        <v>190</v>
      </c>
      <c r="B199" s="135">
        <f>'Runs Z-Score'!B192</f>
        <v>7</v>
      </c>
      <c r="C199" s="89" t="str">
        <f>'Runs Z-Score'!C192</f>
        <v>R4</v>
      </c>
      <c r="D199" s="89" t="str">
        <f>'Runs Z-Score'!D192</f>
        <v>NG</v>
      </c>
      <c r="E199" s="89" t="str">
        <f>'Runs Z-Score'!E192</f>
        <v>W1</v>
      </c>
      <c r="F199" s="89">
        <f>'Runs Z-Score'!F192</f>
        <v>7.95</v>
      </c>
      <c r="G199" s="89">
        <f t="shared" si="19"/>
        <v>8.92</v>
      </c>
      <c r="H199" s="89">
        <v>9.91</v>
      </c>
      <c r="I199" s="89">
        <f>VLOOKUP(C199,Recipes!$A$2:$N$4,12,FALSE())</f>
        <v>5.0137397426368718E-2</v>
      </c>
      <c r="J199" s="89">
        <f t="shared" si="20"/>
        <v>0.99000000000000021</v>
      </c>
      <c r="K199" s="89">
        <f>IF(G199="","",-0.5*((J199-Components!$C$2)/Components!$D$2)^2)</f>
        <v>-35593.811403510088</v>
      </c>
      <c r="L199" s="89">
        <f>IF(G199="","",-0.5*((J199-Components!$C$3)/Components!$D$3)^2)</f>
        <v>-24371.862681160022</v>
      </c>
      <c r="M199" s="89">
        <f>IF(G199="","",-0.5*((J199-Components!$C$4)/Components!$D$4)^2)</f>
        <v>-2.8431372549009643E-2</v>
      </c>
      <c r="N199" s="89">
        <f>IF(G199="","",-0.5*((J199-Components!$C$5)/Components!$D$5)^2)</f>
        <v>-10065.839364273572</v>
      </c>
      <c r="O199" s="89">
        <f>IF(G199="","",-0.5*((J199-Components!$C$6)/Components!$D$6)^2)</f>
        <v>-17.977365356623753</v>
      </c>
      <c r="P199" s="89">
        <f>IF(G199="","",-0.5*((J199-Components!$C$7)/Components!$D$7)^2)</f>
        <v>-116.80561413076244</v>
      </c>
      <c r="Q199" s="89">
        <f t="shared" si="21"/>
        <v>0.99999998397208589</v>
      </c>
      <c r="R199" s="89">
        <f t="shared" si="22"/>
        <v>1.6027914155381499E-8</v>
      </c>
      <c r="S199" s="89">
        <f t="shared" si="23"/>
        <v>0.99999996794417179</v>
      </c>
      <c r="T199" s="89" t="str">
        <f t="shared" si="24"/>
        <v>NG</v>
      </c>
      <c r="U199" s="117">
        <f t="shared" si="25"/>
        <v>1</v>
      </c>
      <c r="V199" s="89" t="str">
        <f>IF(G199="","",IF(T199="OK","NONE",INDEX({"S1","S2","W1","W2","N1","N2"},MATCH(MAX(K199:P199),K199:P199,0))))</f>
        <v>W1</v>
      </c>
      <c r="W199" s="117">
        <f t="shared" si="26"/>
        <v>1</v>
      </c>
      <c r="X199" s="114" t="str">
        <f t="shared" si="27"/>
        <v>CONFIDENT</v>
      </c>
      <c r="Y199" s="107"/>
    </row>
    <row r="200" spans="1:25">
      <c r="A200" s="115">
        <v>191</v>
      </c>
      <c r="B200" s="135">
        <f>'Runs Z-Score'!B193</f>
        <v>7</v>
      </c>
      <c r="C200" s="89" t="str">
        <f>'Runs Z-Score'!C193</f>
        <v>R4</v>
      </c>
      <c r="D200" s="89" t="str">
        <f>'Runs Z-Score'!D193</f>
        <v>NG</v>
      </c>
      <c r="E200" s="89" t="str">
        <f>'Runs Z-Score'!E193</f>
        <v>W1</v>
      </c>
      <c r="F200" s="89">
        <f>'Runs Z-Score'!F193</f>
        <v>7.95</v>
      </c>
      <c r="G200" s="89">
        <f t="shared" si="19"/>
        <v>8.92</v>
      </c>
      <c r="H200" s="89">
        <v>9.91</v>
      </c>
      <c r="I200" s="89">
        <f>VLOOKUP(C200,Recipes!$A$2:$N$4,12,FALSE())</f>
        <v>5.0137397426368718E-2</v>
      </c>
      <c r="J200" s="89">
        <f t="shared" si="20"/>
        <v>0.99000000000000021</v>
      </c>
      <c r="K200" s="89">
        <f>IF(G200="","",-0.5*((J200-Components!$C$2)/Components!$D$2)^2)</f>
        <v>-35593.811403510088</v>
      </c>
      <c r="L200" s="89">
        <f>IF(G200="","",-0.5*((J200-Components!$C$3)/Components!$D$3)^2)</f>
        <v>-24371.862681160022</v>
      </c>
      <c r="M200" s="89">
        <f>IF(G200="","",-0.5*((J200-Components!$C$4)/Components!$D$4)^2)</f>
        <v>-2.8431372549009643E-2</v>
      </c>
      <c r="N200" s="89">
        <f>IF(G200="","",-0.5*((J200-Components!$C$5)/Components!$D$5)^2)</f>
        <v>-10065.839364273572</v>
      </c>
      <c r="O200" s="89">
        <f>IF(G200="","",-0.5*((J200-Components!$C$6)/Components!$D$6)^2)</f>
        <v>-17.977365356623753</v>
      </c>
      <c r="P200" s="89">
        <f>IF(G200="","",-0.5*((J200-Components!$C$7)/Components!$D$7)^2)</f>
        <v>-116.80561413076244</v>
      </c>
      <c r="Q200" s="89">
        <f t="shared" si="21"/>
        <v>0.99999998397208589</v>
      </c>
      <c r="R200" s="89">
        <f t="shared" si="22"/>
        <v>1.6027914155381499E-8</v>
      </c>
      <c r="S200" s="89">
        <f t="shared" si="23"/>
        <v>0.99999996794417179</v>
      </c>
      <c r="T200" s="89" t="str">
        <f t="shared" si="24"/>
        <v>NG</v>
      </c>
      <c r="U200" s="117">
        <f t="shared" si="25"/>
        <v>1</v>
      </c>
      <c r="V200" s="89" t="str">
        <f>IF(G200="","",IF(T200="OK","NONE",INDEX({"S1","S2","W1","W2","N1","N2"},MATCH(MAX(K200:P200),K200:P200,0))))</f>
        <v>W1</v>
      </c>
      <c r="W200" s="117">
        <f t="shared" si="26"/>
        <v>1</v>
      </c>
      <c r="X200" s="114" t="str">
        <f t="shared" si="27"/>
        <v>CONFIDENT</v>
      </c>
      <c r="Y200" s="107"/>
    </row>
    <row r="201" spans="1:25">
      <c r="A201" s="115">
        <v>192</v>
      </c>
      <c r="B201" s="135">
        <f>'Runs Z-Score'!B194</f>
        <v>7</v>
      </c>
      <c r="C201" s="89" t="str">
        <f>'Runs Z-Score'!C194</f>
        <v>R4</v>
      </c>
      <c r="D201" s="89" t="str">
        <f>'Runs Z-Score'!D194</f>
        <v>NG</v>
      </c>
      <c r="E201" s="89" t="str">
        <f>'Runs Z-Score'!E194</f>
        <v>W1</v>
      </c>
      <c r="F201" s="89">
        <f>'Runs Z-Score'!F194</f>
        <v>7.9</v>
      </c>
      <c r="G201" s="89">
        <f t="shared" si="19"/>
        <v>8.870000000000001</v>
      </c>
      <c r="H201" s="89">
        <v>9.91</v>
      </c>
      <c r="I201" s="89">
        <f>VLOOKUP(C201,Recipes!$A$2:$N$4,12,FALSE())</f>
        <v>5.0137397426368718E-2</v>
      </c>
      <c r="J201" s="89">
        <f t="shared" si="20"/>
        <v>1.0399999999999991</v>
      </c>
      <c r="K201" s="89">
        <f>IF(G201="","",-0.5*((J201-Components!$C$2)/Components!$D$2)^2)</f>
        <v>-33603.877192983738</v>
      </c>
      <c r="L201" s="89">
        <f>IF(G201="","",-0.5*((J201-Components!$C$3)/Components!$D$3)^2)</f>
        <v>-23578.302898551327</v>
      </c>
      <c r="M201" s="89">
        <f>IF(G201="","",-0.5*((J201-Components!$C$4)/Components!$D$4)^2)</f>
        <v>-5.5725490196077461</v>
      </c>
      <c r="N201" s="89">
        <f>IF(G201="","",-0.5*((J201-Components!$C$5)/Components!$D$5)^2)</f>
        <v>-9786.0650713076611</v>
      </c>
      <c r="O201" s="89">
        <f>IF(G201="","",-0.5*((J201-Components!$C$6)/Components!$D$6)^2)</f>
        <v>-8.763391557497032</v>
      </c>
      <c r="P201" s="89">
        <f>IF(G201="","",-0.5*((J201-Components!$C$7)/Components!$D$7)^2)</f>
        <v>-88.390780464157089</v>
      </c>
      <c r="Q201" s="89">
        <f t="shared" si="21"/>
        <v>0.96048820768486087</v>
      </c>
      <c r="R201" s="89">
        <f t="shared" si="22"/>
        <v>3.9511792315139148E-2</v>
      </c>
      <c r="S201" s="89">
        <f t="shared" si="23"/>
        <v>0.92097641536972175</v>
      </c>
      <c r="T201" s="89" t="str">
        <f t="shared" si="24"/>
        <v>NG</v>
      </c>
      <c r="U201" s="117">
        <f t="shared" si="25"/>
        <v>1</v>
      </c>
      <c r="V201" s="89" t="str">
        <f>IF(G201="","",IF(T201="OK","NONE",INDEX({"S1","S2","W1","W2","N1","N2"},MATCH(MAX(K201:P201),K201:P201,0))))</f>
        <v>W1</v>
      </c>
      <c r="W201" s="117">
        <f t="shared" si="26"/>
        <v>1</v>
      </c>
      <c r="X201" s="114" t="str">
        <f t="shared" si="27"/>
        <v>CONFIDENT</v>
      </c>
      <c r="Y201" s="107"/>
    </row>
    <row r="202" spans="1:25">
      <c r="A202" s="115">
        <v>193</v>
      </c>
      <c r="B202" s="135">
        <f>'Runs Z-Score'!B195</f>
        <v>7</v>
      </c>
      <c r="C202" s="89" t="str">
        <f>'Runs Z-Score'!C195</f>
        <v>R4</v>
      </c>
      <c r="D202" s="89" t="str">
        <f>'Runs Z-Score'!D195</f>
        <v>NG</v>
      </c>
      <c r="E202" s="89" t="str">
        <f>'Runs Z-Score'!E195</f>
        <v>W1</v>
      </c>
      <c r="F202" s="89">
        <f>'Runs Z-Score'!F195</f>
        <v>7.91</v>
      </c>
      <c r="G202" s="89">
        <f t="shared" ref="G202:G265" si="28">0.97+F202</f>
        <v>8.8800000000000008</v>
      </c>
      <c r="H202" s="89">
        <v>9.91</v>
      </c>
      <c r="I202" s="89">
        <f>VLOOKUP(C202,Recipes!$A$2:$N$4,12,FALSE())</f>
        <v>5.0137397426368718E-2</v>
      </c>
      <c r="J202" s="89">
        <f t="shared" si="20"/>
        <v>1.0299999999999994</v>
      </c>
      <c r="K202" s="89">
        <f>IF(G202="","",-0.5*((J202-Components!$C$2)/Components!$D$2)^2)</f>
        <v>-33997.285087720593</v>
      </c>
      <c r="L202" s="89">
        <f>IF(G202="","",-0.5*((J202-Components!$C$3)/Components!$D$3)^2)</f>
        <v>-23735.964130435383</v>
      </c>
      <c r="M202" s="89">
        <f>IF(G202="","",-0.5*((J202-Components!$C$4)/Components!$D$4)^2)</f>
        <v>-3.4401960784313332</v>
      </c>
      <c r="N202" s="89">
        <f>IF(G202="","",-0.5*((J202-Components!$C$5)/Components!$D$5)^2)</f>
        <v>-9841.7044839254995</v>
      </c>
      <c r="O202" s="89">
        <f>IF(G202="","",-0.5*((J202-Components!$C$6)/Components!$D$6)^2)</f>
        <v>-10.344177583697935</v>
      </c>
      <c r="P202" s="89">
        <f>IF(G202="","",-0.5*((J202-Components!$C$7)/Components!$D$7)^2)</f>
        <v>-93.757441071319292</v>
      </c>
      <c r="Q202" s="89">
        <f t="shared" si="21"/>
        <v>0.99899722566236515</v>
      </c>
      <c r="R202" s="89">
        <f t="shared" si="22"/>
        <v>1.0027743376348011E-3</v>
      </c>
      <c r="S202" s="89">
        <f t="shared" si="23"/>
        <v>0.9979944513247303</v>
      </c>
      <c r="T202" s="89" t="str">
        <f t="shared" si="24"/>
        <v>NG</v>
      </c>
      <c r="U202" s="117">
        <f t="shared" si="25"/>
        <v>1</v>
      </c>
      <c r="V202" s="89" t="str">
        <f>IF(G202="","",IF(T202="OK","NONE",INDEX({"S1","S2","W1","W2","N1","N2"},MATCH(MAX(K202:P202),K202:P202,0))))</f>
        <v>W1</v>
      </c>
      <c r="W202" s="117">
        <f t="shared" si="26"/>
        <v>1</v>
      </c>
      <c r="X202" s="114" t="str">
        <f t="shared" si="27"/>
        <v>CONFIDENT</v>
      </c>
      <c r="Y202" s="107"/>
    </row>
    <row r="203" spans="1:25">
      <c r="A203" s="115">
        <v>194</v>
      </c>
      <c r="B203" s="135">
        <f>'Runs Z-Score'!B196</f>
        <v>7</v>
      </c>
      <c r="C203" s="89" t="str">
        <f>'Runs Z-Score'!C196</f>
        <v>R4</v>
      </c>
      <c r="D203" s="89" t="str">
        <f>'Runs Z-Score'!D196</f>
        <v>NG</v>
      </c>
      <c r="E203" s="89" t="str">
        <f>'Runs Z-Score'!E196</f>
        <v>W1</v>
      </c>
      <c r="F203" s="89">
        <f>'Runs Z-Score'!F196</f>
        <v>7.98</v>
      </c>
      <c r="G203" s="89">
        <f t="shared" si="28"/>
        <v>8.9500000000000011</v>
      </c>
      <c r="H203" s="89">
        <v>9.91</v>
      </c>
      <c r="I203" s="89">
        <f>VLOOKUP(C203,Recipes!$A$2:$N$4,12,FALSE())</f>
        <v>5.0137397426368718E-2</v>
      </c>
      <c r="J203" s="89">
        <f t="shared" ref="J203:J266" si="29">IF(G203="","",H203-G203)</f>
        <v>0.95999999999999908</v>
      </c>
      <c r="K203" s="89">
        <f>IF(G203="","",-0.5*((J203-Components!$C$2)/Components!$D$2)^2)</f>
        <v>-36815.245614036503</v>
      </c>
      <c r="L203" s="89">
        <f>IF(G203="","",-0.5*((J203-Components!$C$3)/Components!$D$3)^2)</f>
        <v>-24854.302898551363</v>
      </c>
      <c r="M203" s="89">
        <f>IF(G203="","",-0.5*((J203-Components!$C$4)/Components!$D$4)^2)</f>
        <v>-2.8431372549020626</v>
      </c>
      <c r="N203" s="89">
        <f>IF(G203="","",-0.5*((J203-Components!$C$5)/Components!$D$5)^2)</f>
        <v>-10235.596615905193</v>
      </c>
      <c r="O203" s="89">
        <f>IF(G203="","",-0.5*((J203-Components!$C$6)/Components!$D$6)^2)</f>
        <v>-25.077802037846912</v>
      </c>
      <c r="P203" s="89">
        <f>IF(G203="","",-0.5*((J203-Components!$C$7)/Components!$D$7)^2)</f>
        <v>-135.75235108768001</v>
      </c>
      <c r="Q203" s="89">
        <f t="shared" ref="Q203:Q266" si="30">IF(G203="","",EXP(LARGE(K203:P203,1)-MAX(K203:P203))/(EXP(K203-MAX(K203:P203))+EXP(L203-MAX(K203:P203))+EXP(M203-MAX(K203:P203))+EXP(N203-MAX(K203:P203))+EXP(O203-MAX(K203:P203))+EXP(P203-MAX(K203:P203))))</f>
        <v>0.99999999977939891</v>
      </c>
      <c r="R203" s="89">
        <f t="shared" ref="R203:R266" si="31">IF(G203="","",EXP(LARGE(K203:P203,2)-MAX(K203:P203))/(EXP(K203-MAX(K203:P203))+EXP(L203-MAX(K203:P203))+EXP(M203-MAX(K203:P203))+EXP(N203-MAX(K203:P203))+EXP(O203-MAX(K203:P203))+EXP(P203-MAX(K203:P203))))</f>
        <v>2.206011528461921E-10</v>
      </c>
      <c r="S203" s="89">
        <f t="shared" ref="S203:S266" si="32">IF(G203="","",Q203-R203)</f>
        <v>0.9999999995587977</v>
      </c>
      <c r="T203" s="89" t="str">
        <f t="shared" ref="T203:T266" si="33">IF(G203="","",IF(AND(G203&gt;=H203-$B$6*I203,G203&lt;=H203+$B$6*I203),"OK","NG"))</f>
        <v>NG</v>
      </c>
      <c r="U203" s="117">
        <f t="shared" ref="U203:U266" si="34">IF(T203="","",IF(T203=D203,1,0))</f>
        <v>1</v>
      </c>
      <c r="V203" s="89" t="str">
        <f>IF(G203="","",IF(T203="OK","NONE",INDEX({"S1","S2","W1","W2","N1","N2"},MATCH(MAX(K203:P203),K203:P203,0))))</f>
        <v>W1</v>
      </c>
      <c r="W203" s="117">
        <f t="shared" ref="W203:W266" si="35">IF(G203="","",IF(V203=E203,1,0))</f>
        <v>1</v>
      </c>
      <c r="X203" s="114" t="str">
        <f t="shared" ref="X203:X266" si="36">IF(G203="","",IF(AND(T203="NG",S203&lt;$B$7),"AMBIGUOUS","CONFIDENT"))</f>
        <v>CONFIDENT</v>
      </c>
      <c r="Y203" s="107"/>
    </row>
    <row r="204" spans="1:25">
      <c r="A204" s="115">
        <v>195</v>
      </c>
      <c r="B204" s="135">
        <f>'Runs Z-Score'!B197</f>
        <v>7</v>
      </c>
      <c r="C204" s="89" t="str">
        <f>'Runs Z-Score'!C197</f>
        <v>R4</v>
      </c>
      <c r="D204" s="89" t="str">
        <f>'Runs Z-Score'!D197</f>
        <v>NG</v>
      </c>
      <c r="E204" s="89" t="str">
        <f>'Runs Z-Score'!E197</f>
        <v>W1</v>
      </c>
      <c r="F204" s="89">
        <f>'Runs Z-Score'!F197</f>
        <v>7.95</v>
      </c>
      <c r="G204" s="89">
        <f t="shared" si="28"/>
        <v>8.92</v>
      </c>
      <c r="H204" s="89">
        <v>9.91</v>
      </c>
      <c r="I204" s="89">
        <f>VLOOKUP(C204,Recipes!$A$2:$N$4,12,FALSE())</f>
        <v>5.0137397426368718E-2</v>
      </c>
      <c r="J204" s="89">
        <f t="shared" si="29"/>
        <v>0.99000000000000021</v>
      </c>
      <c r="K204" s="89">
        <f>IF(G204="","",-0.5*((J204-Components!$C$2)/Components!$D$2)^2)</f>
        <v>-35593.811403510088</v>
      </c>
      <c r="L204" s="89">
        <f>IF(G204="","",-0.5*((J204-Components!$C$3)/Components!$D$3)^2)</f>
        <v>-24371.862681160022</v>
      </c>
      <c r="M204" s="89">
        <f>IF(G204="","",-0.5*((J204-Components!$C$4)/Components!$D$4)^2)</f>
        <v>-2.8431372549009643E-2</v>
      </c>
      <c r="N204" s="89">
        <f>IF(G204="","",-0.5*((J204-Components!$C$5)/Components!$D$5)^2)</f>
        <v>-10065.839364273572</v>
      </c>
      <c r="O204" s="89">
        <f>IF(G204="","",-0.5*((J204-Components!$C$6)/Components!$D$6)^2)</f>
        <v>-17.977365356623753</v>
      </c>
      <c r="P204" s="89">
        <f>IF(G204="","",-0.5*((J204-Components!$C$7)/Components!$D$7)^2)</f>
        <v>-116.80561413076244</v>
      </c>
      <c r="Q204" s="89">
        <f t="shared" si="30"/>
        <v>0.99999998397208589</v>
      </c>
      <c r="R204" s="89">
        <f t="shared" si="31"/>
        <v>1.6027914155381499E-8</v>
      </c>
      <c r="S204" s="89">
        <f t="shared" si="32"/>
        <v>0.99999996794417179</v>
      </c>
      <c r="T204" s="89" t="str">
        <f t="shared" si="33"/>
        <v>NG</v>
      </c>
      <c r="U204" s="117">
        <f t="shared" si="34"/>
        <v>1</v>
      </c>
      <c r="V204" s="89" t="str">
        <f>IF(G204="","",IF(T204="OK","NONE",INDEX({"S1","S2","W1","W2","N1","N2"},MATCH(MAX(K204:P204),K204:P204,0))))</f>
        <v>W1</v>
      </c>
      <c r="W204" s="117">
        <f t="shared" si="35"/>
        <v>1</v>
      </c>
      <c r="X204" s="114" t="str">
        <f t="shared" si="36"/>
        <v>CONFIDENT</v>
      </c>
      <c r="Y204" s="107"/>
    </row>
    <row r="205" spans="1:25">
      <c r="A205" s="115">
        <v>196</v>
      </c>
      <c r="B205" s="135">
        <f>'Runs Z-Score'!B198</f>
        <v>7</v>
      </c>
      <c r="C205" s="89" t="str">
        <f>'Runs Z-Score'!C198</f>
        <v>R4</v>
      </c>
      <c r="D205" s="89" t="str">
        <f>'Runs Z-Score'!D198</f>
        <v>NG</v>
      </c>
      <c r="E205" s="89" t="str">
        <f>'Runs Z-Score'!E198</f>
        <v>W1</v>
      </c>
      <c r="F205" s="89">
        <f>'Runs Z-Score'!F198</f>
        <v>7.9640000000000004</v>
      </c>
      <c r="G205" s="89">
        <f t="shared" si="28"/>
        <v>8.9340000000000011</v>
      </c>
      <c r="H205" s="89">
        <v>9.91</v>
      </c>
      <c r="I205" s="89">
        <f>VLOOKUP(C205,Recipes!$A$2:$N$4,12,FALSE())</f>
        <v>5.0137397426368718E-2</v>
      </c>
      <c r="J205" s="89">
        <f t="shared" si="29"/>
        <v>0.97599999999999909</v>
      </c>
      <c r="K205" s="89">
        <f>IF(G205="","",-0.5*((J205-Components!$C$2)/Components!$D$2)^2)</f>
        <v>-36161.249824562794</v>
      </c>
      <c r="L205" s="89">
        <f>IF(G205="","",-0.5*((J205-Components!$C$3)/Components!$D$3)^2)</f>
        <v>-24596.413043478889</v>
      </c>
      <c r="M205" s="89">
        <f>IF(G205="","",-0.5*((J205-Components!$C$4)/Components!$D$4)^2)</f>
        <v>-0.76878431372553968</v>
      </c>
      <c r="N205" s="89">
        <f>IF(G205="","",-0.5*((J205-Components!$C$5)/Components!$D$5)^2)</f>
        <v>-10144.882765288807</v>
      </c>
      <c r="O205" s="89">
        <f>IF(G205="","",-0.5*((J205-Components!$C$6)/Components!$D$6)^2)</f>
        <v>-21.14417758369833</v>
      </c>
      <c r="P205" s="89">
        <f>IF(G205="","",-0.5*((J205-Components!$C$7)/Components!$D$7)^2)</f>
        <v>-125.4702932800087</v>
      </c>
      <c r="Q205" s="89">
        <f t="shared" si="30"/>
        <v>0.99999999858394828</v>
      </c>
      <c r="R205" s="89">
        <f t="shared" si="31"/>
        <v>1.4160517844719156E-9</v>
      </c>
      <c r="S205" s="89">
        <f t="shared" si="32"/>
        <v>0.99999999716789645</v>
      </c>
      <c r="T205" s="89" t="str">
        <f t="shared" si="33"/>
        <v>NG</v>
      </c>
      <c r="U205" s="117">
        <f t="shared" si="34"/>
        <v>1</v>
      </c>
      <c r="V205" s="89" t="str">
        <f>IF(G205="","",IF(T205="OK","NONE",INDEX({"S1","S2","W1","W2","N1","N2"},MATCH(MAX(K205:P205),K205:P205,0))))</f>
        <v>W1</v>
      </c>
      <c r="W205" s="117">
        <f t="shared" si="35"/>
        <v>1</v>
      </c>
      <c r="X205" s="114" t="str">
        <f t="shared" si="36"/>
        <v>CONFIDENT</v>
      </c>
      <c r="Y205" s="107"/>
    </row>
    <row r="206" spans="1:25">
      <c r="A206" s="115">
        <v>197</v>
      </c>
      <c r="B206" s="135">
        <f>'Runs Z-Score'!B199</f>
        <v>7</v>
      </c>
      <c r="C206" s="89" t="str">
        <f>'Runs Z-Score'!C199</f>
        <v>R4</v>
      </c>
      <c r="D206" s="89" t="str">
        <f>'Runs Z-Score'!D199</f>
        <v>NG</v>
      </c>
      <c r="E206" s="89" t="str">
        <f>'Runs Z-Score'!E199</f>
        <v>W1</v>
      </c>
      <c r="F206" s="89">
        <f>'Runs Z-Score'!F199</f>
        <v>7.97</v>
      </c>
      <c r="G206" s="89">
        <f t="shared" si="28"/>
        <v>8.94</v>
      </c>
      <c r="H206" s="89">
        <v>9.91</v>
      </c>
      <c r="I206" s="89">
        <f>VLOOKUP(C206,Recipes!$A$2:$N$4,12,FALSE())</f>
        <v>5.0137397426368718E-2</v>
      </c>
      <c r="J206" s="89">
        <f t="shared" si="29"/>
        <v>0.97000000000000064</v>
      </c>
      <c r="K206" s="89">
        <f>IF(G206="","",-0.5*((J206-Components!$C$2)/Components!$D$2)^2)</f>
        <v>-36405.81140351011</v>
      </c>
      <c r="L206" s="89">
        <f>IF(G206="","",-0.5*((J206-Components!$C$3)/Components!$D$3)^2)</f>
        <v>-24692.964130435386</v>
      </c>
      <c r="M206" s="89">
        <f>IF(G206="","",-0.5*((J206-Components!$C$4)/Components!$D$4)^2)</f>
        <v>-1.3931372549018437</v>
      </c>
      <c r="N206" s="89">
        <f>IF(G206="","",-0.5*((J206-Components!$C$5)/Components!$D$5)^2)</f>
        <v>-10178.85314237364</v>
      </c>
      <c r="O206" s="89">
        <f>IF(G206="","",-0.5*((J206-Components!$C$6)/Components!$D$6)^2)</f>
        <v>-22.579985443959998</v>
      </c>
      <c r="P206" s="89">
        <f>IF(G206="","",-0.5*((J206-Components!$C$7)/Components!$D$7)^2)</f>
        <v>-129.27861903896061</v>
      </c>
      <c r="Q206" s="89">
        <f t="shared" si="30"/>
        <v>0.99999999937097384</v>
      </c>
      <c r="R206" s="89">
        <f t="shared" si="31"/>
        <v>6.2902621068733355E-10</v>
      </c>
      <c r="S206" s="89">
        <f t="shared" si="32"/>
        <v>0.99999999874194767</v>
      </c>
      <c r="T206" s="89" t="str">
        <f t="shared" si="33"/>
        <v>NG</v>
      </c>
      <c r="U206" s="117">
        <f t="shared" si="34"/>
        <v>1</v>
      </c>
      <c r="V206" s="89" t="str">
        <f>IF(G206="","",IF(T206="OK","NONE",INDEX({"S1","S2","W1","W2","N1","N2"},MATCH(MAX(K206:P206),K206:P206,0))))</f>
        <v>W1</v>
      </c>
      <c r="W206" s="117">
        <f t="shared" si="35"/>
        <v>1</v>
      </c>
      <c r="X206" s="114" t="str">
        <f t="shared" si="36"/>
        <v>CONFIDENT</v>
      </c>
      <c r="Y206" s="107"/>
    </row>
    <row r="207" spans="1:25">
      <c r="A207" s="115">
        <v>198</v>
      </c>
      <c r="B207" s="135">
        <f>'Runs Z-Score'!B200</f>
        <v>7</v>
      </c>
      <c r="C207" s="89" t="str">
        <f>'Runs Z-Score'!C200</f>
        <v>R4</v>
      </c>
      <c r="D207" s="89" t="str">
        <f>'Runs Z-Score'!D200</f>
        <v>NG</v>
      </c>
      <c r="E207" s="89" t="str">
        <f>'Runs Z-Score'!E200</f>
        <v>W1</v>
      </c>
      <c r="F207" s="89">
        <f>'Runs Z-Score'!F200</f>
        <v>7.91</v>
      </c>
      <c r="G207" s="89">
        <f t="shared" si="28"/>
        <v>8.8800000000000008</v>
      </c>
      <c r="H207" s="89">
        <v>9.91</v>
      </c>
      <c r="I207" s="89">
        <f>VLOOKUP(C207,Recipes!$A$2:$N$4,12,FALSE())</f>
        <v>5.0137397426368718E-2</v>
      </c>
      <c r="J207" s="89">
        <f t="shared" si="29"/>
        <v>1.0299999999999994</v>
      </c>
      <c r="K207" s="89">
        <f>IF(G207="","",-0.5*((J207-Components!$C$2)/Components!$D$2)^2)</f>
        <v>-33997.285087720593</v>
      </c>
      <c r="L207" s="89">
        <f>IF(G207="","",-0.5*((J207-Components!$C$3)/Components!$D$3)^2)</f>
        <v>-23735.964130435383</v>
      </c>
      <c r="M207" s="89">
        <f>IF(G207="","",-0.5*((J207-Components!$C$4)/Components!$D$4)^2)</f>
        <v>-3.4401960784313332</v>
      </c>
      <c r="N207" s="89">
        <f>IF(G207="","",-0.5*((J207-Components!$C$5)/Components!$D$5)^2)</f>
        <v>-9841.7044839254995</v>
      </c>
      <c r="O207" s="89">
        <f>IF(G207="","",-0.5*((J207-Components!$C$6)/Components!$D$6)^2)</f>
        <v>-10.344177583697935</v>
      </c>
      <c r="P207" s="89">
        <f>IF(G207="","",-0.5*((J207-Components!$C$7)/Components!$D$7)^2)</f>
        <v>-93.757441071319292</v>
      </c>
      <c r="Q207" s="89">
        <f t="shared" si="30"/>
        <v>0.99899722566236515</v>
      </c>
      <c r="R207" s="89">
        <f t="shared" si="31"/>
        <v>1.0027743376348011E-3</v>
      </c>
      <c r="S207" s="89">
        <f t="shared" si="32"/>
        <v>0.9979944513247303</v>
      </c>
      <c r="T207" s="89" t="str">
        <f t="shared" si="33"/>
        <v>NG</v>
      </c>
      <c r="U207" s="117">
        <f t="shared" si="34"/>
        <v>1</v>
      </c>
      <c r="V207" s="89" t="str">
        <f>IF(G207="","",IF(T207="OK","NONE",INDEX({"S1","S2","W1","W2","N1","N2"},MATCH(MAX(K207:P207),K207:P207,0))))</f>
        <v>W1</v>
      </c>
      <c r="W207" s="117">
        <f t="shared" si="35"/>
        <v>1</v>
      </c>
      <c r="X207" s="114" t="str">
        <f t="shared" si="36"/>
        <v>CONFIDENT</v>
      </c>
      <c r="Y207" s="107"/>
    </row>
    <row r="208" spans="1:25">
      <c r="A208" s="115">
        <v>199</v>
      </c>
      <c r="B208" s="135">
        <f>'Runs Z-Score'!B201</f>
        <v>7</v>
      </c>
      <c r="C208" s="89" t="str">
        <f>'Runs Z-Score'!C201</f>
        <v>R4</v>
      </c>
      <c r="D208" s="89" t="str">
        <f>'Runs Z-Score'!D201</f>
        <v>NG</v>
      </c>
      <c r="E208" s="89" t="str">
        <f>'Runs Z-Score'!E201</f>
        <v>W1</v>
      </c>
      <c r="F208" s="89">
        <f>'Runs Z-Score'!F201</f>
        <v>7.93</v>
      </c>
      <c r="G208" s="89">
        <f t="shared" si="28"/>
        <v>8.9</v>
      </c>
      <c r="H208" s="89">
        <v>9.91</v>
      </c>
      <c r="I208" s="89">
        <f>VLOOKUP(C208,Recipes!$A$2:$N$4,12,FALSE())</f>
        <v>5.0137397426368718E-2</v>
      </c>
      <c r="J208" s="89">
        <f t="shared" si="29"/>
        <v>1.0099999999999998</v>
      </c>
      <c r="K208" s="89">
        <f>IF(G208="","",-0.5*((J208-Components!$C$2)/Components!$D$2)^2)</f>
        <v>-34790.969298246928</v>
      </c>
      <c r="L208" s="89">
        <f>IF(G208="","",-0.5*((J208-Components!$C$3)/Components!$D$3)^2)</f>
        <v>-24052.862681160026</v>
      </c>
      <c r="M208" s="89">
        <f>IF(G208="","",-0.5*((J208-Components!$C$4)/Components!$D$4)^2)</f>
        <v>-0.7107843137255061</v>
      </c>
      <c r="N208" s="89">
        <f>IF(G208="","",-0.5*((J208-Components!$C$5)/Components!$D$5)^2)</f>
        <v>-9953.4564781241897</v>
      </c>
      <c r="O208" s="89">
        <f>IF(G208="","",-0.5*((J208-Components!$C$6)/Components!$D$6)^2)</f>
        <v>-13.898762736536399</v>
      </c>
      <c r="P208" s="89">
        <f>IF(G208="","",-0.5*((J208-Components!$C$7)/Components!$D$7)^2)</f>
        <v>-104.965221474882</v>
      </c>
      <c r="Q208" s="89">
        <f t="shared" si="30"/>
        <v>0.99999812702090507</v>
      </c>
      <c r="R208" s="89">
        <f t="shared" si="31"/>
        <v>1.8729790950215809E-6</v>
      </c>
      <c r="S208" s="89">
        <f t="shared" si="32"/>
        <v>0.99999625404181003</v>
      </c>
      <c r="T208" s="89" t="str">
        <f t="shared" si="33"/>
        <v>NG</v>
      </c>
      <c r="U208" s="117">
        <f t="shared" si="34"/>
        <v>1</v>
      </c>
      <c r="V208" s="89" t="str">
        <f>IF(G208="","",IF(T208="OK","NONE",INDEX({"S1","S2","W1","W2","N1","N2"},MATCH(MAX(K208:P208),K208:P208,0))))</f>
        <v>W1</v>
      </c>
      <c r="W208" s="117">
        <f t="shared" si="35"/>
        <v>1</v>
      </c>
      <c r="X208" s="114" t="str">
        <f t="shared" si="36"/>
        <v>CONFIDENT</v>
      </c>
      <c r="Y208" s="107"/>
    </row>
    <row r="209" spans="1:25">
      <c r="A209" s="115">
        <v>200</v>
      </c>
      <c r="B209" s="135">
        <f>'Runs Z-Score'!B202</f>
        <v>7</v>
      </c>
      <c r="C209" s="89" t="str">
        <f>'Runs Z-Score'!C202</f>
        <v>R4</v>
      </c>
      <c r="D209" s="89" t="str">
        <f>'Runs Z-Score'!D202</f>
        <v>NG</v>
      </c>
      <c r="E209" s="89" t="str">
        <f>'Runs Z-Score'!E202</f>
        <v>W1</v>
      </c>
      <c r="F209" s="89">
        <f>'Runs Z-Score'!F202</f>
        <v>7.94</v>
      </c>
      <c r="G209" s="89">
        <f t="shared" si="28"/>
        <v>8.91</v>
      </c>
      <c r="H209" s="89">
        <v>9.91</v>
      </c>
      <c r="I209" s="89">
        <f>VLOOKUP(C209,Recipes!$A$2:$N$4,12,FALSE())</f>
        <v>5.0137397426368718E-2</v>
      </c>
      <c r="J209" s="89">
        <f t="shared" si="29"/>
        <v>1</v>
      </c>
      <c r="K209" s="89">
        <f>IF(G209="","",-0.5*((J209-Components!$C$2)/Components!$D$2)^2)</f>
        <v>-35191.245614036394</v>
      </c>
      <c r="L209" s="89">
        <f>IF(G209="","",-0.5*((J209-Components!$C$3)/Components!$D$3)^2)</f>
        <v>-24212.100000000602</v>
      </c>
      <c r="M209" s="89">
        <f>IF(G209="","",-0.5*((J209-Components!$C$4)/Components!$D$4)^2)</f>
        <v>-0.1137254901960916</v>
      </c>
      <c r="N209" s="89">
        <f>IF(G209="","",-0.5*((J209-Components!$C$5)/Components!$D$5)^2)</f>
        <v>-10009.569059705045</v>
      </c>
      <c r="O209" s="89">
        <f>IF(G209="","",-0.5*((J209-Components!$C$6)/Components!$D$6)^2)</f>
        <v>-15.872561863173967</v>
      </c>
      <c r="P209" s="89">
        <f>IF(G209="","",-0.5*((J209-Components!$C$7)/Components!$D$7)^2)</f>
        <v>-110.80634127128251</v>
      </c>
      <c r="Q209" s="89">
        <f t="shared" si="30"/>
        <v>0.99999985677320968</v>
      </c>
      <c r="R209" s="89">
        <f t="shared" si="31"/>
        <v>1.4322679038772536E-7</v>
      </c>
      <c r="S209" s="89">
        <f t="shared" si="32"/>
        <v>0.99999971354641926</v>
      </c>
      <c r="T209" s="89" t="str">
        <f t="shared" si="33"/>
        <v>NG</v>
      </c>
      <c r="U209" s="117">
        <f t="shared" si="34"/>
        <v>1</v>
      </c>
      <c r="V209" s="89" t="str">
        <f>IF(G209="","",IF(T209="OK","NONE",INDEX({"S1","S2","W1","W2","N1","N2"},MATCH(MAX(K209:P209),K209:P209,0))))</f>
        <v>W1</v>
      </c>
      <c r="W209" s="117">
        <f t="shared" si="35"/>
        <v>1</v>
      </c>
      <c r="X209" s="114" t="str">
        <f t="shared" si="36"/>
        <v>CONFIDENT</v>
      </c>
      <c r="Y209" s="107"/>
    </row>
    <row r="210" spans="1:25">
      <c r="A210" s="115">
        <v>201</v>
      </c>
      <c r="B210" s="135">
        <f>'Runs Z-Score'!B203</f>
        <v>7</v>
      </c>
      <c r="C210" s="89" t="str">
        <f>'Runs Z-Score'!C203</f>
        <v>R4</v>
      </c>
      <c r="D210" s="89" t="str">
        <f>'Runs Z-Score'!D203</f>
        <v>NG</v>
      </c>
      <c r="E210" s="89" t="str">
        <f>'Runs Z-Score'!E203</f>
        <v>W1</v>
      </c>
      <c r="F210" s="89">
        <f>'Runs Z-Score'!F203</f>
        <v>7.89</v>
      </c>
      <c r="G210" s="89">
        <f t="shared" si="28"/>
        <v>8.86</v>
      </c>
      <c r="H210" s="89">
        <v>9.91</v>
      </c>
      <c r="I210" s="89">
        <f>VLOOKUP(C210,Recipes!$A$2:$N$4,12,FALSE())</f>
        <v>5.0137397426368718E-2</v>
      </c>
      <c r="J210" s="89">
        <f t="shared" si="29"/>
        <v>1.0500000000000007</v>
      </c>
      <c r="K210" s="89">
        <f>IF(G210="","",-0.5*((J210-Components!$C$2)/Components!$D$2)^2)</f>
        <v>-33212.75877193104</v>
      </c>
      <c r="L210" s="89">
        <f>IF(G210="","",-0.5*((J210-Components!$C$3)/Components!$D$3)^2)</f>
        <v>-23421.167028986078</v>
      </c>
      <c r="M210" s="89">
        <f>IF(G210="","",-0.5*((J210-Components!$C$4)/Components!$D$4)^2)</f>
        <v>-8.2166666666670061</v>
      </c>
      <c r="N210" s="89">
        <f>IF(G210="","",-0.5*((J210-Components!$C$5)/Components!$D$5)^2)</f>
        <v>-9730.5833816774866</v>
      </c>
      <c r="O210" s="89">
        <f>IF(G210="","",-0.5*((J210-Components!$C$6)/Components!$D$6)^2)</f>
        <v>-7.3136098981081075</v>
      </c>
      <c r="P210" s="89">
        <f>IF(G210="","",-0.5*((J210-Components!$C$7)/Components!$D$7)^2)</f>
        <v>-83.18227292007343</v>
      </c>
      <c r="Q210" s="89">
        <f t="shared" si="30"/>
        <v>0.71157726421890266</v>
      </c>
      <c r="R210" s="89">
        <f t="shared" si="31"/>
        <v>0.28842273578109745</v>
      </c>
      <c r="S210" s="89">
        <f t="shared" si="32"/>
        <v>0.42315452843780521</v>
      </c>
      <c r="T210" s="89" t="str">
        <f t="shared" si="33"/>
        <v>NG</v>
      </c>
      <c r="U210" s="117">
        <f t="shared" si="34"/>
        <v>1</v>
      </c>
      <c r="V210" s="89" t="str">
        <f>IF(G210="","",IF(T210="OK","NONE",INDEX({"S1","S2","W1","W2","N1","N2"},MATCH(MAX(K210:P210),K210:P210,0))))</f>
        <v>N1</v>
      </c>
      <c r="W210" s="122">
        <f t="shared" si="35"/>
        <v>0</v>
      </c>
      <c r="X210" s="114" t="str">
        <f t="shared" si="36"/>
        <v>CONFIDENT</v>
      </c>
      <c r="Y210" s="107"/>
    </row>
    <row r="211" spans="1:25">
      <c r="A211" s="115">
        <v>202</v>
      </c>
      <c r="B211" s="135">
        <f>'Runs Z-Score'!B204</f>
        <v>7</v>
      </c>
      <c r="C211" s="89" t="str">
        <f>'Runs Z-Score'!C204</f>
        <v>R4</v>
      </c>
      <c r="D211" s="89" t="str">
        <f>'Runs Z-Score'!D204</f>
        <v>NG</v>
      </c>
      <c r="E211" s="89" t="str">
        <f>'Runs Z-Score'!E204</f>
        <v>W1</v>
      </c>
      <c r="F211" s="89">
        <f>'Runs Z-Score'!F204</f>
        <v>7.95</v>
      </c>
      <c r="G211" s="89">
        <f t="shared" si="28"/>
        <v>8.92</v>
      </c>
      <c r="H211" s="89">
        <v>9.91</v>
      </c>
      <c r="I211" s="89">
        <f>VLOOKUP(C211,Recipes!$A$2:$N$4,12,FALSE())</f>
        <v>5.0137397426368718E-2</v>
      </c>
      <c r="J211" s="89">
        <f t="shared" si="29"/>
        <v>0.99000000000000021</v>
      </c>
      <c r="K211" s="89">
        <f>IF(G211="","",-0.5*((J211-Components!$C$2)/Components!$D$2)^2)</f>
        <v>-35593.811403510088</v>
      </c>
      <c r="L211" s="89">
        <f>IF(G211="","",-0.5*((J211-Components!$C$3)/Components!$D$3)^2)</f>
        <v>-24371.862681160022</v>
      </c>
      <c r="M211" s="89">
        <f>IF(G211="","",-0.5*((J211-Components!$C$4)/Components!$D$4)^2)</f>
        <v>-2.8431372549009643E-2</v>
      </c>
      <c r="N211" s="89">
        <f>IF(G211="","",-0.5*((J211-Components!$C$5)/Components!$D$5)^2)</f>
        <v>-10065.839364273572</v>
      </c>
      <c r="O211" s="89">
        <f>IF(G211="","",-0.5*((J211-Components!$C$6)/Components!$D$6)^2)</f>
        <v>-17.977365356623753</v>
      </c>
      <c r="P211" s="89">
        <f>IF(G211="","",-0.5*((J211-Components!$C$7)/Components!$D$7)^2)</f>
        <v>-116.80561413076244</v>
      </c>
      <c r="Q211" s="89">
        <f t="shared" si="30"/>
        <v>0.99999998397208589</v>
      </c>
      <c r="R211" s="89">
        <f t="shared" si="31"/>
        <v>1.6027914155381499E-8</v>
      </c>
      <c r="S211" s="89">
        <f t="shared" si="32"/>
        <v>0.99999996794417179</v>
      </c>
      <c r="T211" s="89" t="str">
        <f t="shared" si="33"/>
        <v>NG</v>
      </c>
      <c r="U211" s="117">
        <f t="shared" si="34"/>
        <v>1</v>
      </c>
      <c r="V211" s="89" t="str">
        <f>IF(G211="","",IF(T211="OK","NONE",INDEX({"S1","S2","W1","W2","N1","N2"},MATCH(MAX(K211:P211),K211:P211,0))))</f>
        <v>W1</v>
      </c>
      <c r="W211" s="117">
        <f t="shared" si="35"/>
        <v>1</v>
      </c>
      <c r="X211" s="114" t="str">
        <f t="shared" si="36"/>
        <v>CONFIDENT</v>
      </c>
      <c r="Y211" s="107"/>
    </row>
    <row r="212" spans="1:25">
      <c r="A212" s="115">
        <v>203</v>
      </c>
      <c r="B212" s="135">
        <f>'Runs Z-Score'!B205</f>
        <v>7</v>
      </c>
      <c r="C212" s="89" t="str">
        <f>'Runs Z-Score'!C205</f>
        <v>R4</v>
      </c>
      <c r="D212" s="89" t="str">
        <f>'Runs Z-Score'!D205</f>
        <v>NG</v>
      </c>
      <c r="E212" s="89" t="str">
        <f>'Runs Z-Score'!E205</f>
        <v>W1</v>
      </c>
      <c r="F212" s="89">
        <f>'Runs Z-Score'!F205</f>
        <v>7.9</v>
      </c>
      <c r="G212" s="89">
        <f t="shared" si="28"/>
        <v>8.870000000000001</v>
      </c>
      <c r="H212" s="89">
        <v>9.91</v>
      </c>
      <c r="I212" s="89">
        <f>VLOOKUP(C212,Recipes!$A$2:$N$4,12,FALSE())</f>
        <v>5.0137397426368718E-2</v>
      </c>
      <c r="J212" s="89">
        <f t="shared" si="29"/>
        <v>1.0399999999999991</v>
      </c>
      <c r="K212" s="89">
        <f>IF(G212="","",-0.5*((J212-Components!$C$2)/Components!$D$2)^2)</f>
        <v>-33603.877192983738</v>
      </c>
      <c r="L212" s="89">
        <f>IF(G212="","",-0.5*((J212-Components!$C$3)/Components!$D$3)^2)</f>
        <v>-23578.302898551327</v>
      </c>
      <c r="M212" s="89">
        <f>IF(G212="","",-0.5*((J212-Components!$C$4)/Components!$D$4)^2)</f>
        <v>-5.5725490196077461</v>
      </c>
      <c r="N212" s="89">
        <f>IF(G212="","",-0.5*((J212-Components!$C$5)/Components!$D$5)^2)</f>
        <v>-9786.0650713076611</v>
      </c>
      <c r="O212" s="89">
        <f>IF(G212="","",-0.5*((J212-Components!$C$6)/Components!$D$6)^2)</f>
        <v>-8.763391557497032</v>
      </c>
      <c r="P212" s="89">
        <f>IF(G212="","",-0.5*((J212-Components!$C$7)/Components!$D$7)^2)</f>
        <v>-88.390780464157089</v>
      </c>
      <c r="Q212" s="89">
        <f t="shared" si="30"/>
        <v>0.96048820768486087</v>
      </c>
      <c r="R212" s="89">
        <f t="shared" si="31"/>
        <v>3.9511792315139148E-2</v>
      </c>
      <c r="S212" s="89">
        <f t="shared" si="32"/>
        <v>0.92097641536972175</v>
      </c>
      <c r="T212" s="89" t="str">
        <f t="shared" si="33"/>
        <v>NG</v>
      </c>
      <c r="U212" s="117">
        <f t="shared" si="34"/>
        <v>1</v>
      </c>
      <c r="V212" s="89" t="str">
        <f>IF(G212="","",IF(T212="OK","NONE",INDEX({"S1","S2","W1","W2","N1","N2"},MATCH(MAX(K212:P212),K212:P212,0))))</f>
        <v>W1</v>
      </c>
      <c r="W212" s="117">
        <f t="shared" si="35"/>
        <v>1</v>
      </c>
      <c r="X212" s="114" t="str">
        <f t="shared" si="36"/>
        <v>CONFIDENT</v>
      </c>
      <c r="Y212" s="107"/>
    </row>
    <row r="213" spans="1:25">
      <c r="A213" s="115">
        <v>204</v>
      </c>
      <c r="B213" s="135">
        <f>'Runs Z-Score'!B206</f>
        <v>7</v>
      </c>
      <c r="C213" s="89" t="str">
        <f>'Runs Z-Score'!C206</f>
        <v>R4</v>
      </c>
      <c r="D213" s="89" t="str">
        <f>'Runs Z-Score'!D206</f>
        <v>NG</v>
      </c>
      <c r="E213" s="89" t="str">
        <f>'Runs Z-Score'!E206</f>
        <v>W1</v>
      </c>
      <c r="F213" s="89">
        <f>'Runs Z-Score'!F206</f>
        <v>7.99</v>
      </c>
      <c r="G213" s="89">
        <f t="shared" si="28"/>
        <v>8.9600000000000009</v>
      </c>
      <c r="H213" s="89">
        <v>9.91</v>
      </c>
      <c r="I213" s="89">
        <f>VLOOKUP(C213,Recipes!$A$2:$N$4,12,FALSE())</f>
        <v>5.0137397426368718E-2</v>
      </c>
      <c r="J213" s="89">
        <f t="shared" si="29"/>
        <v>0.94999999999999929</v>
      </c>
      <c r="K213" s="89">
        <f>IF(G213="","",-0.5*((J213-Components!$C$2)/Components!$D$2)^2)</f>
        <v>-37226.969298247037</v>
      </c>
      <c r="L213" s="89">
        <f>IF(G213="","",-0.5*((J213-Components!$C$3)/Components!$D$3)^2)</f>
        <v>-25016.167028986139</v>
      </c>
      <c r="M213" s="89">
        <f>IF(G213="","",-0.5*((J213-Components!$C$4)/Components!$D$4)^2)</f>
        <v>-4.8049019607844023</v>
      </c>
      <c r="N213" s="89">
        <f>IF(G213="","",-0.5*((J213-Components!$C$5)/Components!$D$5)^2)</f>
        <v>-10292.497812424408</v>
      </c>
      <c r="O213" s="89">
        <f>IF(G213="","",-0.5*((J213-Components!$C$6)/Components!$D$6)^2)</f>
        <v>-27.706622998545612</v>
      </c>
      <c r="P213" s="89">
        <f>IF(G213="","",-0.5*((J213-Components!$C$7)/Components!$D$7)^2)</f>
        <v>-142.38423619947773</v>
      </c>
      <c r="Q213" s="89">
        <f t="shared" si="30"/>
        <v>0.99999999988678367</v>
      </c>
      <c r="R213" s="89">
        <f t="shared" si="31"/>
        <v>1.1321629204295097E-10</v>
      </c>
      <c r="S213" s="89">
        <f t="shared" si="32"/>
        <v>0.99999999977356735</v>
      </c>
      <c r="T213" s="89" t="str">
        <f t="shared" si="33"/>
        <v>NG</v>
      </c>
      <c r="U213" s="117">
        <f t="shared" si="34"/>
        <v>1</v>
      </c>
      <c r="V213" s="89" t="str">
        <f>IF(G213="","",IF(T213="OK","NONE",INDEX({"S1","S2","W1","W2","N1","N2"},MATCH(MAX(K213:P213),K213:P213,0))))</f>
        <v>W1</v>
      </c>
      <c r="W213" s="117">
        <f t="shared" si="35"/>
        <v>1</v>
      </c>
      <c r="X213" s="114" t="str">
        <f t="shared" si="36"/>
        <v>CONFIDENT</v>
      </c>
      <c r="Y213" s="107"/>
    </row>
    <row r="214" spans="1:25">
      <c r="A214" s="115">
        <v>205</v>
      </c>
      <c r="B214" s="135">
        <f>'Runs Z-Score'!B207</f>
        <v>7</v>
      </c>
      <c r="C214" s="89" t="str">
        <f>'Runs Z-Score'!C207</f>
        <v>R4</v>
      </c>
      <c r="D214" s="89" t="str">
        <f>'Runs Z-Score'!D207</f>
        <v>NG</v>
      </c>
      <c r="E214" s="89" t="str">
        <f>'Runs Z-Score'!E207</f>
        <v>W1</v>
      </c>
      <c r="F214" s="89">
        <f>'Runs Z-Score'!F207</f>
        <v>7.97</v>
      </c>
      <c r="G214" s="89">
        <f t="shared" si="28"/>
        <v>8.94</v>
      </c>
      <c r="H214" s="89">
        <v>9.91</v>
      </c>
      <c r="I214" s="89">
        <f>VLOOKUP(C214,Recipes!$A$2:$N$4,12,FALSE())</f>
        <v>5.0137397426368718E-2</v>
      </c>
      <c r="J214" s="89">
        <f t="shared" si="29"/>
        <v>0.97000000000000064</v>
      </c>
      <c r="K214" s="89">
        <f>IF(G214="","",-0.5*((J214-Components!$C$2)/Components!$D$2)^2)</f>
        <v>-36405.81140351011</v>
      </c>
      <c r="L214" s="89">
        <f>IF(G214="","",-0.5*((J214-Components!$C$3)/Components!$D$3)^2)</f>
        <v>-24692.964130435386</v>
      </c>
      <c r="M214" s="89">
        <f>IF(G214="","",-0.5*((J214-Components!$C$4)/Components!$D$4)^2)</f>
        <v>-1.3931372549018437</v>
      </c>
      <c r="N214" s="89">
        <f>IF(G214="","",-0.5*((J214-Components!$C$5)/Components!$D$5)^2)</f>
        <v>-10178.85314237364</v>
      </c>
      <c r="O214" s="89">
        <f>IF(G214="","",-0.5*((J214-Components!$C$6)/Components!$D$6)^2)</f>
        <v>-22.579985443959998</v>
      </c>
      <c r="P214" s="89">
        <f>IF(G214="","",-0.5*((J214-Components!$C$7)/Components!$D$7)^2)</f>
        <v>-129.27861903896061</v>
      </c>
      <c r="Q214" s="89">
        <f t="shared" si="30"/>
        <v>0.99999999937097384</v>
      </c>
      <c r="R214" s="89">
        <f t="shared" si="31"/>
        <v>6.2902621068733355E-10</v>
      </c>
      <c r="S214" s="89">
        <f t="shared" si="32"/>
        <v>0.99999999874194767</v>
      </c>
      <c r="T214" s="89" t="str">
        <f t="shared" si="33"/>
        <v>NG</v>
      </c>
      <c r="U214" s="117">
        <f t="shared" si="34"/>
        <v>1</v>
      </c>
      <c r="V214" s="89" t="str">
        <f>IF(G214="","",IF(T214="OK","NONE",INDEX({"S1","S2","W1","W2","N1","N2"},MATCH(MAX(K214:P214),K214:P214,0))))</f>
        <v>W1</v>
      </c>
      <c r="W214" s="117">
        <f t="shared" si="35"/>
        <v>1</v>
      </c>
      <c r="X214" s="114" t="str">
        <f t="shared" si="36"/>
        <v>CONFIDENT</v>
      </c>
      <c r="Y214" s="107"/>
    </row>
    <row r="215" spans="1:25">
      <c r="A215" s="115">
        <v>206</v>
      </c>
      <c r="B215" s="135">
        <f>'Runs Z-Score'!B208</f>
        <v>7</v>
      </c>
      <c r="C215" s="89" t="str">
        <f>'Runs Z-Score'!C208</f>
        <v>R4</v>
      </c>
      <c r="D215" s="89" t="str">
        <f>'Runs Z-Score'!D208</f>
        <v>NG</v>
      </c>
      <c r="E215" s="89" t="str">
        <f>'Runs Z-Score'!E208</f>
        <v>W1</v>
      </c>
      <c r="F215" s="89">
        <f>'Runs Z-Score'!F208</f>
        <v>7.96</v>
      </c>
      <c r="G215" s="89">
        <f t="shared" si="28"/>
        <v>8.93</v>
      </c>
      <c r="H215" s="89">
        <v>9.91</v>
      </c>
      <c r="I215" s="89">
        <f>VLOOKUP(C215,Recipes!$A$2:$N$4,12,FALSE())</f>
        <v>5.0137397426368718E-2</v>
      </c>
      <c r="J215" s="89">
        <f t="shared" si="29"/>
        <v>0.98000000000000043</v>
      </c>
      <c r="K215" s="89">
        <f>IF(G215="","",-0.5*((J215-Components!$C$2)/Components!$D$2)^2)</f>
        <v>-35998.666666667996</v>
      </c>
      <c r="L215" s="89">
        <f>IF(G215="","",-0.5*((J215-Components!$C$3)/Components!$D$3)^2)</f>
        <v>-24532.150724638286</v>
      </c>
      <c r="M215" s="89">
        <f>IF(G215="","",-0.5*((J215-Components!$C$4)/Components!$D$4)^2)</f>
        <v>-0.45490196078426037</v>
      </c>
      <c r="N215" s="89">
        <f>IF(G215="","",-0.5*((J215-Components!$C$5)/Components!$D$5)^2)</f>
        <v>-10122.267391829771</v>
      </c>
      <c r="O215" s="89">
        <f>IF(G215="","",-0.5*((J215-Components!$C$6)/Components!$D$6)^2)</f>
        <v>-20.213173216885764</v>
      </c>
      <c r="P215" s="89">
        <f>IF(G215="","",-0.5*((J215-Components!$C$7)/Components!$D$7)^2)</f>
        <v>-122.96304005332181</v>
      </c>
      <c r="Q215" s="89">
        <f t="shared" si="30"/>
        <v>0.99999999737522649</v>
      </c>
      <c r="R215" s="89">
        <f t="shared" si="31"/>
        <v>2.6247734254922817E-9</v>
      </c>
      <c r="S215" s="89">
        <f t="shared" si="32"/>
        <v>0.99999999475045309</v>
      </c>
      <c r="T215" s="89" t="str">
        <f t="shared" si="33"/>
        <v>NG</v>
      </c>
      <c r="U215" s="117">
        <f t="shared" si="34"/>
        <v>1</v>
      </c>
      <c r="V215" s="89" t="str">
        <f>IF(G215="","",IF(T215="OK","NONE",INDEX({"S1","S2","W1","W2","N1","N2"},MATCH(MAX(K215:P215),K215:P215,0))))</f>
        <v>W1</v>
      </c>
      <c r="W215" s="117">
        <f t="shared" si="35"/>
        <v>1</v>
      </c>
      <c r="X215" s="114" t="str">
        <f t="shared" si="36"/>
        <v>CONFIDENT</v>
      </c>
      <c r="Y215" s="107"/>
    </row>
    <row r="216" spans="1:25">
      <c r="A216" s="115">
        <v>207</v>
      </c>
      <c r="B216" s="135">
        <f>'Runs Z-Score'!B209</f>
        <v>7</v>
      </c>
      <c r="C216" s="89" t="str">
        <f>'Runs Z-Score'!C209</f>
        <v>R4</v>
      </c>
      <c r="D216" s="89" t="str">
        <f>'Runs Z-Score'!D209</f>
        <v>NG</v>
      </c>
      <c r="E216" s="89" t="str">
        <f>'Runs Z-Score'!E209</f>
        <v>W1</v>
      </c>
      <c r="F216" s="89">
        <f>'Runs Z-Score'!F209</f>
        <v>7.99</v>
      </c>
      <c r="G216" s="89">
        <f t="shared" si="28"/>
        <v>8.9600000000000009</v>
      </c>
      <c r="H216" s="89">
        <v>9.91</v>
      </c>
      <c r="I216" s="89">
        <f>VLOOKUP(C216,Recipes!$A$2:$N$4,12,FALSE())</f>
        <v>5.0137397426368718E-2</v>
      </c>
      <c r="J216" s="89">
        <f t="shared" si="29"/>
        <v>0.94999999999999929</v>
      </c>
      <c r="K216" s="89">
        <f>IF(G216="","",-0.5*((J216-Components!$C$2)/Components!$D$2)^2)</f>
        <v>-37226.969298247037</v>
      </c>
      <c r="L216" s="89">
        <f>IF(G216="","",-0.5*((J216-Components!$C$3)/Components!$D$3)^2)</f>
        <v>-25016.167028986139</v>
      </c>
      <c r="M216" s="89">
        <f>IF(G216="","",-0.5*((J216-Components!$C$4)/Components!$D$4)^2)</f>
        <v>-4.8049019607844023</v>
      </c>
      <c r="N216" s="89">
        <f>IF(G216="","",-0.5*((J216-Components!$C$5)/Components!$D$5)^2)</f>
        <v>-10292.497812424408</v>
      </c>
      <c r="O216" s="89">
        <f>IF(G216="","",-0.5*((J216-Components!$C$6)/Components!$D$6)^2)</f>
        <v>-27.706622998545612</v>
      </c>
      <c r="P216" s="89">
        <f>IF(G216="","",-0.5*((J216-Components!$C$7)/Components!$D$7)^2)</f>
        <v>-142.38423619947773</v>
      </c>
      <c r="Q216" s="89">
        <f t="shared" si="30"/>
        <v>0.99999999988678367</v>
      </c>
      <c r="R216" s="89">
        <f t="shared" si="31"/>
        <v>1.1321629204295097E-10</v>
      </c>
      <c r="S216" s="89">
        <f t="shared" si="32"/>
        <v>0.99999999977356735</v>
      </c>
      <c r="T216" s="89" t="str">
        <f t="shared" si="33"/>
        <v>NG</v>
      </c>
      <c r="U216" s="117">
        <f t="shared" si="34"/>
        <v>1</v>
      </c>
      <c r="V216" s="89" t="str">
        <f>IF(G216="","",IF(T216="OK","NONE",INDEX({"S1","S2","W1","W2","N1","N2"},MATCH(MAX(K216:P216),K216:P216,0))))</f>
        <v>W1</v>
      </c>
      <c r="W216" s="117">
        <f t="shared" si="35"/>
        <v>1</v>
      </c>
      <c r="X216" s="114" t="str">
        <f t="shared" si="36"/>
        <v>CONFIDENT</v>
      </c>
      <c r="Y216" s="107"/>
    </row>
    <row r="217" spans="1:25">
      <c r="A217" s="115">
        <v>208</v>
      </c>
      <c r="B217" s="135">
        <f>'Runs Z-Score'!B210</f>
        <v>7</v>
      </c>
      <c r="C217" s="89" t="str">
        <f>'Runs Z-Score'!C210</f>
        <v>R4</v>
      </c>
      <c r="D217" s="89" t="str">
        <f>'Runs Z-Score'!D210</f>
        <v>NG</v>
      </c>
      <c r="E217" s="89" t="str">
        <f>'Runs Z-Score'!E210</f>
        <v>W1</v>
      </c>
      <c r="F217" s="89">
        <f>'Runs Z-Score'!F210</f>
        <v>7.87</v>
      </c>
      <c r="G217" s="89">
        <f t="shared" si="28"/>
        <v>8.84</v>
      </c>
      <c r="H217" s="89">
        <v>9.91</v>
      </c>
      <c r="I217" s="89">
        <f>VLOOKUP(C217,Recipes!$A$2:$N$4,12,FALSE())</f>
        <v>5.0137397426368718E-2</v>
      </c>
      <c r="J217" s="89">
        <f t="shared" si="29"/>
        <v>1.0700000000000003</v>
      </c>
      <c r="K217" s="89">
        <f>IF(G217="","",-0.5*((J217-Components!$C$2)/Components!$D$2)^2)</f>
        <v>-32437.390350878388</v>
      </c>
      <c r="L217" s="89">
        <f>IF(G217="","",-0.5*((J217-Components!$C$3)/Components!$D$3)^2)</f>
        <v>-23108.471376812166</v>
      </c>
      <c r="M217" s="89">
        <f>IF(G217="","",-0.5*((J217-Components!$C$4)/Components!$D$4)^2)</f>
        <v>-15.040196078431675</v>
      </c>
      <c r="N217" s="89">
        <f>IF(G217="","",-0.5*((J217-Components!$C$5)/Components!$D$5)^2)</f>
        <v>-9620.0931713801747</v>
      </c>
      <c r="O217" s="89">
        <f>IF(G217="","",-0.5*((J217-Components!$C$6)/Components!$D$6)^2)</f>
        <v>-4.8070596797674634</v>
      </c>
      <c r="P217" s="89">
        <f>IF(G217="","",-0.5*((J217-Components!$C$7)/Components!$D$7)^2)</f>
        <v>-73.239717021146262</v>
      </c>
      <c r="Q217" s="89">
        <f t="shared" si="30"/>
        <v>0.99996404248145898</v>
      </c>
      <c r="R217" s="89">
        <f t="shared" si="31"/>
        <v>3.5957518541098719E-5</v>
      </c>
      <c r="S217" s="89">
        <f t="shared" si="32"/>
        <v>0.99992808496291785</v>
      </c>
      <c r="T217" s="89" t="str">
        <f t="shared" si="33"/>
        <v>NG</v>
      </c>
      <c r="U217" s="117">
        <f t="shared" si="34"/>
        <v>1</v>
      </c>
      <c r="V217" s="89" t="str">
        <f>IF(G217="","",IF(T217="OK","NONE",INDEX({"S1","S2","W1","W2","N1","N2"},MATCH(MAX(K217:P217),K217:P217,0))))</f>
        <v>N1</v>
      </c>
      <c r="W217" s="122">
        <f t="shared" si="35"/>
        <v>0</v>
      </c>
      <c r="X217" s="114" t="str">
        <f t="shared" si="36"/>
        <v>CONFIDENT</v>
      </c>
      <c r="Y217" s="107"/>
    </row>
    <row r="218" spans="1:25">
      <c r="A218" s="115">
        <v>209</v>
      </c>
      <c r="B218" s="135">
        <f>'Runs Z-Score'!B211</f>
        <v>7</v>
      </c>
      <c r="C218" s="89" t="str">
        <f>'Runs Z-Score'!C211</f>
        <v>R4</v>
      </c>
      <c r="D218" s="89" t="str">
        <f>'Runs Z-Score'!D211</f>
        <v>NG</v>
      </c>
      <c r="E218" s="89" t="str">
        <f>'Runs Z-Score'!E211</f>
        <v>W1</v>
      </c>
      <c r="F218" s="89">
        <f>'Runs Z-Score'!F211</f>
        <v>7.72</v>
      </c>
      <c r="G218" s="89">
        <f t="shared" si="28"/>
        <v>8.69</v>
      </c>
      <c r="H218" s="89">
        <v>9.91</v>
      </c>
      <c r="I218" s="89">
        <f>VLOOKUP(C218,Recipes!$A$2:$N$4,12,FALSE())</f>
        <v>5.0137397426368718E-2</v>
      </c>
      <c r="J218" s="89">
        <f t="shared" si="29"/>
        <v>1.2200000000000006</v>
      </c>
      <c r="K218" s="89">
        <f>IF(G218="","",-0.5*((J218-Components!$C$2)/Components!$D$2)^2)</f>
        <v>-26914.035087720269</v>
      </c>
      <c r="L218" s="89">
        <f>IF(G218="","",-0.5*((J218-Components!$C$3)/Components!$D$3)^2)</f>
        <v>-20830.237681159928</v>
      </c>
      <c r="M218" s="89">
        <f>IF(G218="","",-0.5*((J218-Components!$C$4)/Components!$D$4)^2)</f>
        <v>-131.46666666666823</v>
      </c>
      <c r="N218" s="89">
        <f>IF(G218="","",-0.5*((J218-Components!$C$5)/Components!$D$5)^2)</f>
        <v>-8811.5262750785096</v>
      </c>
      <c r="O218" s="89">
        <f>IF(G218="","",-0.5*((J218-Components!$C$6)/Components!$D$6)^2)</f>
        <v>-2.7109898107712604</v>
      </c>
      <c r="P218" s="89">
        <f>IF(G218="","",-0.5*((J218-Components!$C$7)/Components!$D$7)^2)</f>
        <v>-18.835063321819398</v>
      </c>
      <c r="Q218" s="89">
        <f t="shared" si="30"/>
        <v>0.99999990059601263</v>
      </c>
      <c r="R218" s="89">
        <f t="shared" si="31"/>
        <v>9.9403987295446509E-8</v>
      </c>
      <c r="S218" s="89">
        <f t="shared" si="32"/>
        <v>0.99999980119202536</v>
      </c>
      <c r="T218" s="89" t="str">
        <f t="shared" si="33"/>
        <v>NG</v>
      </c>
      <c r="U218" s="117">
        <f t="shared" si="34"/>
        <v>1</v>
      </c>
      <c r="V218" s="89" t="str">
        <f>IF(G218="","",IF(T218="OK","NONE",INDEX({"S1","S2","W1","W2","N1","N2"},MATCH(MAX(K218:P218),K218:P218,0))))</f>
        <v>N1</v>
      </c>
      <c r="W218" s="122">
        <f t="shared" si="35"/>
        <v>0</v>
      </c>
      <c r="X218" s="114" t="str">
        <f t="shared" si="36"/>
        <v>CONFIDENT</v>
      </c>
      <c r="Y218" s="107"/>
    </row>
    <row r="219" spans="1:25">
      <c r="A219" s="115">
        <v>210</v>
      </c>
      <c r="B219" s="135">
        <f>'Runs Z-Score'!B212</f>
        <v>7</v>
      </c>
      <c r="C219" s="89" t="str">
        <f>'Runs Z-Score'!C212</f>
        <v>R4</v>
      </c>
      <c r="D219" s="89" t="str">
        <f>'Runs Z-Score'!D212</f>
        <v>NG</v>
      </c>
      <c r="E219" s="89" t="str">
        <f>'Runs Z-Score'!E212</f>
        <v>W1</v>
      </c>
      <c r="F219" s="89">
        <f>'Runs Z-Score'!F212</f>
        <v>7.95</v>
      </c>
      <c r="G219" s="89">
        <f t="shared" si="28"/>
        <v>8.92</v>
      </c>
      <c r="H219" s="89">
        <v>9.91</v>
      </c>
      <c r="I219" s="89">
        <f>VLOOKUP(C219,Recipes!$A$2:$N$4,12,FALSE())</f>
        <v>5.0137397426368718E-2</v>
      </c>
      <c r="J219" s="89">
        <f t="shared" si="29"/>
        <v>0.99000000000000021</v>
      </c>
      <c r="K219" s="89">
        <f>IF(G219="","",-0.5*((J219-Components!$C$2)/Components!$D$2)^2)</f>
        <v>-35593.811403510088</v>
      </c>
      <c r="L219" s="89">
        <f>IF(G219="","",-0.5*((J219-Components!$C$3)/Components!$D$3)^2)</f>
        <v>-24371.862681160022</v>
      </c>
      <c r="M219" s="89">
        <f>IF(G219="","",-0.5*((J219-Components!$C$4)/Components!$D$4)^2)</f>
        <v>-2.8431372549009643E-2</v>
      </c>
      <c r="N219" s="89">
        <f>IF(G219="","",-0.5*((J219-Components!$C$5)/Components!$D$5)^2)</f>
        <v>-10065.839364273572</v>
      </c>
      <c r="O219" s="89">
        <f>IF(G219="","",-0.5*((J219-Components!$C$6)/Components!$D$6)^2)</f>
        <v>-17.977365356623753</v>
      </c>
      <c r="P219" s="89">
        <f>IF(G219="","",-0.5*((J219-Components!$C$7)/Components!$D$7)^2)</f>
        <v>-116.80561413076244</v>
      </c>
      <c r="Q219" s="89">
        <f t="shared" si="30"/>
        <v>0.99999998397208589</v>
      </c>
      <c r="R219" s="89">
        <f t="shared" si="31"/>
        <v>1.6027914155381499E-8</v>
      </c>
      <c r="S219" s="89">
        <f t="shared" si="32"/>
        <v>0.99999996794417179</v>
      </c>
      <c r="T219" s="89" t="str">
        <f t="shared" si="33"/>
        <v>NG</v>
      </c>
      <c r="U219" s="117">
        <f t="shared" si="34"/>
        <v>1</v>
      </c>
      <c r="V219" s="89" t="str">
        <f>IF(G219="","",IF(T219="OK","NONE",INDEX({"S1","S2","W1","W2","N1","N2"},MATCH(MAX(K219:P219),K219:P219,0))))</f>
        <v>W1</v>
      </c>
      <c r="W219" s="117">
        <f t="shared" si="35"/>
        <v>1</v>
      </c>
      <c r="X219" s="114" t="str">
        <f t="shared" si="36"/>
        <v>CONFIDENT</v>
      </c>
      <c r="Y219" s="107"/>
    </row>
    <row r="220" spans="1:25">
      <c r="A220" s="115">
        <v>211</v>
      </c>
      <c r="B220" s="135">
        <f>'Runs Z-Score'!B213</f>
        <v>8</v>
      </c>
      <c r="C220" s="89" t="str">
        <f>'Runs Z-Score'!C213</f>
        <v>R4</v>
      </c>
      <c r="D220" s="89" t="str">
        <f>'Runs Z-Score'!D213</f>
        <v>NG</v>
      </c>
      <c r="E220" s="89" t="str">
        <f>'Runs Z-Score'!E213</f>
        <v>N1</v>
      </c>
      <c r="F220" s="89">
        <f>'Runs Z-Score'!F213</f>
        <v>7.72</v>
      </c>
      <c r="G220" s="89">
        <f t="shared" si="28"/>
        <v>8.69</v>
      </c>
      <c r="H220" s="89">
        <v>9.91</v>
      </c>
      <c r="I220" s="89">
        <f>VLOOKUP(C220,Recipes!$A$2:$N$4,12,FALSE())</f>
        <v>5.0137397426368718E-2</v>
      </c>
      <c r="J220" s="89">
        <f t="shared" si="29"/>
        <v>1.2200000000000006</v>
      </c>
      <c r="K220" s="89">
        <f>IF(G220="","",-0.5*((J220-Components!$C$2)/Components!$D$2)^2)</f>
        <v>-26914.035087720269</v>
      </c>
      <c r="L220" s="89">
        <f>IF(G220="","",-0.5*((J220-Components!$C$3)/Components!$D$3)^2)</f>
        <v>-20830.237681159928</v>
      </c>
      <c r="M220" s="89">
        <f>IF(G220="","",-0.5*((J220-Components!$C$4)/Components!$D$4)^2)</f>
        <v>-131.46666666666823</v>
      </c>
      <c r="N220" s="89">
        <f>IF(G220="","",-0.5*((J220-Components!$C$5)/Components!$D$5)^2)</f>
        <v>-8811.5262750785096</v>
      </c>
      <c r="O220" s="89">
        <f>IF(G220="","",-0.5*((J220-Components!$C$6)/Components!$D$6)^2)</f>
        <v>-2.7109898107712604</v>
      </c>
      <c r="P220" s="89">
        <f>IF(G220="","",-0.5*((J220-Components!$C$7)/Components!$D$7)^2)</f>
        <v>-18.835063321819398</v>
      </c>
      <c r="Q220" s="89">
        <f t="shared" si="30"/>
        <v>0.99999990059601263</v>
      </c>
      <c r="R220" s="89">
        <f t="shared" si="31"/>
        <v>9.9403987295446509E-8</v>
      </c>
      <c r="S220" s="89">
        <f t="shared" si="32"/>
        <v>0.99999980119202536</v>
      </c>
      <c r="T220" s="89" t="str">
        <f t="shared" si="33"/>
        <v>NG</v>
      </c>
      <c r="U220" s="117">
        <f t="shared" si="34"/>
        <v>1</v>
      </c>
      <c r="V220" s="89" t="str">
        <f>IF(G220="","",IF(T220="OK","NONE",INDEX({"S1","S2","W1","W2","N1","N2"},MATCH(MAX(K220:P220),K220:P220,0))))</f>
        <v>N1</v>
      </c>
      <c r="W220" s="117">
        <f t="shared" si="35"/>
        <v>1</v>
      </c>
      <c r="X220" s="114" t="str">
        <f t="shared" si="36"/>
        <v>CONFIDENT</v>
      </c>
      <c r="Y220" s="107"/>
    </row>
    <row r="221" spans="1:25">
      <c r="A221" s="115">
        <v>212</v>
      </c>
      <c r="B221" s="135">
        <f>'Runs Z-Score'!B214</f>
        <v>8</v>
      </c>
      <c r="C221" s="89" t="str">
        <f>'Runs Z-Score'!C214</f>
        <v>R4</v>
      </c>
      <c r="D221" s="89" t="str">
        <f>'Runs Z-Score'!D214</f>
        <v>NG</v>
      </c>
      <c r="E221" s="89" t="str">
        <f>'Runs Z-Score'!E214</f>
        <v>N1</v>
      </c>
      <c r="F221" s="89">
        <f>'Runs Z-Score'!F214</f>
        <v>7.75</v>
      </c>
      <c r="G221" s="89">
        <f t="shared" si="28"/>
        <v>8.7200000000000006</v>
      </c>
      <c r="H221" s="89">
        <v>9.91</v>
      </c>
      <c r="I221" s="89">
        <f>VLOOKUP(C221,Recipes!$A$2:$N$4,12,FALSE())</f>
        <v>5.0137397426368718E-2</v>
      </c>
      <c r="J221" s="89">
        <f t="shared" si="29"/>
        <v>1.1899999999999995</v>
      </c>
      <c r="K221" s="89">
        <f>IF(G221="","",-0.5*((J221-Components!$C$2)/Components!$D$2)^2)</f>
        <v>-27977.495614036139</v>
      </c>
      <c r="L221" s="89">
        <f>IF(G221="","",-0.5*((J221-Components!$C$3)/Components!$D$3)^2)</f>
        <v>-21276.427898551265</v>
      </c>
      <c r="M221" s="89">
        <f>IF(G221="","",-0.5*((J221-Components!$C$4)/Components!$D$4)^2)</f>
        <v>-98.969607843137439</v>
      </c>
      <c r="N221" s="89">
        <f>IF(G221="","",-0.5*((J221-Components!$C$5)/Components!$D$5)^2)</f>
        <v>-8970.400640560747</v>
      </c>
      <c r="O221" s="89">
        <f>IF(G221="","",-0.5*((J221-Components!$C$6)/Components!$D$6)^2)</f>
        <v>-0.77212518195034319</v>
      </c>
      <c r="P221" s="89">
        <f>IF(G221="","",-0.5*((J221-Components!$C$7)/Components!$D$7)^2)</f>
        <v>-26.869238926255129</v>
      </c>
      <c r="Q221" s="89">
        <f t="shared" si="30"/>
        <v>0.99999999999536371</v>
      </c>
      <c r="R221" s="89">
        <f t="shared" si="31"/>
        <v>4.6362570554388569E-12</v>
      </c>
      <c r="S221" s="89">
        <f t="shared" si="32"/>
        <v>0.99999999999072742</v>
      </c>
      <c r="T221" s="89" t="str">
        <f t="shared" si="33"/>
        <v>NG</v>
      </c>
      <c r="U221" s="117">
        <f t="shared" si="34"/>
        <v>1</v>
      </c>
      <c r="V221" s="89" t="str">
        <f>IF(G221="","",IF(T221="OK","NONE",INDEX({"S1","S2","W1","W2","N1","N2"},MATCH(MAX(K221:P221),K221:P221,0))))</f>
        <v>N1</v>
      </c>
      <c r="W221" s="117">
        <f t="shared" si="35"/>
        <v>1</v>
      </c>
      <c r="X221" s="114" t="str">
        <f t="shared" si="36"/>
        <v>CONFIDENT</v>
      </c>
      <c r="Y221" s="107"/>
    </row>
    <row r="222" spans="1:25">
      <c r="A222" s="115">
        <v>213</v>
      </c>
      <c r="B222" s="135">
        <f>'Runs Z-Score'!B215</f>
        <v>8</v>
      </c>
      <c r="C222" s="89" t="str">
        <f>'Runs Z-Score'!C215</f>
        <v>R4</v>
      </c>
      <c r="D222" s="89" t="str">
        <f>'Runs Z-Score'!D215</f>
        <v>NG</v>
      </c>
      <c r="E222" s="89" t="str">
        <f>'Runs Z-Score'!E215</f>
        <v>N1</v>
      </c>
      <c r="F222" s="89">
        <f>'Runs Z-Score'!F215</f>
        <v>7.8</v>
      </c>
      <c r="G222" s="89">
        <f t="shared" si="28"/>
        <v>8.77</v>
      </c>
      <c r="H222" s="89">
        <v>9.91</v>
      </c>
      <c r="I222" s="89">
        <f>VLOOKUP(C222,Recipes!$A$2:$N$4,12,FALSE())</f>
        <v>5.0137397426368718E-2</v>
      </c>
      <c r="J222" s="89">
        <f t="shared" si="29"/>
        <v>1.1400000000000006</v>
      </c>
      <c r="K222" s="89">
        <f>IF(G222="","",-0.5*((J222-Components!$C$2)/Components!$D$2)^2)</f>
        <v>-29795.719298246699</v>
      </c>
      <c r="L222" s="89">
        <f>IF(G222="","",-0.5*((J222-Components!$C$3)/Components!$D$3)^2)</f>
        <v>-22030.585507246917</v>
      </c>
      <c r="M222" s="89">
        <f>IF(G222="","",-0.5*((J222-Components!$C$4)/Components!$D$4)^2)</f>
        <v>-55.043137254902838</v>
      </c>
      <c r="N222" s="89">
        <f>IF(G222="","",-0.5*((J222-Components!$C$5)/Components!$D$5)^2)</f>
        <v>-9238.3457094512396</v>
      </c>
      <c r="O222" s="89">
        <f>IF(G222="","",-0.5*((J222-Components!$C$6)/Components!$D$6)^2)</f>
        <v>-0.16077147016017299</v>
      </c>
      <c r="P222" s="89">
        <f>IF(G222="","",-0.5*((J222-Components!$C$7)/Components!$D$7)^2)</f>
        <v>-43.422592861902643</v>
      </c>
      <c r="Q222" s="89">
        <f t="shared" si="30"/>
        <v>1</v>
      </c>
      <c r="R222" s="89">
        <f t="shared" si="31"/>
        <v>1.6279073817489323E-19</v>
      </c>
      <c r="S222" s="89">
        <f t="shared" si="32"/>
        <v>1</v>
      </c>
      <c r="T222" s="89" t="str">
        <f t="shared" si="33"/>
        <v>NG</v>
      </c>
      <c r="U222" s="117">
        <f t="shared" si="34"/>
        <v>1</v>
      </c>
      <c r="V222" s="89" t="str">
        <f>IF(G222="","",IF(T222="OK","NONE",INDEX({"S1","S2","W1","W2","N1","N2"},MATCH(MAX(K222:P222),K222:P222,0))))</f>
        <v>N1</v>
      </c>
      <c r="W222" s="117">
        <f t="shared" si="35"/>
        <v>1</v>
      </c>
      <c r="X222" s="114" t="str">
        <f t="shared" si="36"/>
        <v>CONFIDENT</v>
      </c>
      <c r="Y222" s="107"/>
    </row>
    <row r="223" spans="1:25">
      <c r="A223" s="115">
        <v>214</v>
      </c>
      <c r="B223" s="135">
        <f>'Runs Z-Score'!B216</f>
        <v>8</v>
      </c>
      <c r="C223" s="89" t="str">
        <f>'Runs Z-Score'!C216</f>
        <v>R4</v>
      </c>
      <c r="D223" s="89" t="str">
        <f>'Runs Z-Score'!D216</f>
        <v>NG</v>
      </c>
      <c r="E223" s="89" t="str">
        <f>'Runs Z-Score'!E216</f>
        <v>N1</v>
      </c>
      <c r="F223" s="89">
        <f>'Runs Z-Score'!F216</f>
        <v>7.77</v>
      </c>
      <c r="G223" s="89">
        <f t="shared" si="28"/>
        <v>8.74</v>
      </c>
      <c r="H223" s="89">
        <v>9.91</v>
      </c>
      <c r="I223" s="89">
        <f>VLOOKUP(C223,Recipes!$A$2:$N$4,12,FALSE())</f>
        <v>5.0137397426368718E-2</v>
      </c>
      <c r="J223" s="89">
        <f t="shared" si="29"/>
        <v>1.17</v>
      </c>
      <c r="K223" s="89">
        <f>IF(G223="","",-0.5*((J223-Components!$C$2)/Components!$D$2)^2)</f>
        <v>-28697.91666666773</v>
      </c>
      <c r="L223" s="89">
        <f>IF(G223="","",-0.5*((J223-Components!$C$3)/Components!$D$3)^2)</f>
        <v>-21576.514855073001</v>
      </c>
      <c r="M223" s="89">
        <f>IF(G223="","",-0.5*((J223-Components!$C$4)/Components!$D$4)^2)</f>
        <v>-79.8637254901966</v>
      </c>
      <c r="N223" s="89">
        <f>IF(G223="","",-0.5*((J223-Components!$C$5)/Components!$D$5)^2)</f>
        <v>-9077.1054991539295</v>
      </c>
      <c r="O223" s="89">
        <f>IF(G223="","",-0.5*((J223-Components!$C$6)/Components!$D$6)^2)</f>
        <v>-0.13457059679760872</v>
      </c>
      <c r="P223" s="89">
        <f>IF(G223="","",-0.5*((J223-Components!$C$7)/Components!$D$7)^2)</f>
        <v>-33.016121311275832</v>
      </c>
      <c r="Q223" s="89">
        <f t="shared" si="30"/>
        <v>0.99999999999999467</v>
      </c>
      <c r="R223" s="89">
        <f t="shared" si="31"/>
        <v>5.2447400568157394E-15</v>
      </c>
      <c r="S223" s="89">
        <f t="shared" si="32"/>
        <v>0.99999999999998945</v>
      </c>
      <c r="T223" s="89" t="str">
        <f t="shared" si="33"/>
        <v>NG</v>
      </c>
      <c r="U223" s="117">
        <f t="shared" si="34"/>
        <v>1</v>
      </c>
      <c r="V223" s="89" t="str">
        <f>IF(G223="","",IF(T223="OK","NONE",INDEX({"S1","S2","W1","W2","N1","N2"},MATCH(MAX(K223:P223),K223:P223,0))))</f>
        <v>N1</v>
      </c>
      <c r="W223" s="117">
        <f t="shared" si="35"/>
        <v>1</v>
      </c>
      <c r="X223" s="114" t="str">
        <f t="shared" si="36"/>
        <v>CONFIDENT</v>
      </c>
      <c r="Y223" s="107"/>
    </row>
    <row r="224" spans="1:25">
      <c r="A224" s="115">
        <v>215</v>
      </c>
      <c r="B224" s="135">
        <f>'Runs Z-Score'!B217</f>
        <v>8</v>
      </c>
      <c r="C224" s="89" t="str">
        <f>'Runs Z-Score'!C217</f>
        <v>R4</v>
      </c>
      <c r="D224" s="89" t="str">
        <f>'Runs Z-Score'!D217</f>
        <v>NG</v>
      </c>
      <c r="E224" s="89" t="str">
        <f>'Runs Z-Score'!E217</f>
        <v>N1</v>
      </c>
      <c r="F224" s="89">
        <f>'Runs Z-Score'!F217</f>
        <v>7.78</v>
      </c>
      <c r="G224" s="89">
        <f t="shared" si="28"/>
        <v>8.75</v>
      </c>
      <c r="H224" s="89">
        <v>9.91</v>
      </c>
      <c r="I224" s="89">
        <f>VLOOKUP(C224,Recipes!$A$2:$N$4,12,FALSE())</f>
        <v>5.0137397426368718E-2</v>
      </c>
      <c r="J224" s="89">
        <f t="shared" si="29"/>
        <v>1.1600000000000001</v>
      </c>
      <c r="K224" s="89">
        <f>IF(G224="","",-0.5*((J224-Components!$C$2)/Components!$D$2)^2)</f>
        <v>-29061.561403509844</v>
      </c>
      <c r="L224" s="89">
        <f>IF(G224="","",-0.5*((J224-Components!$C$3)/Components!$D$3)^2)</f>
        <v>-21727.346376812136</v>
      </c>
      <c r="M224" s="89">
        <f>IF(G224="","",-0.5*((J224-Components!$C$4)/Components!$D$4)^2)</f>
        <v>-71.078431372549687</v>
      </c>
      <c r="N224" s="89">
        <f>IF(G224="","",-0.5*((J224-Components!$C$5)/Components!$D$5)^2)</f>
        <v>-9130.6945129320247</v>
      </c>
      <c r="O224" s="89">
        <f>IF(G224="","",-0.5*((J224-Components!$C$6)/Components!$D$6)^2)</f>
        <v>-1.2299854439574655E-2</v>
      </c>
      <c r="P224" s="89">
        <f>IF(G224="","",-0.5*((J224-Components!$C$7)/Components!$D$7)^2)</f>
        <v>-36.326792098405335</v>
      </c>
      <c r="Q224" s="89">
        <f t="shared" si="30"/>
        <v>0.99999999999999978</v>
      </c>
      <c r="R224" s="89">
        <f t="shared" si="31"/>
        <v>1.6936216834697351E-16</v>
      </c>
      <c r="S224" s="89">
        <f t="shared" si="32"/>
        <v>0.99999999999999956</v>
      </c>
      <c r="T224" s="89" t="str">
        <f t="shared" si="33"/>
        <v>NG</v>
      </c>
      <c r="U224" s="117">
        <f t="shared" si="34"/>
        <v>1</v>
      </c>
      <c r="V224" s="89" t="str">
        <f>IF(G224="","",IF(T224="OK","NONE",INDEX({"S1","S2","W1","W2","N1","N2"},MATCH(MAX(K224:P224),K224:P224,0))))</f>
        <v>N1</v>
      </c>
      <c r="W224" s="117">
        <f t="shared" si="35"/>
        <v>1</v>
      </c>
      <c r="X224" s="114" t="str">
        <f t="shared" si="36"/>
        <v>CONFIDENT</v>
      </c>
      <c r="Y224" s="107"/>
    </row>
    <row r="225" spans="1:25">
      <c r="A225" s="115">
        <v>216</v>
      </c>
      <c r="B225" s="135">
        <f>'Runs Z-Score'!B218</f>
        <v>8</v>
      </c>
      <c r="C225" s="89" t="str">
        <f>'Runs Z-Score'!C218</f>
        <v>R4</v>
      </c>
      <c r="D225" s="89" t="str">
        <f>'Runs Z-Score'!D218</f>
        <v>NG</v>
      </c>
      <c r="E225" s="89" t="str">
        <f>'Runs Z-Score'!E218</f>
        <v>N1</v>
      </c>
      <c r="F225" s="89">
        <f>'Runs Z-Score'!F218</f>
        <v>7.82</v>
      </c>
      <c r="G225" s="89">
        <f t="shared" si="28"/>
        <v>8.7900000000000009</v>
      </c>
      <c r="H225" s="89">
        <v>9.91</v>
      </c>
      <c r="I225" s="89">
        <f>VLOOKUP(C225,Recipes!$A$2:$N$4,12,FALSE())</f>
        <v>5.0137397426368718E-2</v>
      </c>
      <c r="J225" s="89">
        <f t="shared" si="29"/>
        <v>1.1199999999999992</v>
      </c>
      <c r="K225" s="89">
        <f>IF(G225="","",-0.5*((J225-Components!$C$2)/Components!$D$2)^2)</f>
        <v>-30539.035087720458</v>
      </c>
      <c r="L225" s="89">
        <f>IF(G225="","",-0.5*((J225-Components!$C$3)/Components!$D$3)^2)</f>
        <v>-22335.92608695709</v>
      </c>
      <c r="M225" s="89">
        <f>IF(G225="","",-0.5*((J225-Components!$C$4)/Components!$D$4)^2)</f>
        <v>-41.054901960784171</v>
      </c>
      <c r="N225" s="89">
        <f>IF(G225="","",-0.5*((J225-Components!$C$5)/Components!$D$5)^2)</f>
        <v>-9346.6277979211536</v>
      </c>
      <c r="O225" s="89">
        <f>IF(G225="","",-0.5*((J225-Components!$C$6)/Components!$D$6)^2)</f>
        <v>-0.8332605531297429</v>
      </c>
      <c r="P225" s="89">
        <f>IF(G225="","",-0.5*((J225-Components!$C$7)/Components!$D$7)^2)</f>
        <v>-51.151005877718411</v>
      </c>
      <c r="Q225" s="89">
        <f t="shared" si="30"/>
        <v>1</v>
      </c>
      <c r="R225" s="89">
        <f t="shared" si="31"/>
        <v>3.4037925513362941E-18</v>
      </c>
      <c r="S225" s="89">
        <f t="shared" si="32"/>
        <v>1</v>
      </c>
      <c r="T225" s="89" t="str">
        <f t="shared" si="33"/>
        <v>NG</v>
      </c>
      <c r="U225" s="117">
        <f t="shared" si="34"/>
        <v>1</v>
      </c>
      <c r="V225" s="89" t="str">
        <f>IF(G225="","",IF(T225="OK","NONE",INDEX({"S1","S2","W1","W2","N1","N2"},MATCH(MAX(K225:P225),K225:P225,0))))</f>
        <v>N1</v>
      </c>
      <c r="W225" s="117">
        <f t="shared" si="35"/>
        <v>1</v>
      </c>
      <c r="X225" s="114" t="str">
        <f t="shared" si="36"/>
        <v>CONFIDENT</v>
      </c>
      <c r="Y225" s="107"/>
    </row>
    <row r="226" spans="1:25">
      <c r="A226" s="115">
        <v>217</v>
      </c>
      <c r="B226" s="135">
        <f>'Runs Z-Score'!B219</f>
        <v>8</v>
      </c>
      <c r="C226" s="89" t="str">
        <f>'Runs Z-Score'!C219</f>
        <v>R4</v>
      </c>
      <c r="D226" s="89" t="str">
        <f>'Runs Z-Score'!D219</f>
        <v>NG</v>
      </c>
      <c r="E226" s="89" t="str">
        <f>'Runs Z-Score'!E219</f>
        <v>N1</v>
      </c>
      <c r="F226" s="89">
        <f>'Runs Z-Score'!F219</f>
        <v>7.78</v>
      </c>
      <c r="G226" s="89">
        <f t="shared" si="28"/>
        <v>8.75</v>
      </c>
      <c r="H226" s="89">
        <v>9.91</v>
      </c>
      <c r="I226" s="89">
        <f>VLOOKUP(C226,Recipes!$A$2:$N$4,12,FALSE())</f>
        <v>5.0137397426368718E-2</v>
      </c>
      <c r="J226" s="89">
        <f t="shared" si="29"/>
        <v>1.1600000000000001</v>
      </c>
      <c r="K226" s="89">
        <f>IF(G226="","",-0.5*((J226-Components!$C$2)/Components!$D$2)^2)</f>
        <v>-29061.561403509844</v>
      </c>
      <c r="L226" s="89">
        <f>IF(G226="","",-0.5*((J226-Components!$C$3)/Components!$D$3)^2)</f>
        <v>-21727.346376812136</v>
      </c>
      <c r="M226" s="89">
        <f>IF(G226="","",-0.5*((J226-Components!$C$4)/Components!$D$4)^2)</f>
        <v>-71.078431372549687</v>
      </c>
      <c r="N226" s="89">
        <f>IF(G226="","",-0.5*((J226-Components!$C$5)/Components!$D$5)^2)</f>
        <v>-9130.6945129320247</v>
      </c>
      <c r="O226" s="89">
        <f>IF(G226="","",-0.5*((J226-Components!$C$6)/Components!$D$6)^2)</f>
        <v>-1.2299854439574655E-2</v>
      </c>
      <c r="P226" s="89">
        <f>IF(G226="","",-0.5*((J226-Components!$C$7)/Components!$D$7)^2)</f>
        <v>-36.326792098405335</v>
      </c>
      <c r="Q226" s="89">
        <f t="shared" si="30"/>
        <v>0.99999999999999978</v>
      </c>
      <c r="R226" s="89">
        <f t="shared" si="31"/>
        <v>1.6936216834697351E-16</v>
      </c>
      <c r="S226" s="89">
        <f t="shared" si="32"/>
        <v>0.99999999999999956</v>
      </c>
      <c r="T226" s="89" t="str">
        <f t="shared" si="33"/>
        <v>NG</v>
      </c>
      <c r="U226" s="117">
        <f t="shared" si="34"/>
        <v>1</v>
      </c>
      <c r="V226" s="89" t="str">
        <f>IF(G226="","",IF(T226="OK","NONE",INDEX({"S1","S2","W1","W2","N1","N2"},MATCH(MAX(K226:P226),K226:P226,0))))</f>
        <v>N1</v>
      </c>
      <c r="W226" s="117">
        <f t="shared" si="35"/>
        <v>1</v>
      </c>
      <c r="X226" s="114" t="str">
        <f t="shared" si="36"/>
        <v>CONFIDENT</v>
      </c>
      <c r="Y226" s="107"/>
    </row>
    <row r="227" spans="1:25">
      <c r="A227" s="115">
        <v>218</v>
      </c>
      <c r="B227" s="135">
        <f>'Runs Z-Score'!B220</f>
        <v>8</v>
      </c>
      <c r="C227" s="89" t="str">
        <f>'Runs Z-Score'!C220</f>
        <v>R4</v>
      </c>
      <c r="D227" s="89" t="str">
        <f>'Runs Z-Score'!D220</f>
        <v>NG</v>
      </c>
      <c r="E227" s="89" t="str">
        <f>'Runs Z-Score'!E220</f>
        <v>N1</v>
      </c>
      <c r="F227" s="89">
        <f>'Runs Z-Score'!F220</f>
        <v>7.52</v>
      </c>
      <c r="G227" s="89">
        <f t="shared" si="28"/>
        <v>8.49</v>
      </c>
      <c r="H227" s="89">
        <v>9.91</v>
      </c>
      <c r="I227" s="89">
        <f>VLOOKUP(C227,Recipes!$A$2:$N$4,12,FALSE())</f>
        <v>5.0137397426368718E-2</v>
      </c>
      <c r="J227" s="89">
        <f t="shared" si="29"/>
        <v>1.42</v>
      </c>
      <c r="K227" s="89">
        <f>IF(G227="","",-0.5*((J227-Components!$C$2)/Components!$D$2)^2)</f>
        <v>-20350.877192983193</v>
      </c>
      <c r="L227" s="89">
        <f>IF(G227="","",-0.5*((J227-Components!$C$3)/Components!$D$3)^2)</f>
        <v>-17976.469565217842</v>
      </c>
      <c r="M227" s="89">
        <f>IF(G227="","",-0.5*((J227-Components!$C$4)/Components!$D$4)^2)</f>
        <v>-465.81960784313935</v>
      </c>
      <c r="N227" s="89">
        <f>IF(G227="","",-0.5*((J227-Components!$C$5)/Components!$D$5)^2)</f>
        <v>-7788.6401256949075</v>
      </c>
      <c r="O227" s="89">
        <f>IF(G227="","",-0.5*((J227-Components!$C$6)/Components!$D$6)^2)</f>
        <v>-45.7677583697225</v>
      </c>
      <c r="P227" s="89">
        <f>IF(G227="","",-0.5*((J227-Components!$C$7)/Components!$D$7)^2)</f>
        <v>-1.6490971338546874</v>
      </c>
      <c r="Q227" s="89">
        <f t="shared" si="30"/>
        <v>1</v>
      </c>
      <c r="R227" s="89">
        <f t="shared" si="31"/>
        <v>6.9104905322839601E-20</v>
      </c>
      <c r="S227" s="89">
        <f t="shared" si="32"/>
        <v>1</v>
      </c>
      <c r="T227" s="89" t="str">
        <f t="shared" si="33"/>
        <v>NG</v>
      </c>
      <c r="U227" s="117">
        <f t="shared" si="34"/>
        <v>1</v>
      </c>
      <c r="V227" s="89" t="str">
        <f>IF(G227="","",IF(T227="OK","NONE",INDEX({"S1","S2","W1","W2","N1","N2"},MATCH(MAX(K227:P227),K227:P227,0))))</f>
        <v>N2</v>
      </c>
      <c r="W227" s="122">
        <f t="shared" si="35"/>
        <v>0</v>
      </c>
      <c r="X227" s="114" t="str">
        <f t="shared" si="36"/>
        <v>CONFIDENT</v>
      </c>
      <c r="Y227" s="107"/>
    </row>
    <row r="228" spans="1:25">
      <c r="A228" s="115">
        <v>219</v>
      </c>
      <c r="B228" s="135">
        <f>'Runs Z-Score'!B221</f>
        <v>8</v>
      </c>
      <c r="C228" s="89" t="str">
        <f>'Runs Z-Score'!C221</f>
        <v>R4</v>
      </c>
      <c r="D228" s="89" t="str">
        <f>'Runs Z-Score'!D221</f>
        <v>NG</v>
      </c>
      <c r="E228" s="89" t="str">
        <f>'Runs Z-Score'!E221</f>
        <v>N1</v>
      </c>
      <c r="F228" s="89">
        <f>'Runs Z-Score'!F221</f>
        <v>7.75</v>
      </c>
      <c r="G228" s="89">
        <f t="shared" si="28"/>
        <v>8.7200000000000006</v>
      </c>
      <c r="H228" s="89">
        <v>9.91</v>
      </c>
      <c r="I228" s="89">
        <f>VLOOKUP(C228,Recipes!$A$2:$N$4,12,FALSE())</f>
        <v>5.0137397426368718E-2</v>
      </c>
      <c r="J228" s="89">
        <f t="shared" si="29"/>
        <v>1.1899999999999995</v>
      </c>
      <c r="K228" s="89">
        <f>IF(G228="","",-0.5*((J228-Components!$C$2)/Components!$D$2)^2)</f>
        <v>-27977.495614036139</v>
      </c>
      <c r="L228" s="89">
        <f>IF(G228="","",-0.5*((J228-Components!$C$3)/Components!$D$3)^2)</f>
        <v>-21276.427898551265</v>
      </c>
      <c r="M228" s="89">
        <f>IF(G228="","",-0.5*((J228-Components!$C$4)/Components!$D$4)^2)</f>
        <v>-98.969607843137439</v>
      </c>
      <c r="N228" s="89">
        <f>IF(G228="","",-0.5*((J228-Components!$C$5)/Components!$D$5)^2)</f>
        <v>-8970.400640560747</v>
      </c>
      <c r="O228" s="89">
        <f>IF(G228="","",-0.5*((J228-Components!$C$6)/Components!$D$6)^2)</f>
        <v>-0.77212518195034319</v>
      </c>
      <c r="P228" s="89">
        <f>IF(G228="","",-0.5*((J228-Components!$C$7)/Components!$D$7)^2)</f>
        <v>-26.869238926255129</v>
      </c>
      <c r="Q228" s="89">
        <f t="shared" si="30"/>
        <v>0.99999999999536371</v>
      </c>
      <c r="R228" s="89">
        <f t="shared" si="31"/>
        <v>4.6362570554388569E-12</v>
      </c>
      <c r="S228" s="89">
        <f t="shared" si="32"/>
        <v>0.99999999999072742</v>
      </c>
      <c r="T228" s="89" t="str">
        <f t="shared" si="33"/>
        <v>NG</v>
      </c>
      <c r="U228" s="117">
        <f t="shared" si="34"/>
        <v>1</v>
      </c>
      <c r="V228" s="89" t="str">
        <f>IF(G228="","",IF(T228="OK","NONE",INDEX({"S1","S2","W1","W2","N1","N2"},MATCH(MAX(K228:P228),K228:P228,0))))</f>
        <v>N1</v>
      </c>
      <c r="W228" s="117">
        <f t="shared" si="35"/>
        <v>1</v>
      </c>
      <c r="X228" s="114" t="str">
        <f t="shared" si="36"/>
        <v>CONFIDENT</v>
      </c>
      <c r="Y228" s="107"/>
    </row>
    <row r="229" spans="1:25">
      <c r="A229" s="115">
        <v>220</v>
      </c>
      <c r="B229" s="135">
        <f>'Runs Z-Score'!B222</f>
        <v>8</v>
      </c>
      <c r="C229" s="89" t="str">
        <f>'Runs Z-Score'!C222</f>
        <v>R4</v>
      </c>
      <c r="D229" s="89" t="str">
        <f>'Runs Z-Score'!D222</f>
        <v>NG</v>
      </c>
      <c r="E229" s="89" t="str">
        <f>'Runs Z-Score'!E222</f>
        <v>N1</v>
      </c>
      <c r="F229" s="89">
        <f>'Runs Z-Score'!F222</f>
        <v>7.76</v>
      </c>
      <c r="G229" s="89">
        <f t="shared" si="28"/>
        <v>8.73</v>
      </c>
      <c r="H229" s="89">
        <v>9.91</v>
      </c>
      <c r="I229" s="89">
        <f>VLOOKUP(C229,Recipes!$A$2:$N$4,12,FALSE())</f>
        <v>5.0137397426368718E-2</v>
      </c>
      <c r="J229" s="89">
        <f t="shared" si="29"/>
        <v>1.1799999999999997</v>
      </c>
      <c r="K229" s="89">
        <f>IF(G229="","",-0.5*((J229-Components!$C$2)/Components!$D$2)^2)</f>
        <v>-28336.561403509833</v>
      </c>
      <c r="L229" s="89">
        <f>IF(G229="","",-0.5*((J229-Components!$C$3)/Components!$D$3)^2)</f>
        <v>-21426.208695652709</v>
      </c>
      <c r="M229" s="89">
        <f>IF(G229="","",-0.5*((J229-Components!$C$4)/Components!$D$4)^2)</f>
        <v>-89.160784313725856</v>
      </c>
      <c r="N229" s="89">
        <f>IF(G229="","",-0.5*((J229-Components!$C$5)/Components!$D$5)^2)</f>
        <v>-9023.6742083635017</v>
      </c>
      <c r="O229" s="89">
        <f>IF(G229="","",-0.5*((J229-Components!$C$6)/Components!$D$6)^2)</f>
        <v>-0.38784570596786494</v>
      </c>
      <c r="P229" s="89">
        <f>IF(G229="","",-0.5*((J229-Components!$C$7)/Components!$D$7)^2)</f>
        <v>-29.863603587225764</v>
      </c>
      <c r="Q229" s="89">
        <f t="shared" si="30"/>
        <v>0.9999999999998419</v>
      </c>
      <c r="R229" s="89">
        <f t="shared" si="31"/>
        <v>1.5806692410838608E-13</v>
      </c>
      <c r="S229" s="89">
        <f t="shared" si="32"/>
        <v>0.99999999999968381</v>
      </c>
      <c r="T229" s="89" t="str">
        <f t="shared" si="33"/>
        <v>NG</v>
      </c>
      <c r="U229" s="117">
        <f t="shared" si="34"/>
        <v>1</v>
      </c>
      <c r="V229" s="89" t="str">
        <f>IF(G229="","",IF(T229="OK","NONE",INDEX({"S1","S2","W1","W2","N1","N2"},MATCH(MAX(K229:P229),K229:P229,0))))</f>
        <v>N1</v>
      </c>
      <c r="W229" s="117">
        <f t="shared" si="35"/>
        <v>1</v>
      </c>
      <c r="X229" s="114" t="str">
        <f t="shared" si="36"/>
        <v>CONFIDENT</v>
      </c>
      <c r="Y229" s="107"/>
    </row>
    <row r="230" spans="1:25">
      <c r="A230" s="115">
        <v>221</v>
      </c>
      <c r="B230" s="135">
        <f>'Runs Z-Score'!B223</f>
        <v>8</v>
      </c>
      <c r="C230" s="89" t="str">
        <f>'Runs Z-Score'!C223</f>
        <v>R4</v>
      </c>
      <c r="D230" s="89" t="str">
        <f>'Runs Z-Score'!D223</f>
        <v>NG</v>
      </c>
      <c r="E230" s="89" t="str">
        <f>'Runs Z-Score'!E223</f>
        <v>N1</v>
      </c>
      <c r="F230" s="89">
        <f>'Runs Z-Score'!F223</f>
        <v>7.78</v>
      </c>
      <c r="G230" s="89">
        <f t="shared" si="28"/>
        <v>8.75</v>
      </c>
      <c r="H230" s="89">
        <v>9.91</v>
      </c>
      <c r="I230" s="89">
        <f>VLOOKUP(C230,Recipes!$A$2:$N$4,12,FALSE())</f>
        <v>5.0137397426368718E-2</v>
      </c>
      <c r="J230" s="89">
        <f t="shared" si="29"/>
        <v>1.1600000000000001</v>
      </c>
      <c r="K230" s="89">
        <f>IF(G230="","",-0.5*((J230-Components!$C$2)/Components!$D$2)^2)</f>
        <v>-29061.561403509844</v>
      </c>
      <c r="L230" s="89">
        <f>IF(G230="","",-0.5*((J230-Components!$C$3)/Components!$D$3)^2)</f>
        <v>-21727.346376812136</v>
      </c>
      <c r="M230" s="89">
        <f>IF(G230="","",-0.5*((J230-Components!$C$4)/Components!$D$4)^2)</f>
        <v>-71.078431372549687</v>
      </c>
      <c r="N230" s="89">
        <f>IF(G230="","",-0.5*((J230-Components!$C$5)/Components!$D$5)^2)</f>
        <v>-9130.6945129320247</v>
      </c>
      <c r="O230" s="89">
        <f>IF(G230="","",-0.5*((J230-Components!$C$6)/Components!$D$6)^2)</f>
        <v>-1.2299854439574655E-2</v>
      </c>
      <c r="P230" s="89">
        <f>IF(G230="","",-0.5*((J230-Components!$C$7)/Components!$D$7)^2)</f>
        <v>-36.326792098405335</v>
      </c>
      <c r="Q230" s="89">
        <f t="shared" si="30"/>
        <v>0.99999999999999978</v>
      </c>
      <c r="R230" s="89">
        <f t="shared" si="31"/>
        <v>1.6936216834697351E-16</v>
      </c>
      <c r="S230" s="89">
        <f t="shared" si="32"/>
        <v>0.99999999999999956</v>
      </c>
      <c r="T230" s="89" t="str">
        <f t="shared" si="33"/>
        <v>NG</v>
      </c>
      <c r="U230" s="117">
        <f t="shared" si="34"/>
        <v>1</v>
      </c>
      <c r="V230" s="89" t="str">
        <f>IF(G230="","",IF(T230="OK","NONE",INDEX({"S1","S2","W1","W2","N1","N2"},MATCH(MAX(K230:P230),K230:P230,0))))</f>
        <v>N1</v>
      </c>
      <c r="W230" s="117">
        <f t="shared" si="35"/>
        <v>1</v>
      </c>
      <c r="X230" s="114" t="str">
        <f t="shared" si="36"/>
        <v>CONFIDENT</v>
      </c>
      <c r="Y230" s="107"/>
    </row>
    <row r="231" spans="1:25">
      <c r="A231" s="115">
        <v>222</v>
      </c>
      <c r="B231" s="135">
        <f>'Runs Z-Score'!B224</f>
        <v>8</v>
      </c>
      <c r="C231" s="89" t="str">
        <f>'Runs Z-Score'!C224</f>
        <v>R4</v>
      </c>
      <c r="D231" s="89" t="str">
        <f>'Runs Z-Score'!D224</f>
        <v>NG</v>
      </c>
      <c r="E231" s="89" t="str">
        <f>'Runs Z-Score'!E224</f>
        <v>N1</v>
      </c>
      <c r="F231" s="89">
        <f>'Runs Z-Score'!F224</f>
        <v>7.82</v>
      </c>
      <c r="G231" s="89">
        <f t="shared" si="28"/>
        <v>8.7900000000000009</v>
      </c>
      <c r="H231" s="89">
        <v>9.91</v>
      </c>
      <c r="I231" s="89">
        <f>VLOOKUP(C231,Recipes!$A$2:$N$4,12,FALSE())</f>
        <v>5.0137397426368718E-2</v>
      </c>
      <c r="J231" s="89">
        <f t="shared" si="29"/>
        <v>1.1199999999999992</v>
      </c>
      <c r="K231" s="89">
        <f>IF(G231="","",-0.5*((J231-Components!$C$2)/Components!$D$2)^2)</f>
        <v>-30539.035087720458</v>
      </c>
      <c r="L231" s="89">
        <f>IF(G231="","",-0.5*((J231-Components!$C$3)/Components!$D$3)^2)</f>
        <v>-22335.92608695709</v>
      </c>
      <c r="M231" s="89">
        <f>IF(G231="","",-0.5*((J231-Components!$C$4)/Components!$D$4)^2)</f>
        <v>-41.054901960784171</v>
      </c>
      <c r="N231" s="89">
        <f>IF(G231="","",-0.5*((J231-Components!$C$5)/Components!$D$5)^2)</f>
        <v>-9346.6277979211536</v>
      </c>
      <c r="O231" s="89">
        <f>IF(G231="","",-0.5*((J231-Components!$C$6)/Components!$D$6)^2)</f>
        <v>-0.8332605531297429</v>
      </c>
      <c r="P231" s="89">
        <f>IF(G231="","",-0.5*((J231-Components!$C$7)/Components!$D$7)^2)</f>
        <v>-51.151005877718411</v>
      </c>
      <c r="Q231" s="89">
        <f t="shared" si="30"/>
        <v>1</v>
      </c>
      <c r="R231" s="89">
        <f t="shared" si="31"/>
        <v>3.4037925513362941E-18</v>
      </c>
      <c r="S231" s="89">
        <f t="shared" si="32"/>
        <v>1</v>
      </c>
      <c r="T231" s="89" t="str">
        <f t="shared" si="33"/>
        <v>NG</v>
      </c>
      <c r="U231" s="117">
        <f t="shared" si="34"/>
        <v>1</v>
      </c>
      <c r="V231" s="89" t="str">
        <f>IF(G231="","",IF(T231="OK","NONE",INDEX({"S1","S2","W1","W2","N1","N2"},MATCH(MAX(K231:P231),K231:P231,0))))</f>
        <v>N1</v>
      </c>
      <c r="W231" s="117">
        <f t="shared" si="35"/>
        <v>1</v>
      </c>
      <c r="X231" s="114" t="str">
        <f t="shared" si="36"/>
        <v>CONFIDENT</v>
      </c>
      <c r="Y231" s="107"/>
    </row>
    <row r="232" spans="1:25">
      <c r="A232" s="115">
        <v>223</v>
      </c>
      <c r="B232" s="135">
        <f>'Runs Z-Score'!B225</f>
        <v>8</v>
      </c>
      <c r="C232" s="89" t="str">
        <f>'Runs Z-Score'!C225</f>
        <v>R4</v>
      </c>
      <c r="D232" s="89" t="str">
        <f>'Runs Z-Score'!D225</f>
        <v>NG</v>
      </c>
      <c r="E232" s="89" t="str">
        <f>'Runs Z-Score'!E225</f>
        <v>N1</v>
      </c>
      <c r="F232" s="89">
        <f>'Runs Z-Score'!F225</f>
        <v>7.8</v>
      </c>
      <c r="G232" s="89">
        <f t="shared" si="28"/>
        <v>8.77</v>
      </c>
      <c r="H232" s="89">
        <v>9.91</v>
      </c>
      <c r="I232" s="89">
        <f>VLOOKUP(C232,Recipes!$A$2:$N$4,12,FALSE())</f>
        <v>5.0137397426368718E-2</v>
      </c>
      <c r="J232" s="89">
        <f t="shared" si="29"/>
        <v>1.1400000000000006</v>
      </c>
      <c r="K232" s="89">
        <f>IF(G232="","",-0.5*((J232-Components!$C$2)/Components!$D$2)^2)</f>
        <v>-29795.719298246699</v>
      </c>
      <c r="L232" s="89">
        <f>IF(G232="","",-0.5*((J232-Components!$C$3)/Components!$D$3)^2)</f>
        <v>-22030.585507246917</v>
      </c>
      <c r="M232" s="89">
        <f>IF(G232="","",-0.5*((J232-Components!$C$4)/Components!$D$4)^2)</f>
        <v>-55.043137254902838</v>
      </c>
      <c r="N232" s="89">
        <f>IF(G232="","",-0.5*((J232-Components!$C$5)/Components!$D$5)^2)</f>
        <v>-9238.3457094512396</v>
      </c>
      <c r="O232" s="89">
        <f>IF(G232="","",-0.5*((J232-Components!$C$6)/Components!$D$6)^2)</f>
        <v>-0.16077147016017299</v>
      </c>
      <c r="P232" s="89">
        <f>IF(G232="","",-0.5*((J232-Components!$C$7)/Components!$D$7)^2)</f>
        <v>-43.422592861902643</v>
      </c>
      <c r="Q232" s="89">
        <f t="shared" si="30"/>
        <v>1</v>
      </c>
      <c r="R232" s="89">
        <f t="shared" si="31"/>
        <v>1.6279073817489323E-19</v>
      </c>
      <c r="S232" s="89">
        <f t="shared" si="32"/>
        <v>1</v>
      </c>
      <c r="T232" s="89" t="str">
        <f t="shared" si="33"/>
        <v>NG</v>
      </c>
      <c r="U232" s="117">
        <f t="shared" si="34"/>
        <v>1</v>
      </c>
      <c r="V232" s="89" t="str">
        <f>IF(G232="","",IF(T232="OK","NONE",INDEX({"S1","S2","W1","W2","N1","N2"},MATCH(MAX(K232:P232),K232:P232,0))))</f>
        <v>N1</v>
      </c>
      <c r="W232" s="117">
        <f t="shared" si="35"/>
        <v>1</v>
      </c>
      <c r="X232" s="114" t="str">
        <f t="shared" si="36"/>
        <v>CONFIDENT</v>
      </c>
      <c r="Y232" s="107"/>
    </row>
    <row r="233" spans="1:25">
      <c r="A233" s="115">
        <v>224</v>
      </c>
      <c r="B233" s="135">
        <f>'Runs Z-Score'!B226</f>
        <v>8</v>
      </c>
      <c r="C233" s="89" t="str">
        <f>'Runs Z-Score'!C226</f>
        <v>R4</v>
      </c>
      <c r="D233" s="89" t="str">
        <f>'Runs Z-Score'!D226</f>
        <v>NG</v>
      </c>
      <c r="E233" s="89" t="str">
        <f>'Runs Z-Score'!E226</f>
        <v>N1</v>
      </c>
      <c r="F233" s="89">
        <f>'Runs Z-Score'!F226</f>
        <v>7.75</v>
      </c>
      <c r="G233" s="89">
        <f t="shared" si="28"/>
        <v>8.7200000000000006</v>
      </c>
      <c r="H233" s="89">
        <v>9.91</v>
      </c>
      <c r="I233" s="89">
        <f>VLOOKUP(C233,Recipes!$A$2:$N$4,12,FALSE())</f>
        <v>5.0137397426368718E-2</v>
      </c>
      <c r="J233" s="89">
        <f t="shared" si="29"/>
        <v>1.1899999999999995</v>
      </c>
      <c r="K233" s="89">
        <f>IF(G233="","",-0.5*((J233-Components!$C$2)/Components!$D$2)^2)</f>
        <v>-27977.495614036139</v>
      </c>
      <c r="L233" s="89">
        <f>IF(G233="","",-0.5*((J233-Components!$C$3)/Components!$D$3)^2)</f>
        <v>-21276.427898551265</v>
      </c>
      <c r="M233" s="89">
        <f>IF(G233="","",-0.5*((J233-Components!$C$4)/Components!$D$4)^2)</f>
        <v>-98.969607843137439</v>
      </c>
      <c r="N233" s="89">
        <f>IF(G233="","",-0.5*((J233-Components!$C$5)/Components!$D$5)^2)</f>
        <v>-8970.400640560747</v>
      </c>
      <c r="O233" s="89">
        <f>IF(G233="","",-0.5*((J233-Components!$C$6)/Components!$D$6)^2)</f>
        <v>-0.77212518195034319</v>
      </c>
      <c r="P233" s="89">
        <f>IF(G233="","",-0.5*((J233-Components!$C$7)/Components!$D$7)^2)</f>
        <v>-26.869238926255129</v>
      </c>
      <c r="Q233" s="89">
        <f t="shared" si="30"/>
        <v>0.99999999999536371</v>
      </c>
      <c r="R233" s="89">
        <f t="shared" si="31"/>
        <v>4.6362570554388569E-12</v>
      </c>
      <c r="S233" s="89">
        <f t="shared" si="32"/>
        <v>0.99999999999072742</v>
      </c>
      <c r="T233" s="89" t="str">
        <f t="shared" si="33"/>
        <v>NG</v>
      </c>
      <c r="U233" s="117">
        <f t="shared" si="34"/>
        <v>1</v>
      </c>
      <c r="V233" s="89" t="str">
        <f>IF(G233="","",IF(T233="OK","NONE",INDEX({"S1","S2","W1","W2","N1","N2"},MATCH(MAX(K233:P233),K233:P233,0))))</f>
        <v>N1</v>
      </c>
      <c r="W233" s="117">
        <f t="shared" si="35"/>
        <v>1</v>
      </c>
      <c r="X233" s="114" t="str">
        <f t="shared" si="36"/>
        <v>CONFIDENT</v>
      </c>
      <c r="Y233" s="107"/>
    </row>
    <row r="234" spans="1:25">
      <c r="A234" s="115">
        <v>225</v>
      </c>
      <c r="B234" s="135">
        <f>'Runs Z-Score'!B227</f>
        <v>8</v>
      </c>
      <c r="C234" s="89" t="str">
        <f>'Runs Z-Score'!C227</f>
        <v>R4</v>
      </c>
      <c r="D234" s="89" t="str">
        <f>'Runs Z-Score'!D227</f>
        <v>NG</v>
      </c>
      <c r="E234" s="89" t="str">
        <f>'Runs Z-Score'!E227</f>
        <v>N1</v>
      </c>
      <c r="F234" s="89">
        <f>'Runs Z-Score'!F227</f>
        <v>7.72</v>
      </c>
      <c r="G234" s="89">
        <f t="shared" si="28"/>
        <v>8.69</v>
      </c>
      <c r="H234" s="89">
        <v>9.91</v>
      </c>
      <c r="I234" s="89">
        <f>VLOOKUP(C234,Recipes!$A$2:$N$4,12,FALSE())</f>
        <v>5.0137397426368718E-2</v>
      </c>
      <c r="J234" s="89">
        <f t="shared" si="29"/>
        <v>1.2200000000000006</v>
      </c>
      <c r="K234" s="89">
        <f>IF(G234="","",-0.5*((J234-Components!$C$2)/Components!$D$2)^2)</f>
        <v>-26914.035087720269</v>
      </c>
      <c r="L234" s="89">
        <f>IF(G234="","",-0.5*((J234-Components!$C$3)/Components!$D$3)^2)</f>
        <v>-20830.237681159928</v>
      </c>
      <c r="M234" s="89">
        <f>IF(G234="","",-0.5*((J234-Components!$C$4)/Components!$D$4)^2)</f>
        <v>-131.46666666666823</v>
      </c>
      <c r="N234" s="89">
        <f>IF(G234="","",-0.5*((J234-Components!$C$5)/Components!$D$5)^2)</f>
        <v>-8811.5262750785096</v>
      </c>
      <c r="O234" s="89">
        <f>IF(G234="","",-0.5*((J234-Components!$C$6)/Components!$D$6)^2)</f>
        <v>-2.7109898107712604</v>
      </c>
      <c r="P234" s="89">
        <f>IF(G234="","",-0.5*((J234-Components!$C$7)/Components!$D$7)^2)</f>
        <v>-18.835063321819398</v>
      </c>
      <c r="Q234" s="89">
        <f t="shared" si="30"/>
        <v>0.99999990059601263</v>
      </c>
      <c r="R234" s="89">
        <f t="shared" si="31"/>
        <v>9.9403987295446509E-8</v>
      </c>
      <c r="S234" s="89">
        <f t="shared" si="32"/>
        <v>0.99999980119202536</v>
      </c>
      <c r="T234" s="89" t="str">
        <f t="shared" si="33"/>
        <v>NG</v>
      </c>
      <c r="U234" s="117">
        <f t="shared" si="34"/>
        <v>1</v>
      </c>
      <c r="V234" s="89" t="str">
        <f>IF(G234="","",IF(T234="OK","NONE",INDEX({"S1","S2","W1","W2","N1","N2"},MATCH(MAX(K234:P234),K234:P234,0))))</f>
        <v>N1</v>
      </c>
      <c r="W234" s="117">
        <f t="shared" si="35"/>
        <v>1</v>
      </c>
      <c r="X234" s="114" t="str">
        <f t="shared" si="36"/>
        <v>CONFIDENT</v>
      </c>
      <c r="Y234" s="107"/>
    </row>
    <row r="235" spans="1:25">
      <c r="A235" s="115">
        <v>226</v>
      </c>
      <c r="B235" s="135">
        <f>'Runs Z-Score'!B228</f>
        <v>8</v>
      </c>
      <c r="C235" s="89" t="str">
        <f>'Runs Z-Score'!C228</f>
        <v>R4</v>
      </c>
      <c r="D235" s="89" t="str">
        <f>'Runs Z-Score'!D228</f>
        <v>NG</v>
      </c>
      <c r="E235" s="89" t="str">
        <f>'Runs Z-Score'!E228</f>
        <v>N1</v>
      </c>
      <c r="F235" s="89">
        <f>'Runs Z-Score'!F228</f>
        <v>7.78</v>
      </c>
      <c r="G235" s="89">
        <f t="shared" si="28"/>
        <v>8.75</v>
      </c>
      <c r="H235" s="89">
        <v>9.91</v>
      </c>
      <c r="I235" s="89">
        <f>VLOOKUP(C235,Recipes!$A$2:$N$4,12,FALSE())</f>
        <v>5.0137397426368718E-2</v>
      </c>
      <c r="J235" s="89">
        <f t="shared" si="29"/>
        <v>1.1600000000000001</v>
      </c>
      <c r="K235" s="89">
        <f>IF(G235="","",-0.5*((J235-Components!$C$2)/Components!$D$2)^2)</f>
        <v>-29061.561403509844</v>
      </c>
      <c r="L235" s="89">
        <f>IF(G235="","",-0.5*((J235-Components!$C$3)/Components!$D$3)^2)</f>
        <v>-21727.346376812136</v>
      </c>
      <c r="M235" s="89">
        <f>IF(G235="","",-0.5*((J235-Components!$C$4)/Components!$D$4)^2)</f>
        <v>-71.078431372549687</v>
      </c>
      <c r="N235" s="89">
        <f>IF(G235="","",-0.5*((J235-Components!$C$5)/Components!$D$5)^2)</f>
        <v>-9130.6945129320247</v>
      </c>
      <c r="O235" s="89">
        <f>IF(G235="","",-0.5*((J235-Components!$C$6)/Components!$D$6)^2)</f>
        <v>-1.2299854439574655E-2</v>
      </c>
      <c r="P235" s="89">
        <f>IF(G235="","",-0.5*((J235-Components!$C$7)/Components!$D$7)^2)</f>
        <v>-36.326792098405335</v>
      </c>
      <c r="Q235" s="89">
        <f t="shared" si="30"/>
        <v>0.99999999999999978</v>
      </c>
      <c r="R235" s="89">
        <f t="shared" si="31"/>
        <v>1.6936216834697351E-16</v>
      </c>
      <c r="S235" s="89">
        <f t="shared" si="32"/>
        <v>0.99999999999999956</v>
      </c>
      <c r="T235" s="89" t="str">
        <f t="shared" si="33"/>
        <v>NG</v>
      </c>
      <c r="U235" s="117">
        <f t="shared" si="34"/>
        <v>1</v>
      </c>
      <c r="V235" s="89" t="str">
        <f>IF(G235="","",IF(T235="OK","NONE",INDEX({"S1","S2","W1","W2","N1","N2"},MATCH(MAX(K235:P235),K235:P235,0))))</f>
        <v>N1</v>
      </c>
      <c r="W235" s="117">
        <f t="shared" si="35"/>
        <v>1</v>
      </c>
      <c r="X235" s="114" t="str">
        <f t="shared" si="36"/>
        <v>CONFIDENT</v>
      </c>
      <c r="Y235" s="107"/>
    </row>
    <row r="236" spans="1:25">
      <c r="A236" s="115">
        <v>227</v>
      </c>
      <c r="B236" s="135">
        <f>'Runs Z-Score'!B229</f>
        <v>8</v>
      </c>
      <c r="C236" s="89" t="str">
        <f>'Runs Z-Score'!C229</f>
        <v>R4</v>
      </c>
      <c r="D236" s="89" t="str">
        <f>'Runs Z-Score'!D229</f>
        <v>NG</v>
      </c>
      <c r="E236" s="89" t="str">
        <f>'Runs Z-Score'!E229</f>
        <v>N1</v>
      </c>
      <c r="F236" s="89">
        <f>'Runs Z-Score'!F229</f>
        <v>7.75</v>
      </c>
      <c r="G236" s="89">
        <f t="shared" si="28"/>
        <v>8.7200000000000006</v>
      </c>
      <c r="H236" s="89">
        <v>9.91</v>
      </c>
      <c r="I236" s="89">
        <f>VLOOKUP(C236,Recipes!$A$2:$N$4,12,FALSE())</f>
        <v>5.0137397426368718E-2</v>
      </c>
      <c r="J236" s="89">
        <f t="shared" si="29"/>
        <v>1.1899999999999995</v>
      </c>
      <c r="K236" s="89">
        <f>IF(G236="","",-0.5*((J236-Components!$C$2)/Components!$D$2)^2)</f>
        <v>-27977.495614036139</v>
      </c>
      <c r="L236" s="89">
        <f>IF(G236="","",-0.5*((J236-Components!$C$3)/Components!$D$3)^2)</f>
        <v>-21276.427898551265</v>
      </c>
      <c r="M236" s="89">
        <f>IF(G236="","",-0.5*((J236-Components!$C$4)/Components!$D$4)^2)</f>
        <v>-98.969607843137439</v>
      </c>
      <c r="N236" s="89">
        <f>IF(G236="","",-0.5*((J236-Components!$C$5)/Components!$D$5)^2)</f>
        <v>-8970.400640560747</v>
      </c>
      <c r="O236" s="89">
        <f>IF(G236="","",-0.5*((J236-Components!$C$6)/Components!$D$6)^2)</f>
        <v>-0.77212518195034319</v>
      </c>
      <c r="P236" s="89">
        <f>IF(G236="","",-0.5*((J236-Components!$C$7)/Components!$D$7)^2)</f>
        <v>-26.869238926255129</v>
      </c>
      <c r="Q236" s="89">
        <f t="shared" si="30"/>
        <v>0.99999999999536371</v>
      </c>
      <c r="R236" s="89">
        <f t="shared" si="31"/>
        <v>4.6362570554388569E-12</v>
      </c>
      <c r="S236" s="89">
        <f t="shared" si="32"/>
        <v>0.99999999999072742</v>
      </c>
      <c r="T236" s="89" t="str">
        <f t="shared" si="33"/>
        <v>NG</v>
      </c>
      <c r="U236" s="117">
        <f t="shared" si="34"/>
        <v>1</v>
      </c>
      <c r="V236" s="89" t="str">
        <f>IF(G236="","",IF(T236="OK","NONE",INDEX({"S1","S2","W1","W2","N1","N2"},MATCH(MAX(K236:P236),K236:P236,0))))</f>
        <v>N1</v>
      </c>
      <c r="W236" s="117">
        <f t="shared" si="35"/>
        <v>1</v>
      </c>
      <c r="X236" s="114" t="str">
        <f t="shared" si="36"/>
        <v>CONFIDENT</v>
      </c>
      <c r="Y236" s="107"/>
    </row>
    <row r="237" spans="1:25">
      <c r="A237" s="115">
        <v>228</v>
      </c>
      <c r="B237" s="135">
        <f>'Runs Z-Score'!B230</f>
        <v>8</v>
      </c>
      <c r="C237" s="89" t="str">
        <f>'Runs Z-Score'!C230</f>
        <v>R4</v>
      </c>
      <c r="D237" s="89" t="str">
        <f>'Runs Z-Score'!D230</f>
        <v>NG</v>
      </c>
      <c r="E237" s="89" t="str">
        <f>'Runs Z-Score'!E230</f>
        <v>N1</v>
      </c>
      <c r="F237" s="89">
        <f>'Runs Z-Score'!F230</f>
        <v>7.77</v>
      </c>
      <c r="G237" s="89">
        <f t="shared" si="28"/>
        <v>8.74</v>
      </c>
      <c r="H237" s="89">
        <v>9.91</v>
      </c>
      <c r="I237" s="89">
        <f>VLOOKUP(C237,Recipes!$A$2:$N$4,12,FALSE())</f>
        <v>5.0137397426368718E-2</v>
      </c>
      <c r="J237" s="89">
        <f t="shared" si="29"/>
        <v>1.17</v>
      </c>
      <c r="K237" s="89">
        <f>IF(G237="","",-0.5*((J237-Components!$C$2)/Components!$D$2)^2)</f>
        <v>-28697.91666666773</v>
      </c>
      <c r="L237" s="89">
        <f>IF(G237="","",-0.5*((J237-Components!$C$3)/Components!$D$3)^2)</f>
        <v>-21576.514855073001</v>
      </c>
      <c r="M237" s="89">
        <f>IF(G237="","",-0.5*((J237-Components!$C$4)/Components!$D$4)^2)</f>
        <v>-79.8637254901966</v>
      </c>
      <c r="N237" s="89">
        <f>IF(G237="","",-0.5*((J237-Components!$C$5)/Components!$D$5)^2)</f>
        <v>-9077.1054991539295</v>
      </c>
      <c r="O237" s="89">
        <f>IF(G237="","",-0.5*((J237-Components!$C$6)/Components!$D$6)^2)</f>
        <v>-0.13457059679760872</v>
      </c>
      <c r="P237" s="89">
        <f>IF(G237="","",-0.5*((J237-Components!$C$7)/Components!$D$7)^2)</f>
        <v>-33.016121311275832</v>
      </c>
      <c r="Q237" s="89">
        <f t="shared" si="30"/>
        <v>0.99999999999999467</v>
      </c>
      <c r="R237" s="89">
        <f t="shared" si="31"/>
        <v>5.2447400568157394E-15</v>
      </c>
      <c r="S237" s="89">
        <f t="shared" si="32"/>
        <v>0.99999999999998945</v>
      </c>
      <c r="T237" s="89" t="str">
        <f t="shared" si="33"/>
        <v>NG</v>
      </c>
      <c r="U237" s="117">
        <f t="shared" si="34"/>
        <v>1</v>
      </c>
      <c r="V237" s="89" t="str">
        <f>IF(G237="","",IF(T237="OK","NONE",INDEX({"S1","S2","W1","W2","N1","N2"},MATCH(MAX(K237:P237),K237:P237,0))))</f>
        <v>N1</v>
      </c>
      <c r="W237" s="117">
        <f t="shared" si="35"/>
        <v>1</v>
      </c>
      <c r="X237" s="114" t="str">
        <f t="shared" si="36"/>
        <v>CONFIDENT</v>
      </c>
      <c r="Y237" s="107"/>
    </row>
    <row r="238" spans="1:25">
      <c r="A238" s="115">
        <v>229</v>
      </c>
      <c r="B238" s="135">
        <f>'Runs Z-Score'!B231</f>
        <v>8</v>
      </c>
      <c r="C238" s="89" t="str">
        <f>'Runs Z-Score'!C231</f>
        <v>R4</v>
      </c>
      <c r="D238" s="89" t="str">
        <f>'Runs Z-Score'!D231</f>
        <v>NG</v>
      </c>
      <c r="E238" s="89" t="str">
        <f>'Runs Z-Score'!E231</f>
        <v>N1</v>
      </c>
      <c r="F238" s="89">
        <f>'Runs Z-Score'!F231</f>
        <v>7.69</v>
      </c>
      <c r="G238" s="89">
        <f t="shared" si="28"/>
        <v>8.66</v>
      </c>
      <c r="H238" s="89">
        <v>9.91</v>
      </c>
      <c r="I238" s="89">
        <f>VLOOKUP(C238,Recipes!$A$2:$N$4,12,FALSE())</f>
        <v>5.0137397426368718E-2</v>
      </c>
      <c r="J238" s="89">
        <f t="shared" si="29"/>
        <v>1.25</v>
      </c>
      <c r="K238" s="89">
        <f>IF(G238="","",-0.5*((J238-Components!$C$2)/Components!$D$2)^2)</f>
        <v>-25871.179824562354</v>
      </c>
      <c r="L238" s="89">
        <f>IF(G238="","",-0.5*((J238-Components!$C$3)/Components!$D$3)^2)</f>
        <v>-20388.775724638188</v>
      </c>
      <c r="M238" s="89">
        <f>IF(G238="","",-0.5*((J238-Components!$C$4)/Components!$D$4)^2)</f>
        <v>-168.56960784313824</v>
      </c>
      <c r="N238" s="89">
        <f>IF(G238="","",-0.5*((J238-Components!$C$5)/Components!$D$5)^2)</f>
        <v>-8654.0714164853289</v>
      </c>
      <c r="O238" s="89">
        <f>IF(G238="","",-0.5*((J238-Components!$C$6)/Components!$D$6)^2)</f>
        <v>-5.8288937409020987</v>
      </c>
      <c r="P238" s="89">
        <f>IF(G238="","",-0.5*((J238-Components!$C$7)/Components!$D$7)^2)</f>
        <v>-12.224265285099086</v>
      </c>
      <c r="Q238" s="89">
        <f t="shared" si="30"/>
        <v>0.9983335162613739</v>
      </c>
      <c r="R238" s="89">
        <f t="shared" si="31"/>
        <v>1.6664837386259923E-3</v>
      </c>
      <c r="S238" s="89">
        <f t="shared" si="32"/>
        <v>0.99666703252274791</v>
      </c>
      <c r="T238" s="89" t="str">
        <f t="shared" si="33"/>
        <v>NG</v>
      </c>
      <c r="U238" s="117">
        <f t="shared" si="34"/>
        <v>1</v>
      </c>
      <c r="V238" s="89" t="str">
        <f>IF(G238="","",IF(T238="OK","NONE",INDEX({"S1","S2","W1","W2","N1","N2"},MATCH(MAX(K238:P238),K238:P238,0))))</f>
        <v>N1</v>
      </c>
      <c r="W238" s="117">
        <f t="shared" si="35"/>
        <v>1</v>
      </c>
      <c r="X238" s="114" t="str">
        <f t="shared" si="36"/>
        <v>CONFIDENT</v>
      </c>
      <c r="Y238" s="107"/>
    </row>
    <row r="239" spans="1:25">
      <c r="A239" s="115">
        <v>230</v>
      </c>
      <c r="B239" s="135">
        <f>'Runs Z-Score'!B232</f>
        <v>8</v>
      </c>
      <c r="C239" s="89" t="str">
        <f>'Runs Z-Score'!C232</f>
        <v>R4</v>
      </c>
      <c r="D239" s="89" t="str">
        <f>'Runs Z-Score'!D232</f>
        <v>NG</v>
      </c>
      <c r="E239" s="89" t="str">
        <f>'Runs Z-Score'!E232</f>
        <v>N1</v>
      </c>
      <c r="F239" s="89">
        <f>'Runs Z-Score'!F232</f>
        <v>7.77</v>
      </c>
      <c r="G239" s="89">
        <f t="shared" si="28"/>
        <v>8.74</v>
      </c>
      <c r="H239" s="89">
        <v>9.91</v>
      </c>
      <c r="I239" s="89">
        <f>VLOOKUP(C239,Recipes!$A$2:$N$4,12,FALSE())</f>
        <v>5.0137397426368718E-2</v>
      </c>
      <c r="J239" s="89">
        <f t="shared" si="29"/>
        <v>1.17</v>
      </c>
      <c r="K239" s="89">
        <f>IF(G239="","",-0.5*((J239-Components!$C$2)/Components!$D$2)^2)</f>
        <v>-28697.91666666773</v>
      </c>
      <c r="L239" s="89">
        <f>IF(G239="","",-0.5*((J239-Components!$C$3)/Components!$D$3)^2)</f>
        <v>-21576.514855073001</v>
      </c>
      <c r="M239" s="89">
        <f>IF(G239="","",-0.5*((J239-Components!$C$4)/Components!$D$4)^2)</f>
        <v>-79.8637254901966</v>
      </c>
      <c r="N239" s="89">
        <f>IF(G239="","",-0.5*((J239-Components!$C$5)/Components!$D$5)^2)</f>
        <v>-9077.1054991539295</v>
      </c>
      <c r="O239" s="89">
        <f>IF(G239="","",-0.5*((J239-Components!$C$6)/Components!$D$6)^2)</f>
        <v>-0.13457059679760872</v>
      </c>
      <c r="P239" s="89">
        <f>IF(G239="","",-0.5*((J239-Components!$C$7)/Components!$D$7)^2)</f>
        <v>-33.016121311275832</v>
      </c>
      <c r="Q239" s="89">
        <f t="shared" si="30"/>
        <v>0.99999999999999467</v>
      </c>
      <c r="R239" s="89">
        <f t="shared" si="31"/>
        <v>5.2447400568157394E-15</v>
      </c>
      <c r="S239" s="89">
        <f t="shared" si="32"/>
        <v>0.99999999999998945</v>
      </c>
      <c r="T239" s="89" t="str">
        <f t="shared" si="33"/>
        <v>NG</v>
      </c>
      <c r="U239" s="117">
        <f t="shared" si="34"/>
        <v>1</v>
      </c>
      <c r="V239" s="89" t="str">
        <f>IF(G239="","",IF(T239="OK","NONE",INDEX({"S1","S2","W1","W2","N1","N2"},MATCH(MAX(K239:P239),K239:P239,0))))</f>
        <v>N1</v>
      </c>
      <c r="W239" s="117">
        <f t="shared" si="35"/>
        <v>1</v>
      </c>
      <c r="X239" s="114" t="str">
        <f t="shared" si="36"/>
        <v>CONFIDENT</v>
      </c>
      <c r="Y239" s="107"/>
    </row>
    <row r="240" spans="1:25">
      <c r="A240" s="115">
        <v>231</v>
      </c>
      <c r="B240" s="135">
        <f>'Runs Z-Score'!B233</f>
        <v>8</v>
      </c>
      <c r="C240" s="89" t="str">
        <f>'Runs Z-Score'!C233</f>
        <v>R4</v>
      </c>
      <c r="D240" s="89" t="str">
        <f>'Runs Z-Score'!D233</f>
        <v>NG</v>
      </c>
      <c r="E240" s="89" t="str">
        <f>'Runs Z-Score'!E233</f>
        <v>N1</v>
      </c>
      <c r="F240" s="89">
        <f>'Runs Z-Score'!F233</f>
        <v>7.77</v>
      </c>
      <c r="G240" s="89">
        <f t="shared" si="28"/>
        <v>8.74</v>
      </c>
      <c r="H240" s="89">
        <v>9.91</v>
      </c>
      <c r="I240" s="89">
        <f>VLOOKUP(C240,Recipes!$A$2:$N$4,12,FALSE())</f>
        <v>5.0137397426368718E-2</v>
      </c>
      <c r="J240" s="89">
        <f t="shared" si="29"/>
        <v>1.17</v>
      </c>
      <c r="K240" s="89">
        <f>IF(G240="","",-0.5*((J240-Components!$C$2)/Components!$D$2)^2)</f>
        <v>-28697.91666666773</v>
      </c>
      <c r="L240" s="89">
        <f>IF(G240="","",-0.5*((J240-Components!$C$3)/Components!$D$3)^2)</f>
        <v>-21576.514855073001</v>
      </c>
      <c r="M240" s="89">
        <f>IF(G240="","",-0.5*((J240-Components!$C$4)/Components!$D$4)^2)</f>
        <v>-79.8637254901966</v>
      </c>
      <c r="N240" s="89">
        <f>IF(G240="","",-0.5*((J240-Components!$C$5)/Components!$D$5)^2)</f>
        <v>-9077.1054991539295</v>
      </c>
      <c r="O240" s="89">
        <f>IF(G240="","",-0.5*((J240-Components!$C$6)/Components!$D$6)^2)</f>
        <v>-0.13457059679760872</v>
      </c>
      <c r="P240" s="89">
        <f>IF(G240="","",-0.5*((J240-Components!$C$7)/Components!$D$7)^2)</f>
        <v>-33.016121311275832</v>
      </c>
      <c r="Q240" s="89">
        <f t="shared" si="30"/>
        <v>0.99999999999999467</v>
      </c>
      <c r="R240" s="89">
        <f t="shared" si="31"/>
        <v>5.2447400568157394E-15</v>
      </c>
      <c r="S240" s="89">
        <f t="shared" si="32"/>
        <v>0.99999999999998945</v>
      </c>
      <c r="T240" s="89" t="str">
        <f t="shared" si="33"/>
        <v>NG</v>
      </c>
      <c r="U240" s="117">
        <f t="shared" si="34"/>
        <v>1</v>
      </c>
      <c r="V240" s="89" t="str">
        <f>IF(G240="","",IF(T240="OK","NONE",INDEX({"S1","S2","W1","W2","N1","N2"},MATCH(MAX(K240:P240),K240:P240,0))))</f>
        <v>N1</v>
      </c>
      <c r="W240" s="117">
        <f t="shared" si="35"/>
        <v>1</v>
      </c>
      <c r="X240" s="114" t="str">
        <f t="shared" si="36"/>
        <v>CONFIDENT</v>
      </c>
      <c r="Y240" s="107"/>
    </row>
    <row r="241" spans="1:25">
      <c r="A241" s="115">
        <v>232</v>
      </c>
      <c r="B241" s="135">
        <f>'Runs Z-Score'!B234</f>
        <v>8</v>
      </c>
      <c r="C241" s="89" t="str">
        <f>'Runs Z-Score'!C234</f>
        <v>R4</v>
      </c>
      <c r="D241" s="89" t="str">
        <f>'Runs Z-Score'!D234</f>
        <v>NG</v>
      </c>
      <c r="E241" s="89" t="str">
        <f>'Runs Z-Score'!E234</f>
        <v>N1</v>
      </c>
      <c r="F241" s="89">
        <f>'Runs Z-Score'!F234</f>
        <v>7.78</v>
      </c>
      <c r="G241" s="89">
        <f t="shared" si="28"/>
        <v>8.75</v>
      </c>
      <c r="H241" s="89">
        <v>9.91</v>
      </c>
      <c r="I241" s="89">
        <f>VLOOKUP(C241,Recipes!$A$2:$N$4,12,FALSE())</f>
        <v>5.0137397426368718E-2</v>
      </c>
      <c r="J241" s="89">
        <f t="shared" si="29"/>
        <v>1.1600000000000001</v>
      </c>
      <c r="K241" s="89">
        <f>IF(G241="","",-0.5*((J241-Components!$C$2)/Components!$D$2)^2)</f>
        <v>-29061.561403509844</v>
      </c>
      <c r="L241" s="89">
        <f>IF(G241="","",-0.5*((J241-Components!$C$3)/Components!$D$3)^2)</f>
        <v>-21727.346376812136</v>
      </c>
      <c r="M241" s="89">
        <f>IF(G241="","",-0.5*((J241-Components!$C$4)/Components!$D$4)^2)</f>
        <v>-71.078431372549687</v>
      </c>
      <c r="N241" s="89">
        <f>IF(G241="","",-0.5*((J241-Components!$C$5)/Components!$D$5)^2)</f>
        <v>-9130.6945129320247</v>
      </c>
      <c r="O241" s="89">
        <f>IF(G241="","",-0.5*((J241-Components!$C$6)/Components!$D$6)^2)</f>
        <v>-1.2299854439574655E-2</v>
      </c>
      <c r="P241" s="89">
        <f>IF(G241="","",-0.5*((J241-Components!$C$7)/Components!$D$7)^2)</f>
        <v>-36.326792098405335</v>
      </c>
      <c r="Q241" s="89">
        <f t="shared" si="30"/>
        <v>0.99999999999999978</v>
      </c>
      <c r="R241" s="89">
        <f t="shared" si="31"/>
        <v>1.6936216834697351E-16</v>
      </c>
      <c r="S241" s="89">
        <f t="shared" si="32"/>
        <v>0.99999999999999956</v>
      </c>
      <c r="T241" s="89" t="str">
        <f t="shared" si="33"/>
        <v>NG</v>
      </c>
      <c r="U241" s="117">
        <f t="shared" si="34"/>
        <v>1</v>
      </c>
      <c r="V241" s="89" t="str">
        <f>IF(G241="","",IF(T241="OK","NONE",INDEX({"S1","S2","W1","W2","N1","N2"},MATCH(MAX(K241:P241),K241:P241,0))))</f>
        <v>N1</v>
      </c>
      <c r="W241" s="117">
        <f t="shared" si="35"/>
        <v>1</v>
      </c>
      <c r="X241" s="114" t="str">
        <f t="shared" si="36"/>
        <v>CONFIDENT</v>
      </c>
      <c r="Y241" s="107"/>
    </row>
    <row r="242" spans="1:25">
      <c r="A242" s="115">
        <v>233</v>
      </c>
      <c r="B242" s="135">
        <f>'Runs Z-Score'!B235</f>
        <v>8</v>
      </c>
      <c r="C242" s="89" t="str">
        <f>'Runs Z-Score'!C235</f>
        <v>R4</v>
      </c>
      <c r="D242" s="89" t="str">
        <f>'Runs Z-Score'!D235</f>
        <v>NG</v>
      </c>
      <c r="E242" s="89" t="str">
        <f>'Runs Z-Score'!E235</f>
        <v>N1</v>
      </c>
      <c r="F242" s="89">
        <f>'Runs Z-Score'!F235</f>
        <v>7.76</v>
      </c>
      <c r="G242" s="89">
        <f t="shared" si="28"/>
        <v>8.73</v>
      </c>
      <c r="H242" s="89">
        <v>9.91</v>
      </c>
      <c r="I242" s="89">
        <f>VLOOKUP(C242,Recipes!$A$2:$N$4,12,FALSE())</f>
        <v>5.0137397426368718E-2</v>
      </c>
      <c r="J242" s="89">
        <f t="shared" si="29"/>
        <v>1.1799999999999997</v>
      </c>
      <c r="K242" s="89">
        <f>IF(G242="","",-0.5*((J242-Components!$C$2)/Components!$D$2)^2)</f>
        <v>-28336.561403509833</v>
      </c>
      <c r="L242" s="89">
        <f>IF(G242="","",-0.5*((J242-Components!$C$3)/Components!$D$3)^2)</f>
        <v>-21426.208695652709</v>
      </c>
      <c r="M242" s="89">
        <f>IF(G242="","",-0.5*((J242-Components!$C$4)/Components!$D$4)^2)</f>
        <v>-89.160784313725856</v>
      </c>
      <c r="N242" s="89">
        <f>IF(G242="","",-0.5*((J242-Components!$C$5)/Components!$D$5)^2)</f>
        <v>-9023.6742083635017</v>
      </c>
      <c r="O242" s="89">
        <f>IF(G242="","",-0.5*((J242-Components!$C$6)/Components!$D$6)^2)</f>
        <v>-0.38784570596786494</v>
      </c>
      <c r="P242" s="89">
        <f>IF(G242="","",-0.5*((J242-Components!$C$7)/Components!$D$7)^2)</f>
        <v>-29.863603587225764</v>
      </c>
      <c r="Q242" s="89">
        <f t="shared" si="30"/>
        <v>0.9999999999998419</v>
      </c>
      <c r="R242" s="89">
        <f t="shared" si="31"/>
        <v>1.5806692410838608E-13</v>
      </c>
      <c r="S242" s="89">
        <f t="shared" si="32"/>
        <v>0.99999999999968381</v>
      </c>
      <c r="T242" s="89" t="str">
        <f t="shared" si="33"/>
        <v>NG</v>
      </c>
      <c r="U242" s="117">
        <f t="shared" si="34"/>
        <v>1</v>
      </c>
      <c r="V242" s="89" t="str">
        <f>IF(G242="","",IF(T242="OK","NONE",INDEX({"S1","S2","W1","W2","N1","N2"},MATCH(MAX(K242:P242),K242:P242,0))))</f>
        <v>N1</v>
      </c>
      <c r="W242" s="117">
        <f t="shared" si="35"/>
        <v>1</v>
      </c>
      <c r="X242" s="114" t="str">
        <f t="shared" si="36"/>
        <v>CONFIDENT</v>
      </c>
      <c r="Y242" s="107"/>
    </row>
    <row r="243" spans="1:25">
      <c r="A243" s="115">
        <v>234</v>
      </c>
      <c r="B243" s="135">
        <f>'Runs Z-Score'!B236</f>
        <v>8</v>
      </c>
      <c r="C243" s="89" t="str">
        <f>'Runs Z-Score'!C236</f>
        <v>R4</v>
      </c>
      <c r="D243" s="89" t="str">
        <f>'Runs Z-Score'!D236</f>
        <v>NG</v>
      </c>
      <c r="E243" s="89" t="str">
        <f>'Runs Z-Score'!E236</f>
        <v>N1</v>
      </c>
      <c r="F243" s="89">
        <f>'Runs Z-Score'!F236</f>
        <v>7.77</v>
      </c>
      <c r="G243" s="89">
        <f t="shared" si="28"/>
        <v>8.74</v>
      </c>
      <c r="H243" s="89">
        <v>9.91</v>
      </c>
      <c r="I243" s="89">
        <f>VLOOKUP(C243,Recipes!$A$2:$N$4,12,FALSE())</f>
        <v>5.0137397426368718E-2</v>
      </c>
      <c r="J243" s="89">
        <f t="shared" si="29"/>
        <v>1.17</v>
      </c>
      <c r="K243" s="89">
        <f>IF(G243="","",-0.5*((J243-Components!$C$2)/Components!$D$2)^2)</f>
        <v>-28697.91666666773</v>
      </c>
      <c r="L243" s="89">
        <f>IF(G243="","",-0.5*((J243-Components!$C$3)/Components!$D$3)^2)</f>
        <v>-21576.514855073001</v>
      </c>
      <c r="M243" s="89">
        <f>IF(G243="","",-0.5*((J243-Components!$C$4)/Components!$D$4)^2)</f>
        <v>-79.8637254901966</v>
      </c>
      <c r="N243" s="89">
        <f>IF(G243="","",-0.5*((J243-Components!$C$5)/Components!$D$5)^2)</f>
        <v>-9077.1054991539295</v>
      </c>
      <c r="O243" s="89">
        <f>IF(G243="","",-0.5*((J243-Components!$C$6)/Components!$D$6)^2)</f>
        <v>-0.13457059679760872</v>
      </c>
      <c r="P243" s="89">
        <f>IF(G243="","",-0.5*((J243-Components!$C$7)/Components!$D$7)^2)</f>
        <v>-33.016121311275832</v>
      </c>
      <c r="Q243" s="89">
        <f t="shared" si="30"/>
        <v>0.99999999999999467</v>
      </c>
      <c r="R243" s="89">
        <f t="shared" si="31"/>
        <v>5.2447400568157394E-15</v>
      </c>
      <c r="S243" s="89">
        <f t="shared" si="32"/>
        <v>0.99999999999998945</v>
      </c>
      <c r="T243" s="89" t="str">
        <f t="shared" si="33"/>
        <v>NG</v>
      </c>
      <c r="U243" s="117">
        <f t="shared" si="34"/>
        <v>1</v>
      </c>
      <c r="V243" s="89" t="str">
        <f>IF(G243="","",IF(T243="OK","NONE",INDEX({"S1","S2","W1","W2","N1","N2"},MATCH(MAX(K243:P243),K243:P243,0))))</f>
        <v>N1</v>
      </c>
      <c r="W243" s="117">
        <f t="shared" si="35"/>
        <v>1</v>
      </c>
      <c r="X243" s="114" t="str">
        <f t="shared" si="36"/>
        <v>CONFIDENT</v>
      </c>
      <c r="Y243" s="107"/>
    </row>
    <row r="244" spans="1:25">
      <c r="A244" s="115">
        <v>235</v>
      </c>
      <c r="B244" s="135">
        <f>'Runs Z-Score'!B237</f>
        <v>8</v>
      </c>
      <c r="C244" s="89" t="str">
        <f>'Runs Z-Score'!C237</f>
        <v>R4</v>
      </c>
      <c r="D244" s="89" t="str">
        <f>'Runs Z-Score'!D237</f>
        <v>NG</v>
      </c>
      <c r="E244" s="89" t="str">
        <f>'Runs Z-Score'!E237</f>
        <v>N1</v>
      </c>
      <c r="F244" s="89">
        <f>'Runs Z-Score'!F237</f>
        <v>7.71</v>
      </c>
      <c r="G244" s="89">
        <f t="shared" si="28"/>
        <v>8.68</v>
      </c>
      <c r="H244" s="89">
        <v>9.91</v>
      </c>
      <c r="I244" s="89">
        <f>VLOOKUP(C244,Recipes!$A$2:$N$4,12,FALSE())</f>
        <v>5.0137397426368718E-2</v>
      </c>
      <c r="J244" s="89">
        <f t="shared" si="29"/>
        <v>1.2300000000000004</v>
      </c>
      <c r="K244" s="89">
        <f>IF(G244="","",-0.5*((J244-Components!$C$2)/Components!$D$2)^2)</f>
        <v>-26564.127192983418</v>
      </c>
      <c r="L244" s="89">
        <f>IF(G244="","",-0.5*((J244-Components!$C$3)/Components!$D$3)^2)</f>
        <v>-20682.55833333384</v>
      </c>
      <c r="M244" s="89">
        <f>IF(G244="","",-0.5*((J244-Components!$C$4)/Components!$D$4)^2)</f>
        <v>-143.32254901960923</v>
      </c>
      <c r="N244" s="89">
        <f>IF(G244="","",-0.5*((J244-Components!$C$5)/Components!$D$5)^2)</f>
        <v>-8758.883599226443</v>
      </c>
      <c r="O244" s="89">
        <f>IF(G244="","",-0.5*((J244-Components!$C$6)/Components!$D$6)^2)</f>
        <v>-3.6192867540026512</v>
      </c>
      <c r="P244" s="89">
        <f>IF(G244="","",-0.5*((J244-Components!$C$7)/Components!$D$7)^2)</f>
        <v>-16.473310913166525</v>
      </c>
      <c r="Q244" s="89">
        <f t="shared" si="30"/>
        <v>0.99999738442545882</v>
      </c>
      <c r="R244" s="89">
        <f t="shared" si="31"/>
        <v>2.6155745412269556E-6</v>
      </c>
      <c r="S244" s="89">
        <f t="shared" si="32"/>
        <v>0.99999476885091765</v>
      </c>
      <c r="T244" s="89" t="str">
        <f t="shared" si="33"/>
        <v>NG</v>
      </c>
      <c r="U244" s="117">
        <f t="shared" si="34"/>
        <v>1</v>
      </c>
      <c r="V244" s="89" t="str">
        <f>IF(G244="","",IF(T244="OK","NONE",INDEX({"S1","S2","W1","W2","N1","N2"},MATCH(MAX(K244:P244),K244:P244,0))))</f>
        <v>N1</v>
      </c>
      <c r="W244" s="117">
        <f t="shared" si="35"/>
        <v>1</v>
      </c>
      <c r="X244" s="114" t="str">
        <f t="shared" si="36"/>
        <v>CONFIDENT</v>
      </c>
      <c r="Y244" s="107"/>
    </row>
    <row r="245" spans="1:25">
      <c r="A245" s="115">
        <v>236</v>
      </c>
      <c r="B245" s="135">
        <f>'Runs Z-Score'!B238</f>
        <v>8</v>
      </c>
      <c r="C245" s="89" t="str">
        <f>'Runs Z-Score'!C238</f>
        <v>R4</v>
      </c>
      <c r="D245" s="89" t="str">
        <f>'Runs Z-Score'!D238</f>
        <v>NG</v>
      </c>
      <c r="E245" s="89" t="str">
        <f>'Runs Z-Score'!E238</f>
        <v>N1</v>
      </c>
      <c r="F245" s="89">
        <f>'Runs Z-Score'!F238</f>
        <v>7.78</v>
      </c>
      <c r="G245" s="89">
        <f t="shared" si="28"/>
        <v>8.75</v>
      </c>
      <c r="H245" s="89">
        <v>9.91</v>
      </c>
      <c r="I245" s="89">
        <f>VLOOKUP(C245,Recipes!$A$2:$N$4,12,FALSE())</f>
        <v>5.0137397426368718E-2</v>
      </c>
      <c r="J245" s="89">
        <f t="shared" si="29"/>
        <v>1.1600000000000001</v>
      </c>
      <c r="K245" s="89">
        <f>IF(G245="","",-0.5*((J245-Components!$C$2)/Components!$D$2)^2)</f>
        <v>-29061.561403509844</v>
      </c>
      <c r="L245" s="89">
        <f>IF(G245="","",-0.5*((J245-Components!$C$3)/Components!$D$3)^2)</f>
        <v>-21727.346376812136</v>
      </c>
      <c r="M245" s="89">
        <f>IF(G245="","",-0.5*((J245-Components!$C$4)/Components!$D$4)^2)</f>
        <v>-71.078431372549687</v>
      </c>
      <c r="N245" s="89">
        <f>IF(G245="","",-0.5*((J245-Components!$C$5)/Components!$D$5)^2)</f>
        <v>-9130.6945129320247</v>
      </c>
      <c r="O245" s="89">
        <f>IF(G245="","",-0.5*((J245-Components!$C$6)/Components!$D$6)^2)</f>
        <v>-1.2299854439574655E-2</v>
      </c>
      <c r="P245" s="89">
        <f>IF(G245="","",-0.5*((J245-Components!$C$7)/Components!$D$7)^2)</f>
        <v>-36.326792098405335</v>
      </c>
      <c r="Q245" s="89">
        <f t="shared" si="30"/>
        <v>0.99999999999999978</v>
      </c>
      <c r="R245" s="89">
        <f t="shared" si="31"/>
        <v>1.6936216834697351E-16</v>
      </c>
      <c r="S245" s="89">
        <f t="shared" si="32"/>
        <v>0.99999999999999956</v>
      </c>
      <c r="T245" s="89" t="str">
        <f t="shared" si="33"/>
        <v>NG</v>
      </c>
      <c r="U245" s="117">
        <f t="shared" si="34"/>
        <v>1</v>
      </c>
      <c r="V245" s="89" t="str">
        <f>IF(G245="","",IF(T245="OK","NONE",INDEX({"S1","S2","W1","W2","N1","N2"},MATCH(MAX(K245:P245),K245:P245,0))))</f>
        <v>N1</v>
      </c>
      <c r="W245" s="117">
        <f t="shared" si="35"/>
        <v>1</v>
      </c>
      <c r="X245" s="114" t="str">
        <f t="shared" si="36"/>
        <v>CONFIDENT</v>
      </c>
      <c r="Y245" s="107"/>
    </row>
    <row r="246" spans="1:25">
      <c r="A246" s="115">
        <v>237</v>
      </c>
      <c r="B246" s="135">
        <f>'Runs Z-Score'!B239</f>
        <v>8</v>
      </c>
      <c r="C246" s="89" t="str">
        <f>'Runs Z-Score'!C239</f>
        <v>R4</v>
      </c>
      <c r="D246" s="89" t="str">
        <f>'Runs Z-Score'!D239</f>
        <v>NG</v>
      </c>
      <c r="E246" s="89" t="str">
        <f>'Runs Z-Score'!E239</f>
        <v>N1</v>
      </c>
      <c r="F246" s="89">
        <f>'Runs Z-Score'!F239</f>
        <v>7.79</v>
      </c>
      <c r="G246" s="89">
        <f t="shared" si="28"/>
        <v>8.76</v>
      </c>
      <c r="H246" s="89">
        <v>9.91</v>
      </c>
      <c r="I246" s="89">
        <f>VLOOKUP(C246,Recipes!$A$2:$N$4,12,FALSE())</f>
        <v>5.0137397426368718E-2</v>
      </c>
      <c r="J246" s="89">
        <f t="shared" si="29"/>
        <v>1.1500000000000004</v>
      </c>
      <c r="K246" s="89">
        <f>IF(G246="","",-0.5*((J246-Components!$C$2)/Components!$D$2)^2)</f>
        <v>-29427.495614036161</v>
      </c>
      <c r="L246" s="89">
        <f>IF(G246="","",-0.5*((J246-Components!$C$3)/Components!$D$3)^2)</f>
        <v>-21878.703260870105</v>
      </c>
      <c r="M246" s="89">
        <f>IF(G246="","",-0.5*((J246-Components!$C$4)/Components!$D$4)^2)</f>
        <v>-62.804901960785095</v>
      </c>
      <c r="N246" s="89">
        <f>IF(G246="","",-0.5*((J246-Components!$C$5)/Components!$D$5)^2)</f>
        <v>-9184.4412496977966</v>
      </c>
      <c r="O246" s="89">
        <f>IF(G246="","",-0.5*((J246-Components!$C$6)/Components!$D$6)^2)</f>
        <v>-2.1033478893762746E-2</v>
      </c>
      <c r="P246" s="89">
        <f>IF(G246="","",-0.5*((J246-Components!$C$7)/Components!$D$7)^2)</f>
        <v>-39.795615948614277</v>
      </c>
      <c r="Q246" s="89">
        <f t="shared" si="30"/>
        <v>1</v>
      </c>
      <c r="R246" s="89">
        <f t="shared" si="31"/>
        <v>5.3225323948923859E-18</v>
      </c>
      <c r="S246" s="89">
        <f t="shared" si="32"/>
        <v>1</v>
      </c>
      <c r="T246" s="89" t="str">
        <f t="shared" si="33"/>
        <v>NG</v>
      </c>
      <c r="U246" s="117">
        <f t="shared" si="34"/>
        <v>1</v>
      </c>
      <c r="V246" s="89" t="str">
        <f>IF(G246="","",IF(T246="OK","NONE",INDEX({"S1","S2","W1","W2","N1","N2"},MATCH(MAX(K246:P246),K246:P246,0))))</f>
        <v>N1</v>
      </c>
      <c r="W246" s="117">
        <f t="shared" si="35"/>
        <v>1</v>
      </c>
      <c r="X246" s="114" t="str">
        <f t="shared" si="36"/>
        <v>CONFIDENT</v>
      </c>
      <c r="Y246" s="107"/>
    </row>
    <row r="247" spans="1:25">
      <c r="A247" s="115">
        <v>238</v>
      </c>
      <c r="B247" s="135">
        <f>'Runs Z-Score'!B240</f>
        <v>8</v>
      </c>
      <c r="C247" s="89" t="str">
        <f>'Runs Z-Score'!C240</f>
        <v>R4</v>
      </c>
      <c r="D247" s="89" t="str">
        <f>'Runs Z-Score'!D240</f>
        <v>NG</v>
      </c>
      <c r="E247" s="89" t="str">
        <f>'Runs Z-Score'!E240</f>
        <v>N1</v>
      </c>
      <c r="F247" s="89">
        <f>'Runs Z-Score'!F240</f>
        <v>7.78</v>
      </c>
      <c r="G247" s="89">
        <f t="shared" si="28"/>
        <v>8.75</v>
      </c>
      <c r="H247" s="89">
        <v>9.91</v>
      </c>
      <c r="I247" s="89">
        <f>VLOOKUP(C247,Recipes!$A$2:$N$4,12,FALSE())</f>
        <v>5.0137397426368718E-2</v>
      </c>
      <c r="J247" s="89">
        <f t="shared" si="29"/>
        <v>1.1600000000000001</v>
      </c>
      <c r="K247" s="89">
        <f>IF(G247="","",-0.5*((J247-Components!$C$2)/Components!$D$2)^2)</f>
        <v>-29061.561403509844</v>
      </c>
      <c r="L247" s="89">
        <f>IF(G247="","",-0.5*((J247-Components!$C$3)/Components!$D$3)^2)</f>
        <v>-21727.346376812136</v>
      </c>
      <c r="M247" s="89">
        <f>IF(G247="","",-0.5*((J247-Components!$C$4)/Components!$D$4)^2)</f>
        <v>-71.078431372549687</v>
      </c>
      <c r="N247" s="89">
        <f>IF(G247="","",-0.5*((J247-Components!$C$5)/Components!$D$5)^2)</f>
        <v>-9130.6945129320247</v>
      </c>
      <c r="O247" s="89">
        <f>IF(G247="","",-0.5*((J247-Components!$C$6)/Components!$D$6)^2)</f>
        <v>-1.2299854439574655E-2</v>
      </c>
      <c r="P247" s="89">
        <f>IF(G247="","",-0.5*((J247-Components!$C$7)/Components!$D$7)^2)</f>
        <v>-36.326792098405335</v>
      </c>
      <c r="Q247" s="89">
        <f t="shared" si="30"/>
        <v>0.99999999999999978</v>
      </c>
      <c r="R247" s="89">
        <f t="shared" si="31"/>
        <v>1.6936216834697351E-16</v>
      </c>
      <c r="S247" s="89">
        <f t="shared" si="32"/>
        <v>0.99999999999999956</v>
      </c>
      <c r="T247" s="89" t="str">
        <f t="shared" si="33"/>
        <v>NG</v>
      </c>
      <c r="U247" s="117">
        <f t="shared" si="34"/>
        <v>1</v>
      </c>
      <c r="V247" s="89" t="str">
        <f>IF(G247="","",IF(T247="OK","NONE",INDEX({"S1","S2","W1","W2","N1","N2"},MATCH(MAX(K247:P247),K247:P247,0))))</f>
        <v>N1</v>
      </c>
      <c r="W247" s="117">
        <f t="shared" si="35"/>
        <v>1</v>
      </c>
      <c r="X247" s="114" t="str">
        <f t="shared" si="36"/>
        <v>CONFIDENT</v>
      </c>
      <c r="Y247" s="107"/>
    </row>
    <row r="248" spans="1:25">
      <c r="A248" s="115">
        <v>239</v>
      </c>
      <c r="B248" s="135">
        <f>'Runs Z-Score'!B241</f>
        <v>8</v>
      </c>
      <c r="C248" s="89" t="str">
        <f>'Runs Z-Score'!C241</f>
        <v>R4</v>
      </c>
      <c r="D248" s="89" t="str">
        <f>'Runs Z-Score'!D241</f>
        <v>NG</v>
      </c>
      <c r="E248" s="89" t="str">
        <f>'Runs Z-Score'!E241</f>
        <v>N1</v>
      </c>
      <c r="F248" s="89">
        <f>'Runs Z-Score'!F241</f>
        <v>7.78</v>
      </c>
      <c r="G248" s="89">
        <f t="shared" si="28"/>
        <v>8.75</v>
      </c>
      <c r="H248" s="89">
        <v>9.91</v>
      </c>
      <c r="I248" s="89">
        <f>VLOOKUP(C248,Recipes!$A$2:$N$4,12,FALSE())</f>
        <v>5.0137397426368718E-2</v>
      </c>
      <c r="J248" s="89">
        <f t="shared" si="29"/>
        <v>1.1600000000000001</v>
      </c>
      <c r="K248" s="89">
        <f>IF(G248="","",-0.5*((J248-Components!$C$2)/Components!$D$2)^2)</f>
        <v>-29061.561403509844</v>
      </c>
      <c r="L248" s="89">
        <f>IF(G248="","",-0.5*((J248-Components!$C$3)/Components!$D$3)^2)</f>
        <v>-21727.346376812136</v>
      </c>
      <c r="M248" s="89">
        <f>IF(G248="","",-0.5*((J248-Components!$C$4)/Components!$D$4)^2)</f>
        <v>-71.078431372549687</v>
      </c>
      <c r="N248" s="89">
        <f>IF(G248="","",-0.5*((J248-Components!$C$5)/Components!$D$5)^2)</f>
        <v>-9130.6945129320247</v>
      </c>
      <c r="O248" s="89">
        <f>IF(G248="","",-0.5*((J248-Components!$C$6)/Components!$D$6)^2)</f>
        <v>-1.2299854439574655E-2</v>
      </c>
      <c r="P248" s="89">
        <f>IF(G248="","",-0.5*((J248-Components!$C$7)/Components!$D$7)^2)</f>
        <v>-36.326792098405335</v>
      </c>
      <c r="Q248" s="89">
        <f t="shared" si="30"/>
        <v>0.99999999999999978</v>
      </c>
      <c r="R248" s="89">
        <f t="shared" si="31"/>
        <v>1.6936216834697351E-16</v>
      </c>
      <c r="S248" s="89">
        <f t="shared" si="32"/>
        <v>0.99999999999999956</v>
      </c>
      <c r="T248" s="89" t="str">
        <f t="shared" si="33"/>
        <v>NG</v>
      </c>
      <c r="U248" s="117">
        <f t="shared" si="34"/>
        <v>1</v>
      </c>
      <c r="V248" s="89" t="str">
        <f>IF(G248="","",IF(T248="OK","NONE",INDEX({"S1","S2","W1","W2","N1","N2"},MATCH(MAX(K248:P248),K248:P248,0))))</f>
        <v>N1</v>
      </c>
      <c r="W248" s="117">
        <f t="shared" si="35"/>
        <v>1</v>
      </c>
      <c r="X248" s="114" t="str">
        <f t="shared" si="36"/>
        <v>CONFIDENT</v>
      </c>
      <c r="Y248" s="107"/>
    </row>
    <row r="249" spans="1:25">
      <c r="A249" s="115">
        <v>240</v>
      </c>
      <c r="B249" s="135">
        <f>'Runs Z-Score'!B242</f>
        <v>8</v>
      </c>
      <c r="C249" s="89" t="str">
        <f>'Runs Z-Score'!C242</f>
        <v>R4</v>
      </c>
      <c r="D249" s="89" t="str">
        <f>'Runs Z-Score'!D242</f>
        <v>NG</v>
      </c>
      <c r="E249" s="89" t="str">
        <f>'Runs Z-Score'!E242</f>
        <v>N1</v>
      </c>
      <c r="F249" s="89">
        <f>'Runs Z-Score'!F242</f>
        <v>7.79</v>
      </c>
      <c r="G249" s="89">
        <f t="shared" si="28"/>
        <v>8.76</v>
      </c>
      <c r="H249" s="89">
        <v>9.91</v>
      </c>
      <c r="I249" s="89">
        <f>VLOOKUP(C249,Recipes!$A$2:$N$4,12,FALSE())</f>
        <v>5.0137397426368718E-2</v>
      </c>
      <c r="J249" s="89">
        <f t="shared" si="29"/>
        <v>1.1500000000000004</v>
      </c>
      <c r="K249" s="89">
        <f>IF(G249="","",-0.5*((J249-Components!$C$2)/Components!$D$2)^2)</f>
        <v>-29427.495614036161</v>
      </c>
      <c r="L249" s="89">
        <f>IF(G249="","",-0.5*((J249-Components!$C$3)/Components!$D$3)^2)</f>
        <v>-21878.703260870105</v>
      </c>
      <c r="M249" s="89">
        <f>IF(G249="","",-0.5*((J249-Components!$C$4)/Components!$D$4)^2)</f>
        <v>-62.804901960785095</v>
      </c>
      <c r="N249" s="89">
        <f>IF(G249="","",-0.5*((J249-Components!$C$5)/Components!$D$5)^2)</f>
        <v>-9184.4412496977966</v>
      </c>
      <c r="O249" s="89">
        <f>IF(G249="","",-0.5*((J249-Components!$C$6)/Components!$D$6)^2)</f>
        <v>-2.1033478893762746E-2</v>
      </c>
      <c r="P249" s="89">
        <f>IF(G249="","",-0.5*((J249-Components!$C$7)/Components!$D$7)^2)</f>
        <v>-39.795615948614277</v>
      </c>
      <c r="Q249" s="89">
        <f t="shared" si="30"/>
        <v>1</v>
      </c>
      <c r="R249" s="89">
        <f t="shared" si="31"/>
        <v>5.3225323948923859E-18</v>
      </c>
      <c r="S249" s="89">
        <f t="shared" si="32"/>
        <v>1</v>
      </c>
      <c r="T249" s="89" t="str">
        <f t="shared" si="33"/>
        <v>NG</v>
      </c>
      <c r="U249" s="117">
        <f t="shared" si="34"/>
        <v>1</v>
      </c>
      <c r="V249" s="89" t="str">
        <f>IF(G249="","",IF(T249="OK","NONE",INDEX({"S1","S2","W1","W2","N1","N2"},MATCH(MAX(K249:P249),K249:P249,0))))</f>
        <v>N1</v>
      </c>
      <c r="W249" s="117">
        <f t="shared" si="35"/>
        <v>1</v>
      </c>
      <c r="X249" s="114" t="str">
        <f t="shared" si="36"/>
        <v>CONFIDENT</v>
      </c>
      <c r="Y249" s="107"/>
    </row>
    <row r="250" spans="1:25">
      <c r="A250" s="115">
        <v>241</v>
      </c>
      <c r="B250" s="135">
        <f>'Runs Z-Score'!B243</f>
        <v>9</v>
      </c>
      <c r="C250" s="89" t="str">
        <f>'Runs Z-Score'!C243</f>
        <v>R4</v>
      </c>
      <c r="D250" s="89" t="str">
        <f>'Runs Z-Score'!D243</f>
        <v>NG</v>
      </c>
      <c r="E250" s="89" t="str">
        <f>'Runs Z-Score'!E243</f>
        <v>S2</v>
      </c>
      <c r="F250" s="89">
        <f>'Runs Z-Score'!F243</f>
        <v>4.9400000000000004</v>
      </c>
      <c r="G250" s="89">
        <f t="shared" si="28"/>
        <v>5.91</v>
      </c>
      <c r="H250" s="89">
        <v>9.91</v>
      </c>
      <c r="I250" s="89">
        <f>VLOOKUP(C250,Recipes!$A$2:$N$4,12,FALSE())</f>
        <v>5.0137397426368718E-2</v>
      </c>
      <c r="J250" s="89">
        <f t="shared" si="29"/>
        <v>4</v>
      </c>
      <c r="K250" s="89">
        <f>IF(G250="","",-0.5*((J250-Components!$C$2)/Components!$D$2)^2)</f>
        <v>-17791.245614035925</v>
      </c>
      <c r="L250" s="89">
        <f>IF(G250="","",-0.5*((J250-Components!$C$3)/Components!$D$3)^2)</f>
        <v>-3.4043478260869646</v>
      </c>
      <c r="M250" s="89">
        <f>IF(G250="","",-0.5*((J250-Components!$C$4)/Components!$D$4)^2)</f>
        <v>-23131.878431372621</v>
      </c>
      <c r="N250" s="89">
        <f>IF(G250="","",-0.5*((J250-Components!$C$5)/Components!$D$5)^2)</f>
        <v>-249.67058254774139</v>
      </c>
      <c r="O250" s="89">
        <f>IF(G250="","",-0.5*((J250-Components!$C$6)/Components!$D$6)^2)</f>
        <v>-5299.2786754003055</v>
      </c>
      <c r="P250" s="89">
        <f>IF(G250="","",-0.5*((J250-Components!$C$7)/Components!$D$7)^2)</f>
        <v>-5451.6352814640122</v>
      </c>
      <c r="Q250" s="89">
        <f t="shared" si="30"/>
        <v>1</v>
      </c>
      <c r="R250" s="89">
        <f t="shared" si="31"/>
        <v>1.1166914251603472E-107</v>
      </c>
      <c r="S250" s="89">
        <f t="shared" si="32"/>
        <v>1</v>
      </c>
      <c r="T250" s="89" t="str">
        <f t="shared" si="33"/>
        <v>NG</v>
      </c>
      <c r="U250" s="117">
        <f t="shared" si="34"/>
        <v>1</v>
      </c>
      <c r="V250" s="89" t="str">
        <f>IF(G250="","",IF(T250="OK","NONE",INDEX({"S1","S2","W1","W2","N1","N2"},MATCH(MAX(K250:P250),K250:P250,0))))</f>
        <v>S2</v>
      </c>
      <c r="W250" s="117">
        <f t="shared" si="35"/>
        <v>1</v>
      </c>
      <c r="X250" s="114" t="str">
        <f t="shared" si="36"/>
        <v>CONFIDENT</v>
      </c>
      <c r="Y250" s="107"/>
    </row>
    <row r="251" spans="1:25">
      <c r="A251" s="115">
        <v>242</v>
      </c>
      <c r="B251" s="135">
        <f>'Runs Z-Score'!B244</f>
        <v>9</v>
      </c>
      <c r="C251" s="89" t="str">
        <f>'Runs Z-Score'!C244</f>
        <v>R4</v>
      </c>
      <c r="D251" s="89" t="str">
        <f>'Runs Z-Score'!D244</f>
        <v>NG</v>
      </c>
      <c r="E251" s="89" t="str">
        <f>'Runs Z-Score'!E244</f>
        <v>S2</v>
      </c>
      <c r="F251" s="89">
        <f>'Runs Z-Score'!F244</f>
        <v>4.91</v>
      </c>
      <c r="G251" s="89">
        <f t="shared" si="28"/>
        <v>5.88</v>
      </c>
      <c r="H251" s="89">
        <v>9.91</v>
      </c>
      <c r="I251" s="89">
        <f>VLOOKUP(C251,Recipes!$A$2:$N$4,12,FALSE())</f>
        <v>5.0137397426368718E-2</v>
      </c>
      <c r="J251" s="89">
        <f t="shared" si="29"/>
        <v>4.03</v>
      </c>
      <c r="K251" s="89">
        <f>IF(G251="","",-0.5*((J251-Components!$C$2)/Components!$D$2)^2)</f>
        <v>-18657.811403509651</v>
      </c>
      <c r="L251" s="89">
        <f>IF(G251="","",-0.5*((J251-Components!$C$3)/Components!$D$3)^2)</f>
        <v>-9.45652173912859E-2</v>
      </c>
      <c r="M251" s="89">
        <f>IF(G251="","",-0.5*((J251-Components!$C$4)/Components!$D$4)^2)</f>
        <v>-23595.793137254979</v>
      </c>
      <c r="N251" s="89">
        <f>IF(G251="","",-0.5*((J251-Components!$C$5)/Components!$D$5)^2)</f>
        <v>-223.75669567319437</v>
      </c>
      <c r="O251" s="89">
        <f>IF(G251="","",-0.5*((J251-Components!$C$6)/Components!$D$6)^2)</f>
        <v>-5411.6542212518352</v>
      </c>
      <c r="P251" s="89">
        <f>IF(G251="","",-0.5*((J251-Components!$C$7)/Components!$D$7)^2)</f>
        <v>-5576.9241380355461</v>
      </c>
      <c r="Q251" s="89">
        <f t="shared" si="30"/>
        <v>1</v>
      </c>
      <c r="R251" s="89">
        <f t="shared" si="31"/>
        <v>7.3243810835013461E-98</v>
      </c>
      <c r="S251" s="89">
        <f t="shared" si="32"/>
        <v>1</v>
      </c>
      <c r="T251" s="89" t="str">
        <f t="shared" si="33"/>
        <v>NG</v>
      </c>
      <c r="U251" s="117">
        <f t="shared" si="34"/>
        <v>1</v>
      </c>
      <c r="V251" s="89" t="str">
        <f>IF(G251="","",IF(T251="OK","NONE",INDEX({"S1","S2","W1","W2","N1","N2"},MATCH(MAX(K251:P251),K251:P251,0))))</f>
        <v>S2</v>
      </c>
      <c r="W251" s="117">
        <f t="shared" si="35"/>
        <v>1</v>
      </c>
      <c r="X251" s="114" t="str">
        <f t="shared" si="36"/>
        <v>CONFIDENT</v>
      </c>
      <c r="Y251" s="107"/>
    </row>
    <row r="252" spans="1:25">
      <c r="A252" s="115">
        <v>243</v>
      </c>
      <c r="B252" s="135">
        <f>'Runs Z-Score'!B245</f>
        <v>9</v>
      </c>
      <c r="C252" s="89" t="str">
        <f>'Runs Z-Score'!C245</f>
        <v>R4</v>
      </c>
      <c r="D252" s="89" t="str">
        <f>'Runs Z-Score'!D245</f>
        <v>NG</v>
      </c>
      <c r="E252" s="89" t="str">
        <f>'Runs Z-Score'!E245</f>
        <v>S2</v>
      </c>
      <c r="F252" s="89">
        <f>'Runs Z-Score'!F245</f>
        <v>4.8099999999999996</v>
      </c>
      <c r="G252" s="89">
        <f t="shared" si="28"/>
        <v>5.7799999999999994</v>
      </c>
      <c r="H252" s="89">
        <v>9.91</v>
      </c>
      <c r="I252" s="89">
        <f>VLOOKUP(C252,Recipes!$A$2:$N$4,12,FALSE())</f>
        <v>5.0137397426368718E-2</v>
      </c>
      <c r="J252" s="89">
        <f t="shared" si="29"/>
        <v>4.1300000000000008</v>
      </c>
      <c r="K252" s="89">
        <f>IF(G252="","",-0.5*((J252-Components!$C$2)/Components!$D$2)^2)</f>
        <v>-21695.179824562434</v>
      </c>
      <c r="L252" s="89">
        <f>IF(G252="","",-0.5*((J252-Components!$C$3)/Components!$D$3)^2)</f>
        <v>-23.210507246377986</v>
      </c>
      <c r="M252" s="89">
        <f>IF(G252="","",-0.5*((J252-Components!$C$4)/Components!$D$4)^2)</f>
        <v>-25175.440196078522</v>
      </c>
      <c r="N252" s="89">
        <f>IF(G252="","",-0.5*((J252-Components!$C$5)/Components!$D$5)^2)</f>
        <v>-147.62906695673283</v>
      </c>
      <c r="O252" s="89">
        <f>IF(G252="","",-0.5*((J252-Components!$C$6)/Components!$D$6)^2)</f>
        <v>-5794.754657933061</v>
      </c>
      <c r="P252" s="89">
        <f>IF(G252="","",-0.5*((J252-Components!$C$7)/Components!$D$7)^2)</f>
        <v>-6004.8336090408229</v>
      </c>
      <c r="Q252" s="89">
        <f t="shared" si="30"/>
        <v>1</v>
      </c>
      <c r="R252" s="89">
        <f t="shared" si="31"/>
        <v>9.2407255409399607E-55</v>
      </c>
      <c r="S252" s="89">
        <f t="shared" si="32"/>
        <v>1</v>
      </c>
      <c r="T252" s="89" t="str">
        <f t="shared" si="33"/>
        <v>NG</v>
      </c>
      <c r="U252" s="117">
        <f t="shared" si="34"/>
        <v>1</v>
      </c>
      <c r="V252" s="89" t="str">
        <f>IF(G252="","",IF(T252="OK","NONE",INDEX({"S1","S2","W1","W2","N1","N2"},MATCH(MAX(K252:P252),K252:P252,0))))</f>
        <v>S2</v>
      </c>
      <c r="W252" s="117">
        <f t="shared" si="35"/>
        <v>1</v>
      </c>
      <c r="X252" s="114" t="str">
        <f t="shared" si="36"/>
        <v>CONFIDENT</v>
      </c>
      <c r="Y252" s="107"/>
    </row>
    <row r="253" spans="1:25">
      <c r="A253" s="115">
        <v>244</v>
      </c>
      <c r="B253" s="135">
        <f>'Runs Z-Score'!B246</f>
        <v>9</v>
      </c>
      <c r="C253" s="89" t="str">
        <f>'Runs Z-Score'!C246</f>
        <v>R4</v>
      </c>
      <c r="D253" s="89" t="str">
        <f>'Runs Z-Score'!D246</f>
        <v>NG</v>
      </c>
      <c r="E253" s="89" t="str">
        <f>'Runs Z-Score'!E246</f>
        <v>S2</v>
      </c>
      <c r="F253" s="89">
        <f>'Runs Z-Score'!F246</f>
        <v>4.92</v>
      </c>
      <c r="G253" s="89">
        <f t="shared" si="28"/>
        <v>5.89</v>
      </c>
      <c r="H253" s="89">
        <v>9.91</v>
      </c>
      <c r="I253" s="89">
        <f>VLOOKUP(C253,Recipes!$A$2:$N$4,12,FALSE())</f>
        <v>5.0137397426368718E-2</v>
      </c>
      <c r="J253" s="89">
        <f t="shared" si="29"/>
        <v>4.0200000000000005</v>
      </c>
      <c r="K253" s="89">
        <f>IF(G253="","",-0.5*((J253-Components!$C$2)/Components!$D$2)^2)</f>
        <v>-18366.666666667545</v>
      </c>
      <c r="L253" s="89">
        <f>IF(G253="","",-0.5*((J253-Components!$C$3)/Components!$D$3)^2)</f>
        <v>-0.6724637681158856</v>
      </c>
      <c r="M253" s="89">
        <f>IF(G253="","",-0.5*((J253-Components!$C$4)/Components!$D$4)^2)</f>
        <v>-23440.643137254985</v>
      </c>
      <c r="N253" s="89">
        <f>IF(G253="","",-0.5*((J253-Components!$C$5)/Components!$D$5)^2)</f>
        <v>-232.23693497703755</v>
      </c>
      <c r="O253" s="89">
        <f>IF(G253="","",-0.5*((J253-Components!$C$6)/Components!$D$6)^2)</f>
        <v>-5374.0647016011808</v>
      </c>
      <c r="P253" s="89">
        <f>IF(G253="","",-0.5*((J253-Components!$C$7)/Components!$D$7)^2)</f>
        <v>-5535.0030327819559</v>
      </c>
      <c r="Q253" s="89">
        <f t="shared" si="30"/>
        <v>1</v>
      </c>
      <c r="R253" s="89">
        <f t="shared" si="31"/>
        <v>2.7091181701704124E-101</v>
      </c>
      <c r="S253" s="89">
        <f t="shared" si="32"/>
        <v>1</v>
      </c>
      <c r="T253" s="89" t="str">
        <f t="shared" si="33"/>
        <v>NG</v>
      </c>
      <c r="U253" s="117">
        <f t="shared" si="34"/>
        <v>1</v>
      </c>
      <c r="V253" s="89" t="str">
        <f>IF(G253="","",IF(T253="OK","NONE",INDEX({"S1","S2","W1","W2","N1","N2"},MATCH(MAX(K253:P253),K253:P253,0))))</f>
        <v>S2</v>
      </c>
      <c r="W253" s="117">
        <f t="shared" si="35"/>
        <v>1</v>
      </c>
      <c r="X253" s="114" t="str">
        <f t="shared" si="36"/>
        <v>CONFIDENT</v>
      </c>
      <c r="Y253" s="107"/>
    </row>
    <row r="254" spans="1:25">
      <c r="A254" s="115">
        <v>245</v>
      </c>
      <c r="B254" s="135">
        <f>'Runs Z-Score'!B247</f>
        <v>9</v>
      </c>
      <c r="C254" s="89" t="str">
        <f>'Runs Z-Score'!C247</f>
        <v>R4</v>
      </c>
      <c r="D254" s="89" t="str">
        <f>'Runs Z-Score'!D247</f>
        <v>NG</v>
      </c>
      <c r="E254" s="89" t="str">
        <f>'Runs Z-Score'!E247</f>
        <v>S2</v>
      </c>
      <c r="F254" s="89">
        <f>'Runs Z-Score'!F247</f>
        <v>4.87</v>
      </c>
      <c r="G254" s="89">
        <f t="shared" si="28"/>
        <v>5.84</v>
      </c>
      <c r="H254" s="89">
        <v>9.91</v>
      </c>
      <c r="I254" s="89">
        <f>VLOOKUP(C254,Recipes!$A$2:$N$4,12,FALSE())</f>
        <v>5.0137397426368718E-2</v>
      </c>
      <c r="J254" s="89">
        <f t="shared" si="29"/>
        <v>4.07</v>
      </c>
      <c r="K254" s="89">
        <f>IF(G254="","",-0.5*((J254-Components!$C$2)/Components!$D$2)^2)</f>
        <v>-19845.285087720233</v>
      </c>
      <c r="L254" s="89">
        <f>IF(G254="","",-0.5*((J254-Components!$C$3)/Components!$D$3)^2)</f>
        <v>-3.036594202898752</v>
      </c>
      <c r="M254" s="89">
        <f>IF(G254="","",-0.5*((J254-Components!$C$4)/Components!$D$4)^2)</f>
        <v>-24221.510784313803</v>
      </c>
      <c r="N254" s="89">
        <f>IF(G254="","",-0.5*((J254-Components!$C$5)/Components!$D$5)^2)</f>
        <v>-191.41296833454317</v>
      </c>
      <c r="O254" s="89">
        <f>IF(G254="","",-0.5*((J254-Components!$C$6)/Components!$D$6)^2)</f>
        <v>-5563.3223435225782</v>
      </c>
      <c r="P254" s="89">
        <f>IF(G254="","",-0.5*((J254-Components!$C$7)/Components!$D$7)^2)</f>
        <v>-5746.1900896807028</v>
      </c>
      <c r="Q254" s="89">
        <f t="shared" si="30"/>
        <v>1</v>
      </c>
      <c r="R254" s="89">
        <f t="shared" si="31"/>
        <v>1.545895716080797E-82</v>
      </c>
      <c r="S254" s="89">
        <f t="shared" si="32"/>
        <v>1</v>
      </c>
      <c r="T254" s="89" t="str">
        <f t="shared" si="33"/>
        <v>NG</v>
      </c>
      <c r="U254" s="117">
        <f t="shared" si="34"/>
        <v>1</v>
      </c>
      <c r="V254" s="89" t="str">
        <f>IF(G254="","",IF(T254="OK","NONE",INDEX({"S1","S2","W1","W2","N1","N2"},MATCH(MAX(K254:P254),K254:P254,0))))</f>
        <v>S2</v>
      </c>
      <c r="W254" s="117">
        <f t="shared" si="35"/>
        <v>1</v>
      </c>
      <c r="X254" s="114" t="str">
        <f t="shared" si="36"/>
        <v>CONFIDENT</v>
      </c>
      <c r="Y254" s="107"/>
    </row>
    <row r="255" spans="1:25">
      <c r="A255" s="115">
        <v>246</v>
      </c>
      <c r="B255" s="135">
        <f>'Runs Z-Score'!B248</f>
        <v>9</v>
      </c>
      <c r="C255" s="89" t="str">
        <f>'Runs Z-Score'!C248</f>
        <v>R4</v>
      </c>
      <c r="D255" s="89" t="str">
        <f>'Runs Z-Score'!D248</f>
        <v>NG</v>
      </c>
      <c r="E255" s="89" t="str">
        <f>'Runs Z-Score'!E248</f>
        <v>S2</v>
      </c>
      <c r="F255" s="89">
        <f>'Runs Z-Score'!F248</f>
        <v>4.9400000000000004</v>
      </c>
      <c r="G255" s="89">
        <f t="shared" si="28"/>
        <v>5.91</v>
      </c>
      <c r="H255" s="89">
        <v>9.91</v>
      </c>
      <c r="I255" s="89">
        <f>VLOOKUP(C255,Recipes!$A$2:$N$4,12,FALSE())</f>
        <v>5.0137397426368718E-2</v>
      </c>
      <c r="J255" s="89">
        <f t="shared" si="29"/>
        <v>4</v>
      </c>
      <c r="K255" s="89">
        <f>IF(G255="","",-0.5*((J255-Components!$C$2)/Components!$D$2)^2)</f>
        <v>-17791.245614035925</v>
      </c>
      <c r="L255" s="89">
        <f>IF(G255="","",-0.5*((J255-Components!$C$3)/Components!$D$3)^2)</f>
        <v>-3.4043478260869646</v>
      </c>
      <c r="M255" s="89">
        <f>IF(G255="","",-0.5*((J255-Components!$C$4)/Components!$D$4)^2)</f>
        <v>-23131.878431372621</v>
      </c>
      <c r="N255" s="89">
        <f>IF(G255="","",-0.5*((J255-Components!$C$5)/Components!$D$5)^2)</f>
        <v>-249.67058254774139</v>
      </c>
      <c r="O255" s="89">
        <f>IF(G255="","",-0.5*((J255-Components!$C$6)/Components!$D$6)^2)</f>
        <v>-5299.2786754003055</v>
      </c>
      <c r="P255" s="89">
        <f>IF(G255="","",-0.5*((J255-Components!$C$7)/Components!$D$7)^2)</f>
        <v>-5451.6352814640122</v>
      </c>
      <c r="Q255" s="89">
        <f t="shared" si="30"/>
        <v>1</v>
      </c>
      <c r="R255" s="89">
        <f t="shared" si="31"/>
        <v>1.1166914251603472E-107</v>
      </c>
      <c r="S255" s="89">
        <f t="shared" si="32"/>
        <v>1</v>
      </c>
      <c r="T255" s="89" t="str">
        <f t="shared" si="33"/>
        <v>NG</v>
      </c>
      <c r="U255" s="117">
        <f t="shared" si="34"/>
        <v>1</v>
      </c>
      <c r="V255" s="89" t="str">
        <f>IF(G255="","",IF(T255="OK","NONE",INDEX({"S1","S2","W1","W2","N1","N2"},MATCH(MAX(K255:P255),K255:P255,0))))</f>
        <v>S2</v>
      </c>
      <c r="W255" s="117">
        <f t="shared" si="35"/>
        <v>1</v>
      </c>
      <c r="X255" s="114" t="str">
        <f t="shared" si="36"/>
        <v>CONFIDENT</v>
      </c>
      <c r="Y255" s="107"/>
    </row>
    <row r="256" spans="1:25">
      <c r="A256" s="115">
        <v>247</v>
      </c>
      <c r="B256" s="135">
        <f>'Runs Z-Score'!B249</f>
        <v>9</v>
      </c>
      <c r="C256" s="89" t="str">
        <f>'Runs Z-Score'!C249</f>
        <v>R4</v>
      </c>
      <c r="D256" s="89" t="str">
        <f>'Runs Z-Score'!D249</f>
        <v>NG</v>
      </c>
      <c r="E256" s="89" t="str">
        <f>'Runs Z-Score'!E249</f>
        <v>S2</v>
      </c>
      <c r="F256" s="89">
        <f>'Runs Z-Score'!F249</f>
        <v>4.8899999999999997</v>
      </c>
      <c r="G256" s="89">
        <f t="shared" si="28"/>
        <v>5.8599999999999994</v>
      </c>
      <c r="H256" s="89">
        <v>9.91</v>
      </c>
      <c r="I256" s="89">
        <f>VLOOKUP(C256,Recipes!$A$2:$N$4,12,FALSE())</f>
        <v>5.0137397426368718E-2</v>
      </c>
      <c r="J256" s="89">
        <f t="shared" si="29"/>
        <v>4.0500000000000007</v>
      </c>
      <c r="K256" s="89">
        <f>IF(G256="","",-0.5*((J256-Components!$C$2)/Components!$D$2)^2)</f>
        <v>-19246.969298246535</v>
      </c>
      <c r="L256" s="89">
        <f>IF(G256="","",-0.5*((J256-Components!$C$3)/Components!$D$3)^2)</f>
        <v>-0.51485507246386375</v>
      </c>
      <c r="M256" s="89">
        <f>IF(G256="","",-0.5*((J256-Components!$C$4)/Components!$D$4)^2)</f>
        <v>-23907.628431372636</v>
      </c>
      <c r="N256" s="89">
        <f>IF(G256="","",-0.5*((J256-Components!$C$5)/Components!$D$5)^2)</f>
        <v>-207.269386028524</v>
      </c>
      <c r="O256" s="89">
        <f>IF(G256="","",-0.5*((J256-Components!$C$6)/Components!$D$6)^2)</f>
        <v>-5487.2262736535849</v>
      </c>
      <c r="P256" s="89">
        <f>IF(G256="","",-0.5*((J256-Components!$C$7)/Components!$D$7)^2)</f>
        <v>-5661.2408077319678</v>
      </c>
      <c r="Q256" s="89">
        <f t="shared" si="30"/>
        <v>1</v>
      </c>
      <c r="R256" s="89">
        <f t="shared" si="31"/>
        <v>1.6130509946089107E-90</v>
      </c>
      <c r="S256" s="89">
        <f t="shared" si="32"/>
        <v>1</v>
      </c>
      <c r="T256" s="89" t="str">
        <f t="shared" si="33"/>
        <v>NG</v>
      </c>
      <c r="U256" s="117">
        <f t="shared" si="34"/>
        <v>1</v>
      </c>
      <c r="V256" s="89" t="str">
        <f>IF(G256="","",IF(T256="OK","NONE",INDEX({"S1","S2","W1","W2","N1","N2"},MATCH(MAX(K256:P256),K256:P256,0))))</f>
        <v>S2</v>
      </c>
      <c r="W256" s="117">
        <f t="shared" si="35"/>
        <v>1</v>
      </c>
      <c r="X256" s="114" t="str">
        <f t="shared" si="36"/>
        <v>CONFIDENT</v>
      </c>
      <c r="Y256" s="107"/>
    </row>
    <row r="257" spans="1:25">
      <c r="A257" s="115">
        <v>248</v>
      </c>
      <c r="B257" s="135">
        <f>'Runs Z-Score'!B250</f>
        <v>9</v>
      </c>
      <c r="C257" s="89" t="str">
        <f>'Runs Z-Score'!C250</f>
        <v>R4</v>
      </c>
      <c r="D257" s="89" t="str">
        <f>'Runs Z-Score'!D250</f>
        <v>NG</v>
      </c>
      <c r="E257" s="89" t="str">
        <f>'Runs Z-Score'!E250</f>
        <v>S2</v>
      </c>
      <c r="F257" s="89">
        <f>'Runs Z-Score'!F250</f>
        <v>4.8600000000000003</v>
      </c>
      <c r="G257" s="89">
        <f t="shared" si="28"/>
        <v>5.83</v>
      </c>
      <c r="H257" s="89">
        <v>9.91</v>
      </c>
      <c r="I257" s="89">
        <f>VLOOKUP(C257,Recipes!$A$2:$N$4,12,FALSE())</f>
        <v>5.0137397426368718E-2</v>
      </c>
      <c r="J257" s="89">
        <f t="shared" si="29"/>
        <v>4.08</v>
      </c>
      <c r="K257" s="89">
        <f>IF(G257="","",-0.5*((J257-Components!$C$2)/Components!$D$2)^2)</f>
        <v>-20147.8771929834</v>
      </c>
      <c r="L257" s="89">
        <f>IF(G257="","",-0.5*((J257-Components!$C$3)/Components!$D$3)^2)</f>
        <v>-5.0855072463770519</v>
      </c>
      <c r="M257" s="89">
        <f>IF(G257="","",-0.5*((J257-Components!$C$4)/Components!$D$4)^2)</f>
        <v>-24379.21960784321</v>
      </c>
      <c r="N257" s="89">
        <f>IF(G257="","",-0.5*((J257-Components!$C$5)/Components!$D$5)^2)</f>
        <v>-183.72134396906111</v>
      </c>
      <c r="O257" s="89">
        <f>IF(G257="","",-0.5*((J257-Components!$C$6)/Components!$D$6)^2)</f>
        <v>-5601.5668850072934</v>
      </c>
      <c r="P257" s="89">
        <f>IF(G257="","",-0.5*((J257-Components!$C$7)/Components!$D$7)^2)</f>
        <v>-5788.9019602496901</v>
      </c>
      <c r="Q257" s="89">
        <f t="shared" si="30"/>
        <v>1</v>
      </c>
      <c r="R257" s="89">
        <f t="shared" si="31"/>
        <v>2.626889721243853E-78</v>
      </c>
      <c r="S257" s="89">
        <f t="shared" si="32"/>
        <v>1</v>
      </c>
      <c r="T257" s="89" t="str">
        <f t="shared" si="33"/>
        <v>NG</v>
      </c>
      <c r="U257" s="117">
        <f t="shared" si="34"/>
        <v>1</v>
      </c>
      <c r="V257" s="89" t="str">
        <f>IF(G257="","",IF(T257="OK","NONE",INDEX({"S1","S2","W1","W2","N1","N2"},MATCH(MAX(K257:P257),K257:P257,0))))</f>
        <v>S2</v>
      </c>
      <c r="W257" s="117">
        <f t="shared" si="35"/>
        <v>1</v>
      </c>
      <c r="X257" s="114" t="str">
        <f t="shared" si="36"/>
        <v>CONFIDENT</v>
      </c>
      <c r="Y257" s="107"/>
    </row>
    <row r="258" spans="1:25">
      <c r="A258" s="115">
        <v>249</v>
      </c>
      <c r="B258" s="135">
        <f>'Runs Z-Score'!B251</f>
        <v>9</v>
      </c>
      <c r="C258" s="89" t="str">
        <f>'Runs Z-Score'!C251</f>
        <v>R4</v>
      </c>
      <c r="D258" s="89" t="str">
        <f>'Runs Z-Score'!D251</f>
        <v>NG</v>
      </c>
      <c r="E258" s="89" t="str">
        <f>'Runs Z-Score'!E251</f>
        <v>S2</v>
      </c>
      <c r="F258" s="89">
        <f>'Runs Z-Score'!F251</f>
        <v>4.97</v>
      </c>
      <c r="G258" s="89">
        <f t="shared" si="28"/>
        <v>5.9399999999999995</v>
      </c>
      <c r="H258" s="89">
        <v>9.91</v>
      </c>
      <c r="I258" s="89">
        <f>VLOOKUP(C258,Recipes!$A$2:$N$4,12,FALSE())</f>
        <v>5.0137397426368718E-2</v>
      </c>
      <c r="J258" s="89">
        <f t="shared" si="29"/>
        <v>3.9700000000000006</v>
      </c>
      <c r="K258" s="89">
        <f>IF(G258="","",-0.5*((J258-Components!$C$2)/Components!$D$2)^2)</f>
        <v>-16945.285087720113</v>
      </c>
      <c r="L258" s="89">
        <f>IF(G258="","",-0.5*((J258-Components!$C$3)/Components!$D$3)^2)</f>
        <v>-11.442391304347749</v>
      </c>
      <c r="M258" s="89">
        <f>IF(G258="","",-0.5*((J258-Components!$C$4)/Components!$D$4)^2)</f>
        <v>-22672.569607843216</v>
      </c>
      <c r="N258" s="89">
        <f>IF(G258="","",-0.5*((J258-Components!$C$5)/Components!$D$5)^2)</f>
        <v>-277.00397631133751</v>
      </c>
      <c r="O258" s="89">
        <f>IF(G258="","",-0.5*((J258-Components!$C$6)/Components!$D$6)^2)</f>
        <v>-5188.0821688500891</v>
      </c>
      <c r="P258" s="89">
        <f>IF(G258="","",-0.5*((J258-Components!$C$7)/Components!$D$7)^2)</f>
        <v>-5327.7698024601968</v>
      </c>
      <c r="Q258" s="89">
        <f t="shared" si="30"/>
        <v>1</v>
      </c>
      <c r="R258" s="89">
        <f t="shared" si="31"/>
        <v>4.6566009881934928E-116</v>
      </c>
      <c r="S258" s="89">
        <f t="shared" si="32"/>
        <v>1</v>
      </c>
      <c r="T258" s="89" t="str">
        <f t="shared" si="33"/>
        <v>NG</v>
      </c>
      <c r="U258" s="117">
        <f t="shared" si="34"/>
        <v>1</v>
      </c>
      <c r="V258" s="89" t="str">
        <f>IF(G258="","",IF(T258="OK","NONE",INDEX({"S1","S2","W1","W2","N1","N2"},MATCH(MAX(K258:P258),K258:P258,0))))</f>
        <v>S2</v>
      </c>
      <c r="W258" s="117">
        <f t="shared" si="35"/>
        <v>1</v>
      </c>
      <c r="X258" s="114" t="str">
        <f t="shared" si="36"/>
        <v>CONFIDENT</v>
      </c>
      <c r="Y258" s="107"/>
    </row>
    <row r="259" spans="1:25">
      <c r="A259" s="115">
        <v>250</v>
      </c>
      <c r="B259" s="135">
        <f>'Runs Z-Score'!B252</f>
        <v>9</v>
      </c>
      <c r="C259" s="89" t="str">
        <f>'Runs Z-Score'!C252</f>
        <v>R4</v>
      </c>
      <c r="D259" s="89" t="str">
        <f>'Runs Z-Score'!D252</f>
        <v>NG</v>
      </c>
      <c r="E259" s="89" t="str">
        <f>'Runs Z-Score'!E252</f>
        <v>S2</v>
      </c>
      <c r="F259" s="89">
        <f>'Runs Z-Score'!F252</f>
        <v>4.88</v>
      </c>
      <c r="G259" s="89">
        <f t="shared" si="28"/>
        <v>5.85</v>
      </c>
      <c r="H259" s="89">
        <v>9.91</v>
      </c>
      <c r="I259" s="89">
        <f>VLOOKUP(C259,Recipes!$A$2:$N$4,12,FALSE())</f>
        <v>5.0137397426368718E-2</v>
      </c>
      <c r="J259" s="89">
        <f t="shared" si="29"/>
        <v>4.0600000000000005</v>
      </c>
      <c r="K259" s="89">
        <f>IF(G259="","",-0.5*((J259-Components!$C$2)/Components!$D$2)^2)</f>
        <v>-19544.982456141279</v>
      </c>
      <c r="L259" s="89">
        <f>IF(G259="","",-0.5*((J259-Components!$C$3)/Components!$D$3)^2)</f>
        <v>-1.5130434782610223</v>
      </c>
      <c r="M259" s="89">
        <f>IF(G259="","",-0.5*((J259-Components!$C$4)/Components!$D$4)^2)</f>
        <v>-24064.313725490279</v>
      </c>
      <c r="N259" s="89">
        <f>IF(G259="","",-0.5*((J259-Components!$C$5)/Components!$D$5)^2)</f>
        <v>-199.26231568769748</v>
      </c>
      <c r="O259" s="89">
        <f>IF(G259="","",-0.5*((J259-Components!$C$6)/Components!$D$6)^2)</f>
        <v>-5525.2088064046757</v>
      </c>
      <c r="P259" s="89">
        <f>IF(G259="","",-0.5*((J259-Components!$C$7)/Components!$D$7)^2)</f>
        <v>-5703.6363721747957</v>
      </c>
      <c r="Q259" s="89">
        <f t="shared" si="30"/>
        <v>1</v>
      </c>
      <c r="R259" s="89">
        <f t="shared" si="31"/>
        <v>1.3139604071341086E-86</v>
      </c>
      <c r="S259" s="89">
        <f t="shared" si="32"/>
        <v>1</v>
      </c>
      <c r="T259" s="89" t="str">
        <f t="shared" si="33"/>
        <v>NG</v>
      </c>
      <c r="U259" s="117">
        <f t="shared" si="34"/>
        <v>1</v>
      </c>
      <c r="V259" s="89" t="str">
        <f>IF(G259="","",IF(T259="OK","NONE",INDEX({"S1","S2","W1","W2","N1","N2"},MATCH(MAX(K259:P259),K259:P259,0))))</f>
        <v>S2</v>
      </c>
      <c r="W259" s="117">
        <f t="shared" si="35"/>
        <v>1</v>
      </c>
      <c r="X259" s="114" t="str">
        <f t="shared" si="36"/>
        <v>CONFIDENT</v>
      </c>
      <c r="Y259" s="107"/>
    </row>
    <row r="260" spans="1:25">
      <c r="A260" s="115">
        <v>251</v>
      </c>
      <c r="B260" s="135">
        <f>'Runs Z-Score'!B253</f>
        <v>9</v>
      </c>
      <c r="C260" s="89" t="str">
        <f>'Runs Z-Score'!C253</f>
        <v>R4</v>
      </c>
      <c r="D260" s="89" t="str">
        <f>'Runs Z-Score'!D253</f>
        <v>NG</v>
      </c>
      <c r="E260" s="89" t="str">
        <f>'Runs Z-Score'!E253</f>
        <v>S2</v>
      </c>
      <c r="F260" s="89">
        <f>'Runs Z-Score'!F253</f>
        <v>4.83</v>
      </c>
      <c r="G260" s="89">
        <f t="shared" si="28"/>
        <v>5.8</v>
      </c>
      <c r="H260" s="89">
        <v>9.91</v>
      </c>
      <c r="I260" s="89">
        <f>VLOOKUP(C260,Recipes!$A$2:$N$4,12,FALSE())</f>
        <v>5.0137397426368718E-2</v>
      </c>
      <c r="J260" s="89">
        <f t="shared" si="29"/>
        <v>4.1100000000000003</v>
      </c>
      <c r="K260" s="89">
        <f>IF(G260="","",-0.5*((J260-Components!$C$2)/Components!$D$2)^2)</f>
        <v>-21069.39035087818</v>
      </c>
      <c r="L260" s="89">
        <f>IF(G260="","",-0.5*((J260-Components!$C$3)/Components!$D$3)^2)</f>
        <v>-14.38442028985572</v>
      </c>
      <c r="M260" s="89">
        <f>IF(G260="","",-0.5*((J260-Components!$C$4)/Components!$D$4)^2)</f>
        <v>-24855.416666666748</v>
      </c>
      <c r="N260" s="89">
        <f>IF(G260="","",-0.5*((J260-Components!$C$5)/Components!$D$5)^2)</f>
        <v>-161.59280879864761</v>
      </c>
      <c r="O260" s="89">
        <f>IF(G260="","",-0.5*((J260-Components!$C$6)/Components!$D$6)^2)</f>
        <v>-5717.0865356623171</v>
      </c>
      <c r="P260" s="89">
        <f>IF(G260="","",-0.5*((J260-Components!$C$7)/Components!$D$7)^2)</f>
        <v>-5917.9864903351299</v>
      </c>
      <c r="Q260" s="89">
        <f t="shared" si="30"/>
        <v>1</v>
      </c>
      <c r="R260" s="89">
        <f t="shared" si="31"/>
        <v>1.1700628236869246E-64</v>
      </c>
      <c r="S260" s="89">
        <f t="shared" si="32"/>
        <v>1</v>
      </c>
      <c r="T260" s="89" t="str">
        <f t="shared" si="33"/>
        <v>NG</v>
      </c>
      <c r="U260" s="117">
        <f t="shared" si="34"/>
        <v>1</v>
      </c>
      <c r="V260" s="89" t="str">
        <f>IF(G260="","",IF(T260="OK","NONE",INDEX({"S1","S2","W1","W2","N1","N2"},MATCH(MAX(K260:P260),K260:P260,0))))</f>
        <v>S2</v>
      </c>
      <c r="W260" s="117">
        <f t="shared" si="35"/>
        <v>1</v>
      </c>
      <c r="X260" s="114" t="str">
        <f t="shared" si="36"/>
        <v>CONFIDENT</v>
      </c>
      <c r="Y260" s="107"/>
    </row>
    <row r="261" spans="1:25">
      <c r="A261" s="115">
        <v>252</v>
      </c>
      <c r="B261" s="135">
        <f>'Runs Z-Score'!B254</f>
        <v>9</v>
      </c>
      <c r="C261" s="89" t="str">
        <f>'Runs Z-Score'!C254</f>
        <v>R4</v>
      </c>
      <c r="D261" s="89" t="str">
        <f>'Runs Z-Score'!D254</f>
        <v>NG</v>
      </c>
      <c r="E261" s="89" t="str">
        <f>'Runs Z-Score'!E254</f>
        <v>S2</v>
      </c>
      <c r="F261" s="89">
        <f>'Runs Z-Score'!F254</f>
        <v>4.87</v>
      </c>
      <c r="G261" s="89">
        <f t="shared" si="28"/>
        <v>5.84</v>
      </c>
      <c r="H261" s="89">
        <v>9.91</v>
      </c>
      <c r="I261" s="89">
        <f>VLOOKUP(C261,Recipes!$A$2:$N$4,12,FALSE())</f>
        <v>5.0137397426368718E-2</v>
      </c>
      <c r="J261" s="89">
        <f t="shared" si="29"/>
        <v>4.07</v>
      </c>
      <c r="K261" s="89">
        <f>IF(G261="","",-0.5*((J261-Components!$C$2)/Components!$D$2)^2)</f>
        <v>-19845.285087720233</v>
      </c>
      <c r="L261" s="89">
        <f>IF(G261="","",-0.5*((J261-Components!$C$3)/Components!$D$3)^2)</f>
        <v>-3.036594202898752</v>
      </c>
      <c r="M261" s="89">
        <f>IF(G261="","",-0.5*((J261-Components!$C$4)/Components!$D$4)^2)</f>
        <v>-24221.510784313803</v>
      </c>
      <c r="N261" s="89">
        <f>IF(G261="","",-0.5*((J261-Components!$C$5)/Components!$D$5)^2)</f>
        <v>-191.41296833454317</v>
      </c>
      <c r="O261" s="89">
        <f>IF(G261="","",-0.5*((J261-Components!$C$6)/Components!$D$6)^2)</f>
        <v>-5563.3223435225782</v>
      </c>
      <c r="P261" s="89">
        <f>IF(G261="","",-0.5*((J261-Components!$C$7)/Components!$D$7)^2)</f>
        <v>-5746.1900896807028</v>
      </c>
      <c r="Q261" s="89">
        <f t="shared" si="30"/>
        <v>1</v>
      </c>
      <c r="R261" s="89">
        <f t="shared" si="31"/>
        <v>1.545895716080797E-82</v>
      </c>
      <c r="S261" s="89">
        <f t="shared" si="32"/>
        <v>1</v>
      </c>
      <c r="T261" s="89" t="str">
        <f t="shared" si="33"/>
        <v>NG</v>
      </c>
      <c r="U261" s="117">
        <f t="shared" si="34"/>
        <v>1</v>
      </c>
      <c r="V261" s="89" t="str">
        <f>IF(G261="","",IF(T261="OK","NONE",INDEX({"S1","S2","W1","W2","N1","N2"},MATCH(MAX(K261:P261),K261:P261,0))))</f>
        <v>S2</v>
      </c>
      <c r="W261" s="117">
        <f t="shared" si="35"/>
        <v>1</v>
      </c>
      <c r="X261" s="114" t="str">
        <f t="shared" si="36"/>
        <v>CONFIDENT</v>
      </c>
      <c r="Y261" s="107"/>
    </row>
    <row r="262" spans="1:25">
      <c r="A262" s="115">
        <v>253</v>
      </c>
      <c r="B262" s="135">
        <f>'Runs Z-Score'!B255</f>
        <v>9</v>
      </c>
      <c r="C262" s="89" t="str">
        <f>'Runs Z-Score'!C255</f>
        <v>R4</v>
      </c>
      <c r="D262" s="89" t="str">
        <f>'Runs Z-Score'!D255</f>
        <v>NG</v>
      </c>
      <c r="E262" s="89" t="str">
        <f>'Runs Z-Score'!E255</f>
        <v>S2</v>
      </c>
      <c r="F262" s="89">
        <f>'Runs Z-Score'!F255</f>
        <v>4.93</v>
      </c>
      <c r="G262" s="89">
        <f t="shared" si="28"/>
        <v>5.8999999999999995</v>
      </c>
      <c r="H262" s="89">
        <v>9.91</v>
      </c>
      <c r="I262" s="89">
        <f>VLOOKUP(C262,Recipes!$A$2:$N$4,12,FALSE())</f>
        <v>5.0137397426368718E-2</v>
      </c>
      <c r="J262" s="89">
        <f t="shared" si="29"/>
        <v>4.0100000000000007</v>
      </c>
      <c r="K262" s="89">
        <f>IF(G262="","",-0.5*((J262-Components!$C$2)/Components!$D$2)^2)</f>
        <v>-18077.811403509641</v>
      </c>
      <c r="L262" s="89">
        <f>IF(G262="","",-0.5*((J262-Components!$C$3)/Components!$D$3)^2)</f>
        <v>-1.7757246376810558</v>
      </c>
      <c r="M262" s="89">
        <f>IF(G262="","",-0.5*((J262-Components!$C$4)/Components!$D$4)^2)</f>
        <v>-23286.004901960863</v>
      </c>
      <c r="N262" s="89">
        <f>IF(G262="","",-0.5*((J262-Components!$C$5)/Components!$D$5)^2)</f>
        <v>-240.87489726855296</v>
      </c>
      <c r="O262" s="89">
        <f>IF(G262="","",-0.5*((J262-Components!$C$6)/Components!$D$6)^2)</f>
        <v>-5336.6061863173391</v>
      </c>
      <c r="P262" s="89">
        <f>IF(G262="","",-0.5*((J262-Components!$C$7)/Components!$D$7)^2)</f>
        <v>-5493.2400805914458</v>
      </c>
      <c r="Q262" s="89">
        <f t="shared" si="30"/>
        <v>1</v>
      </c>
      <c r="R262" s="89">
        <f t="shared" si="31"/>
        <v>1.4472671305221507E-104</v>
      </c>
      <c r="S262" s="89">
        <f t="shared" si="32"/>
        <v>1</v>
      </c>
      <c r="T262" s="89" t="str">
        <f t="shared" si="33"/>
        <v>NG</v>
      </c>
      <c r="U262" s="117">
        <f t="shared" si="34"/>
        <v>1</v>
      </c>
      <c r="V262" s="89" t="str">
        <f>IF(G262="","",IF(T262="OK","NONE",INDEX({"S1","S2","W1","W2","N1","N2"},MATCH(MAX(K262:P262),K262:P262,0))))</f>
        <v>S2</v>
      </c>
      <c r="W262" s="117">
        <f t="shared" si="35"/>
        <v>1</v>
      </c>
      <c r="X262" s="114" t="str">
        <f t="shared" si="36"/>
        <v>CONFIDENT</v>
      </c>
      <c r="Y262" s="107"/>
    </row>
    <row r="263" spans="1:25">
      <c r="A263" s="115">
        <v>254</v>
      </c>
      <c r="B263" s="135">
        <f>'Runs Z-Score'!B256</f>
        <v>9</v>
      </c>
      <c r="C263" s="89" t="str">
        <f>'Runs Z-Score'!C256</f>
        <v>R4</v>
      </c>
      <c r="D263" s="89" t="str">
        <f>'Runs Z-Score'!D256</f>
        <v>NG</v>
      </c>
      <c r="E263" s="89" t="str">
        <f>'Runs Z-Score'!E256</f>
        <v>S2</v>
      </c>
      <c r="F263" s="89">
        <f>'Runs Z-Score'!F256</f>
        <v>4.91</v>
      </c>
      <c r="G263" s="89">
        <f t="shared" si="28"/>
        <v>5.88</v>
      </c>
      <c r="H263" s="89">
        <v>9.91</v>
      </c>
      <c r="I263" s="89">
        <f>VLOOKUP(C263,Recipes!$A$2:$N$4,12,FALSE())</f>
        <v>5.0137397426368718E-2</v>
      </c>
      <c r="J263" s="89">
        <f t="shared" si="29"/>
        <v>4.03</v>
      </c>
      <c r="K263" s="89">
        <f>IF(G263="","",-0.5*((J263-Components!$C$2)/Components!$D$2)^2)</f>
        <v>-18657.811403509651</v>
      </c>
      <c r="L263" s="89">
        <f>IF(G263="","",-0.5*((J263-Components!$C$3)/Components!$D$3)^2)</f>
        <v>-9.45652173912859E-2</v>
      </c>
      <c r="M263" s="89">
        <f>IF(G263="","",-0.5*((J263-Components!$C$4)/Components!$D$4)^2)</f>
        <v>-23595.793137254979</v>
      </c>
      <c r="N263" s="89">
        <f>IF(G263="","",-0.5*((J263-Components!$C$5)/Components!$D$5)^2)</f>
        <v>-223.75669567319437</v>
      </c>
      <c r="O263" s="89">
        <f>IF(G263="","",-0.5*((J263-Components!$C$6)/Components!$D$6)^2)</f>
        <v>-5411.6542212518352</v>
      </c>
      <c r="P263" s="89">
        <f>IF(G263="","",-0.5*((J263-Components!$C$7)/Components!$D$7)^2)</f>
        <v>-5576.9241380355461</v>
      </c>
      <c r="Q263" s="89">
        <f t="shared" si="30"/>
        <v>1</v>
      </c>
      <c r="R263" s="89">
        <f t="shared" si="31"/>
        <v>7.3243810835013461E-98</v>
      </c>
      <c r="S263" s="89">
        <f t="shared" si="32"/>
        <v>1</v>
      </c>
      <c r="T263" s="89" t="str">
        <f t="shared" si="33"/>
        <v>NG</v>
      </c>
      <c r="U263" s="117">
        <f t="shared" si="34"/>
        <v>1</v>
      </c>
      <c r="V263" s="89" t="str">
        <f>IF(G263="","",IF(T263="OK","NONE",INDEX({"S1","S2","W1","W2","N1","N2"},MATCH(MAX(K263:P263),K263:P263,0))))</f>
        <v>S2</v>
      </c>
      <c r="W263" s="117">
        <f t="shared" si="35"/>
        <v>1</v>
      </c>
      <c r="X263" s="114" t="str">
        <f t="shared" si="36"/>
        <v>CONFIDENT</v>
      </c>
      <c r="Y263" s="107"/>
    </row>
    <row r="264" spans="1:25">
      <c r="A264" s="115">
        <v>255</v>
      </c>
      <c r="B264" s="135">
        <f>'Runs Z-Score'!B257</f>
        <v>9</v>
      </c>
      <c r="C264" s="89" t="str">
        <f>'Runs Z-Score'!C257</f>
        <v>R4</v>
      </c>
      <c r="D264" s="89" t="str">
        <f>'Runs Z-Score'!D257</f>
        <v>NG</v>
      </c>
      <c r="E264" s="89" t="str">
        <f>'Runs Z-Score'!E257</f>
        <v>S2</v>
      </c>
      <c r="F264" s="89">
        <f>'Runs Z-Score'!F257</f>
        <v>4.88</v>
      </c>
      <c r="G264" s="89">
        <f t="shared" si="28"/>
        <v>5.85</v>
      </c>
      <c r="H264" s="89">
        <v>9.91</v>
      </c>
      <c r="I264" s="89">
        <f>VLOOKUP(C264,Recipes!$A$2:$N$4,12,FALSE())</f>
        <v>5.0137397426368718E-2</v>
      </c>
      <c r="J264" s="89">
        <f t="shared" si="29"/>
        <v>4.0600000000000005</v>
      </c>
      <c r="K264" s="89">
        <f>IF(G264="","",-0.5*((J264-Components!$C$2)/Components!$D$2)^2)</f>
        <v>-19544.982456141279</v>
      </c>
      <c r="L264" s="89">
        <f>IF(G264="","",-0.5*((J264-Components!$C$3)/Components!$D$3)^2)</f>
        <v>-1.5130434782610223</v>
      </c>
      <c r="M264" s="89">
        <f>IF(G264="","",-0.5*((J264-Components!$C$4)/Components!$D$4)^2)</f>
        <v>-24064.313725490279</v>
      </c>
      <c r="N264" s="89">
        <f>IF(G264="","",-0.5*((J264-Components!$C$5)/Components!$D$5)^2)</f>
        <v>-199.26231568769748</v>
      </c>
      <c r="O264" s="89">
        <f>IF(G264="","",-0.5*((J264-Components!$C$6)/Components!$D$6)^2)</f>
        <v>-5525.2088064046757</v>
      </c>
      <c r="P264" s="89">
        <f>IF(G264="","",-0.5*((J264-Components!$C$7)/Components!$D$7)^2)</f>
        <v>-5703.6363721747957</v>
      </c>
      <c r="Q264" s="89">
        <f t="shared" si="30"/>
        <v>1</v>
      </c>
      <c r="R264" s="89">
        <f t="shared" si="31"/>
        <v>1.3139604071341086E-86</v>
      </c>
      <c r="S264" s="89">
        <f t="shared" si="32"/>
        <v>1</v>
      </c>
      <c r="T264" s="89" t="str">
        <f t="shared" si="33"/>
        <v>NG</v>
      </c>
      <c r="U264" s="117">
        <f t="shared" si="34"/>
        <v>1</v>
      </c>
      <c r="V264" s="89" t="str">
        <f>IF(G264="","",IF(T264="OK","NONE",INDEX({"S1","S2","W1","W2","N1","N2"},MATCH(MAX(K264:P264),K264:P264,0))))</f>
        <v>S2</v>
      </c>
      <c r="W264" s="117">
        <f t="shared" si="35"/>
        <v>1</v>
      </c>
      <c r="X264" s="114" t="str">
        <f t="shared" si="36"/>
        <v>CONFIDENT</v>
      </c>
      <c r="Y264" s="107"/>
    </row>
    <row r="265" spans="1:25">
      <c r="A265" s="115">
        <v>256</v>
      </c>
      <c r="B265" s="135">
        <f>'Runs Z-Score'!B258</f>
        <v>9</v>
      </c>
      <c r="C265" s="89" t="str">
        <f>'Runs Z-Score'!C258</f>
        <v>R4</v>
      </c>
      <c r="D265" s="89" t="str">
        <f>'Runs Z-Score'!D258</f>
        <v>NG</v>
      </c>
      <c r="E265" s="89" t="str">
        <f>'Runs Z-Score'!E258</f>
        <v>S2</v>
      </c>
      <c r="F265" s="89">
        <f>'Runs Z-Score'!F258</f>
        <v>4.87</v>
      </c>
      <c r="G265" s="89">
        <f t="shared" si="28"/>
        <v>5.84</v>
      </c>
      <c r="H265" s="89">
        <v>9.91</v>
      </c>
      <c r="I265" s="89">
        <f>VLOOKUP(C265,Recipes!$A$2:$N$4,12,FALSE())</f>
        <v>5.0137397426368718E-2</v>
      </c>
      <c r="J265" s="89">
        <f t="shared" si="29"/>
        <v>4.07</v>
      </c>
      <c r="K265" s="89">
        <f>IF(G265="","",-0.5*((J265-Components!$C$2)/Components!$D$2)^2)</f>
        <v>-19845.285087720233</v>
      </c>
      <c r="L265" s="89">
        <f>IF(G265="","",-0.5*((J265-Components!$C$3)/Components!$D$3)^2)</f>
        <v>-3.036594202898752</v>
      </c>
      <c r="M265" s="89">
        <f>IF(G265="","",-0.5*((J265-Components!$C$4)/Components!$D$4)^2)</f>
        <v>-24221.510784313803</v>
      </c>
      <c r="N265" s="89">
        <f>IF(G265="","",-0.5*((J265-Components!$C$5)/Components!$D$5)^2)</f>
        <v>-191.41296833454317</v>
      </c>
      <c r="O265" s="89">
        <f>IF(G265="","",-0.5*((J265-Components!$C$6)/Components!$D$6)^2)</f>
        <v>-5563.3223435225782</v>
      </c>
      <c r="P265" s="89">
        <f>IF(G265="","",-0.5*((J265-Components!$C$7)/Components!$D$7)^2)</f>
        <v>-5746.1900896807028</v>
      </c>
      <c r="Q265" s="89">
        <f t="shared" si="30"/>
        <v>1</v>
      </c>
      <c r="R265" s="89">
        <f t="shared" si="31"/>
        <v>1.545895716080797E-82</v>
      </c>
      <c r="S265" s="89">
        <f t="shared" si="32"/>
        <v>1</v>
      </c>
      <c r="T265" s="89" t="str">
        <f t="shared" si="33"/>
        <v>NG</v>
      </c>
      <c r="U265" s="117">
        <f t="shared" si="34"/>
        <v>1</v>
      </c>
      <c r="V265" s="89" t="str">
        <f>IF(G265="","",IF(T265="OK","NONE",INDEX({"S1","S2","W1","W2","N1","N2"},MATCH(MAX(K265:P265),K265:P265,0))))</f>
        <v>S2</v>
      </c>
      <c r="W265" s="117">
        <f t="shared" si="35"/>
        <v>1</v>
      </c>
      <c r="X265" s="114" t="str">
        <f t="shared" si="36"/>
        <v>CONFIDENT</v>
      </c>
      <c r="Y265" s="107"/>
    </row>
    <row r="266" spans="1:25">
      <c r="A266" s="115">
        <v>257</v>
      </c>
      <c r="B266" s="135">
        <f>'Runs Z-Score'!B259</f>
        <v>9</v>
      </c>
      <c r="C266" s="89" t="str">
        <f>'Runs Z-Score'!C259</f>
        <v>R4</v>
      </c>
      <c r="D266" s="89" t="str">
        <f>'Runs Z-Score'!D259</f>
        <v>NG</v>
      </c>
      <c r="E266" s="89" t="str">
        <f>'Runs Z-Score'!E259</f>
        <v>S2</v>
      </c>
      <c r="F266" s="89">
        <f>'Runs Z-Score'!F259</f>
        <v>4.91</v>
      </c>
      <c r="G266" s="89">
        <f t="shared" ref="G266:G329" si="37">0.97+F266</f>
        <v>5.88</v>
      </c>
      <c r="H266" s="89">
        <v>9.91</v>
      </c>
      <c r="I266" s="89">
        <f>VLOOKUP(C266,Recipes!$A$2:$N$4,12,FALSE())</f>
        <v>5.0137397426368718E-2</v>
      </c>
      <c r="J266" s="89">
        <f t="shared" si="29"/>
        <v>4.03</v>
      </c>
      <c r="K266" s="89">
        <f>IF(G266="","",-0.5*((J266-Components!$C$2)/Components!$D$2)^2)</f>
        <v>-18657.811403509651</v>
      </c>
      <c r="L266" s="89">
        <f>IF(G266="","",-0.5*((J266-Components!$C$3)/Components!$D$3)^2)</f>
        <v>-9.45652173912859E-2</v>
      </c>
      <c r="M266" s="89">
        <f>IF(G266="","",-0.5*((J266-Components!$C$4)/Components!$D$4)^2)</f>
        <v>-23595.793137254979</v>
      </c>
      <c r="N266" s="89">
        <f>IF(G266="","",-0.5*((J266-Components!$C$5)/Components!$D$5)^2)</f>
        <v>-223.75669567319437</v>
      </c>
      <c r="O266" s="89">
        <f>IF(G266="","",-0.5*((J266-Components!$C$6)/Components!$D$6)^2)</f>
        <v>-5411.6542212518352</v>
      </c>
      <c r="P266" s="89">
        <f>IF(G266="","",-0.5*((J266-Components!$C$7)/Components!$D$7)^2)</f>
        <v>-5576.9241380355461</v>
      </c>
      <c r="Q266" s="89">
        <f t="shared" si="30"/>
        <v>1</v>
      </c>
      <c r="R266" s="89">
        <f t="shared" si="31"/>
        <v>7.3243810835013461E-98</v>
      </c>
      <c r="S266" s="89">
        <f t="shared" si="32"/>
        <v>1</v>
      </c>
      <c r="T266" s="89" t="str">
        <f t="shared" si="33"/>
        <v>NG</v>
      </c>
      <c r="U266" s="117">
        <f t="shared" si="34"/>
        <v>1</v>
      </c>
      <c r="V266" s="89" t="str">
        <f>IF(G266="","",IF(T266="OK","NONE",INDEX({"S1","S2","W1","W2","N1","N2"},MATCH(MAX(K266:P266),K266:P266,0))))</f>
        <v>S2</v>
      </c>
      <c r="W266" s="117">
        <f t="shared" si="35"/>
        <v>1</v>
      </c>
      <c r="X266" s="114" t="str">
        <f t="shared" si="36"/>
        <v>CONFIDENT</v>
      </c>
      <c r="Y266" s="107"/>
    </row>
    <row r="267" spans="1:25">
      <c r="A267" s="115">
        <v>258</v>
      </c>
      <c r="B267" s="135">
        <f>'Runs Z-Score'!B260</f>
        <v>9</v>
      </c>
      <c r="C267" s="89" t="str">
        <f>'Runs Z-Score'!C260</f>
        <v>R4</v>
      </c>
      <c r="D267" s="89" t="str">
        <f>'Runs Z-Score'!D260</f>
        <v>NG</v>
      </c>
      <c r="E267" s="89" t="str">
        <f>'Runs Z-Score'!E260</f>
        <v>S2</v>
      </c>
      <c r="F267" s="89">
        <f>'Runs Z-Score'!F260</f>
        <v>4.67</v>
      </c>
      <c r="G267" s="89">
        <f t="shared" si="37"/>
        <v>5.64</v>
      </c>
      <c r="H267" s="89">
        <v>9.91</v>
      </c>
      <c r="I267" s="89">
        <f>VLOOKUP(C267,Recipes!$A$2:$N$4,12,FALSE())</f>
        <v>5.0137397426368718E-2</v>
      </c>
      <c r="J267" s="89">
        <f t="shared" ref="J267:J330" si="38">IF(G267="","",H267-G267)</f>
        <v>4.2700000000000005</v>
      </c>
      <c r="K267" s="89">
        <f>IF(G267="","",-0.5*((J267-Components!$C$2)/Components!$D$2)^2)</f>
        <v>-26332.12719298368</v>
      </c>
      <c r="L267" s="89">
        <f>IF(G267="","",-0.5*((J267-Components!$C$3)/Components!$D$3)^2)</f>
        <v>-143.83369565217862</v>
      </c>
      <c r="M267" s="89">
        <f>IF(G267="","",-0.5*((J267-Components!$C$4)/Components!$D$4)^2)</f>
        <v>-27472.922549019699</v>
      </c>
      <c r="N267" s="89">
        <f>IF(G267="","",-0.5*((J267-Components!$C$5)/Components!$D$5)^2)</f>
        <v>-67.547848682621265</v>
      </c>
      <c r="O267" s="89">
        <f>IF(G267="","",-0.5*((J267-Components!$C$6)/Components!$D$6)^2)</f>
        <v>-6353.1040029112291</v>
      </c>
      <c r="P267" s="89">
        <f>IF(G267="","",-0.5*((J267-Components!$C$7)/Components!$D$7)^2)</f>
        <v>-6630.4765830455508</v>
      </c>
      <c r="Q267" s="89">
        <f t="shared" ref="Q267:Q330" si="39">IF(G267="","",EXP(LARGE(K267:P267,1)-MAX(K267:P267))/(EXP(K267-MAX(K267:P267))+EXP(L267-MAX(K267:P267))+EXP(M267-MAX(K267:P267))+EXP(N267-MAX(K267:P267))+EXP(O267-MAX(K267:P267))+EXP(P267-MAX(K267:P267))))</f>
        <v>1</v>
      </c>
      <c r="R267" s="89">
        <f t="shared" ref="R267:R330" si="40">IF(G267="","",EXP(LARGE(K267:P267,2)-MAX(K267:P267))/(EXP(K267-MAX(K267:P267))+EXP(L267-MAX(K267:P267))+EXP(M267-MAX(K267:P267))+EXP(N267-MAX(K267:P267))+EXP(O267-MAX(K267:P267))+EXP(P267-MAX(K267:P267))))</f>
        <v>7.4041910073680756E-34</v>
      </c>
      <c r="S267" s="89">
        <f t="shared" ref="S267:S330" si="41">IF(G267="","",Q267-R267)</f>
        <v>1</v>
      </c>
      <c r="T267" s="89" t="str">
        <f t="shared" ref="T267:T330" si="42">IF(G267="","",IF(AND(G267&gt;=H267-$B$6*I267,G267&lt;=H267+$B$6*I267),"OK","NG"))</f>
        <v>NG</v>
      </c>
      <c r="U267" s="117">
        <f t="shared" ref="U267:U330" si="43">IF(T267="","",IF(T267=D267,1,0))</f>
        <v>1</v>
      </c>
      <c r="V267" s="89" t="str">
        <f>IF(G267="","",IF(T267="OK","NONE",INDEX({"S1","S2","W1","W2","N1","N2"},MATCH(MAX(K267:P267),K267:P267,0))))</f>
        <v>W2</v>
      </c>
      <c r="W267" s="122">
        <f t="shared" ref="W267:W330" si="44">IF(G267="","",IF(V267=E267,1,0))</f>
        <v>0</v>
      </c>
      <c r="X267" s="114" t="str">
        <f t="shared" ref="X267:X330" si="45">IF(G267="","",IF(AND(T267="NG",S267&lt;$B$7),"AMBIGUOUS","CONFIDENT"))</f>
        <v>CONFIDENT</v>
      </c>
      <c r="Y267" s="107"/>
    </row>
    <row r="268" spans="1:25">
      <c r="A268" s="115">
        <v>259</v>
      </c>
      <c r="B268" s="135">
        <f>'Runs Z-Score'!B261</f>
        <v>9</v>
      </c>
      <c r="C268" s="89" t="str">
        <f>'Runs Z-Score'!C261</f>
        <v>R4</v>
      </c>
      <c r="D268" s="89" t="str">
        <f>'Runs Z-Score'!D261</f>
        <v>NG</v>
      </c>
      <c r="E268" s="89" t="str">
        <f>'Runs Z-Score'!E261</f>
        <v>S2</v>
      </c>
      <c r="F268" s="89">
        <f>'Runs Z-Score'!F261</f>
        <v>4.8600000000000003</v>
      </c>
      <c r="G268" s="89">
        <f t="shared" si="37"/>
        <v>5.83</v>
      </c>
      <c r="H268" s="89">
        <v>9.91</v>
      </c>
      <c r="I268" s="89">
        <f>VLOOKUP(C268,Recipes!$A$2:$N$4,12,FALSE())</f>
        <v>5.0137397426368718E-2</v>
      </c>
      <c r="J268" s="89">
        <f t="shared" si="38"/>
        <v>4.08</v>
      </c>
      <c r="K268" s="89">
        <f>IF(G268="","",-0.5*((J268-Components!$C$2)/Components!$D$2)^2)</f>
        <v>-20147.8771929834</v>
      </c>
      <c r="L268" s="89">
        <f>IF(G268="","",-0.5*((J268-Components!$C$3)/Components!$D$3)^2)</f>
        <v>-5.0855072463770519</v>
      </c>
      <c r="M268" s="89">
        <f>IF(G268="","",-0.5*((J268-Components!$C$4)/Components!$D$4)^2)</f>
        <v>-24379.21960784321</v>
      </c>
      <c r="N268" s="89">
        <f>IF(G268="","",-0.5*((J268-Components!$C$5)/Components!$D$5)^2)</f>
        <v>-183.72134396906111</v>
      </c>
      <c r="O268" s="89">
        <f>IF(G268="","",-0.5*((J268-Components!$C$6)/Components!$D$6)^2)</f>
        <v>-5601.5668850072934</v>
      </c>
      <c r="P268" s="89">
        <f>IF(G268="","",-0.5*((J268-Components!$C$7)/Components!$D$7)^2)</f>
        <v>-5788.9019602496901</v>
      </c>
      <c r="Q268" s="89">
        <f t="shared" si="39"/>
        <v>1</v>
      </c>
      <c r="R268" s="89">
        <f t="shared" si="40"/>
        <v>2.626889721243853E-78</v>
      </c>
      <c r="S268" s="89">
        <f t="shared" si="41"/>
        <v>1</v>
      </c>
      <c r="T268" s="89" t="str">
        <f t="shared" si="42"/>
        <v>NG</v>
      </c>
      <c r="U268" s="117">
        <f t="shared" si="43"/>
        <v>1</v>
      </c>
      <c r="V268" s="89" t="str">
        <f>IF(G268="","",IF(T268="OK","NONE",INDEX({"S1","S2","W1","W2","N1","N2"},MATCH(MAX(K268:P268),K268:P268,0))))</f>
        <v>S2</v>
      </c>
      <c r="W268" s="117">
        <f t="shared" si="44"/>
        <v>1</v>
      </c>
      <c r="X268" s="114" t="str">
        <f t="shared" si="45"/>
        <v>CONFIDENT</v>
      </c>
      <c r="Y268" s="107"/>
    </row>
    <row r="269" spans="1:25">
      <c r="A269" s="115">
        <v>260</v>
      </c>
      <c r="B269" s="135">
        <f>'Runs Z-Score'!B262</f>
        <v>9</v>
      </c>
      <c r="C269" s="89" t="str">
        <f>'Runs Z-Score'!C262</f>
        <v>R4</v>
      </c>
      <c r="D269" s="89" t="str">
        <f>'Runs Z-Score'!D262</f>
        <v>NG</v>
      </c>
      <c r="E269" s="89" t="str">
        <f>'Runs Z-Score'!E262</f>
        <v>S2</v>
      </c>
      <c r="F269" s="89">
        <f>'Runs Z-Score'!F262</f>
        <v>4.75</v>
      </c>
      <c r="G269" s="89">
        <f t="shared" si="37"/>
        <v>5.72</v>
      </c>
      <c r="H269" s="89">
        <v>9.91</v>
      </c>
      <c r="I269" s="89">
        <f>VLOOKUP(C269,Recipes!$A$2:$N$4,12,FALSE())</f>
        <v>5.0137397426368718E-2</v>
      </c>
      <c r="J269" s="89">
        <f t="shared" si="38"/>
        <v>4.1900000000000004</v>
      </c>
      <c r="K269" s="89">
        <f>IF(G269="","",-0.5*((J269-Components!$C$2)/Components!$D$2)^2)</f>
        <v>-23627.49561403619</v>
      </c>
      <c r="L269" s="89">
        <f>IF(G269="","",-0.5*((J269-Components!$C$3)/Components!$D$3)^2)</f>
        <v>-62.297463768118156</v>
      </c>
      <c r="M269" s="89">
        <f>IF(G269="","",-0.5*((J269-Components!$C$4)/Components!$D$4)^2)</f>
        <v>-26147.79313725499</v>
      </c>
      <c r="N269" s="89">
        <f>IF(G269="","",-0.5*((J269-Components!$C$5)/Components!$D$5)^2)</f>
        <v>-109.52319313512322</v>
      </c>
      <c r="O269" s="89">
        <f>IF(G269="","",-0.5*((J269-Components!$C$6)/Components!$D$6)^2)</f>
        <v>-6030.9031295487821</v>
      </c>
      <c r="P269" s="89">
        <f>IF(G269="","",-0.5*((J269-Components!$C$7)/Components!$D$7)^2)</f>
        <v>-6269.1706386717979</v>
      </c>
      <c r="Q269" s="89">
        <f t="shared" si="39"/>
        <v>1</v>
      </c>
      <c r="R269" s="89">
        <f t="shared" si="40"/>
        <v>3.0911945002464335E-21</v>
      </c>
      <c r="S269" s="89">
        <f t="shared" si="41"/>
        <v>1</v>
      </c>
      <c r="T269" s="89" t="str">
        <f t="shared" si="42"/>
        <v>NG</v>
      </c>
      <c r="U269" s="117">
        <f t="shared" si="43"/>
        <v>1</v>
      </c>
      <c r="V269" s="89" t="str">
        <f>IF(G269="","",IF(T269="OK","NONE",INDEX({"S1","S2","W1","W2","N1","N2"},MATCH(MAX(K269:P269),K269:P269,0))))</f>
        <v>S2</v>
      </c>
      <c r="W269" s="117">
        <f t="shared" si="44"/>
        <v>1</v>
      </c>
      <c r="X269" s="114" t="str">
        <f t="shared" si="45"/>
        <v>CONFIDENT</v>
      </c>
      <c r="Y269" s="107"/>
    </row>
    <row r="270" spans="1:25">
      <c r="A270" s="115">
        <v>261</v>
      </c>
      <c r="B270" s="135">
        <f>'Runs Z-Score'!B263</f>
        <v>9</v>
      </c>
      <c r="C270" s="89" t="str">
        <f>'Runs Z-Score'!C263</f>
        <v>R4</v>
      </c>
      <c r="D270" s="89" t="str">
        <f>'Runs Z-Score'!D263</f>
        <v>NG</v>
      </c>
      <c r="E270" s="89" t="str">
        <f>'Runs Z-Score'!E263</f>
        <v>S2</v>
      </c>
      <c r="F270" s="89">
        <f>'Runs Z-Score'!F263</f>
        <v>4.91</v>
      </c>
      <c r="G270" s="89">
        <f t="shared" si="37"/>
        <v>5.88</v>
      </c>
      <c r="H270" s="89">
        <v>9.91</v>
      </c>
      <c r="I270" s="89">
        <f>VLOOKUP(C270,Recipes!$A$2:$N$4,12,FALSE())</f>
        <v>5.0137397426368718E-2</v>
      </c>
      <c r="J270" s="89">
        <f t="shared" si="38"/>
        <v>4.03</v>
      </c>
      <c r="K270" s="89">
        <f>IF(G270="","",-0.5*((J270-Components!$C$2)/Components!$D$2)^2)</f>
        <v>-18657.811403509651</v>
      </c>
      <c r="L270" s="89">
        <f>IF(G270="","",-0.5*((J270-Components!$C$3)/Components!$D$3)^2)</f>
        <v>-9.45652173912859E-2</v>
      </c>
      <c r="M270" s="89">
        <f>IF(G270="","",-0.5*((J270-Components!$C$4)/Components!$D$4)^2)</f>
        <v>-23595.793137254979</v>
      </c>
      <c r="N270" s="89">
        <f>IF(G270="","",-0.5*((J270-Components!$C$5)/Components!$D$5)^2)</f>
        <v>-223.75669567319437</v>
      </c>
      <c r="O270" s="89">
        <f>IF(G270="","",-0.5*((J270-Components!$C$6)/Components!$D$6)^2)</f>
        <v>-5411.6542212518352</v>
      </c>
      <c r="P270" s="89">
        <f>IF(G270="","",-0.5*((J270-Components!$C$7)/Components!$D$7)^2)</f>
        <v>-5576.9241380355461</v>
      </c>
      <c r="Q270" s="89">
        <f t="shared" si="39"/>
        <v>1</v>
      </c>
      <c r="R270" s="89">
        <f t="shared" si="40"/>
        <v>7.3243810835013461E-98</v>
      </c>
      <c r="S270" s="89">
        <f t="shared" si="41"/>
        <v>1</v>
      </c>
      <c r="T270" s="89" t="str">
        <f t="shared" si="42"/>
        <v>NG</v>
      </c>
      <c r="U270" s="117">
        <f t="shared" si="43"/>
        <v>1</v>
      </c>
      <c r="V270" s="89" t="str">
        <f>IF(G270="","",IF(T270="OK","NONE",INDEX({"S1","S2","W1","W2","N1","N2"},MATCH(MAX(K270:P270),K270:P270,0))))</f>
        <v>S2</v>
      </c>
      <c r="W270" s="117">
        <f t="shared" si="44"/>
        <v>1</v>
      </c>
      <c r="X270" s="114" t="str">
        <f t="shared" si="45"/>
        <v>CONFIDENT</v>
      </c>
      <c r="Y270" s="107"/>
    </row>
    <row r="271" spans="1:25">
      <c r="A271" s="115">
        <v>262</v>
      </c>
      <c r="B271" s="135">
        <f>'Runs Z-Score'!B264</f>
        <v>9</v>
      </c>
      <c r="C271" s="89" t="str">
        <f>'Runs Z-Score'!C264</f>
        <v>R4</v>
      </c>
      <c r="D271" s="89" t="str">
        <f>'Runs Z-Score'!D264</f>
        <v>NG</v>
      </c>
      <c r="E271" s="89" t="str">
        <f>'Runs Z-Score'!E264</f>
        <v>S2</v>
      </c>
      <c r="F271" s="89">
        <f>'Runs Z-Score'!F264</f>
        <v>4.82</v>
      </c>
      <c r="G271" s="89">
        <f t="shared" si="37"/>
        <v>5.79</v>
      </c>
      <c r="H271" s="89">
        <v>9.91</v>
      </c>
      <c r="I271" s="89">
        <f>VLOOKUP(C271,Recipes!$A$2:$N$4,12,FALSE())</f>
        <v>5.0137397426368718E-2</v>
      </c>
      <c r="J271" s="89">
        <f t="shared" si="38"/>
        <v>4.12</v>
      </c>
      <c r="K271" s="89">
        <f>IF(G271="","",-0.5*((J271-Components!$C$2)/Components!$D$2)^2)</f>
        <v>-21381.140350878191</v>
      </c>
      <c r="L271" s="89">
        <f>IF(G271="","",-0.5*((J271-Components!$C$3)/Components!$D$3)^2)</f>
        <v>-18.534782608696347</v>
      </c>
      <c r="M271" s="89">
        <f>IF(G271="","",-0.5*((J271-Components!$C$4)/Components!$D$4)^2)</f>
        <v>-25015.172549019688</v>
      </c>
      <c r="N271" s="89">
        <f>IF(G271="","",-0.5*((J271-Components!$C$5)/Components!$D$5)^2)</f>
        <v>-154.53207638385442</v>
      </c>
      <c r="O271" s="89">
        <f>IF(G271="","",-0.5*((J271-Components!$C$6)/Components!$D$6)^2)</f>
        <v>-5755.8550946142814</v>
      </c>
      <c r="P271" s="89">
        <f>IF(G271="","",-0.5*((J271-Components!$C$7)/Components!$D$7)^2)</f>
        <v>-5961.3309731564341</v>
      </c>
      <c r="Q271" s="89">
        <f t="shared" si="39"/>
        <v>1</v>
      </c>
      <c r="R271" s="89">
        <f t="shared" si="40"/>
        <v>8.6521842583615539E-60</v>
      </c>
      <c r="S271" s="89">
        <f t="shared" si="41"/>
        <v>1</v>
      </c>
      <c r="T271" s="89" t="str">
        <f t="shared" si="42"/>
        <v>NG</v>
      </c>
      <c r="U271" s="117">
        <f t="shared" si="43"/>
        <v>1</v>
      </c>
      <c r="V271" s="89" t="str">
        <f>IF(G271="","",IF(T271="OK","NONE",INDEX({"S1","S2","W1","W2","N1","N2"},MATCH(MAX(K271:P271),K271:P271,0))))</f>
        <v>S2</v>
      </c>
      <c r="W271" s="117">
        <f t="shared" si="44"/>
        <v>1</v>
      </c>
      <c r="X271" s="114" t="str">
        <f t="shared" si="45"/>
        <v>CONFIDENT</v>
      </c>
      <c r="Y271" s="107"/>
    </row>
    <row r="272" spans="1:25">
      <c r="A272" s="115">
        <v>263</v>
      </c>
      <c r="B272" s="135">
        <f>'Runs Z-Score'!B265</f>
        <v>9</v>
      </c>
      <c r="C272" s="89" t="str">
        <f>'Runs Z-Score'!C265</f>
        <v>R4</v>
      </c>
      <c r="D272" s="89" t="str">
        <f>'Runs Z-Score'!D265</f>
        <v>NG</v>
      </c>
      <c r="E272" s="89" t="str">
        <f>'Runs Z-Score'!E265</f>
        <v>S2</v>
      </c>
      <c r="F272" s="89">
        <f>'Runs Z-Score'!F265</f>
        <v>4.83</v>
      </c>
      <c r="G272" s="89">
        <f t="shared" si="37"/>
        <v>5.8</v>
      </c>
      <c r="H272" s="89">
        <v>9.91</v>
      </c>
      <c r="I272" s="89">
        <f>VLOOKUP(C272,Recipes!$A$2:$N$4,12,FALSE())</f>
        <v>5.0137397426368718E-2</v>
      </c>
      <c r="J272" s="89">
        <f t="shared" si="38"/>
        <v>4.1100000000000003</v>
      </c>
      <c r="K272" s="89">
        <f>IF(G272="","",-0.5*((J272-Components!$C$2)/Components!$D$2)^2)</f>
        <v>-21069.39035087818</v>
      </c>
      <c r="L272" s="89">
        <f>IF(G272="","",-0.5*((J272-Components!$C$3)/Components!$D$3)^2)</f>
        <v>-14.38442028985572</v>
      </c>
      <c r="M272" s="89">
        <f>IF(G272="","",-0.5*((J272-Components!$C$4)/Components!$D$4)^2)</f>
        <v>-24855.416666666748</v>
      </c>
      <c r="N272" s="89">
        <f>IF(G272="","",-0.5*((J272-Components!$C$5)/Components!$D$5)^2)</f>
        <v>-161.59280879864761</v>
      </c>
      <c r="O272" s="89">
        <f>IF(G272="","",-0.5*((J272-Components!$C$6)/Components!$D$6)^2)</f>
        <v>-5717.0865356623171</v>
      </c>
      <c r="P272" s="89">
        <f>IF(G272="","",-0.5*((J272-Components!$C$7)/Components!$D$7)^2)</f>
        <v>-5917.9864903351299</v>
      </c>
      <c r="Q272" s="89">
        <f t="shared" si="39"/>
        <v>1</v>
      </c>
      <c r="R272" s="89">
        <f t="shared" si="40"/>
        <v>1.1700628236869246E-64</v>
      </c>
      <c r="S272" s="89">
        <f t="shared" si="41"/>
        <v>1</v>
      </c>
      <c r="T272" s="89" t="str">
        <f t="shared" si="42"/>
        <v>NG</v>
      </c>
      <c r="U272" s="117">
        <f t="shared" si="43"/>
        <v>1</v>
      </c>
      <c r="V272" s="89" t="str">
        <f>IF(G272="","",IF(T272="OK","NONE",INDEX({"S1","S2","W1","W2","N1","N2"},MATCH(MAX(K272:P272),K272:P272,0))))</f>
        <v>S2</v>
      </c>
      <c r="W272" s="117">
        <f t="shared" si="44"/>
        <v>1</v>
      </c>
      <c r="X272" s="114" t="str">
        <f t="shared" si="45"/>
        <v>CONFIDENT</v>
      </c>
      <c r="Y272" s="107"/>
    </row>
    <row r="273" spans="1:25">
      <c r="A273" s="115">
        <v>264</v>
      </c>
      <c r="B273" s="135">
        <f>'Runs Z-Score'!B266</f>
        <v>9</v>
      </c>
      <c r="C273" s="89" t="str">
        <f>'Runs Z-Score'!C266</f>
        <v>R4</v>
      </c>
      <c r="D273" s="89" t="str">
        <f>'Runs Z-Score'!D266</f>
        <v>NG</v>
      </c>
      <c r="E273" s="89" t="str">
        <f>'Runs Z-Score'!E266</f>
        <v>S2</v>
      </c>
      <c r="F273" s="89">
        <f>'Runs Z-Score'!F266</f>
        <v>4.78</v>
      </c>
      <c r="G273" s="89">
        <f t="shared" si="37"/>
        <v>5.75</v>
      </c>
      <c r="H273" s="89">
        <v>9.91</v>
      </c>
      <c r="I273" s="89">
        <f>VLOOKUP(C273,Recipes!$A$2:$N$4,12,FALSE())</f>
        <v>5.0137397426368718E-2</v>
      </c>
      <c r="J273" s="89">
        <f t="shared" si="38"/>
        <v>4.16</v>
      </c>
      <c r="K273" s="89">
        <f>IF(G273="","",-0.5*((J273-Components!$C$2)/Components!$D$2)^2)</f>
        <v>-22651.035087720353</v>
      </c>
      <c r="L273" s="89">
        <f>IF(G273="","",-0.5*((J273-Components!$C$3)/Components!$D$3)^2)</f>
        <v>-40.389855072465153</v>
      </c>
      <c r="M273" s="89">
        <f>IF(G273="","",-0.5*((J273-Components!$C$4)/Components!$D$4)^2)</f>
        <v>-25659.313725490279</v>
      </c>
      <c r="N273" s="89">
        <f>IF(G273="","",-0.5*((J273-Components!$C$5)/Components!$D$5)^2)</f>
        <v>-127.86637660140332</v>
      </c>
      <c r="O273" s="89">
        <f>IF(G273="","",-0.5*((J273-Components!$C$6)/Components!$D$6)^2)</f>
        <v>-5912.2393740902644</v>
      </c>
      <c r="P273" s="89">
        <f>IF(G273="","",-0.5*((J273-Components!$C$7)/Components!$D$7)^2)</f>
        <v>-6136.2904350724521</v>
      </c>
      <c r="Q273" s="89">
        <f t="shared" si="39"/>
        <v>1</v>
      </c>
      <c r="R273" s="89">
        <f t="shared" si="40"/>
        <v>1.021949425592645E-38</v>
      </c>
      <c r="S273" s="89">
        <f t="shared" si="41"/>
        <v>1</v>
      </c>
      <c r="T273" s="89" t="str">
        <f t="shared" si="42"/>
        <v>NG</v>
      </c>
      <c r="U273" s="117">
        <f t="shared" si="43"/>
        <v>1</v>
      </c>
      <c r="V273" s="89" t="str">
        <f>IF(G273="","",IF(T273="OK","NONE",INDEX({"S1","S2","W1","W2","N1","N2"},MATCH(MAX(K273:P273),K273:P273,0))))</f>
        <v>S2</v>
      </c>
      <c r="W273" s="117">
        <f t="shared" si="44"/>
        <v>1</v>
      </c>
      <c r="X273" s="114" t="str">
        <f t="shared" si="45"/>
        <v>CONFIDENT</v>
      </c>
      <c r="Y273" s="107"/>
    </row>
    <row r="274" spans="1:25">
      <c r="A274" s="115">
        <v>265</v>
      </c>
      <c r="B274" s="135">
        <f>'Runs Z-Score'!B267</f>
        <v>9</v>
      </c>
      <c r="C274" s="89" t="str">
        <f>'Runs Z-Score'!C267</f>
        <v>R4</v>
      </c>
      <c r="D274" s="89" t="str">
        <f>'Runs Z-Score'!D267</f>
        <v>NG</v>
      </c>
      <c r="E274" s="89" t="str">
        <f>'Runs Z-Score'!E267</f>
        <v>S2</v>
      </c>
      <c r="F274" s="89">
        <f>'Runs Z-Score'!F267</f>
        <v>4.88</v>
      </c>
      <c r="G274" s="89">
        <f t="shared" si="37"/>
        <v>5.85</v>
      </c>
      <c r="H274" s="89">
        <v>9.91</v>
      </c>
      <c r="I274" s="89">
        <f>VLOOKUP(C274,Recipes!$A$2:$N$4,12,FALSE())</f>
        <v>5.0137397426368718E-2</v>
      </c>
      <c r="J274" s="89">
        <f t="shared" si="38"/>
        <v>4.0600000000000005</v>
      </c>
      <c r="K274" s="89">
        <f>IF(G274="","",-0.5*((J274-Components!$C$2)/Components!$D$2)^2)</f>
        <v>-19544.982456141279</v>
      </c>
      <c r="L274" s="89">
        <f>IF(G274="","",-0.5*((J274-Components!$C$3)/Components!$D$3)^2)</f>
        <v>-1.5130434782610223</v>
      </c>
      <c r="M274" s="89">
        <f>IF(G274="","",-0.5*((J274-Components!$C$4)/Components!$D$4)^2)</f>
        <v>-24064.313725490279</v>
      </c>
      <c r="N274" s="89">
        <f>IF(G274="","",-0.5*((J274-Components!$C$5)/Components!$D$5)^2)</f>
        <v>-199.26231568769748</v>
      </c>
      <c r="O274" s="89">
        <f>IF(G274="","",-0.5*((J274-Components!$C$6)/Components!$D$6)^2)</f>
        <v>-5525.2088064046757</v>
      </c>
      <c r="P274" s="89">
        <f>IF(G274="","",-0.5*((J274-Components!$C$7)/Components!$D$7)^2)</f>
        <v>-5703.6363721747957</v>
      </c>
      <c r="Q274" s="89">
        <f t="shared" si="39"/>
        <v>1</v>
      </c>
      <c r="R274" s="89">
        <f t="shared" si="40"/>
        <v>1.3139604071341086E-86</v>
      </c>
      <c r="S274" s="89">
        <f t="shared" si="41"/>
        <v>1</v>
      </c>
      <c r="T274" s="89" t="str">
        <f t="shared" si="42"/>
        <v>NG</v>
      </c>
      <c r="U274" s="117">
        <f t="shared" si="43"/>
        <v>1</v>
      </c>
      <c r="V274" s="89" t="str">
        <f>IF(G274="","",IF(T274="OK","NONE",INDEX({"S1","S2","W1","W2","N1","N2"},MATCH(MAX(K274:P274),K274:P274,0))))</f>
        <v>S2</v>
      </c>
      <c r="W274" s="117">
        <f t="shared" si="44"/>
        <v>1</v>
      </c>
      <c r="X274" s="114" t="str">
        <f t="shared" si="45"/>
        <v>CONFIDENT</v>
      </c>
      <c r="Y274" s="107"/>
    </row>
    <row r="275" spans="1:25">
      <c r="A275" s="115">
        <v>266</v>
      </c>
      <c r="B275" s="135">
        <f>'Runs Z-Score'!B268</f>
        <v>9</v>
      </c>
      <c r="C275" s="89" t="str">
        <f>'Runs Z-Score'!C268</f>
        <v>R4</v>
      </c>
      <c r="D275" s="89" t="str">
        <f>'Runs Z-Score'!D268</f>
        <v>NG</v>
      </c>
      <c r="E275" s="89" t="str">
        <f>'Runs Z-Score'!E268</f>
        <v>S2</v>
      </c>
      <c r="F275" s="89">
        <f>'Runs Z-Score'!F268</f>
        <v>4.91</v>
      </c>
      <c r="G275" s="89">
        <f t="shared" si="37"/>
        <v>5.88</v>
      </c>
      <c r="H275" s="89">
        <v>9.91</v>
      </c>
      <c r="I275" s="89">
        <f>VLOOKUP(C275,Recipes!$A$2:$N$4,12,FALSE())</f>
        <v>5.0137397426368718E-2</v>
      </c>
      <c r="J275" s="89">
        <f t="shared" si="38"/>
        <v>4.03</v>
      </c>
      <c r="K275" s="89">
        <f>IF(G275="","",-0.5*((J275-Components!$C$2)/Components!$D$2)^2)</f>
        <v>-18657.811403509651</v>
      </c>
      <c r="L275" s="89">
        <f>IF(G275="","",-0.5*((J275-Components!$C$3)/Components!$D$3)^2)</f>
        <v>-9.45652173912859E-2</v>
      </c>
      <c r="M275" s="89">
        <f>IF(G275="","",-0.5*((J275-Components!$C$4)/Components!$D$4)^2)</f>
        <v>-23595.793137254979</v>
      </c>
      <c r="N275" s="89">
        <f>IF(G275="","",-0.5*((J275-Components!$C$5)/Components!$D$5)^2)</f>
        <v>-223.75669567319437</v>
      </c>
      <c r="O275" s="89">
        <f>IF(G275="","",-0.5*((J275-Components!$C$6)/Components!$D$6)^2)</f>
        <v>-5411.6542212518352</v>
      </c>
      <c r="P275" s="89">
        <f>IF(G275="","",-0.5*((J275-Components!$C$7)/Components!$D$7)^2)</f>
        <v>-5576.9241380355461</v>
      </c>
      <c r="Q275" s="89">
        <f t="shared" si="39"/>
        <v>1</v>
      </c>
      <c r="R275" s="89">
        <f t="shared" si="40"/>
        <v>7.3243810835013461E-98</v>
      </c>
      <c r="S275" s="89">
        <f t="shared" si="41"/>
        <v>1</v>
      </c>
      <c r="T275" s="89" t="str">
        <f t="shared" si="42"/>
        <v>NG</v>
      </c>
      <c r="U275" s="117">
        <f t="shared" si="43"/>
        <v>1</v>
      </c>
      <c r="V275" s="89" t="str">
        <f>IF(G275="","",IF(T275="OK","NONE",INDEX({"S1","S2","W1","W2","N1","N2"},MATCH(MAX(K275:P275),K275:P275,0))))</f>
        <v>S2</v>
      </c>
      <c r="W275" s="117">
        <f t="shared" si="44"/>
        <v>1</v>
      </c>
      <c r="X275" s="114" t="str">
        <f t="shared" si="45"/>
        <v>CONFIDENT</v>
      </c>
      <c r="Y275" s="107"/>
    </row>
    <row r="276" spans="1:25">
      <c r="A276" s="115">
        <v>267</v>
      </c>
      <c r="B276" s="135">
        <f>'Runs Z-Score'!B269</f>
        <v>9</v>
      </c>
      <c r="C276" s="89" t="str">
        <f>'Runs Z-Score'!C269</f>
        <v>R4</v>
      </c>
      <c r="D276" s="89" t="str">
        <f>'Runs Z-Score'!D269</f>
        <v>NG</v>
      </c>
      <c r="E276" s="89" t="str">
        <f>'Runs Z-Score'!E269</f>
        <v>S2</v>
      </c>
      <c r="F276" s="89">
        <f>'Runs Z-Score'!F269</f>
        <v>4.8899999999999997</v>
      </c>
      <c r="G276" s="89">
        <f t="shared" si="37"/>
        <v>5.8599999999999994</v>
      </c>
      <c r="H276" s="89">
        <v>9.91</v>
      </c>
      <c r="I276" s="89">
        <f>VLOOKUP(C276,Recipes!$A$2:$N$4,12,FALSE())</f>
        <v>5.0137397426368718E-2</v>
      </c>
      <c r="J276" s="89">
        <f t="shared" si="38"/>
        <v>4.0500000000000007</v>
      </c>
      <c r="K276" s="89">
        <f>IF(G276="","",-0.5*((J276-Components!$C$2)/Components!$D$2)^2)</f>
        <v>-19246.969298246535</v>
      </c>
      <c r="L276" s="89">
        <f>IF(G276="","",-0.5*((J276-Components!$C$3)/Components!$D$3)^2)</f>
        <v>-0.51485507246386375</v>
      </c>
      <c r="M276" s="89">
        <f>IF(G276="","",-0.5*((J276-Components!$C$4)/Components!$D$4)^2)</f>
        <v>-23907.628431372636</v>
      </c>
      <c r="N276" s="89">
        <f>IF(G276="","",-0.5*((J276-Components!$C$5)/Components!$D$5)^2)</f>
        <v>-207.269386028524</v>
      </c>
      <c r="O276" s="89">
        <f>IF(G276="","",-0.5*((J276-Components!$C$6)/Components!$D$6)^2)</f>
        <v>-5487.2262736535849</v>
      </c>
      <c r="P276" s="89">
        <f>IF(G276="","",-0.5*((J276-Components!$C$7)/Components!$D$7)^2)</f>
        <v>-5661.2408077319678</v>
      </c>
      <c r="Q276" s="89">
        <f t="shared" si="39"/>
        <v>1</v>
      </c>
      <c r="R276" s="89">
        <f t="shared" si="40"/>
        <v>1.6130509946089107E-90</v>
      </c>
      <c r="S276" s="89">
        <f t="shared" si="41"/>
        <v>1</v>
      </c>
      <c r="T276" s="89" t="str">
        <f t="shared" si="42"/>
        <v>NG</v>
      </c>
      <c r="U276" s="117">
        <f t="shared" si="43"/>
        <v>1</v>
      </c>
      <c r="V276" s="89" t="str">
        <f>IF(G276="","",IF(T276="OK","NONE",INDEX({"S1","S2","W1","W2","N1","N2"},MATCH(MAX(K276:P276),K276:P276,0))))</f>
        <v>S2</v>
      </c>
      <c r="W276" s="117">
        <f t="shared" si="44"/>
        <v>1</v>
      </c>
      <c r="X276" s="114" t="str">
        <f t="shared" si="45"/>
        <v>CONFIDENT</v>
      </c>
      <c r="Y276" s="107"/>
    </row>
    <row r="277" spans="1:25">
      <c r="A277" s="115">
        <v>268</v>
      </c>
      <c r="B277" s="135">
        <f>'Runs Z-Score'!B270</f>
        <v>9</v>
      </c>
      <c r="C277" s="89" t="str">
        <f>'Runs Z-Score'!C270</f>
        <v>R4</v>
      </c>
      <c r="D277" s="89" t="str">
        <f>'Runs Z-Score'!D270</f>
        <v>NG</v>
      </c>
      <c r="E277" s="89" t="str">
        <f>'Runs Z-Score'!E270</f>
        <v>S2</v>
      </c>
      <c r="F277" s="89">
        <f>'Runs Z-Score'!F270</f>
        <v>4.8899999999999997</v>
      </c>
      <c r="G277" s="89">
        <f t="shared" si="37"/>
        <v>5.8599999999999994</v>
      </c>
      <c r="H277" s="89">
        <v>9.91</v>
      </c>
      <c r="I277" s="89">
        <f>VLOOKUP(C277,Recipes!$A$2:$N$4,12,FALSE())</f>
        <v>5.0137397426368718E-2</v>
      </c>
      <c r="J277" s="89">
        <f t="shared" si="38"/>
        <v>4.0500000000000007</v>
      </c>
      <c r="K277" s="89">
        <f>IF(G277="","",-0.5*((J277-Components!$C$2)/Components!$D$2)^2)</f>
        <v>-19246.969298246535</v>
      </c>
      <c r="L277" s="89">
        <f>IF(G277="","",-0.5*((J277-Components!$C$3)/Components!$D$3)^2)</f>
        <v>-0.51485507246386375</v>
      </c>
      <c r="M277" s="89">
        <f>IF(G277="","",-0.5*((J277-Components!$C$4)/Components!$D$4)^2)</f>
        <v>-23907.628431372636</v>
      </c>
      <c r="N277" s="89">
        <f>IF(G277="","",-0.5*((J277-Components!$C$5)/Components!$D$5)^2)</f>
        <v>-207.269386028524</v>
      </c>
      <c r="O277" s="89">
        <f>IF(G277="","",-0.5*((J277-Components!$C$6)/Components!$D$6)^2)</f>
        <v>-5487.2262736535849</v>
      </c>
      <c r="P277" s="89">
        <f>IF(G277="","",-0.5*((J277-Components!$C$7)/Components!$D$7)^2)</f>
        <v>-5661.2408077319678</v>
      </c>
      <c r="Q277" s="89">
        <f t="shared" si="39"/>
        <v>1</v>
      </c>
      <c r="R277" s="89">
        <f t="shared" si="40"/>
        <v>1.6130509946089107E-90</v>
      </c>
      <c r="S277" s="89">
        <f t="shared" si="41"/>
        <v>1</v>
      </c>
      <c r="T277" s="89" t="str">
        <f t="shared" si="42"/>
        <v>NG</v>
      </c>
      <c r="U277" s="117">
        <f t="shared" si="43"/>
        <v>1</v>
      </c>
      <c r="V277" s="89" t="str">
        <f>IF(G277="","",IF(T277="OK","NONE",INDEX({"S1","S2","W1","W2","N1","N2"},MATCH(MAX(K277:P277),K277:P277,0))))</f>
        <v>S2</v>
      </c>
      <c r="W277" s="117">
        <f t="shared" si="44"/>
        <v>1</v>
      </c>
      <c r="X277" s="114" t="str">
        <f t="shared" si="45"/>
        <v>CONFIDENT</v>
      </c>
      <c r="Y277" s="107"/>
    </row>
    <row r="278" spans="1:25">
      <c r="A278" s="115">
        <v>269</v>
      </c>
      <c r="B278" s="135">
        <f>'Runs Z-Score'!B271</f>
        <v>9</v>
      </c>
      <c r="C278" s="89" t="str">
        <f>'Runs Z-Score'!C271</f>
        <v>R4</v>
      </c>
      <c r="D278" s="89" t="str">
        <f>'Runs Z-Score'!D271</f>
        <v>NG</v>
      </c>
      <c r="E278" s="89" t="str">
        <f>'Runs Z-Score'!E271</f>
        <v>S2</v>
      </c>
      <c r="F278" s="89">
        <f>'Runs Z-Score'!F271</f>
        <v>4.9000000000000004</v>
      </c>
      <c r="G278" s="89">
        <f t="shared" si="37"/>
        <v>5.87</v>
      </c>
      <c r="H278" s="89">
        <v>9.91</v>
      </c>
      <c r="I278" s="89">
        <f>VLOOKUP(C278,Recipes!$A$2:$N$4,12,FALSE())</f>
        <v>5.0137397426368718E-2</v>
      </c>
      <c r="J278" s="89">
        <f t="shared" si="38"/>
        <v>4.04</v>
      </c>
      <c r="K278" s="89">
        <f>IF(G278="","",-0.5*((J278-Components!$C$2)/Components!$D$2)^2)</f>
        <v>-18951.245614035975</v>
      </c>
      <c r="L278" s="89">
        <f>IF(G278="","",-0.5*((J278-Components!$C$3)/Components!$D$3)^2)</f>
        <v>-4.2028985507256852E-2</v>
      </c>
      <c r="M278" s="89">
        <f>IF(G278="","",-0.5*((J278-Components!$C$4)/Components!$D$4)^2)</f>
        <v>-23751.454901960857</v>
      </c>
      <c r="N278" s="89">
        <f>IF(G278="","",-0.5*((J278-Components!$C$5)/Components!$D$5)^2)</f>
        <v>-215.4341793570234</v>
      </c>
      <c r="O278" s="89">
        <f>IF(G278="","",-0.5*((J278-Components!$C$6)/Components!$D$6)^2)</f>
        <v>-5449.3747452693015</v>
      </c>
      <c r="P278" s="89">
        <f>IF(G278="","",-0.5*((J278-Components!$C$7)/Components!$D$7)^2)</f>
        <v>-5619.0033963522146</v>
      </c>
      <c r="Q278" s="89">
        <f t="shared" si="39"/>
        <v>1</v>
      </c>
      <c r="R278" s="89">
        <f t="shared" si="40"/>
        <v>2.8600764919870975E-94</v>
      </c>
      <c r="S278" s="89">
        <f t="shared" si="41"/>
        <v>1</v>
      </c>
      <c r="T278" s="89" t="str">
        <f t="shared" si="42"/>
        <v>NG</v>
      </c>
      <c r="U278" s="117">
        <f t="shared" si="43"/>
        <v>1</v>
      </c>
      <c r="V278" s="89" t="str">
        <f>IF(G278="","",IF(T278="OK","NONE",INDEX({"S1","S2","W1","W2","N1","N2"},MATCH(MAX(K278:P278),K278:P278,0))))</f>
        <v>S2</v>
      </c>
      <c r="W278" s="117">
        <f t="shared" si="44"/>
        <v>1</v>
      </c>
      <c r="X278" s="114" t="str">
        <f t="shared" si="45"/>
        <v>CONFIDENT</v>
      </c>
      <c r="Y278" s="107"/>
    </row>
    <row r="279" spans="1:25">
      <c r="A279" s="115">
        <v>270</v>
      </c>
      <c r="B279" s="135">
        <f>'Runs Z-Score'!B272</f>
        <v>9</v>
      </c>
      <c r="C279" s="89" t="str">
        <f>'Runs Z-Score'!C272</f>
        <v>R4</v>
      </c>
      <c r="D279" s="89" t="str">
        <f>'Runs Z-Score'!D272</f>
        <v>NG</v>
      </c>
      <c r="E279" s="89" t="str">
        <f>'Runs Z-Score'!E272</f>
        <v>S2</v>
      </c>
      <c r="F279" s="89">
        <f>'Runs Z-Score'!F272</f>
        <v>4.91</v>
      </c>
      <c r="G279" s="89">
        <f t="shared" si="37"/>
        <v>5.88</v>
      </c>
      <c r="H279" s="89">
        <v>9.91</v>
      </c>
      <c r="I279" s="89">
        <f>VLOOKUP(C279,Recipes!$A$2:$N$4,12,FALSE())</f>
        <v>5.0137397426368718E-2</v>
      </c>
      <c r="J279" s="89">
        <f t="shared" si="38"/>
        <v>4.03</v>
      </c>
      <c r="K279" s="89">
        <f>IF(G279="","",-0.5*((J279-Components!$C$2)/Components!$D$2)^2)</f>
        <v>-18657.811403509651</v>
      </c>
      <c r="L279" s="89">
        <f>IF(G279="","",-0.5*((J279-Components!$C$3)/Components!$D$3)^2)</f>
        <v>-9.45652173912859E-2</v>
      </c>
      <c r="M279" s="89">
        <f>IF(G279="","",-0.5*((J279-Components!$C$4)/Components!$D$4)^2)</f>
        <v>-23595.793137254979</v>
      </c>
      <c r="N279" s="89">
        <f>IF(G279="","",-0.5*((J279-Components!$C$5)/Components!$D$5)^2)</f>
        <v>-223.75669567319437</v>
      </c>
      <c r="O279" s="89">
        <f>IF(G279="","",-0.5*((J279-Components!$C$6)/Components!$D$6)^2)</f>
        <v>-5411.6542212518352</v>
      </c>
      <c r="P279" s="89">
        <f>IF(G279="","",-0.5*((J279-Components!$C$7)/Components!$D$7)^2)</f>
        <v>-5576.9241380355461</v>
      </c>
      <c r="Q279" s="89">
        <f t="shared" si="39"/>
        <v>1</v>
      </c>
      <c r="R279" s="89">
        <f t="shared" si="40"/>
        <v>7.3243810835013461E-98</v>
      </c>
      <c r="S279" s="89">
        <f t="shared" si="41"/>
        <v>1</v>
      </c>
      <c r="T279" s="89" t="str">
        <f t="shared" si="42"/>
        <v>NG</v>
      </c>
      <c r="U279" s="117">
        <f t="shared" si="43"/>
        <v>1</v>
      </c>
      <c r="V279" s="89" t="str">
        <f>IF(G279="","",IF(T279="OK","NONE",INDEX({"S1","S2","W1","W2","N1","N2"},MATCH(MAX(K279:P279),K279:P279,0))))</f>
        <v>S2</v>
      </c>
      <c r="W279" s="117">
        <f t="shared" si="44"/>
        <v>1</v>
      </c>
      <c r="X279" s="114" t="str">
        <f t="shared" si="45"/>
        <v>CONFIDENT</v>
      </c>
      <c r="Y279" s="107"/>
    </row>
    <row r="280" spans="1:25">
      <c r="A280" s="115">
        <v>271</v>
      </c>
      <c r="B280" s="135">
        <f>'Runs Z-Score'!B273</f>
        <v>10</v>
      </c>
      <c r="C280" s="89" t="str">
        <f>'Runs Z-Score'!C273</f>
        <v>R6</v>
      </c>
      <c r="D280" s="89" t="str">
        <f>'Runs Z-Score'!D273</f>
        <v>OK</v>
      </c>
      <c r="E280" s="89" t="str">
        <f>'Runs Z-Score'!E273</f>
        <v>NONE</v>
      </c>
      <c r="F280" s="89">
        <f>'Runs Z-Score'!F273</f>
        <v>8.65</v>
      </c>
      <c r="G280" s="89">
        <f t="shared" si="37"/>
        <v>9.620000000000001</v>
      </c>
      <c r="H280" s="89">
        <v>9.61</v>
      </c>
      <c r="I280" s="89">
        <f>VLOOKUP(C280,Recipes!$A$2:$N$4,12,FALSE())</f>
        <v>6.1509461004819709E-2</v>
      </c>
      <c r="J280" s="89">
        <f t="shared" si="38"/>
        <v>-1.0000000000001563E-2</v>
      </c>
      <c r="K280" s="89">
        <f>IF(G280="","",-0.5*((J280-Components!$C$2)/Components!$D$2)^2)</f>
        <v>-87412.232456143858</v>
      </c>
      <c r="L280" s="89">
        <f>IF(G280="","",-0.5*((J280-Components!$C$3)/Components!$D$3)^2)</f>
        <v>-43001.210507247488</v>
      </c>
      <c r="M280" s="89">
        <f>IF(G280="","",-0.5*((J280-Components!$C$4)/Components!$D$4)^2)</f>
        <v>-2575.9107843137394</v>
      </c>
      <c r="N280" s="89">
        <f>IF(G280="","",-0.5*((J280-Components!$C$5)/Components!$D$5)^2)</f>
        <v>-16489.370908871078</v>
      </c>
      <c r="O280" s="89">
        <f>IF(G280="","",-0.5*((J280-Components!$C$6)/Components!$D$6)^2)</f>
        <v>-890.02976710335963</v>
      </c>
      <c r="P280" s="89">
        <f>IF(G280="","",-0.5*((J280-Components!$C$7)/Components!$D$7)^2)</f>
        <v>-1515.4058686299481</v>
      </c>
      <c r="Q280" s="89">
        <f t="shared" si="39"/>
        <v>1</v>
      </c>
      <c r="R280" s="89">
        <f t="shared" si="40"/>
        <v>2.5270276439792603E-272</v>
      </c>
      <c r="S280" s="89">
        <f t="shared" si="41"/>
        <v>1</v>
      </c>
      <c r="T280" s="89" t="str">
        <f t="shared" si="42"/>
        <v>OK</v>
      </c>
      <c r="U280" s="117">
        <f t="shared" si="43"/>
        <v>1</v>
      </c>
      <c r="V280" s="89" t="str">
        <f>IF(G280="","",IF(T280="OK","NONE",INDEX({"S1","S2","W1","W2","N1","N2"},MATCH(MAX(K280:P280),K280:P280,0))))</f>
        <v>NONE</v>
      </c>
      <c r="W280" s="117">
        <f t="shared" si="44"/>
        <v>1</v>
      </c>
      <c r="X280" s="114" t="str">
        <f t="shared" si="45"/>
        <v>CONFIDENT</v>
      </c>
      <c r="Y280" s="107"/>
    </row>
    <row r="281" spans="1:25">
      <c r="A281" s="115">
        <v>272</v>
      </c>
      <c r="B281" s="135">
        <f>'Runs Z-Score'!B274</f>
        <v>10</v>
      </c>
      <c r="C281" s="89" t="str">
        <f>'Runs Z-Score'!C274</f>
        <v>R6</v>
      </c>
      <c r="D281" s="89" t="str">
        <f>'Runs Z-Score'!D274</f>
        <v>OK</v>
      </c>
      <c r="E281" s="89" t="str">
        <f>'Runs Z-Score'!E274</f>
        <v>NONE</v>
      </c>
      <c r="F281" s="89">
        <f>'Runs Z-Score'!F274</f>
        <v>8.5299999999999994</v>
      </c>
      <c r="G281" s="89">
        <f t="shared" si="37"/>
        <v>9.5</v>
      </c>
      <c r="H281" s="89">
        <v>9.61</v>
      </c>
      <c r="I281" s="89">
        <f>VLOOKUP(C281,Recipes!$A$2:$N$4,12,FALSE())</f>
        <v>6.1509461004819709E-2</v>
      </c>
      <c r="J281" s="89">
        <f t="shared" si="38"/>
        <v>0.10999999999999943</v>
      </c>
      <c r="K281" s="89">
        <f>IF(G281="","",-0.5*((J281-Components!$C$2)/Components!$D$2)^2)</f>
        <v>-79985.179824564548</v>
      </c>
      <c r="L281" s="89">
        <f>IF(G281="","",-0.5*((J281-Components!$C$3)/Components!$D$3)^2)</f>
        <v>-40488.29746376913</v>
      </c>
      <c r="M281" s="89">
        <f>IF(G281="","",-0.5*((J281-Components!$C$4)/Components!$D$4)^2)</f>
        <v>-1996.5931372549089</v>
      </c>
      <c r="N281" s="89">
        <f>IF(G281="","",-0.5*((J281-Components!$C$5)/Components!$D$5)^2)</f>
        <v>-15635.269386028434</v>
      </c>
      <c r="O281" s="89">
        <f>IF(G281="","",-0.5*((J281-Components!$C$6)/Components!$D$6)^2)</f>
        <v>-716.21317321689389</v>
      </c>
      <c r="P281" s="89">
        <f>IF(G281="","",-0.5*((J281-Components!$C$7)/Components!$D$7)^2)</f>
        <v>-1264.0690207840996</v>
      </c>
      <c r="Q281" s="89">
        <f t="shared" si="39"/>
        <v>1</v>
      </c>
      <c r="R281" s="89">
        <f t="shared" si="40"/>
        <v>1.1728123299773155E-238</v>
      </c>
      <c r="S281" s="89">
        <f t="shared" si="41"/>
        <v>1</v>
      </c>
      <c r="T281" s="89" t="str">
        <f t="shared" si="42"/>
        <v>OK</v>
      </c>
      <c r="U281" s="117">
        <f t="shared" si="43"/>
        <v>1</v>
      </c>
      <c r="V281" s="89" t="str">
        <f>IF(G281="","",IF(T281="OK","NONE",INDEX({"S1","S2","W1","W2","N1","N2"},MATCH(MAX(K281:P281),K281:P281,0))))</f>
        <v>NONE</v>
      </c>
      <c r="W281" s="117">
        <f t="shared" si="44"/>
        <v>1</v>
      </c>
      <c r="X281" s="114" t="str">
        <f t="shared" si="45"/>
        <v>CONFIDENT</v>
      </c>
      <c r="Y281" s="107"/>
    </row>
    <row r="282" spans="1:25">
      <c r="A282" s="115">
        <v>273</v>
      </c>
      <c r="B282" s="135">
        <f>'Runs Z-Score'!B275</f>
        <v>10</v>
      </c>
      <c r="C282" s="89" t="str">
        <f>'Runs Z-Score'!C275</f>
        <v>R6</v>
      </c>
      <c r="D282" s="89" t="str">
        <f>'Runs Z-Score'!D275</f>
        <v>OK</v>
      </c>
      <c r="E282" s="89" t="str">
        <f>'Runs Z-Score'!E275</f>
        <v>NONE</v>
      </c>
      <c r="F282" s="89">
        <f>'Runs Z-Score'!F275</f>
        <v>8.58</v>
      </c>
      <c r="G282" s="89">
        <f t="shared" si="37"/>
        <v>9.5500000000000007</v>
      </c>
      <c r="H282" s="89">
        <v>9.61</v>
      </c>
      <c r="I282" s="89">
        <f>VLOOKUP(C282,Recipes!$A$2:$N$4,12,FALSE())</f>
        <v>6.1509461004819709E-2</v>
      </c>
      <c r="J282" s="89">
        <f t="shared" si="38"/>
        <v>5.9999999999998721E-2</v>
      </c>
      <c r="K282" s="89">
        <f>IF(G282="","",-0.5*((J282-Components!$C$2)/Components!$D$2)^2)</f>
        <v>-83039.719298248907</v>
      </c>
      <c r="L282" s="89">
        <f>IF(G282="","",-0.5*((J282-Components!$C$3)/Components!$D$3)^2)</f>
        <v>-41526.150724638748</v>
      </c>
      <c r="M282" s="89">
        <f>IF(G282="","",-0.5*((J282-Components!$C$4)/Components!$D$4)^2)</f>
        <v>-2229.0196078431477</v>
      </c>
      <c r="N282" s="89">
        <f>IF(G282="","",-0.5*((J282-Components!$C$5)/Components!$D$5)^2)</f>
        <v>-15988.384868261939</v>
      </c>
      <c r="O282" s="89">
        <f>IF(G282="","",-0.5*((J282-Components!$C$6)/Components!$D$6)^2)</f>
        <v>-786.34417758370773</v>
      </c>
      <c r="P282" s="89">
        <f>IF(G282="","",-0.5*((J282-Components!$C$7)/Components!$D$7)^2)</f>
        <v>-1366.025028782647</v>
      </c>
      <c r="Q282" s="89">
        <f t="shared" si="39"/>
        <v>1</v>
      </c>
      <c r="R282" s="89">
        <f t="shared" si="40"/>
        <v>1.7693145922263675E-252</v>
      </c>
      <c r="S282" s="89">
        <f t="shared" si="41"/>
        <v>1</v>
      </c>
      <c r="T282" s="89" t="str">
        <f t="shared" si="42"/>
        <v>OK</v>
      </c>
      <c r="U282" s="117">
        <f t="shared" si="43"/>
        <v>1</v>
      </c>
      <c r="V282" s="89" t="str">
        <f>IF(G282="","",IF(T282="OK","NONE",INDEX({"S1","S2","W1","W2","N1","N2"},MATCH(MAX(K282:P282),K282:P282,0))))</f>
        <v>NONE</v>
      </c>
      <c r="W282" s="117">
        <f t="shared" si="44"/>
        <v>1</v>
      </c>
      <c r="X282" s="114" t="str">
        <f t="shared" si="45"/>
        <v>CONFIDENT</v>
      </c>
      <c r="Y282" s="107"/>
    </row>
    <row r="283" spans="1:25">
      <c r="A283" s="115">
        <v>274</v>
      </c>
      <c r="B283" s="135">
        <f>'Runs Z-Score'!B276</f>
        <v>10</v>
      </c>
      <c r="C283" s="89" t="str">
        <f>'Runs Z-Score'!C276</f>
        <v>R6</v>
      </c>
      <c r="D283" s="89" t="str">
        <f>'Runs Z-Score'!D276</f>
        <v>OK</v>
      </c>
      <c r="E283" s="89" t="str">
        <f>'Runs Z-Score'!E276</f>
        <v>NONE</v>
      </c>
      <c r="F283" s="89">
        <f>'Runs Z-Score'!F276</f>
        <v>8.66</v>
      </c>
      <c r="G283" s="89">
        <f t="shared" si="37"/>
        <v>9.6300000000000008</v>
      </c>
      <c r="H283" s="89">
        <v>9.61</v>
      </c>
      <c r="I283" s="89">
        <f>VLOOKUP(C283,Recipes!$A$2:$N$4,12,FALSE())</f>
        <v>6.1509461004819709E-2</v>
      </c>
      <c r="J283" s="89">
        <f t="shared" si="38"/>
        <v>-2.000000000000135E-2</v>
      </c>
      <c r="K283" s="89">
        <f>IF(G283="","",-0.5*((J283-Components!$C$2)/Components!$D$2)^2)</f>
        <v>-88046.035087722819</v>
      </c>
      <c r="L283" s="89">
        <f>IF(G283="","",-0.5*((J283-Components!$C$3)/Components!$D$3)^2)</f>
        <v>-43214.034782609808</v>
      </c>
      <c r="M283" s="89">
        <f>IF(G283="","",-0.5*((J283-Components!$C$4)/Components!$D$4)^2)</f>
        <v>-2627.5137254902088</v>
      </c>
      <c r="N283" s="89">
        <f>IF(G283="","",-0.5*((J283-Components!$C$5)/Components!$D$5)^2)</f>
        <v>-16561.571235194493</v>
      </c>
      <c r="O283" s="89">
        <f>IF(G283="","",-0.5*((J283-Components!$C$6)/Components!$D$6)^2)</f>
        <v>-905.36601164484443</v>
      </c>
      <c r="P283" s="89">
        <f>IF(G283="","",-0.5*((J283-Components!$C$7)/Components!$D$7)^2)</f>
        <v>-1537.3786008604513</v>
      </c>
      <c r="Q283" s="89">
        <f t="shared" si="39"/>
        <v>1</v>
      </c>
      <c r="R283" s="89">
        <f t="shared" si="40"/>
        <v>3.3145151640589453E-275</v>
      </c>
      <c r="S283" s="89">
        <f t="shared" si="41"/>
        <v>1</v>
      </c>
      <c r="T283" s="89" t="str">
        <f t="shared" si="42"/>
        <v>OK</v>
      </c>
      <c r="U283" s="117">
        <f t="shared" si="43"/>
        <v>1</v>
      </c>
      <c r="V283" s="89" t="str">
        <f>IF(G283="","",IF(T283="OK","NONE",INDEX({"S1","S2","W1","W2","N1","N2"},MATCH(MAX(K283:P283),K283:P283,0))))</f>
        <v>NONE</v>
      </c>
      <c r="W283" s="117">
        <f t="shared" si="44"/>
        <v>1</v>
      </c>
      <c r="X283" s="114" t="str">
        <f t="shared" si="45"/>
        <v>CONFIDENT</v>
      </c>
      <c r="Y283" s="107"/>
    </row>
    <row r="284" spans="1:25">
      <c r="A284" s="115">
        <v>275</v>
      </c>
      <c r="B284" s="135">
        <f>'Runs Z-Score'!B277</f>
        <v>10</v>
      </c>
      <c r="C284" s="89" t="str">
        <f>'Runs Z-Score'!C277</f>
        <v>R6</v>
      </c>
      <c r="D284" s="89" t="str">
        <f>'Runs Z-Score'!D277</f>
        <v>OK</v>
      </c>
      <c r="E284" s="89" t="str">
        <f>'Runs Z-Score'!E277</f>
        <v>NONE</v>
      </c>
      <c r="F284" s="89">
        <f>'Runs Z-Score'!F277</f>
        <v>8.57</v>
      </c>
      <c r="G284" s="89">
        <f t="shared" si="37"/>
        <v>9.5400000000000009</v>
      </c>
      <c r="H284" s="89">
        <v>9.61</v>
      </c>
      <c r="I284" s="89">
        <f>VLOOKUP(C284,Recipes!$A$2:$N$4,12,FALSE())</f>
        <v>6.1509461004819709E-2</v>
      </c>
      <c r="J284" s="89">
        <f t="shared" si="38"/>
        <v>6.9999999999998508E-2</v>
      </c>
      <c r="K284" s="89">
        <f>IF(G284="","",-0.5*((J284-Components!$C$2)/Components!$D$2)^2)</f>
        <v>-82424.23245614364</v>
      </c>
      <c r="L284" s="89">
        <f>IF(G284="","",-0.5*((J284-Components!$C$3)/Components!$D$3)^2)</f>
        <v>-41317.529347827149</v>
      </c>
      <c r="M284" s="89">
        <f>IF(G284="","",-0.5*((J284-Components!$C$4)/Components!$D$4)^2)</f>
        <v>-2181.5107843137375</v>
      </c>
      <c r="N284" s="89">
        <f>IF(G284="","",-0.5*((J284-Components!$C$5)/Components!$D$5)^2)</f>
        <v>-15917.446325839896</v>
      </c>
      <c r="O284" s="89">
        <f>IF(G284="","",-0.5*((J284-Components!$C$6)/Components!$D$6)^2)</f>
        <v>-772.05596797672115</v>
      </c>
      <c r="P284" s="89">
        <f>IF(G284="","",-0.5*((J284-Components!$C$7)/Components!$D$7)^2)</f>
        <v>-1345.3175210567792</v>
      </c>
      <c r="Q284" s="89">
        <f t="shared" si="39"/>
        <v>1</v>
      </c>
      <c r="R284" s="89">
        <f t="shared" si="40"/>
        <v>1.0856024381743152E-249</v>
      </c>
      <c r="S284" s="89">
        <f t="shared" si="41"/>
        <v>1</v>
      </c>
      <c r="T284" s="89" t="str">
        <f t="shared" si="42"/>
        <v>OK</v>
      </c>
      <c r="U284" s="117">
        <f t="shared" si="43"/>
        <v>1</v>
      </c>
      <c r="V284" s="89" t="str">
        <f>IF(G284="","",IF(T284="OK","NONE",INDEX({"S1","S2","W1","W2","N1","N2"},MATCH(MAX(K284:P284),K284:P284,0))))</f>
        <v>NONE</v>
      </c>
      <c r="W284" s="117">
        <f t="shared" si="44"/>
        <v>1</v>
      </c>
      <c r="X284" s="114" t="str">
        <f t="shared" si="45"/>
        <v>CONFIDENT</v>
      </c>
      <c r="Y284" s="107"/>
    </row>
    <row r="285" spans="1:25">
      <c r="A285" s="115">
        <v>276</v>
      </c>
      <c r="B285" s="135">
        <f>'Runs Z-Score'!B278</f>
        <v>10</v>
      </c>
      <c r="C285" s="89" t="str">
        <f>'Runs Z-Score'!C278</f>
        <v>R6</v>
      </c>
      <c r="D285" s="89" t="str">
        <f>'Runs Z-Score'!D278</f>
        <v>OK</v>
      </c>
      <c r="E285" s="89" t="str">
        <f>'Runs Z-Score'!E278</f>
        <v>NONE</v>
      </c>
      <c r="F285" s="89">
        <f>'Runs Z-Score'!F278</f>
        <v>8.6</v>
      </c>
      <c r="G285" s="89">
        <f t="shared" si="37"/>
        <v>9.57</v>
      </c>
      <c r="H285" s="89">
        <v>9.61</v>
      </c>
      <c r="I285" s="89">
        <f>VLOOKUP(C285,Recipes!$A$2:$N$4,12,FALSE())</f>
        <v>6.1509461004819709E-2</v>
      </c>
      <c r="J285" s="89">
        <f t="shared" si="38"/>
        <v>3.9999999999999147E-2</v>
      </c>
      <c r="K285" s="89">
        <f>IF(G285="","",-0.5*((J285-Components!$C$2)/Components!$D$2)^2)</f>
        <v>-84277.561403512096</v>
      </c>
      <c r="L285" s="89">
        <f>IF(G285="","",-0.5*((J285-Components!$C$3)/Components!$D$3)^2)</f>
        <v>-41944.969565218467</v>
      </c>
      <c r="M285" s="89">
        <f>IF(G285="","",-0.5*((J285-Components!$C$4)/Components!$D$4)^2)</f>
        <v>-2325.5725490196169</v>
      </c>
      <c r="N285" s="89">
        <f>IF(G285="","",-0.5*((J285-Components!$C$5)/Components!$D$5)^2)</f>
        <v>-16130.735122069045</v>
      </c>
      <c r="O285" s="89">
        <f>IF(G285="","",-0.5*((J285-Components!$C$6)/Components!$D$6)^2)</f>
        <v>-815.31360989811799</v>
      </c>
      <c r="P285" s="89">
        <f>IF(G285="","",-0.5*((J285-Components!$C$7)/Components!$D$7)^2)</f>
        <v>-1407.9145034236205</v>
      </c>
      <c r="Q285" s="89">
        <f t="shared" si="39"/>
        <v>1</v>
      </c>
      <c r="R285" s="89">
        <f t="shared" si="40"/>
        <v>4.332134891147107E-258</v>
      </c>
      <c r="S285" s="89">
        <f t="shared" si="41"/>
        <v>1</v>
      </c>
      <c r="T285" s="89" t="str">
        <f t="shared" si="42"/>
        <v>OK</v>
      </c>
      <c r="U285" s="117">
        <f t="shared" si="43"/>
        <v>1</v>
      </c>
      <c r="V285" s="89" t="str">
        <f>IF(G285="","",IF(T285="OK","NONE",INDEX({"S1","S2","W1","W2","N1","N2"},MATCH(MAX(K285:P285),K285:P285,0))))</f>
        <v>NONE</v>
      </c>
      <c r="W285" s="117">
        <f t="shared" si="44"/>
        <v>1</v>
      </c>
      <c r="X285" s="114" t="str">
        <f t="shared" si="45"/>
        <v>CONFIDENT</v>
      </c>
      <c r="Y285" s="107"/>
    </row>
    <row r="286" spans="1:25">
      <c r="A286" s="115">
        <v>277</v>
      </c>
      <c r="B286" s="135">
        <f>'Runs Z-Score'!B279</f>
        <v>10</v>
      </c>
      <c r="C286" s="89" t="str">
        <f>'Runs Z-Score'!C279</f>
        <v>R6</v>
      </c>
      <c r="D286" s="89" t="str">
        <f>'Runs Z-Score'!D279</f>
        <v>OK</v>
      </c>
      <c r="E286" s="89" t="str">
        <f>'Runs Z-Score'!E279</f>
        <v>NONE</v>
      </c>
      <c r="F286" s="89">
        <f>'Runs Z-Score'!F279</f>
        <v>8.65</v>
      </c>
      <c r="G286" s="89">
        <f t="shared" si="37"/>
        <v>9.620000000000001</v>
      </c>
      <c r="H286" s="89">
        <v>9.61</v>
      </c>
      <c r="I286" s="89">
        <f>VLOOKUP(C286,Recipes!$A$2:$N$4,12,FALSE())</f>
        <v>6.1509461004819709E-2</v>
      </c>
      <c r="J286" s="89">
        <f t="shared" si="38"/>
        <v>-1.0000000000001563E-2</v>
      </c>
      <c r="K286" s="89">
        <f>IF(G286="","",-0.5*((J286-Components!$C$2)/Components!$D$2)^2)</f>
        <v>-87412.232456143858</v>
      </c>
      <c r="L286" s="89">
        <f>IF(G286="","",-0.5*((J286-Components!$C$3)/Components!$D$3)^2)</f>
        <v>-43001.210507247488</v>
      </c>
      <c r="M286" s="89">
        <f>IF(G286="","",-0.5*((J286-Components!$C$4)/Components!$D$4)^2)</f>
        <v>-2575.9107843137394</v>
      </c>
      <c r="N286" s="89">
        <f>IF(G286="","",-0.5*((J286-Components!$C$5)/Components!$D$5)^2)</f>
        <v>-16489.370908871078</v>
      </c>
      <c r="O286" s="89">
        <f>IF(G286="","",-0.5*((J286-Components!$C$6)/Components!$D$6)^2)</f>
        <v>-890.02976710335963</v>
      </c>
      <c r="P286" s="89">
        <f>IF(G286="","",-0.5*((J286-Components!$C$7)/Components!$D$7)^2)</f>
        <v>-1515.4058686299481</v>
      </c>
      <c r="Q286" s="89">
        <f t="shared" si="39"/>
        <v>1</v>
      </c>
      <c r="R286" s="89">
        <f t="shared" si="40"/>
        <v>2.5270276439792603E-272</v>
      </c>
      <c r="S286" s="89">
        <f t="shared" si="41"/>
        <v>1</v>
      </c>
      <c r="T286" s="89" t="str">
        <f t="shared" si="42"/>
        <v>OK</v>
      </c>
      <c r="U286" s="117">
        <f t="shared" si="43"/>
        <v>1</v>
      </c>
      <c r="V286" s="89" t="str">
        <f>IF(G286="","",IF(T286="OK","NONE",INDEX({"S1","S2","W1","W2","N1","N2"},MATCH(MAX(K286:P286),K286:P286,0))))</f>
        <v>NONE</v>
      </c>
      <c r="W286" s="117">
        <f t="shared" si="44"/>
        <v>1</v>
      </c>
      <c r="X286" s="114" t="str">
        <f t="shared" si="45"/>
        <v>CONFIDENT</v>
      </c>
      <c r="Y286" s="107"/>
    </row>
    <row r="287" spans="1:25">
      <c r="A287" s="115">
        <v>278</v>
      </c>
      <c r="B287" s="135">
        <f>'Runs Z-Score'!B280</f>
        <v>10</v>
      </c>
      <c r="C287" s="89" t="str">
        <f>'Runs Z-Score'!C280</f>
        <v>R6</v>
      </c>
      <c r="D287" s="89" t="str">
        <f>'Runs Z-Score'!D280</f>
        <v>OK</v>
      </c>
      <c r="E287" s="89" t="str">
        <f>'Runs Z-Score'!E280</f>
        <v>NONE</v>
      </c>
      <c r="F287" s="89">
        <f>'Runs Z-Score'!F280</f>
        <v>8.58</v>
      </c>
      <c r="G287" s="89">
        <f t="shared" si="37"/>
        <v>9.5500000000000007</v>
      </c>
      <c r="H287" s="89">
        <v>9.61</v>
      </c>
      <c r="I287" s="89">
        <f>VLOOKUP(C287,Recipes!$A$2:$N$4,12,FALSE())</f>
        <v>6.1509461004819709E-2</v>
      </c>
      <c r="J287" s="89">
        <f t="shared" si="38"/>
        <v>5.9999999999998721E-2</v>
      </c>
      <c r="K287" s="89">
        <f>IF(G287="","",-0.5*((J287-Components!$C$2)/Components!$D$2)^2)</f>
        <v>-83039.719298248907</v>
      </c>
      <c r="L287" s="89">
        <f>IF(G287="","",-0.5*((J287-Components!$C$3)/Components!$D$3)^2)</f>
        <v>-41526.150724638748</v>
      </c>
      <c r="M287" s="89">
        <f>IF(G287="","",-0.5*((J287-Components!$C$4)/Components!$D$4)^2)</f>
        <v>-2229.0196078431477</v>
      </c>
      <c r="N287" s="89">
        <f>IF(G287="","",-0.5*((J287-Components!$C$5)/Components!$D$5)^2)</f>
        <v>-15988.384868261939</v>
      </c>
      <c r="O287" s="89">
        <f>IF(G287="","",-0.5*((J287-Components!$C$6)/Components!$D$6)^2)</f>
        <v>-786.34417758370773</v>
      </c>
      <c r="P287" s="89">
        <f>IF(G287="","",-0.5*((J287-Components!$C$7)/Components!$D$7)^2)</f>
        <v>-1366.025028782647</v>
      </c>
      <c r="Q287" s="89">
        <f t="shared" si="39"/>
        <v>1</v>
      </c>
      <c r="R287" s="89">
        <f t="shared" si="40"/>
        <v>1.7693145922263675E-252</v>
      </c>
      <c r="S287" s="89">
        <f t="shared" si="41"/>
        <v>1</v>
      </c>
      <c r="T287" s="89" t="str">
        <f t="shared" si="42"/>
        <v>OK</v>
      </c>
      <c r="U287" s="117">
        <f t="shared" si="43"/>
        <v>1</v>
      </c>
      <c r="V287" s="89" t="str">
        <f>IF(G287="","",IF(T287="OK","NONE",INDEX({"S1","S2","W1","W2","N1","N2"},MATCH(MAX(K287:P287),K287:P287,0))))</f>
        <v>NONE</v>
      </c>
      <c r="W287" s="117">
        <f t="shared" si="44"/>
        <v>1</v>
      </c>
      <c r="X287" s="114" t="str">
        <f t="shared" si="45"/>
        <v>CONFIDENT</v>
      </c>
      <c r="Y287" s="107"/>
    </row>
    <row r="288" spans="1:25">
      <c r="A288" s="115">
        <v>279</v>
      </c>
      <c r="B288" s="135">
        <f>'Runs Z-Score'!B281</f>
        <v>10</v>
      </c>
      <c r="C288" s="89" t="str">
        <f>'Runs Z-Score'!C281</f>
        <v>R6</v>
      </c>
      <c r="D288" s="89" t="str">
        <f>'Runs Z-Score'!D281</f>
        <v>OK</v>
      </c>
      <c r="E288" s="89" t="str">
        <f>'Runs Z-Score'!E281</f>
        <v>NONE</v>
      </c>
      <c r="F288" s="89">
        <f>'Runs Z-Score'!F281</f>
        <v>8.58</v>
      </c>
      <c r="G288" s="89">
        <f t="shared" si="37"/>
        <v>9.5500000000000007</v>
      </c>
      <c r="H288" s="89">
        <v>9.61</v>
      </c>
      <c r="I288" s="89">
        <f>VLOOKUP(C288,Recipes!$A$2:$N$4,12,FALSE())</f>
        <v>6.1509461004819709E-2</v>
      </c>
      <c r="J288" s="89">
        <f t="shared" si="38"/>
        <v>5.9999999999998721E-2</v>
      </c>
      <c r="K288" s="89">
        <f>IF(G288="","",-0.5*((J288-Components!$C$2)/Components!$D$2)^2)</f>
        <v>-83039.719298248907</v>
      </c>
      <c r="L288" s="89">
        <f>IF(G288="","",-0.5*((J288-Components!$C$3)/Components!$D$3)^2)</f>
        <v>-41526.150724638748</v>
      </c>
      <c r="M288" s="89">
        <f>IF(G288="","",-0.5*((J288-Components!$C$4)/Components!$D$4)^2)</f>
        <v>-2229.0196078431477</v>
      </c>
      <c r="N288" s="89">
        <f>IF(G288="","",-0.5*((J288-Components!$C$5)/Components!$D$5)^2)</f>
        <v>-15988.384868261939</v>
      </c>
      <c r="O288" s="89">
        <f>IF(G288="","",-0.5*((J288-Components!$C$6)/Components!$D$6)^2)</f>
        <v>-786.34417758370773</v>
      </c>
      <c r="P288" s="89">
        <f>IF(G288="","",-0.5*((J288-Components!$C$7)/Components!$D$7)^2)</f>
        <v>-1366.025028782647</v>
      </c>
      <c r="Q288" s="89">
        <f t="shared" si="39"/>
        <v>1</v>
      </c>
      <c r="R288" s="89">
        <f t="shared" si="40"/>
        <v>1.7693145922263675E-252</v>
      </c>
      <c r="S288" s="89">
        <f t="shared" si="41"/>
        <v>1</v>
      </c>
      <c r="T288" s="89" t="str">
        <f t="shared" si="42"/>
        <v>OK</v>
      </c>
      <c r="U288" s="117">
        <f t="shared" si="43"/>
        <v>1</v>
      </c>
      <c r="V288" s="89" t="str">
        <f>IF(G288="","",IF(T288="OK","NONE",INDEX({"S1","S2","W1","W2","N1","N2"},MATCH(MAX(K288:P288),K288:P288,0))))</f>
        <v>NONE</v>
      </c>
      <c r="W288" s="117">
        <f t="shared" si="44"/>
        <v>1</v>
      </c>
      <c r="X288" s="114" t="str">
        <f t="shared" si="45"/>
        <v>CONFIDENT</v>
      </c>
      <c r="Y288" s="107"/>
    </row>
    <row r="289" spans="1:25">
      <c r="A289" s="115">
        <v>280</v>
      </c>
      <c r="B289" s="135">
        <f>'Runs Z-Score'!B282</f>
        <v>10</v>
      </c>
      <c r="C289" s="89" t="str">
        <f>'Runs Z-Score'!C282</f>
        <v>R6</v>
      </c>
      <c r="D289" s="89" t="str">
        <f>'Runs Z-Score'!D282</f>
        <v>OK</v>
      </c>
      <c r="E289" s="89" t="str">
        <f>'Runs Z-Score'!E282</f>
        <v>NONE</v>
      </c>
      <c r="F289" s="89">
        <f>'Runs Z-Score'!F282</f>
        <v>8.57</v>
      </c>
      <c r="G289" s="89">
        <f t="shared" si="37"/>
        <v>9.5400000000000009</v>
      </c>
      <c r="H289" s="89">
        <v>9.61</v>
      </c>
      <c r="I289" s="89">
        <f>VLOOKUP(C289,Recipes!$A$2:$N$4,12,FALSE())</f>
        <v>6.1509461004819709E-2</v>
      </c>
      <c r="J289" s="89">
        <f t="shared" si="38"/>
        <v>6.9999999999998508E-2</v>
      </c>
      <c r="K289" s="89">
        <f>IF(G289="","",-0.5*((J289-Components!$C$2)/Components!$D$2)^2)</f>
        <v>-82424.23245614364</v>
      </c>
      <c r="L289" s="89">
        <f>IF(G289="","",-0.5*((J289-Components!$C$3)/Components!$D$3)^2)</f>
        <v>-41317.529347827149</v>
      </c>
      <c r="M289" s="89">
        <f>IF(G289="","",-0.5*((J289-Components!$C$4)/Components!$D$4)^2)</f>
        <v>-2181.5107843137375</v>
      </c>
      <c r="N289" s="89">
        <f>IF(G289="","",-0.5*((J289-Components!$C$5)/Components!$D$5)^2)</f>
        <v>-15917.446325839896</v>
      </c>
      <c r="O289" s="89">
        <f>IF(G289="","",-0.5*((J289-Components!$C$6)/Components!$D$6)^2)</f>
        <v>-772.05596797672115</v>
      </c>
      <c r="P289" s="89">
        <f>IF(G289="","",-0.5*((J289-Components!$C$7)/Components!$D$7)^2)</f>
        <v>-1345.3175210567792</v>
      </c>
      <c r="Q289" s="89">
        <f t="shared" si="39"/>
        <v>1</v>
      </c>
      <c r="R289" s="89">
        <f t="shared" si="40"/>
        <v>1.0856024381743152E-249</v>
      </c>
      <c r="S289" s="89">
        <f t="shared" si="41"/>
        <v>1</v>
      </c>
      <c r="T289" s="89" t="str">
        <f t="shared" si="42"/>
        <v>OK</v>
      </c>
      <c r="U289" s="117">
        <f t="shared" si="43"/>
        <v>1</v>
      </c>
      <c r="V289" s="89" t="str">
        <f>IF(G289="","",IF(T289="OK","NONE",INDEX({"S1","S2","W1","W2","N1","N2"},MATCH(MAX(K289:P289),K289:P289,0))))</f>
        <v>NONE</v>
      </c>
      <c r="W289" s="117">
        <f t="shared" si="44"/>
        <v>1</v>
      </c>
      <c r="X289" s="114" t="str">
        <f t="shared" si="45"/>
        <v>CONFIDENT</v>
      </c>
      <c r="Y289" s="107"/>
    </row>
    <row r="290" spans="1:25">
      <c r="A290" s="115">
        <v>281</v>
      </c>
      <c r="B290" s="135">
        <f>'Runs Z-Score'!B283</f>
        <v>10</v>
      </c>
      <c r="C290" s="89" t="str">
        <f>'Runs Z-Score'!C283</f>
        <v>R6</v>
      </c>
      <c r="D290" s="89" t="str">
        <f>'Runs Z-Score'!D283</f>
        <v>OK</v>
      </c>
      <c r="E290" s="89" t="str">
        <f>'Runs Z-Score'!E283</f>
        <v>NONE</v>
      </c>
      <c r="F290" s="89">
        <f>'Runs Z-Score'!F283</f>
        <v>8.5299999999999994</v>
      </c>
      <c r="G290" s="89">
        <f t="shared" si="37"/>
        <v>9.5</v>
      </c>
      <c r="H290" s="89">
        <v>9.61</v>
      </c>
      <c r="I290" s="89">
        <f>VLOOKUP(C290,Recipes!$A$2:$N$4,12,FALSE())</f>
        <v>6.1509461004819709E-2</v>
      </c>
      <c r="J290" s="89">
        <f t="shared" si="38"/>
        <v>0.10999999999999943</v>
      </c>
      <c r="K290" s="89">
        <f>IF(G290="","",-0.5*((J290-Components!$C$2)/Components!$D$2)^2)</f>
        <v>-79985.179824564548</v>
      </c>
      <c r="L290" s="89">
        <f>IF(G290="","",-0.5*((J290-Components!$C$3)/Components!$D$3)^2)</f>
        <v>-40488.29746376913</v>
      </c>
      <c r="M290" s="89">
        <f>IF(G290="","",-0.5*((J290-Components!$C$4)/Components!$D$4)^2)</f>
        <v>-1996.5931372549089</v>
      </c>
      <c r="N290" s="89">
        <f>IF(G290="","",-0.5*((J290-Components!$C$5)/Components!$D$5)^2)</f>
        <v>-15635.269386028434</v>
      </c>
      <c r="O290" s="89">
        <f>IF(G290="","",-0.5*((J290-Components!$C$6)/Components!$D$6)^2)</f>
        <v>-716.21317321689389</v>
      </c>
      <c r="P290" s="89">
        <f>IF(G290="","",-0.5*((J290-Components!$C$7)/Components!$D$7)^2)</f>
        <v>-1264.0690207840996</v>
      </c>
      <c r="Q290" s="89">
        <f t="shared" si="39"/>
        <v>1</v>
      </c>
      <c r="R290" s="89">
        <f t="shared" si="40"/>
        <v>1.1728123299773155E-238</v>
      </c>
      <c r="S290" s="89">
        <f t="shared" si="41"/>
        <v>1</v>
      </c>
      <c r="T290" s="89" t="str">
        <f t="shared" si="42"/>
        <v>OK</v>
      </c>
      <c r="U290" s="117">
        <f t="shared" si="43"/>
        <v>1</v>
      </c>
      <c r="V290" s="89" t="str">
        <f>IF(G290="","",IF(T290="OK","NONE",INDEX({"S1","S2","W1","W2","N1","N2"},MATCH(MAX(K290:P290),K290:P290,0))))</f>
        <v>NONE</v>
      </c>
      <c r="W290" s="117">
        <f t="shared" si="44"/>
        <v>1</v>
      </c>
      <c r="X290" s="114" t="str">
        <f t="shared" si="45"/>
        <v>CONFIDENT</v>
      </c>
      <c r="Y290" s="107"/>
    </row>
    <row r="291" spans="1:25">
      <c r="A291" s="115">
        <v>282</v>
      </c>
      <c r="B291" s="135">
        <f>'Runs Z-Score'!B284</f>
        <v>10</v>
      </c>
      <c r="C291" s="89" t="str">
        <f>'Runs Z-Score'!C284</f>
        <v>R6</v>
      </c>
      <c r="D291" s="89" t="str">
        <f>'Runs Z-Score'!D284</f>
        <v>OK</v>
      </c>
      <c r="E291" s="89" t="str">
        <f>'Runs Z-Score'!E284</f>
        <v>NONE</v>
      </c>
      <c r="F291" s="89">
        <f>'Runs Z-Score'!F284</f>
        <v>8.64</v>
      </c>
      <c r="G291" s="89">
        <f t="shared" si="37"/>
        <v>9.6100000000000012</v>
      </c>
      <c r="H291" s="89">
        <v>9.61</v>
      </c>
      <c r="I291" s="89">
        <f>VLOOKUP(C291,Recipes!$A$2:$N$4,12,FALSE())</f>
        <v>6.1509461004819709E-2</v>
      </c>
      <c r="J291" s="89">
        <f t="shared" si="38"/>
        <v>-1.7763568394002505E-15</v>
      </c>
      <c r="K291" s="89">
        <f>IF(G291="","",-0.5*((J291-Components!$C$2)/Components!$D$2)^2)</f>
        <v>-86780.719298249096</v>
      </c>
      <c r="L291" s="89">
        <f>IF(G291="","",-0.5*((J291-Components!$C$3)/Components!$D$3)^2)</f>
        <v>-42788.911594204001</v>
      </c>
      <c r="M291" s="89">
        <f>IF(G291="","",-0.5*((J291-Components!$C$4)/Components!$D$4)^2)</f>
        <v>-2524.8196078431515</v>
      </c>
      <c r="N291" s="89">
        <f>IF(G291="","",-0.5*((J291-Components!$C$5)/Components!$D$5)^2)</f>
        <v>-16417.328305535328</v>
      </c>
      <c r="O291" s="89">
        <f>IF(G291="","",-0.5*((J291-Components!$C$6)/Components!$D$6)^2)</f>
        <v>-874.82452692868742</v>
      </c>
      <c r="P291" s="89">
        <f>IF(G291="","",-0.5*((J291-Components!$C$7)/Components!$D$7)^2)</f>
        <v>-1493.5912894625244</v>
      </c>
      <c r="Q291" s="89">
        <f t="shared" si="39"/>
        <v>1</v>
      </c>
      <c r="R291" s="89">
        <f t="shared" si="40"/>
        <v>1.8750352918426328E-269</v>
      </c>
      <c r="S291" s="89">
        <f t="shared" si="41"/>
        <v>1</v>
      </c>
      <c r="T291" s="89" t="str">
        <f t="shared" si="42"/>
        <v>OK</v>
      </c>
      <c r="U291" s="117">
        <f t="shared" si="43"/>
        <v>1</v>
      </c>
      <c r="V291" s="89" t="str">
        <f>IF(G291="","",IF(T291="OK","NONE",INDEX({"S1","S2","W1","W2","N1","N2"},MATCH(MAX(K291:P291),K291:P291,0))))</f>
        <v>NONE</v>
      </c>
      <c r="W291" s="117">
        <f t="shared" si="44"/>
        <v>1</v>
      </c>
      <c r="X291" s="114" t="str">
        <f t="shared" si="45"/>
        <v>CONFIDENT</v>
      </c>
      <c r="Y291" s="107"/>
    </row>
    <row r="292" spans="1:25">
      <c r="A292" s="115">
        <v>283</v>
      </c>
      <c r="B292" s="135">
        <f>'Runs Z-Score'!B285</f>
        <v>10</v>
      </c>
      <c r="C292" s="89" t="str">
        <f>'Runs Z-Score'!C285</f>
        <v>R6</v>
      </c>
      <c r="D292" s="89" t="str">
        <f>'Runs Z-Score'!D285</f>
        <v>OK</v>
      </c>
      <c r="E292" s="89" t="str">
        <f>'Runs Z-Score'!E285</f>
        <v>NONE</v>
      </c>
      <c r="F292" s="89">
        <f>'Runs Z-Score'!F285</f>
        <v>8.57</v>
      </c>
      <c r="G292" s="89">
        <f t="shared" si="37"/>
        <v>9.5400000000000009</v>
      </c>
      <c r="H292" s="89">
        <v>9.61</v>
      </c>
      <c r="I292" s="89">
        <f>VLOOKUP(C292,Recipes!$A$2:$N$4,12,FALSE())</f>
        <v>6.1509461004819709E-2</v>
      </c>
      <c r="J292" s="89">
        <f t="shared" si="38"/>
        <v>6.9999999999998508E-2</v>
      </c>
      <c r="K292" s="89">
        <f>IF(G292="","",-0.5*((J292-Components!$C$2)/Components!$D$2)^2)</f>
        <v>-82424.23245614364</v>
      </c>
      <c r="L292" s="89">
        <f>IF(G292="","",-0.5*((J292-Components!$C$3)/Components!$D$3)^2)</f>
        <v>-41317.529347827149</v>
      </c>
      <c r="M292" s="89">
        <f>IF(G292="","",-0.5*((J292-Components!$C$4)/Components!$D$4)^2)</f>
        <v>-2181.5107843137375</v>
      </c>
      <c r="N292" s="89">
        <f>IF(G292="","",-0.5*((J292-Components!$C$5)/Components!$D$5)^2)</f>
        <v>-15917.446325839896</v>
      </c>
      <c r="O292" s="89">
        <f>IF(G292="","",-0.5*((J292-Components!$C$6)/Components!$D$6)^2)</f>
        <v>-772.05596797672115</v>
      </c>
      <c r="P292" s="89">
        <f>IF(G292="","",-0.5*((J292-Components!$C$7)/Components!$D$7)^2)</f>
        <v>-1345.3175210567792</v>
      </c>
      <c r="Q292" s="89">
        <f t="shared" si="39"/>
        <v>1</v>
      </c>
      <c r="R292" s="89">
        <f t="shared" si="40"/>
        <v>1.0856024381743152E-249</v>
      </c>
      <c r="S292" s="89">
        <f t="shared" si="41"/>
        <v>1</v>
      </c>
      <c r="T292" s="89" t="str">
        <f t="shared" si="42"/>
        <v>OK</v>
      </c>
      <c r="U292" s="117">
        <f t="shared" si="43"/>
        <v>1</v>
      </c>
      <c r="V292" s="89" t="str">
        <f>IF(G292="","",IF(T292="OK","NONE",INDEX({"S1","S2","W1","W2","N1","N2"},MATCH(MAX(K292:P292),K292:P292,0))))</f>
        <v>NONE</v>
      </c>
      <c r="W292" s="117">
        <f t="shared" si="44"/>
        <v>1</v>
      </c>
      <c r="X292" s="114" t="str">
        <f t="shared" si="45"/>
        <v>CONFIDENT</v>
      </c>
      <c r="Y292" s="107"/>
    </row>
    <row r="293" spans="1:25">
      <c r="A293" s="115">
        <v>284</v>
      </c>
      <c r="B293" s="135">
        <f>'Runs Z-Score'!B286</f>
        <v>10</v>
      </c>
      <c r="C293" s="89" t="str">
        <f>'Runs Z-Score'!C286</f>
        <v>R6</v>
      </c>
      <c r="D293" s="89" t="str">
        <f>'Runs Z-Score'!D286</f>
        <v>OK</v>
      </c>
      <c r="E293" s="89" t="str">
        <f>'Runs Z-Score'!E286</f>
        <v>NONE</v>
      </c>
      <c r="F293" s="89">
        <f>'Runs Z-Score'!F286</f>
        <v>8.58</v>
      </c>
      <c r="G293" s="89">
        <f t="shared" si="37"/>
        <v>9.5500000000000007</v>
      </c>
      <c r="H293" s="89">
        <v>9.61</v>
      </c>
      <c r="I293" s="89">
        <f>VLOOKUP(C293,Recipes!$A$2:$N$4,12,FALSE())</f>
        <v>6.1509461004819709E-2</v>
      </c>
      <c r="J293" s="89">
        <f t="shared" si="38"/>
        <v>5.9999999999998721E-2</v>
      </c>
      <c r="K293" s="89">
        <f>IF(G293="","",-0.5*((J293-Components!$C$2)/Components!$D$2)^2)</f>
        <v>-83039.719298248907</v>
      </c>
      <c r="L293" s="89">
        <f>IF(G293="","",-0.5*((J293-Components!$C$3)/Components!$D$3)^2)</f>
        <v>-41526.150724638748</v>
      </c>
      <c r="M293" s="89">
        <f>IF(G293="","",-0.5*((J293-Components!$C$4)/Components!$D$4)^2)</f>
        <v>-2229.0196078431477</v>
      </c>
      <c r="N293" s="89">
        <f>IF(G293="","",-0.5*((J293-Components!$C$5)/Components!$D$5)^2)</f>
        <v>-15988.384868261939</v>
      </c>
      <c r="O293" s="89">
        <f>IF(G293="","",-0.5*((J293-Components!$C$6)/Components!$D$6)^2)</f>
        <v>-786.34417758370773</v>
      </c>
      <c r="P293" s="89">
        <f>IF(G293="","",-0.5*((J293-Components!$C$7)/Components!$D$7)^2)</f>
        <v>-1366.025028782647</v>
      </c>
      <c r="Q293" s="89">
        <f t="shared" si="39"/>
        <v>1</v>
      </c>
      <c r="R293" s="89">
        <f t="shared" si="40"/>
        <v>1.7693145922263675E-252</v>
      </c>
      <c r="S293" s="89">
        <f t="shared" si="41"/>
        <v>1</v>
      </c>
      <c r="T293" s="89" t="str">
        <f t="shared" si="42"/>
        <v>OK</v>
      </c>
      <c r="U293" s="117">
        <f t="shared" si="43"/>
        <v>1</v>
      </c>
      <c r="V293" s="89" t="str">
        <f>IF(G293="","",IF(T293="OK","NONE",INDEX({"S1","S2","W1","W2","N1","N2"},MATCH(MAX(K293:P293),K293:P293,0))))</f>
        <v>NONE</v>
      </c>
      <c r="W293" s="117">
        <f t="shared" si="44"/>
        <v>1</v>
      </c>
      <c r="X293" s="114" t="str">
        <f t="shared" si="45"/>
        <v>CONFIDENT</v>
      </c>
      <c r="Y293" s="107"/>
    </row>
    <row r="294" spans="1:25">
      <c r="A294" s="115">
        <v>285</v>
      </c>
      <c r="B294" s="135">
        <f>'Runs Z-Score'!B287</f>
        <v>10</v>
      </c>
      <c r="C294" s="89" t="str">
        <f>'Runs Z-Score'!C287</f>
        <v>R6</v>
      </c>
      <c r="D294" s="89" t="str">
        <f>'Runs Z-Score'!D287</f>
        <v>OK</v>
      </c>
      <c r="E294" s="89" t="str">
        <f>'Runs Z-Score'!E287</f>
        <v>NONE</v>
      </c>
      <c r="F294" s="89">
        <f>'Runs Z-Score'!F287</f>
        <v>8.6300000000000008</v>
      </c>
      <c r="G294" s="89">
        <f t="shared" si="37"/>
        <v>9.6000000000000014</v>
      </c>
      <c r="H294" s="89">
        <v>9.61</v>
      </c>
      <c r="I294" s="89">
        <f>VLOOKUP(C294,Recipes!$A$2:$N$4,12,FALSE())</f>
        <v>6.1509461004819709E-2</v>
      </c>
      <c r="J294" s="89">
        <f t="shared" si="38"/>
        <v>9.9999999999980105E-3</v>
      </c>
      <c r="K294" s="89">
        <f>IF(G294="","",-0.5*((J294-Components!$C$2)/Components!$D$2)^2)</f>
        <v>-86151.495614038548</v>
      </c>
      <c r="L294" s="89">
        <f>IF(G294="","",-0.5*((J294-Components!$C$3)/Components!$D$3)^2)</f>
        <v>-42577.138043479361</v>
      </c>
      <c r="M294" s="89">
        <f>IF(G294="","",-0.5*((J294-Components!$C$4)/Components!$D$4)^2)</f>
        <v>-2474.2401960784468</v>
      </c>
      <c r="N294" s="89">
        <f>IF(G294="","",-0.5*((J294-Components!$C$5)/Components!$D$5)^2)</f>
        <v>-16345.44342518725</v>
      </c>
      <c r="O294" s="89">
        <f>IF(G294="","",-0.5*((J294-Components!$C$6)/Components!$D$6)^2)</f>
        <v>-859.75029112082746</v>
      </c>
      <c r="P294" s="89">
        <f>IF(G294="","",-0.5*((J294-Components!$C$7)/Components!$D$7)^2)</f>
        <v>-1471.9348633581801</v>
      </c>
      <c r="Q294" s="89">
        <f t="shared" si="39"/>
        <v>1</v>
      </c>
      <c r="R294" s="89">
        <f t="shared" si="40"/>
        <v>1.3539990854727122E-266</v>
      </c>
      <c r="S294" s="89">
        <f t="shared" si="41"/>
        <v>1</v>
      </c>
      <c r="T294" s="89" t="str">
        <f t="shared" si="42"/>
        <v>OK</v>
      </c>
      <c r="U294" s="117">
        <f t="shared" si="43"/>
        <v>1</v>
      </c>
      <c r="V294" s="89" t="str">
        <f>IF(G294="","",IF(T294="OK","NONE",INDEX({"S1","S2","W1","W2","N1","N2"},MATCH(MAX(K294:P294),K294:P294,0))))</f>
        <v>NONE</v>
      </c>
      <c r="W294" s="117">
        <f t="shared" si="44"/>
        <v>1</v>
      </c>
      <c r="X294" s="114" t="str">
        <f t="shared" si="45"/>
        <v>CONFIDENT</v>
      </c>
      <c r="Y294" s="107"/>
    </row>
    <row r="295" spans="1:25">
      <c r="A295" s="115">
        <v>286</v>
      </c>
      <c r="B295" s="135">
        <f>'Runs Z-Score'!B288</f>
        <v>10</v>
      </c>
      <c r="C295" s="89" t="str">
        <f>'Runs Z-Score'!C288</f>
        <v>R6</v>
      </c>
      <c r="D295" s="89" t="str">
        <f>'Runs Z-Score'!D288</f>
        <v>OK</v>
      </c>
      <c r="E295" s="89" t="str">
        <f>'Runs Z-Score'!E288</f>
        <v>NONE</v>
      </c>
      <c r="F295" s="89">
        <f>'Runs Z-Score'!F288</f>
        <v>8.6</v>
      </c>
      <c r="G295" s="89">
        <f t="shared" si="37"/>
        <v>9.57</v>
      </c>
      <c r="H295" s="89">
        <v>9.61</v>
      </c>
      <c r="I295" s="89">
        <f>VLOOKUP(C295,Recipes!$A$2:$N$4,12,FALSE())</f>
        <v>6.1509461004819709E-2</v>
      </c>
      <c r="J295" s="89">
        <f t="shared" si="38"/>
        <v>3.9999999999999147E-2</v>
      </c>
      <c r="K295" s="89">
        <f>IF(G295="","",-0.5*((J295-Components!$C$2)/Components!$D$2)^2)</f>
        <v>-84277.561403512096</v>
      </c>
      <c r="L295" s="89">
        <f>IF(G295="","",-0.5*((J295-Components!$C$3)/Components!$D$3)^2)</f>
        <v>-41944.969565218467</v>
      </c>
      <c r="M295" s="89">
        <f>IF(G295="","",-0.5*((J295-Components!$C$4)/Components!$D$4)^2)</f>
        <v>-2325.5725490196169</v>
      </c>
      <c r="N295" s="89">
        <f>IF(G295="","",-0.5*((J295-Components!$C$5)/Components!$D$5)^2)</f>
        <v>-16130.735122069045</v>
      </c>
      <c r="O295" s="89">
        <f>IF(G295="","",-0.5*((J295-Components!$C$6)/Components!$D$6)^2)</f>
        <v>-815.31360989811799</v>
      </c>
      <c r="P295" s="89">
        <f>IF(G295="","",-0.5*((J295-Components!$C$7)/Components!$D$7)^2)</f>
        <v>-1407.9145034236205</v>
      </c>
      <c r="Q295" s="89">
        <f t="shared" si="39"/>
        <v>1</v>
      </c>
      <c r="R295" s="89">
        <f t="shared" si="40"/>
        <v>4.332134891147107E-258</v>
      </c>
      <c r="S295" s="89">
        <f t="shared" si="41"/>
        <v>1</v>
      </c>
      <c r="T295" s="89" t="str">
        <f t="shared" si="42"/>
        <v>OK</v>
      </c>
      <c r="U295" s="117">
        <f t="shared" si="43"/>
        <v>1</v>
      </c>
      <c r="V295" s="89" t="str">
        <f>IF(G295="","",IF(T295="OK","NONE",INDEX({"S1","S2","W1","W2","N1","N2"},MATCH(MAX(K295:P295),K295:P295,0))))</f>
        <v>NONE</v>
      </c>
      <c r="W295" s="117">
        <f t="shared" si="44"/>
        <v>1</v>
      </c>
      <c r="X295" s="114" t="str">
        <f t="shared" si="45"/>
        <v>CONFIDENT</v>
      </c>
      <c r="Y295" s="107"/>
    </row>
    <row r="296" spans="1:25">
      <c r="A296" s="115">
        <v>287</v>
      </c>
      <c r="B296" s="135">
        <f>'Runs Z-Score'!B289</f>
        <v>10</v>
      </c>
      <c r="C296" s="89" t="str">
        <f>'Runs Z-Score'!C289</f>
        <v>R6</v>
      </c>
      <c r="D296" s="89" t="str">
        <f>'Runs Z-Score'!D289</f>
        <v>OK</v>
      </c>
      <c r="E296" s="89" t="str">
        <f>'Runs Z-Score'!E289</f>
        <v>NONE</v>
      </c>
      <c r="F296" s="89">
        <f>'Runs Z-Score'!F289</f>
        <v>8.6199999999999992</v>
      </c>
      <c r="G296" s="89">
        <f t="shared" si="37"/>
        <v>9.59</v>
      </c>
      <c r="H296" s="89">
        <v>9.61</v>
      </c>
      <c r="I296" s="89">
        <f>VLOOKUP(C296,Recipes!$A$2:$N$4,12,FALSE())</f>
        <v>6.1509461004819709E-2</v>
      </c>
      <c r="J296" s="89">
        <f t="shared" si="38"/>
        <v>1.9999999999999574E-2</v>
      </c>
      <c r="K296" s="89">
        <f>IF(G296="","",-0.5*((J296-Components!$C$2)/Components!$D$2)^2)</f>
        <v>-85524.561403512125</v>
      </c>
      <c r="L296" s="89">
        <f>IF(G296="","",-0.5*((J296-Components!$C$3)/Components!$D$3)^2)</f>
        <v>-42365.889855073525</v>
      </c>
      <c r="M296" s="89">
        <f>IF(G296="","",-0.5*((J296-Components!$C$4)/Components!$D$4)^2)</f>
        <v>-2424.172549019615</v>
      </c>
      <c r="N296" s="89">
        <f>IF(G296="","",-0.5*((J296-Components!$C$5)/Components!$D$5)^2)</f>
        <v>-16273.716267826834</v>
      </c>
      <c r="O296" s="89">
        <f>IF(G296="","",-0.5*((J296-Components!$C$6)/Components!$D$6)^2)</f>
        <v>-844.80705967977678</v>
      </c>
      <c r="P296" s="89">
        <f>IF(G296="","",-0.5*((J296-Components!$C$7)/Components!$D$7)^2)</f>
        <v>-1450.4365903169119</v>
      </c>
      <c r="Q296" s="89">
        <f t="shared" si="39"/>
        <v>1</v>
      </c>
      <c r="R296" s="89">
        <f t="shared" si="40"/>
        <v>9.5156129051036305E-264</v>
      </c>
      <c r="S296" s="89">
        <f t="shared" si="41"/>
        <v>1</v>
      </c>
      <c r="T296" s="89" t="str">
        <f t="shared" si="42"/>
        <v>OK</v>
      </c>
      <c r="U296" s="117">
        <f t="shared" si="43"/>
        <v>1</v>
      </c>
      <c r="V296" s="89" t="str">
        <f>IF(G296="","",IF(T296="OK","NONE",INDEX({"S1","S2","W1","W2","N1","N2"},MATCH(MAX(K296:P296),K296:P296,0))))</f>
        <v>NONE</v>
      </c>
      <c r="W296" s="117">
        <f t="shared" si="44"/>
        <v>1</v>
      </c>
      <c r="X296" s="114" t="str">
        <f t="shared" si="45"/>
        <v>CONFIDENT</v>
      </c>
      <c r="Y296" s="107"/>
    </row>
    <row r="297" spans="1:25">
      <c r="A297" s="115">
        <v>288</v>
      </c>
      <c r="B297" s="135">
        <f>'Runs Z-Score'!B290</f>
        <v>10</v>
      </c>
      <c r="C297" s="89" t="str">
        <f>'Runs Z-Score'!C290</f>
        <v>R6</v>
      </c>
      <c r="D297" s="89" t="str">
        <f>'Runs Z-Score'!D290</f>
        <v>OK</v>
      </c>
      <c r="E297" s="89" t="str">
        <f>'Runs Z-Score'!E290</f>
        <v>NONE</v>
      </c>
      <c r="F297" s="89">
        <f>'Runs Z-Score'!F290</f>
        <v>8.41</v>
      </c>
      <c r="G297" s="89">
        <f t="shared" si="37"/>
        <v>9.3800000000000008</v>
      </c>
      <c r="H297" s="89">
        <v>9.61</v>
      </c>
      <c r="I297" s="89">
        <f>VLOOKUP(C297,Recipes!$A$2:$N$4,12,FALSE())</f>
        <v>6.1509461004819709E-2</v>
      </c>
      <c r="J297" s="89">
        <f t="shared" si="38"/>
        <v>0.22999999999999865</v>
      </c>
      <c r="K297" s="89">
        <f>IF(G297="","",-0.5*((J297-Components!$C$2)/Components!$D$2)^2)</f>
        <v>-72887.811403511674</v>
      </c>
      <c r="L297" s="89">
        <f>IF(G297="","",-0.5*((J297-Components!$C$3)/Components!$D$3)^2)</f>
        <v>-38051.036594203877</v>
      </c>
      <c r="M297" s="89">
        <f>IF(G297="","",-0.5*((J297-Components!$C$4)/Components!$D$4)^2)</f>
        <v>-1490.9696078431455</v>
      </c>
      <c r="N297" s="89">
        <f>IF(G297="","",-0.5*((J297-Components!$C$5)/Components!$D$5)^2)</f>
        <v>-14803.879973410607</v>
      </c>
      <c r="O297" s="89">
        <f>IF(G297="","",-0.5*((J297-Components!$C$6)/Components!$D$6)^2)</f>
        <v>-561.26120815139132</v>
      </c>
      <c r="P297" s="89">
        <f>IF(G297="","",-0.5*((J297-Components!$C$7)/Components!$D$7)^2)</f>
        <v>-1035.5062140216937</v>
      </c>
      <c r="Q297" s="89">
        <f t="shared" si="39"/>
        <v>1</v>
      </c>
      <c r="R297" s="89">
        <f t="shared" si="40"/>
        <v>1.09146768057752E-206</v>
      </c>
      <c r="S297" s="89">
        <f t="shared" si="41"/>
        <v>1</v>
      </c>
      <c r="T297" s="89" t="str">
        <f t="shared" si="42"/>
        <v>NG</v>
      </c>
      <c r="U297" s="117">
        <f t="shared" si="43"/>
        <v>0</v>
      </c>
      <c r="V297" s="89" t="str">
        <f>IF(G297="","",IF(T297="OK","NONE",INDEX({"S1","S2","W1","W2","N1","N2"},MATCH(MAX(K297:P297),K297:P297,0))))</f>
        <v>N1</v>
      </c>
      <c r="W297" s="122">
        <f t="shared" si="44"/>
        <v>0</v>
      </c>
      <c r="X297" s="114" t="str">
        <f t="shared" si="45"/>
        <v>CONFIDENT</v>
      </c>
      <c r="Y297" s="107"/>
    </row>
    <row r="298" spans="1:25">
      <c r="A298" s="115">
        <v>289</v>
      </c>
      <c r="B298" s="135">
        <f>'Runs Z-Score'!B291</f>
        <v>10</v>
      </c>
      <c r="C298" s="89" t="str">
        <f>'Runs Z-Score'!C291</f>
        <v>R6</v>
      </c>
      <c r="D298" s="89" t="str">
        <f>'Runs Z-Score'!D291</f>
        <v>OK</v>
      </c>
      <c r="E298" s="89" t="str">
        <f>'Runs Z-Score'!E291</f>
        <v>NONE</v>
      </c>
      <c r="F298" s="89">
        <f>'Runs Z-Score'!F291</f>
        <v>8.61</v>
      </c>
      <c r="G298" s="89">
        <f t="shared" si="37"/>
        <v>9.58</v>
      </c>
      <c r="H298" s="89">
        <v>9.61</v>
      </c>
      <c r="I298" s="89">
        <f>VLOOKUP(C298,Recipes!$A$2:$N$4,12,FALSE())</f>
        <v>6.1509461004819709E-2</v>
      </c>
      <c r="J298" s="89">
        <f t="shared" si="38"/>
        <v>2.9999999999999361E-2</v>
      </c>
      <c r="K298" s="89">
        <f>IF(G298="","",-0.5*((J298-Components!$C$2)/Components!$D$2)^2)</f>
        <v>-84899.916666670004</v>
      </c>
      <c r="L298" s="89">
        <f>IF(G298="","",-0.5*((J298-Components!$C$3)/Components!$D$3)^2)</f>
        <v>-42155.167028986565</v>
      </c>
      <c r="M298" s="89">
        <f>IF(G298="","",-0.5*((J298-Components!$C$4)/Components!$D$4)^2)</f>
        <v>-2374.616666666675</v>
      </c>
      <c r="N298" s="89">
        <f>IF(G298="","",-0.5*((J298-Components!$C$5)/Components!$D$5)^2)</f>
        <v>-16202.1468334541</v>
      </c>
      <c r="O298" s="89">
        <f>IF(G298="","",-0.5*((J298-Components!$C$6)/Components!$D$6)^2)</f>
        <v>-829.99483260554132</v>
      </c>
      <c r="P298" s="89">
        <f>IF(G298="","",-0.5*((J298-Components!$C$7)/Components!$D$7)^2)</f>
        <v>-1429.0964703387265</v>
      </c>
      <c r="Q298" s="89">
        <f t="shared" si="39"/>
        <v>1</v>
      </c>
      <c r="R298" s="89">
        <f t="shared" si="40"/>
        <v>6.5082560877054208E-261</v>
      </c>
      <c r="S298" s="89">
        <f t="shared" si="41"/>
        <v>1</v>
      </c>
      <c r="T298" s="89" t="str">
        <f t="shared" si="42"/>
        <v>OK</v>
      </c>
      <c r="U298" s="117">
        <f t="shared" si="43"/>
        <v>1</v>
      </c>
      <c r="V298" s="89" t="str">
        <f>IF(G298="","",IF(T298="OK","NONE",INDEX({"S1","S2","W1","W2","N1","N2"},MATCH(MAX(K298:P298),K298:P298,0))))</f>
        <v>NONE</v>
      </c>
      <c r="W298" s="117">
        <f t="shared" si="44"/>
        <v>1</v>
      </c>
      <c r="X298" s="114" t="str">
        <f t="shared" si="45"/>
        <v>CONFIDENT</v>
      </c>
      <c r="Y298" s="107"/>
    </row>
    <row r="299" spans="1:25">
      <c r="A299" s="115">
        <v>290</v>
      </c>
      <c r="B299" s="135">
        <f>'Runs Z-Score'!B292</f>
        <v>10</v>
      </c>
      <c r="C299" s="89" t="str">
        <f>'Runs Z-Score'!C292</f>
        <v>R6</v>
      </c>
      <c r="D299" s="89" t="str">
        <f>'Runs Z-Score'!D292</f>
        <v>OK</v>
      </c>
      <c r="E299" s="89" t="str">
        <f>'Runs Z-Score'!E292</f>
        <v>NONE</v>
      </c>
      <c r="F299" s="89">
        <f>'Runs Z-Score'!F292</f>
        <v>8.61</v>
      </c>
      <c r="G299" s="89">
        <f t="shared" si="37"/>
        <v>9.58</v>
      </c>
      <c r="H299" s="89">
        <v>9.61</v>
      </c>
      <c r="I299" s="89">
        <f>VLOOKUP(C299,Recipes!$A$2:$N$4,12,FALSE())</f>
        <v>6.1509461004819709E-2</v>
      </c>
      <c r="J299" s="89">
        <f t="shared" si="38"/>
        <v>2.9999999999999361E-2</v>
      </c>
      <c r="K299" s="89">
        <f>IF(G299="","",-0.5*((J299-Components!$C$2)/Components!$D$2)^2)</f>
        <v>-84899.916666670004</v>
      </c>
      <c r="L299" s="89">
        <f>IF(G299="","",-0.5*((J299-Components!$C$3)/Components!$D$3)^2)</f>
        <v>-42155.167028986565</v>
      </c>
      <c r="M299" s="89">
        <f>IF(G299="","",-0.5*((J299-Components!$C$4)/Components!$D$4)^2)</f>
        <v>-2374.616666666675</v>
      </c>
      <c r="N299" s="89">
        <f>IF(G299="","",-0.5*((J299-Components!$C$5)/Components!$D$5)^2)</f>
        <v>-16202.1468334541</v>
      </c>
      <c r="O299" s="89">
        <f>IF(G299="","",-0.5*((J299-Components!$C$6)/Components!$D$6)^2)</f>
        <v>-829.99483260554132</v>
      </c>
      <c r="P299" s="89">
        <f>IF(G299="","",-0.5*((J299-Components!$C$7)/Components!$D$7)^2)</f>
        <v>-1429.0964703387265</v>
      </c>
      <c r="Q299" s="89">
        <f t="shared" si="39"/>
        <v>1</v>
      </c>
      <c r="R299" s="89">
        <f t="shared" si="40"/>
        <v>6.5082560877054208E-261</v>
      </c>
      <c r="S299" s="89">
        <f t="shared" si="41"/>
        <v>1</v>
      </c>
      <c r="T299" s="89" t="str">
        <f t="shared" si="42"/>
        <v>OK</v>
      </c>
      <c r="U299" s="117">
        <f t="shared" si="43"/>
        <v>1</v>
      </c>
      <c r="V299" s="89" t="str">
        <f>IF(G299="","",IF(T299="OK","NONE",INDEX({"S1","S2","W1","W2","N1","N2"},MATCH(MAX(K299:P299),K299:P299,0))))</f>
        <v>NONE</v>
      </c>
      <c r="W299" s="117">
        <f t="shared" si="44"/>
        <v>1</v>
      </c>
      <c r="X299" s="114" t="str">
        <f t="shared" si="45"/>
        <v>CONFIDENT</v>
      </c>
      <c r="Y299" s="107"/>
    </row>
    <row r="300" spans="1:25">
      <c r="A300" s="115">
        <v>291</v>
      </c>
      <c r="B300" s="135">
        <f>'Runs Z-Score'!B293</f>
        <v>10</v>
      </c>
      <c r="C300" s="89" t="str">
        <f>'Runs Z-Score'!C293</f>
        <v>R6</v>
      </c>
      <c r="D300" s="89" t="str">
        <f>'Runs Z-Score'!D293</f>
        <v>OK</v>
      </c>
      <c r="E300" s="89" t="str">
        <f>'Runs Z-Score'!E293</f>
        <v>NONE</v>
      </c>
      <c r="F300" s="89">
        <f>'Runs Z-Score'!F293</f>
        <v>8.5399999999999991</v>
      </c>
      <c r="G300" s="89">
        <f t="shared" si="37"/>
        <v>9.51</v>
      </c>
      <c r="H300" s="89">
        <v>9.61</v>
      </c>
      <c r="I300" s="89">
        <f>VLOOKUP(C300,Recipes!$A$2:$N$4,12,FALSE())</f>
        <v>6.1509461004819709E-2</v>
      </c>
      <c r="J300" s="89">
        <f t="shared" si="38"/>
        <v>9.9999999999999645E-2</v>
      </c>
      <c r="K300" s="89">
        <f>IF(G300="","",-0.5*((J300-Components!$C$2)/Components!$D$2)^2)</f>
        <v>-80591.508771932975</v>
      </c>
      <c r="L300" s="89">
        <f>IF(G300="","",-0.5*((J300-Components!$C$3)/Components!$D$3)^2)</f>
        <v>-40694.817391305369</v>
      </c>
      <c r="M300" s="89">
        <f>IF(G300="","",-0.5*((J300-Components!$C$4)/Components!$D$4)^2)</f>
        <v>-2042.0549019607904</v>
      </c>
      <c r="N300" s="89">
        <f>IF(G300="","",-0.5*((J300-Components!$C$5)/Components!$D$5)^2)</f>
        <v>-15705.57703649979</v>
      </c>
      <c r="O300" s="89">
        <f>IF(G300="","",-0.5*((J300-Components!$C$6)/Components!$D$6)^2)</f>
        <v>-729.97736535663159</v>
      </c>
      <c r="P300" s="89">
        <f>IF(G300="","",-0.5*((J300-Components!$C$7)/Components!$D$7)^2)</f>
        <v>-1284.1439162576494</v>
      </c>
      <c r="Q300" s="89">
        <f t="shared" si="39"/>
        <v>1</v>
      </c>
      <c r="R300" s="89">
        <f t="shared" si="40"/>
        <v>2.1307126698575184E-241</v>
      </c>
      <c r="S300" s="89">
        <f t="shared" si="41"/>
        <v>1</v>
      </c>
      <c r="T300" s="89" t="str">
        <f t="shared" si="42"/>
        <v>OK</v>
      </c>
      <c r="U300" s="117">
        <f t="shared" si="43"/>
        <v>1</v>
      </c>
      <c r="V300" s="89" t="str">
        <f>IF(G300="","",IF(T300="OK","NONE",INDEX({"S1","S2","W1","W2","N1","N2"},MATCH(MAX(K300:P300),K300:P300,0))))</f>
        <v>NONE</v>
      </c>
      <c r="W300" s="117">
        <f t="shared" si="44"/>
        <v>1</v>
      </c>
      <c r="X300" s="114" t="str">
        <f t="shared" si="45"/>
        <v>CONFIDENT</v>
      </c>
      <c r="Y300" s="107"/>
    </row>
    <row r="301" spans="1:25">
      <c r="A301" s="115">
        <v>292</v>
      </c>
      <c r="B301" s="135">
        <f>'Runs Z-Score'!B294</f>
        <v>10</v>
      </c>
      <c r="C301" s="89" t="str">
        <f>'Runs Z-Score'!C294</f>
        <v>R6</v>
      </c>
      <c r="D301" s="89" t="str">
        <f>'Runs Z-Score'!D294</f>
        <v>OK</v>
      </c>
      <c r="E301" s="89" t="str">
        <f>'Runs Z-Score'!E294</f>
        <v>NONE</v>
      </c>
      <c r="F301" s="89">
        <f>'Runs Z-Score'!F294</f>
        <v>8.59</v>
      </c>
      <c r="G301" s="89">
        <f t="shared" si="37"/>
        <v>9.56</v>
      </c>
      <c r="H301" s="89">
        <v>9.61</v>
      </c>
      <c r="I301" s="89">
        <f>VLOOKUP(C301,Recipes!$A$2:$N$4,12,FALSE())</f>
        <v>6.1509461004819709E-2</v>
      </c>
      <c r="J301" s="89">
        <f t="shared" si="38"/>
        <v>4.9999999999998934E-2</v>
      </c>
      <c r="K301" s="89">
        <f>IF(G301="","",-0.5*((J301-Components!$C$2)/Components!$D$2)^2)</f>
        <v>-83657.495614038387</v>
      </c>
      <c r="L301" s="89">
        <f>IF(G301="","",-0.5*((J301-Components!$C$3)/Components!$D$3)^2)</f>
        <v>-41735.297463769188</v>
      </c>
      <c r="M301" s="89">
        <f>IF(G301="","",-0.5*((J301-Components!$C$4)/Components!$D$4)^2)</f>
        <v>-2277.0401960784416</v>
      </c>
      <c r="N301" s="89">
        <f>IF(G301="","",-0.5*((J301-Components!$C$5)/Components!$D$5)^2)</f>
        <v>-16059.481133671656</v>
      </c>
      <c r="O301" s="89">
        <f>IF(G301="","",-0.5*((J301-Components!$C$6)/Components!$D$6)^2)</f>
        <v>-800.76339155750668</v>
      </c>
      <c r="P301" s="89">
        <f>IF(G301="","",-0.5*((J301-Components!$C$7)/Components!$D$7)^2)</f>
        <v>-1386.8906895715941</v>
      </c>
      <c r="Q301" s="89">
        <f t="shared" si="39"/>
        <v>1</v>
      </c>
      <c r="R301" s="89">
        <f t="shared" si="40"/>
        <v>2.8063948816882376E-255</v>
      </c>
      <c r="S301" s="89">
        <f t="shared" si="41"/>
        <v>1</v>
      </c>
      <c r="T301" s="89" t="str">
        <f t="shared" si="42"/>
        <v>OK</v>
      </c>
      <c r="U301" s="117">
        <f t="shared" si="43"/>
        <v>1</v>
      </c>
      <c r="V301" s="89" t="str">
        <f>IF(G301="","",IF(T301="OK","NONE",INDEX({"S1","S2","W1","W2","N1","N2"},MATCH(MAX(K301:P301),K301:P301,0))))</f>
        <v>NONE</v>
      </c>
      <c r="W301" s="117">
        <f t="shared" si="44"/>
        <v>1</v>
      </c>
      <c r="X301" s="114" t="str">
        <f t="shared" si="45"/>
        <v>CONFIDENT</v>
      </c>
      <c r="Y301" s="107"/>
    </row>
    <row r="302" spans="1:25">
      <c r="A302" s="115">
        <v>293</v>
      </c>
      <c r="B302" s="135">
        <f>'Runs Z-Score'!B295</f>
        <v>10</v>
      </c>
      <c r="C302" s="89" t="str">
        <f>'Runs Z-Score'!C295</f>
        <v>R6</v>
      </c>
      <c r="D302" s="89" t="str">
        <f>'Runs Z-Score'!D295</f>
        <v>OK</v>
      </c>
      <c r="E302" s="89" t="str">
        <f>'Runs Z-Score'!E295</f>
        <v>NONE</v>
      </c>
      <c r="F302" s="89">
        <f>'Runs Z-Score'!F295</f>
        <v>8.64</v>
      </c>
      <c r="G302" s="89">
        <f t="shared" si="37"/>
        <v>9.6100000000000012</v>
      </c>
      <c r="H302" s="89">
        <v>9.61</v>
      </c>
      <c r="I302" s="89">
        <f>VLOOKUP(C302,Recipes!$A$2:$N$4,12,FALSE())</f>
        <v>6.1509461004819709E-2</v>
      </c>
      <c r="J302" s="89">
        <f t="shared" si="38"/>
        <v>-1.7763568394002505E-15</v>
      </c>
      <c r="K302" s="89">
        <f>IF(G302="","",-0.5*((J302-Components!$C$2)/Components!$D$2)^2)</f>
        <v>-86780.719298249096</v>
      </c>
      <c r="L302" s="89">
        <f>IF(G302="","",-0.5*((J302-Components!$C$3)/Components!$D$3)^2)</f>
        <v>-42788.911594204001</v>
      </c>
      <c r="M302" s="89">
        <f>IF(G302="","",-0.5*((J302-Components!$C$4)/Components!$D$4)^2)</f>
        <v>-2524.8196078431515</v>
      </c>
      <c r="N302" s="89">
        <f>IF(G302="","",-0.5*((J302-Components!$C$5)/Components!$D$5)^2)</f>
        <v>-16417.328305535328</v>
      </c>
      <c r="O302" s="89">
        <f>IF(G302="","",-0.5*((J302-Components!$C$6)/Components!$D$6)^2)</f>
        <v>-874.82452692868742</v>
      </c>
      <c r="P302" s="89">
        <f>IF(G302="","",-0.5*((J302-Components!$C$7)/Components!$D$7)^2)</f>
        <v>-1493.5912894625244</v>
      </c>
      <c r="Q302" s="89">
        <f t="shared" si="39"/>
        <v>1</v>
      </c>
      <c r="R302" s="89">
        <f t="shared" si="40"/>
        <v>1.8750352918426328E-269</v>
      </c>
      <c r="S302" s="89">
        <f t="shared" si="41"/>
        <v>1</v>
      </c>
      <c r="T302" s="89" t="str">
        <f t="shared" si="42"/>
        <v>OK</v>
      </c>
      <c r="U302" s="117">
        <f t="shared" si="43"/>
        <v>1</v>
      </c>
      <c r="V302" s="89" t="str">
        <f>IF(G302="","",IF(T302="OK","NONE",INDEX({"S1","S2","W1","W2","N1","N2"},MATCH(MAX(K302:P302),K302:P302,0))))</f>
        <v>NONE</v>
      </c>
      <c r="W302" s="117">
        <f t="shared" si="44"/>
        <v>1</v>
      </c>
      <c r="X302" s="114" t="str">
        <f t="shared" si="45"/>
        <v>CONFIDENT</v>
      </c>
      <c r="Y302" s="107"/>
    </row>
    <row r="303" spans="1:25">
      <c r="A303" s="115">
        <v>294</v>
      </c>
      <c r="B303" s="135">
        <f>'Runs Z-Score'!B296</f>
        <v>10</v>
      </c>
      <c r="C303" s="89" t="str">
        <f>'Runs Z-Score'!C296</f>
        <v>R6</v>
      </c>
      <c r="D303" s="89" t="str">
        <f>'Runs Z-Score'!D296</f>
        <v>OK</v>
      </c>
      <c r="E303" s="89" t="str">
        <f>'Runs Z-Score'!E296</f>
        <v>NONE</v>
      </c>
      <c r="F303" s="89">
        <f>'Runs Z-Score'!F296</f>
        <v>8.64</v>
      </c>
      <c r="G303" s="89">
        <f t="shared" si="37"/>
        <v>9.6100000000000012</v>
      </c>
      <c r="H303" s="89">
        <v>9.61</v>
      </c>
      <c r="I303" s="89">
        <f>VLOOKUP(C303,Recipes!$A$2:$N$4,12,FALSE())</f>
        <v>6.1509461004819709E-2</v>
      </c>
      <c r="J303" s="89">
        <f t="shared" si="38"/>
        <v>-1.7763568394002505E-15</v>
      </c>
      <c r="K303" s="89">
        <f>IF(G303="","",-0.5*((J303-Components!$C$2)/Components!$D$2)^2)</f>
        <v>-86780.719298249096</v>
      </c>
      <c r="L303" s="89">
        <f>IF(G303="","",-0.5*((J303-Components!$C$3)/Components!$D$3)^2)</f>
        <v>-42788.911594204001</v>
      </c>
      <c r="M303" s="89">
        <f>IF(G303="","",-0.5*((J303-Components!$C$4)/Components!$D$4)^2)</f>
        <v>-2524.8196078431515</v>
      </c>
      <c r="N303" s="89">
        <f>IF(G303="","",-0.5*((J303-Components!$C$5)/Components!$D$5)^2)</f>
        <v>-16417.328305535328</v>
      </c>
      <c r="O303" s="89">
        <f>IF(G303="","",-0.5*((J303-Components!$C$6)/Components!$D$6)^2)</f>
        <v>-874.82452692868742</v>
      </c>
      <c r="P303" s="89">
        <f>IF(G303="","",-0.5*((J303-Components!$C$7)/Components!$D$7)^2)</f>
        <v>-1493.5912894625244</v>
      </c>
      <c r="Q303" s="89">
        <f t="shared" si="39"/>
        <v>1</v>
      </c>
      <c r="R303" s="89">
        <f t="shared" si="40"/>
        <v>1.8750352918426328E-269</v>
      </c>
      <c r="S303" s="89">
        <f t="shared" si="41"/>
        <v>1</v>
      </c>
      <c r="T303" s="89" t="str">
        <f t="shared" si="42"/>
        <v>OK</v>
      </c>
      <c r="U303" s="117">
        <f t="shared" si="43"/>
        <v>1</v>
      </c>
      <c r="V303" s="89" t="str">
        <f>IF(G303="","",IF(T303="OK","NONE",INDEX({"S1","S2","W1","W2","N1","N2"},MATCH(MAX(K303:P303),K303:P303,0))))</f>
        <v>NONE</v>
      </c>
      <c r="W303" s="117">
        <f t="shared" si="44"/>
        <v>1</v>
      </c>
      <c r="X303" s="114" t="str">
        <f t="shared" si="45"/>
        <v>CONFIDENT</v>
      </c>
      <c r="Y303" s="107"/>
    </row>
    <row r="304" spans="1:25">
      <c r="A304" s="115">
        <v>295</v>
      </c>
      <c r="B304" s="135">
        <f>'Runs Z-Score'!B297</f>
        <v>10</v>
      </c>
      <c r="C304" s="89" t="str">
        <f>'Runs Z-Score'!C297</f>
        <v>R6</v>
      </c>
      <c r="D304" s="89" t="str">
        <f>'Runs Z-Score'!D297</f>
        <v>OK</v>
      </c>
      <c r="E304" s="89" t="str">
        <f>'Runs Z-Score'!E297</f>
        <v>NONE</v>
      </c>
      <c r="F304" s="89">
        <f>'Runs Z-Score'!F297</f>
        <v>8.68</v>
      </c>
      <c r="G304" s="89">
        <f t="shared" si="37"/>
        <v>9.65</v>
      </c>
      <c r="H304" s="89">
        <v>9.61</v>
      </c>
      <c r="I304" s="89">
        <f>VLOOKUP(C304,Recipes!$A$2:$N$4,12,FALSE())</f>
        <v>6.1509461004819709E-2</v>
      </c>
      <c r="J304" s="89">
        <f t="shared" si="38"/>
        <v>-4.0000000000000924E-2</v>
      </c>
      <c r="K304" s="89">
        <f>IF(G304="","",-0.5*((J304-Components!$C$2)/Components!$D$2)^2)</f>
        <v>-89320.508771933353</v>
      </c>
      <c r="L304" s="89">
        <f>IF(G304="","",-0.5*((J304-Components!$C$3)/Components!$D$3)^2)</f>
        <v>-43641.25942029096</v>
      </c>
      <c r="M304" s="89">
        <f>IF(G304="","",-0.5*((J304-Components!$C$4)/Components!$D$4)^2)</f>
        <v>-2732.254901960795</v>
      </c>
      <c r="N304" s="89">
        <f>IF(G304="","",-0.5*((J304-Components!$C$5)/Components!$D$5)^2)</f>
        <v>-16706.445056804354</v>
      </c>
      <c r="O304" s="89">
        <f>IF(G304="","",-0.5*((J304-Components!$C$6)/Components!$D$6)^2)</f>
        <v>-936.43151382824988</v>
      </c>
      <c r="P304" s="89">
        <f>IF(G304="","",-0.5*((J304-Components!$C$7)/Components!$D$7)^2)</f>
        <v>-1581.7985245106959</v>
      </c>
      <c r="Q304" s="89">
        <f t="shared" si="39"/>
        <v>1</v>
      </c>
      <c r="R304" s="89">
        <f t="shared" si="40"/>
        <v>5.2561585638152368E-281</v>
      </c>
      <c r="S304" s="89">
        <f t="shared" si="41"/>
        <v>1</v>
      </c>
      <c r="T304" s="89" t="str">
        <f t="shared" si="42"/>
        <v>OK</v>
      </c>
      <c r="U304" s="117">
        <f t="shared" si="43"/>
        <v>1</v>
      </c>
      <c r="V304" s="89" t="str">
        <f>IF(G304="","",IF(T304="OK","NONE",INDEX({"S1","S2","W1","W2","N1","N2"},MATCH(MAX(K304:P304),K304:P304,0))))</f>
        <v>NONE</v>
      </c>
      <c r="W304" s="117">
        <f t="shared" si="44"/>
        <v>1</v>
      </c>
      <c r="X304" s="114" t="str">
        <f t="shared" si="45"/>
        <v>CONFIDENT</v>
      </c>
      <c r="Y304" s="107"/>
    </row>
    <row r="305" spans="1:25">
      <c r="A305" s="115">
        <v>296</v>
      </c>
      <c r="B305" s="135">
        <f>'Runs Z-Score'!B298</f>
        <v>10</v>
      </c>
      <c r="C305" s="89" t="str">
        <f>'Runs Z-Score'!C298</f>
        <v>R6</v>
      </c>
      <c r="D305" s="89" t="str">
        <f>'Runs Z-Score'!D298</f>
        <v>OK</v>
      </c>
      <c r="E305" s="89" t="str">
        <f>'Runs Z-Score'!E298</f>
        <v>NONE</v>
      </c>
      <c r="F305" s="89">
        <f>'Runs Z-Score'!F298</f>
        <v>8.66</v>
      </c>
      <c r="G305" s="89">
        <f t="shared" si="37"/>
        <v>9.6300000000000008</v>
      </c>
      <c r="H305" s="89">
        <v>9.61</v>
      </c>
      <c r="I305" s="89">
        <f>VLOOKUP(C305,Recipes!$A$2:$N$4,12,FALSE())</f>
        <v>6.1509461004819709E-2</v>
      </c>
      <c r="J305" s="89">
        <f t="shared" si="38"/>
        <v>-2.000000000000135E-2</v>
      </c>
      <c r="K305" s="89">
        <f>IF(G305="","",-0.5*((J305-Components!$C$2)/Components!$D$2)^2)</f>
        <v>-88046.035087722819</v>
      </c>
      <c r="L305" s="89">
        <f>IF(G305="","",-0.5*((J305-Components!$C$3)/Components!$D$3)^2)</f>
        <v>-43214.034782609808</v>
      </c>
      <c r="M305" s="89">
        <f>IF(G305="","",-0.5*((J305-Components!$C$4)/Components!$D$4)^2)</f>
        <v>-2627.5137254902088</v>
      </c>
      <c r="N305" s="89">
        <f>IF(G305="","",-0.5*((J305-Components!$C$5)/Components!$D$5)^2)</f>
        <v>-16561.571235194493</v>
      </c>
      <c r="O305" s="89">
        <f>IF(G305="","",-0.5*((J305-Components!$C$6)/Components!$D$6)^2)</f>
        <v>-905.36601164484443</v>
      </c>
      <c r="P305" s="89">
        <f>IF(G305="","",-0.5*((J305-Components!$C$7)/Components!$D$7)^2)</f>
        <v>-1537.3786008604513</v>
      </c>
      <c r="Q305" s="89">
        <f t="shared" si="39"/>
        <v>1</v>
      </c>
      <c r="R305" s="89">
        <f t="shared" si="40"/>
        <v>3.3145151640589453E-275</v>
      </c>
      <c r="S305" s="89">
        <f t="shared" si="41"/>
        <v>1</v>
      </c>
      <c r="T305" s="89" t="str">
        <f t="shared" si="42"/>
        <v>OK</v>
      </c>
      <c r="U305" s="117">
        <f t="shared" si="43"/>
        <v>1</v>
      </c>
      <c r="V305" s="89" t="str">
        <f>IF(G305="","",IF(T305="OK","NONE",INDEX({"S1","S2","W1","W2","N1","N2"},MATCH(MAX(K305:P305),K305:P305,0))))</f>
        <v>NONE</v>
      </c>
      <c r="W305" s="117">
        <f t="shared" si="44"/>
        <v>1</v>
      </c>
      <c r="X305" s="114" t="str">
        <f t="shared" si="45"/>
        <v>CONFIDENT</v>
      </c>
      <c r="Y305" s="107"/>
    </row>
    <row r="306" spans="1:25">
      <c r="A306" s="115">
        <v>297</v>
      </c>
      <c r="B306" s="135">
        <f>'Runs Z-Score'!B299</f>
        <v>10</v>
      </c>
      <c r="C306" s="89" t="str">
        <f>'Runs Z-Score'!C299</f>
        <v>R6</v>
      </c>
      <c r="D306" s="89" t="str">
        <f>'Runs Z-Score'!D299</f>
        <v>OK</v>
      </c>
      <c r="E306" s="89" t="str">
        <f>'Runs Z-Score'!E299</f>
        <v>NONE</v>
      </c>
      <c r="F306" s="89">
        <f>'Runs Z-Score'!F299</f>
        <v>8.58</v>
      </c>
      <c r="G306" s="89">
        <f t="shared" si="37"/>
        <v>9.5500000000000007</v>
      </c>
      <c r="H306" s="89">
        <v>9.61</v>
      </c>
      <c r="I306" s="89">
        <f>VLOOKUP(C306,Recipes!$A$2:$N$4,12,FALSE())</f>
        <v>6.1509461004819709E-2</v>
      </c>
      <c r="J306" s="89">
        <f t="shared" si="38"/>
        <v>5.9999999999998721E-2</v>
      </c>
      <c r="K306" s="89">
        <f>IF(G306="","",-0.5*((J306-Components!$C$2)/Components!$D$2)^2)</f>
        <v>-83039.719298248907</v>
      </c>
      <c r="L306" s="89">
        <f>IF(G306="","",-0.5*((J306-Components!$C$3)/Components!$D$3)^2)</f>
        <v>-41526.150724638748</v>
      </c>
      <c r="M306" s="89">
        <f>IF(G306="","",-0.5*((J306-Components!$C$4)/Components!$D$4)^2)</f>
        <v>-2229.0196078431477</v>
      </c>
      <c r="N306" s="89">
        <f>IF(G306="","",-0.5*((J306-Components!$C$5)/Components!$D$5)^2)</f>
        <v>-15988.384868261939</v>
      </c>
      <c r="O306" s="89">
        <f>IF(G306="","",-0.5*((J306-Components!$C$6)/Components!$D$6)^2)</f>
        <v>-786.34417758370773</v>
      </c>
      <c r="P306" s="89">
        <f>IF(G306="","",-0.5*((J306-Components!$C$7)/Components!$D$7)^2)</f>
        <v>-1366.025028782647</v>
      </c>
      <c r="Q306" s="89">
        <f t="shared" si="39"/>
        <v>1</v>
      </c>
      <c r="R306" s="89">
        <f t="shared" si="40"/>
        <v>1.7693145922263675E-252</v>
      </c>
      <c r="S306" s="89">
        <f t="shared" si="41"/>
        <v>1</v>
      </c>
      <c r="T306" s="89" t="str">
        <f t="shared" si="42"/>
        <v>OK</v>
      </c>
      <c r="U306" s="117">
        <f t="shared" si="43"/>
        <v>1</v>
      </c>
      <c r="V306" s="89" t="str">
        <f>IF(G306="","",IF(T306="OK","NONE",INDEX({"S1","S2","W1","W2","N1","N2"},MATCH(MAX(K306:P306),K306:P306,0))))</f>
        <v>NONE</v>
      </c>
      <c r="W306" s="117">
        <f t="shared" si="44"/>
        <v>1</v>
      </c>
      <c r="X306" s="114" t="str">
        <f t="shared" si="45"/>
        <v>CONFIDENT</v>
      </c>
      <c r="Y306" s="107"/>
    </row>
    <row r="307" spans="1:25">
      <c r="A307" s="115">
        <v>298</v>
      </c>
      <c r="B307" s="135">
        <f>'Runs Z-Score'!B300</f>
        <v>10</v>
      </c>
      <c r="C307" s="89" t="str">
        <f>'Runs Z-Score'!C300</f>
        <v>R6</v>
      </c>
      <c r="D307" s="89" t="str">
        <f>'Runs Z-Score'!D300</f>
        <v>OK</v>
      </c>
      <c r="E307" s="89" t="str">
        <f>'Runs Z-Score'!E300</f>
        <v>NONE</v>
      </c>
      <c r="F307" s="89">
        <f>'Runs Z-Score'!F300</f>
        <v>8.6300000000000008</v>
      </c>
      <c r="G307" s="89">
        <f t="shared" si="37"/>
        <v>9.6000000000000014</v>
      </c>
      <c r="H307" s="89">
        <v>9.61</v>
      </c>
      <c r="I307" s="89">
        <f>VLOOKUP(C307,Recipes!$A$2:$N$4,12,FALSE())</f>
        <v>6.1509461004819709E-2</v>
      </c>
      <c r="J307" s="89">
        <f t="shared" si="38"/>
        <v>9.9999999999980105E-3</v>
      </c>
      <c r="K307" s="89">
        <f>IF(G307="","",-0.5*((J307-Components!$C$2)/Components!$D$2)^2)</f>
        <v>-86151.495614038548</v>
      </c>
      <c r="L307" s="89">
        <f>IF(G307="","",-0.5*((J307-Components!$C$3)/Components!$D$3)^2)</f>
        <v>-42577.138043479361</v>
      </c>
      <c r="M307" s="89">
        <f>IF(G307="","",-0.5*((J307-Components!$C$4)/Components!$D$4)^2)</f>
        <v>-2474.2401960784468</v>
      </c>
      <c r="N307" s="89">
        <f>IF(G307="","",-0.5*((J307-Components!$C$5)/Components!$D$5)^2)</f>
        <v>-16345.44342518725</v>
      </c>
      <c r="O307" s="89">
        <f>IF(G307="","",-0.5*((J307-Components!$C$6)/Components!$D$6)^2)</f>
        <v>-859.75029112082746</v>
      </c>
      <c r="P307" s="89">
        <f>IF(G307="","",-0.5*((J307-Components!$C$7)/Components!$D$7)^2)</f>
        <v>-1471.9348633581801</v>
      </c>
      <c r="Q307" s="89">
        <f t="shared" si="39"/>
        <v>1</v>
      </c>
      <c r="R307" s="89">
        <f t="shared" si="40"/>
        <v>1.3539990854727122E-266</v>
      </c>
      <c r="S307" s="89">
        <f t="shared" si="41"/>
        <v>1</v>
      </c>
      <c r="T307" s="89" t="str">
        <f t="shared" si="42"/>
        <v>OK</v>
      </c>
      <c r="U307" s="117">
        <f t="shared" si="43"/>
        <v>1</v>
      </c>
      <c r="V307" s="89" t="str">
        <f>IF(G307="","",IF(T307="OK","NONE",INDEX({"S1","S2","W1","W2","N1","N2"},MATCH(MAX(K307:P307),K307:P307,0))))</f>
        <v>NONE</v>
      </c>
      <c r="W307" s="117">
        <f t="shared" si="44"/>
        <v>1</v>
      </c>
      <c r="X307" s="114" t="str">
        <f t="shared" si="45"/>
        <v>CONFIDENT</v>
      </c>
      <c r="Y307" s="107"/>
    </row>
    <row r="308" spans="1:25">
      <c r="A308" s="115">
        <v>299</v>
      </c>
      <c r="B308" s="135">
        <f>'Runs Z-Score'!B301</f>
        <v>10</v>
      </c>
      <c r="C308" s="89" t="str">
        <f>'Runs Z-Score'!C301</f>
        <v>R6</v>
      </c>
      <c r="D308" s="89" t="str">
        <f>'Runs Z-Score'!D301</f>
        <v>OK</v>
      </c>
      <c r="E308" s="89" t="str">
        <f>'Runs Z-Score'!E301</f>
        <v>NONE</v>
      </c>
      <c r="F308" s="89">
        <f>'Runs Z-Score'!F301</f>
        <v>8.6199999999999992</v>
      </c>
      <c r="G308" s="89">
        <f t="shared" si="37"/>
        <v>9.59</v>
      </c>
      <c r="H308" s="89">
        <v>9.61</v>
      </c>
      <c r="I308" s="89">
        <f>VLOOKUP(C308,Recipes!$A$2:$N$4,12,FALSE())</f>
        <v>6.1509461004819709E-2</v>
      </c>
      <c r="J308" s="89">
        <f t="shared" si="38"/>
        <v>1.9999999999999574E-2</v>
      </c>
      <c r="K308" s="89">
        <f>IF(G308="","",-0.5*((J308-Components!$C$2)/Components!$D$2)^2)</f>
        <v>-85524.561403512125</v>
      </c>
      <c r="L308" s="89">
        <f>IF(G308="","",-0.5*((J308-Components!$C$3)/Components!$D$3)^2)</f>
        <v>-42365.889855073525</v>
      </c>
      <c r="M308" s="89">
        <f>IF(G308="","",-0.5*((J308-Components!$C$4)/Components!$D$4)^2)</f>
        <v>-2424.172549019615</v>
      </c>
      <c r="N308" s="89">
        <f>IF(G308="","",-0.5*((J308-Components!$C$5)/Components!$D$5)^2)</f>
        <v>-16273.716267826834</v>
      </c>
      <c r="O308" s="89">
        <f>IF(G308="","",-0.5*((J308-Components!$C$6)/Components!$D$6)^2)</f>
        <v>-844.80705967977678</v>
      </c>
      <c r="P308" s="89">
        <f>IF(G308="","",-0.5*((J308-Components!$C$7)/Components!$D$7)^2)</f>
        <v>-1450.4365903169119</v>
      </c>
      <c r="Q308" s="89">
        <f t="shared" si="39"/>
        <v>1</v>
      </c>
      <c r="R308" s="89">
        <f t="shared" si="40"/>
        <v>9.5156129051036305E-264</v>
      </c>
      <c r="S308" s="89">
        <f t="shared" si="41"/>
        <v>1</v>
      </c>
      <c r="T308" s="89" t="str">
        <f t="shared" si="42"/>
        <v>OK</v>
      </c>
      <c r="U308" s="117">
        <f t="shared" si="43"/>
        <v>1</v>
      </c>
      <c r="V308" s="89" t="str">
        <f>IF(G308="","",IF(T308="OK","NONE",INDEX({"S1","S2","W1","W2","N1","N2"},MATCH(MAX(K308:P308),K308:P308,0))))</f>
        <v>NONE</v>
      </c>
      <c r="W308" s="117">
        <f t="shared" si="44"/>
        <v>1</v>
      </c>
      <c r="X308" s="114" t="str">
        <f t="shared" si="45"/>
        <v>CONFIDENT</v>
      </c>
      <c r="Y308" s="107"/>
    </row>
    <row r="309" spans="1:25">
      <c r="A309" s="115">
        <v>300</v>
      </c>
      <c r="B309" s="135">
        <f>'Runs Z-Score'!B302</f>
        <v>10</v>
      </c>
      <c r="C309" s="89" t="str">
        <f>'Runs Z-Score'!C302</f>
        <v>R6</v>
      </c>
      <c r="D309" s="89" t="str">
        <f>'Runs Z-Score'!D302</f>
        <v>OK</v>
      </c>
      <c r="E309" s="89" t="str">
        <f>'Runs Z-Score'!E302</f>
        <v>NONE</v>
      </c>
      <c r="F309" s="89">
        <f>'Runs Z-Score'!F302</f>
        <v>8.58</v>
      </c>
      <c r="G309" s="89">
        <f t="shared" si="37"/>
        <v>9.5500000000000007</v>
      </c>
      <c r="H309" s="89">
        <v>9.61</v>
      </c>
      <c r="I309" s="89">
        <f>VLOOKUP(C309,Recipes!$A$2:$N$4,12,FALSE())</f>
        <v>6.1509461004819709E-2</v>
      </c>
      <c r="J309" s="89">
        <f t="shared" si="38"/>
        <v>5.9999999999998721E-2</v>
      </c>
      <c r="K309" s="89">
        <f>IF(G309="","",-0.5*((J309-Components!$C$2)/Components!$D$2)^2)</f>
        <v>-83039.719298248907</v>
      </c>
      <c r="L309" s="89">
        <f>IF(G309="","",-0.5*((J309-Components!$C$3)/Components!$D$3)^2)</f>
        <v>-41526.150724638748</v>
      </c>
      <c r="M309" s="89">
        <f>IF(G309="","",-0.5*((J309-Components!$C$4)/Components!$D$4)^2)</f>
        <v>-2229.0196078431477</v>
      </c>
      <c r="N309" s="89">
        <f>IF(G309="","",-0.5*((J309-Components!$C$5)/Components!$D$5)^2)</f>
        <v>-15988.384868261939</v>
      </c>
      <c r="O309" s="89">
        <f>IF(G309="","",-0.5*((J309-Components!$C$6)/Components!$D$6)^2)</f>
        <v>-786.34417758370773</v>
      </c>
      <c r="P309" s="89">
        <f>IF(G309="","",-0.5*((J309-Components!$C$7)/Components!$D$7)^2)</f>
        <v>-1366.025028782647</v>
      </c>
      <c r="Q309" s="89">
        <f t="shared" si="39"/>
        <v>1</v>
      </c>
      <c r="R309" s="89">
        <f t="shared" si="40"/>
        <v>1.7693145922263675E-252</v>
      </c>
      <c r="S309" s="89">
        <f t="shared" si="41"/>
        <v>1</v>
      </c>
      <c r="T309" s="89" t="str">
        <f t="shared" si="42"/>
        <v>OK</v>
      </c>
      <c r="U309" s="117">
        <f t="shared" si="43"/>
        <v>1</v>
      </c>
      <c r="V309" s="89" t="str">
        <f>IF(G309="","",IF(T309="OK","NONE",INDEX({"S1","S2","W1","W2","N1","N2"},MATCH(MAX(K309:P309),K309:P309,0))))</f>
        <v>NONE</v>
      </c>
      <c r="W309" s="117">
        <f t="shared" si="44"/>
        <v>1</v>
      </c>
      <c r="X309" s="114" t="str">
        <f t="shared" si="45"/>
        <v>CONFIDENT</v>
      </c>
      <c r="Y309" s="107"/>
    </row>
    <row r="310" spans="1:25">
      <c r="A310" s="115">
        <v>301</v>
      </c>
      <c r="B310" s="135">
        <f>'Runs Z-Score'!B303</f>
        <v>11</v>
      </c>
      <c r="C310" s="89" t="str">
        <f>'Runs Z-Score'!C303</f>
        <v>R6</v>
      </c>
      <c r="D310" s="89" t="str">
        <f>'Runs Z-Score'!D303</f>
        <v>NG</v>
      </c>
      <c r="E310" s="89" t="str">
        <f>'Runs Z-Score'!E303</f>
        <v>S1</v>
      </c>
      <c r="F310" s="89">
        <f>'Runs Z-Score'!F303</f>
        <v>5.89</v>
      </c>
      <c r="G310" s="89">
        <f t="shared" si="37"/>
        <v>6.8599999999999994</v>
      </c>
      <c r="H310" s="89">
        <v>9.61</v>
      </c>
      <c r="I310" s="89">
        <f>VLOOKUP(C310,Recipes!$A$2:$N$4,12,FALSE())</f>
        <v>6.1509461004819709E-2</v>
      </c>
      <c r="J310" s="89">
        <f t="shared" si="38"/>
        <v>2.75</v>
      </c>
      <c r="K310" s="89">
        <f>IF(G310="","",-0.5*((J310-Components!$C$2)/Components!$D$2)^2)</f>
        <v>-0.12719298245588034</v>
      </c>
      <c r="L310" s="89">
        <f>IF(G310="","",-0.5*((J310-Components!$C$3)/Components!$D$3)^2)</f>
        <v>-4344.2105072464838</v>
      </c>
      <c r="M310" s="89">
        <f>IF(G310="","",-0.5*((J310-Components!$C$4)/Components!$D$4)^2)</f>
        <v>-7896.2166666666935</v>
      </c>
      <c r="N310" s="89">
        <f>IF(G310="","",-0.5*((J310-Components!$C$5)/Components!$D$5)^2)</f>
        <v>-2591.1997703649904</v>
      </c>
      <c r="O310" s="89">
        <f>IF(G310="","",-0.5*((J310-Components!$C$6)/Components!$D$6)^2)</f>
        <v>-1664.9991994177599</v>
      </c>
      <c r="P310" s="89">
        <f>IF(G310="","",-0.5*((J310-Components!$C$7)/Components!$D$7)^2)</f>
        <v>-1496.4907622856579</v>
      </c>
      <c r="Q310" s="89">
        <f t="shared" si="39"/>
        <v>1</v>
      </c>
      <c r="R310" s="89">
        <f t="shared" si="40"/>
        <v>0</v>
      </c>
      <c r="S310" s="89">
        <f t="shared" si="41"/>
        <v>1</v>
      </c>
      <c r="T310" s="89" t="str">
        <f t="shared" si="42"/>
        <v>NG</v>
      </c>
      <c r="U310" s="117">
        <f t="shared" si="43"/>
        <v>1</v>
      </c>
      <c r="V310" s="89" t="str">
        <f>IF(G310="","",IF(T310="OK","NONE",INDEX({"S1","S2","W1","W2","N1","N2"},MATCH(MAX(K310:P310),K310:P310,0))))</f>
        <v>S1</v>
      </c>
      <c r="W310" s="117">
        <f t="shared" si="44"/>
        <v>1</v>
      </c>
      <c r="X310" s="114" t="str">
        <f t="shared" si="45"/>
        <v>CONFIDENT</v>
      </c>
      <c r="Y310" s="107"/>
    </row>
    <row r="311" spans="1:25">
      <c r="A311" s="115">
        <v>302</v>
      </c>
      <c r="B311" s="135">
        <f>'Runs Z-Score'!B304</f>
        <v>11</v>
      </c>
      <c r="C311" s="89" t="str">
        <f>'Runs Z-Score'!C304</f>
        <v>R6</v>
      </c>
      <c r="D311" s="89" t="str">
        <f>'Runs Z-Score'!D304</f>
        <v>NG</v>
      </c>
      <c r="E311" s="89" t="str">
        <f>'Runs Z-Score'!E304</f>
        <v>S1</v>
      </c>
      <c r="F311" s="89">
        <f>'Runs Z-Score'!F304</f>
        <v>5.89</v>
      </c>
      <c r="G311" s="89">
        <f t="shared" si="37"/>
        <v>6.8599999999999994</v>
      </c>
      <c r="H311" s="89">
        <v>9.61</v>
      </c>
      <c r="I311" s="89">
        <f>VLOOKUP(C311,Recipes!$A$2:$N$4,12,FALSE())</f>
        <v>6.1509461004819709E-2</v>
      </c>
      <c r="J311" s="89">
        <f t="shared" si="38"/>
        <v>2.75</v>
      </c>
      <c r="K311" s="89">
        <f>IF(G311="","",-0.5*((J311-Components!$C$2)/Components!$D$2)^2)</f>
        <v>-0.12719298245588034</v>
      </c>
      <c r="L311" s="89">
        <f>IF(G311="","",-0.5*((J311-Components!$C$3)/Components!$D$3)^2)</f>
        <v>-4344.2105072464838</v>
      </c>
      <c r="M311" s="89">
        <f>IF(G311="","",-0.5*((J311-Components!$C$4)/Components!$D$4)^2)</f>
        <v>-7896.2166666666935</v>
      </c>
      <c r="N311" s="89">
        <f>IF(G311="","",-0.5*((J311-Components!$C$5)/Components!$D$5)^2)</f>
        <v>-2591.1997703649904</v>
      </c>
      <c r="O311" s="89">
        <f>IF(G311="","",-0.5*((J311-Components!$C$6)/Components!$D$6)^2)</f>
        <v>-1664.9991994177599</v>
      </c>
      <c r="P311" s="89">
        <f>IF(G311="","",-0.5*((J311-Components!$C$7)/Components!$D$7)^2)</f>
        <v>-1496.4907622856579</v>
      </c>
      <c r="Q311" s="89">
        <f t="shared" si="39"/>
        <v>1</v>
      </c>
      <c r="R311" s="89">
        <f t="shared" si="40"/>
        <v>0</v>
      </c>
      <c r="S311" s="89">
        <f t="shared" si="41"/>
        <v>1</v>
      </c>
      <c r="T311" s="89" t="str">
        <f t="shared" si="42"/>
        <v>NG</v>
      </c>
      <c r="U311" s="117">
        <f t="shared" si="43"/>
        <v>1</v>
      </c>
      <c r="V311" s="89" t="str">
        <f>IF(G311="","",IF(T311="OK","NONE",INDEX({"S1","S2","W1","W2","N1","N2"},MATCH(MAX(K311:P311),K311:P311,0))))</f>
        <v>S1</v>
      </c>
      <c r="W311" s="117">
        <f t="shared" si="44"/>
        <v>1</v>
      </c>
      <c r="X311" s="114" t="str">
        <f t="shared" si="45"/>
        <v>CONFIDENT</v>
      </c>
      <c r="Y311" s="107"/>
    </row>
    <row r="312" spans="1:25">
      <c r="A312" s="115">
        <v>303</v>
      </c>
      <c r="B312" s="135">
        <f>'Runs Z-Score'!B305</f>
        <v>11</v>
      </c>
      <c r="C312" s="89" t="str">
        <f>'Runs Z-Score'!C305</f>
        <v>R6</v>
      </c>
      <c r="D312" s="89" t="str">
        <f>'Runs Z-Score'!D305</f>
        <v>NG</v>
      </c>
      <c r="E312" s="89" t="str">
        <f>'Runs Z-Score'!E305</f>
        <v>S1</v>
      </c>
      <c r="F312" s="89">
        <f>'Runs Z-Score'!F305</f>
        <v>5.9</v>
      </c>
      <c r="G312" s="89">
        <f t="shared" si="37"/>
        <v>6.87</v>
      </c>
      <c r="H312" s="89">
        <v>9.61</v>
      </c>
      <c r="I312" s="89">
        <f>VLOOKUP(C312,Recipes!$A$2:$N$4,12,FALSE())</f>
        <v>6.1509461004819709E-2</v>
      </c>
      <c r="J312" s="89">
        <f t="shared" si="38"/>
        <v>2.7399999999999993</v>
      </c>
      <c r="K312" s="89">
        <f>IF(G312="","",-0.5*((J312-Components!$C$2)/Components!$D$2)^2)</f>
        <v>-2.0350877192974752</v>
      </c>
      <c r="L312" s="89">
        <f>IF(G312="","",-0.5*((J312-Components!$C$3)/Components!$D$3)^2)</f>
        <v>-4412.0347826088091</v>
      </c>
      <c r="M312" s="89">
        <f>IF(G312="","",-0.5*((J312-Components!$C$4)/Components!$D$4)^2)</f>
        <v>-7806.5725490196282</v>
      </c>
      <c r="N312" s="89">
        <f>IF(G312="","",-0.5*((J312-Components!$C$5)/Components!$D$5)^2)</f>
        <v>-2619.8685520908793</v>
      </c>
      <c r="O312" s="89">
        <f>IF(G312="","",-0.5*((J312-Components!$C$6)/Components!$D$6)^2)</f>
        <v>-1644.1782387190685</v>
      </c>
      <c r="P312" s="89">
        <f>IF(G312="","",-0.5*((J312-Components!$C$7)/Components!$D$7)^2)</f>
        <v>-1474.8132491062343</v>
      </c>
      <c r="Q312" s="89">
        <f t="shared" si="39"/>
        <v>1</v>
      </c>
      <c r="R312" s="89">
        <f t="shared" si="40"/>
        <v>0</v>
      </c>
      <c r="S312" s="89">
        <f t="shared" si="41"/>
        <v>1</v>
      </c>
      <c r="T312" s="89" t="str">
        <f t="shared" si="42"/>
        <v>NG</v>
      </c>
      <c r="U312" s="117">
        <f t="shared" si="43"/>
        <v>1</v>
      </c>
      <c r="V312" s="89" t="str">
        <f>IF(G312="","",IF(T312="OK","NONE",INDEX({"S1","S2","W1","W2","N1","N2"},MATCH(MAX(K312:P312),K312:P312,0))))</f>
        <v>S1</v>
      </c>
      <c r="W312" s="117">
        <f t="shared" si="44"/>
        <v>1</v>
      </c>
      <c r="X312" s="114" t="str">
        <f t="shared" si="45"/>
        <v>CONFIDENT</v>
      </c>
      <c r="Y312" s="107"/>
    </row>
    <row r="313" spans="1:25">
      <c r="A313" s="115">
        <v>304</v>
      </c>
      <c r="B313" s="135">
        <f>'Runs Z-Score'!B306</f>
        <v>11</v>
      </c>
      <c r="C313" s="89" t="str">
        <f>'Runs Z-Score'!C306</f>
        <v>R6</v>
      </c>
      <c r="D313" s="89" t="str">
        <f>'Runs Z-Score'!D306</f>
        <v>NG</v>
      </c>
      <c r="E313" s="89" t="str">
        <f>'Runs Z-Score'!E306</f>
        <v>S1</v>
      </c>
      <c r="F313" s="89">
        <f>'Runs Z-Score'!F306</f>
        <v>5.88</v>
      </c>
      <c r="G313" s="89">
        <f t="shared" si="37"/>
        <v>6.85</v>
      </c>
      <c r="H313" s="89">
        <v>9.61</v>
      </c>
      <c r="I313" s="89">
        <f>VLOOKUP(C313,Recipes!$A$2:$N$4,12,FALSE())</f>
        <v>6.1509461004819709E-2</v>
      </c>
      <c r="J313" s="89">
        <f t="shared" si="38"/>
        <v>2.76</v>
      </c>
      <c r="K313" s="89">
        <f>IF(G313="","",-0.5*((J313-Components!$C$2)/Components!$D$2)^2)</f>
        <v>-0.50877192982508035</v>
      </c>
      <c r="L313" s="89">
        <f>IF(G313="","",-0.5*((J313-Components!$C$3)/Components!$D$3)^2)</f>
        <v>-4276.9115942030048</v>
      </c>
      <c r="M313" s="89">
        <f>IF(G313="","",-0.5*((J313-Components!$C$4)/Components!$D$4)^2)</f>
        <v>-7986.3725490196339</v>
      </c>
      <c r="N313" s="89">
        <f>IF(G313="","",-0.5*((J313-Components!$C$5)/Components!$D$5)^2)</f>
        <v>-2562.6887116267744</v>
      </c>
      <c r="O313" s="89">
        <f>IF(G313="","",-0.5*((J313-Components!$C$6)/Components!$D$6)^2)</f>
        <v>-1685.9511644832617</v>
      </c>
      <c r="P313" s="89">
        <f>IF(G313="","",-0.5*((J313-Components!$C$7)/Components!$D$7)^2)</f>
        <v>-1518.3264285281589</v>
      </c>
      <c r="Q313" s="89">
        <f t="shared" si="39"/>
        <v>1</v>
      </c>
      <c r="R313" s="89">
        <f t="shared" si="40"/>
        <v>0</v>
      </c>
      <c r="S313" s="89">
        <f t="shared" si="41"/>
        <v>1</v>
      </c>
      <c r="T313" s="89" t="str">
        <f t="shared" si="42"/>
        <v>NG</v>
      </c>
      <c r="U313" s="117">
        <f t="shared" si="43"/>
        <v>1</v>
      </c>
      <c r="V313" s="89" t="str">
        <f>IF(G313="","",IF(T313="OK","NONE",INDEX({"S1","S2","W1","W2","N1","N2"},MATCH(MAX(K313:P313),K313:P313,0))))</f>
        <v>S1</v>
      </c>
      <c r="W313" s="117">
        <f t="shared" si="44"/>
        <v>1</v>
      </c>
      <c r="X313" s="114" t="str">
        <f t="shared" si="45"/>
        <v>CONFIDENT</v>
      </c>
      <c r="Y313" s="107"/>
    </row>
    <row r="314" spans="1:25">
      <c r="A314" s="115">
        <v>305</v>
      </c>
      <c r="B314" s="135">
        <f>'Runs Z-Score'!B307</f>
        <v>11</v>
      </c>
      <c r="C314" s="89" t="str">
        <f>'Runs Z-Score'!C307</f>
        <v>R6</v>
      </c>
      <c r="D314" s="89" t="str">
        <f>'Runs Z-Score'!D307</f>
        <v>NG</v>
      </c>
      <c r="E314" s="89" t="str">
        <f>'Runs Z-Score'!E307</f>
        <v>S1</v>
      </c>
      <c r="F314" s="89">
        <f>'Runs Z-Score'!F307</f>
        <v>5.91</v>
      </c>
      <c r="G314" s="89">
        <f t="shared" si="37"/>
        <v>6.88</v>
      </c>
      <c r="H314" s="89">
        <v>9.61</v>
      </c>
      <c r="I314" s="89">
        <f>VLOOKUP(C314,Recipes!$A$2:$N$4,12,FALSE())</f>
        <v>6.1509461004819709E-2</v>
      </c>
      <c r="J314" s="89">
        <f t="shared" si="38"/>
        <v>2.7299999999999995</v>
      </c>
      <c r="K314" s="89">
        <f>IF(G314="","",-0.5*((J314-Components!$C$2)/Components!$D$2)^2)</f>
        <v>-6.2324561403495249</v>
      </c>
      <c r="L314" s="89">
        <f>IF(G314="","",-0.5*((J314-Components!$C$3)/Components!$D$3)^2)</f>
        <v>-4480.3844202899681</v>
      </c>
      <c r="M314" s="89">
        <f>IF(G314="","",-0.5*((J314-Components!$C$4)/Components!$D$4)^2)</f>
        <v>-7717.4401960784544</v>
      </c>
      <c r="N314" s="89">
        <f>IF(G314="","",-0.5*((J314-Components!$C$5)/Components!$D$5)^2)</f>
        <v>-2648.6950568044399</v>
      </c>
      <c r="O314" s="89">
        <f>IF(G314="","",-0.5*((J314-Components!$C$6)/Components!$D$6)^2)</f>
        <v>-1623.4882823871912</v>
      </c>
      <c r="P314" s="89">
        <f>IF(G314="","",-0.5*((J314-Components!$C$7)/Components!$D$7)^2)</f>
        <v>-1453.2938889898921</v>
      </c>
      <c r="Q314" s="89">
        <f t="shared" si="39"/>
        <v>1</v>
      </c>
      <c r="R314" s="89">
        <f t="shared" si="40"/>
        <v>0</v>
      </c>
      <c r="S314" s="89">
        <f t="shared" si="41"/>
        <v>1</v>
      </c>
      <c r="T314" s="89" t="str">
        <f t="shared" si="42"/>
        <v>NG</v>
      </c>
      <c r="U314" s="117">
        <f t="shared" si="43"/>
        <v>1</v>
      </c>
      <c r="V314" s="89" t="str">
        <f>IF(G314="","",IF(T314="OK","NONE",INDEX({"S1","S2","W1","W2","N1","N2"},MATCH(MAX(K314:P314),K314:P314,0))))</f>
        <v>S1</v>
      </c>
      <c r="W314" s="117">
        <f t="shared" si="44"/>
        <v>1</v>
      </c>
      <c r="X314" s="114" t="str">
        <f t="shared" si="45"/>
        <v>CONFIDENT</v>
      </c>
      <c r="Y314" s="107"/>
    </row>
    <row r="315" spans="1:25">
      <c r="A315" s="115">
        <v>306</v>
      </c>
      <c r="B315" s="135">
        <f>'Runs Z-Score'!B308</f>
        <v>11</v>
      </c>
      <c r="C315" s="89" t="str">
        <f>'Runs Z-Score'!C308</f>
        <v>R6</v>
      </c>
      <c r="D315" s="89" t="str">
        <f>'Runs Z-Score'!D308</f>
        <v>NG</v>
      </c>
      <c r="E315" s="89" t="str">
        <f>'Runs Z-Score'!E308</f>
        <v>S1</v>
      </c>
      <c r="F315" s="89">
        <f>'Runs Z-Score'!F308</f>
        <v>5.86</v>
      </c>
      <c r="G315" s="89">
        <f t="shared" si="37"/>
        <v>6.83</v>
      </c>
      <c r="H315" s="89">
        <v>9.61</v>
      </c>
      <c r="I315" s="89">
        <f>VLOOKUP(C315,Recipes!$A$2:$N$4,12,FALSE())</f>
        <v>6.1509461004819709E-2</v>
      </c>
      <c r="J315" s="89">
        <f t="shared" si="38"/>
        <v>2.7799999999999994</v>
      </c>
      <c r="K315" s="89">
        <f>IF(G315="","",-0.5*((J315-Components!$C$2)/Components!$D$2)^2)</f>
        <v>-8.1403508771950506</v>
      </c>
      <c r="L315" s="89">
        <f>IF(G315="","",-0.5*((J315-Components!$C$3)/Components!$D$3)^2)</f>
        <v>-4143.8898550725698</v>
      </c>
      <c r="M315" s="89">
        <f>IF(G315="","",-0.5*((J315-Components!$C$4)/Components!$D$4)^2)</f>
        <v>-8168.2196078431598</v>
      </c>
      <c r="N315" s="89">
        <f>IF(G315="","",-0.5*((J315-Components!$C$5)/Components!$D$5)^2)</f>
        <v>-2506.1397631133605</v>
      </c>
      <c r="O315" s="89">
        <f>IF(G315="","",-0.5*((J315-Components!$C$6)/Components!$D$6)^2)</f>
        <v>-1728.248107714702</v>
      </c>
      <c r="P315" s="89">
        <f>IF(G315="","",-0.5*((J315-Components!$C$7)/Components!$D$7)^2)</f>
        <v>-1562.4722202023993</v>
      </c>
      <c r="Q315" s="89">
        <f t="shared" si="39"/>
        <v>1</v>
      </c>
      <c r="R315" s="89">
        <f t="shared" si="40"/>
        <v>0</v>
      </c>
      <c r="S315" s="89">
        <f t="shared" si="41"/>
        <v>1</v>
      </c>
      <c r="T315" s="89" t="str">
        <f t="shared" si="42"/>
        <v>NG</v>
      </c>
      <c r="U315" s="117">
        <f t="shared" si="43"/>
        <v>1</v>
      </c>
      <c r="V315" s="89" t="str">
        <f>IF(G315="","",IF(T315="OK","NONE",INDEX({"S1","S2","W1","W2","N1","N2"},MATCH(MAX(K315:P315),K315:P315,0))))</f>
        <v>S1</v>
      </c>
      <c r="W315" s="117">
        <f t="shared" si="44"/>
        <v>1</v>
      </c>
      <c r="X315" s="114" t="str">
        <f t="shared" si="45"/>
        <v>CONFIDENT</v>
      </c>
      <c r="Y315" s="107"/>
    </row>
    <row r="316" spans="1:25">
      <c r="A316" s="115">
        <v>307</v>
      </c>
      <c r="B316" s="135">
        <f>'Runs Z-Score'!B309</f>
        <v>11</v>
      </c>
      <c r="C316" s="89" t="str">
        <f>'Runs Z-Score'!C309</f>
        <v>R6</v>
      </c>
      <c r="D316" s="89" t="str">
        <f>'Runs Z-Score'!D309</f>
        <v>NG</v>
      </c>
      <c r="E316" s="89" t="str">
        <f>'Runs Z-Score'!E309</f>
        <v>S1</v>
      </c>
      <c r="F316" s="89">
        <f>'Runs Z-Score'!F309</f>
        <v>5.9</v>
      </c>
      <c r="G316" s="89">
        <f t="shared" si="37"/>
        <v>6.87</v>
      </c>
      <c r="H316" s="89">
        <v>9.61</v>
      </c>
      <c r="I316" s="89">
        <f>VLOOKUP(C316,Recipes!$A$2:$N$4,12,FALSE())</f>
        <v>6.1509461004819709E-2</v>
      </c>
      <c r="J316" s="89">
        <f t="shared" si="38"/>
        <v>2.7399999999999993</v>
      </c>
      <c r="K316" s="89">
        <f>IF(G316="","",-0.5*((J316-Components!$C$2)/Components!$D$2)^2)</f>
        <v>-2.0350877192974752</v>
      </c>
      <c r="L316" s="89">
        <f>IF(G316="","",-0.5*((J316-Components!$C$3)/Components!$D$3)^2)</f>
        <v>-4412.0347826088091</v>
      </c>
      <c r="M316" s="89">
        <f>IF(G316="","",-0.5*((J316-Components!$C$4)/Components!$D$4)^2)</f>
        <v>-7806.5725490196282</v>
      </c>
      <c r="N316" s="89">
        <f>IF(G316="","",-0.5*((J316-Components!$C$5)/Components!$D$5)^2)</f>
        <v>-2619.8685520908793</v>
      </c>
      <c r="O316" s="89">
        <f>IF(G316="","",-0.5*((J316-Components!$C$6)/Components!$D$6)^2)</f>
        <v>-1644.1782387190685</v>
      </c>
      <c r="P316" s="89">
        <f>IF(G316="","",-0.5*((J316-Components!$C$7)/Components!$D$7)^2)</f>
        <v>-1474.8132491062343</v>
      </c>
      <c r="Q316" s="89">
        <f t="shared" si="39"/>
        <v>1</v>
      </c>
      <c r="R316" s="89">
        <f t="shared" si="40"/>
        <v>0</v>
      </c>
      <c r="S316" s="89">
        <f t="shared" si="41"/>
        <v>1</v>
      </c>
      <c r="T316" s="89" t="str">
        <f t="shared" si="42"/>
        <v>NG</v>
      </c>
      <c r="U316" s="117">
        <f t="shared" si="43"/>
        <v>1</v>
      </c>
      <c r="V316" s="89" t="str">
        <f>IF(G316="","",IF(T316="OK","NONE",INDEX({"S1","S2","W1","W2","N1","N2"},MATCH(MAX(K316:P316),K316:P316,0))))</f>
        <v>S1</v>
      </c>
      <c r="W316" s="117">
        <f t="shared" si="44"/>
        <v>1</v>
      </c>
      <c r="X316" s="114" t="str">
        <f t="shared" si="45"/>
        <v>CONFIDENT</v>
      </c>
      <c r="Y316" s="107"/>
    </row>
    <row r="317" spans="1:25">
      <c r="A317" s="115">
        <v>308</v>
      </c>
      <c r="B317" s="135">
        <f>'Runs Z-Score'!B310</f>
        <v>11</v>
      </c>
      <c r="C317" s="89" t="str">
        <f>'Runs Z-Score'!C310</f>
        <v>R6</v>
      </c>
      <c r="D317" s="89" t="str">
        <f>'Runs Z-Score'!D310</f>
        <v>NG</v>
      </c>
      <c r="E317" s="89" t="str">
        <f>'Runs Z-Score'!E310</f>
        <v>S1</v>
      </c>
      <c r="F317" s="89">
        <f>'Runs Z-Score'!F310</f>
        <v>5.8</v>
      </c>
      <c r="G317" s="89">
        <f t="shared" si="37"/>
        <v>6.77</v>
      </c>
      <c r="H317" s="89">
        <v>9.61</v>
      </c>
      <c r="I317" s="89">
        <f>VLOOKUP(C317,Recipes!$A$2:$N$4,12,FALSE())</f>
        <v>6.1509461004819709E-2</v>
      </c>
      <c r="J317" s="89">
        <f t="shared" si="38"/>
        <v>2.84</v>
      </c>
      <c r="K317" s="89">
        <f>IF(G317="","",-0.5*((J317-Components!$C$2)/Components!$D$2)^2)</f>
        <v>-85.982456140361052</v>
      </c>
      <c r="L317" s="89">
        <f>IF(G317="","",-0.5*((J317-Components!$C$3)/Components!$D$3)^2)</f>
        <v>-3757.4333333334266</v>
      </c>
      <c r="M317" s="89">
        <f>IF(G317="","",-0.5*((J317-Components!$C$4)/Components!$D$4)^2)</f>
        <v>-8726.0431372549301</v>
      </c>
      <c r="N317" s="89">
        <f>IF(G317="","",-0.5*((J317-Components!$C$5)/Components!$D$5)^2)</f>
        <v>-2340.2782692772475</v>
      </c>
      <c r="O317" s="89">
        <f>IF(G317="","",-0.5*((J317-Components!$C$6)/Components!$D$6)^2)</f>
        <v>-1858.2830422125201</v>
      </c>
      <c r="P317" s="89">
        <f>IF(G317="","",-0.5*((J317-Components!$C$7)/Components!$D$7)^2)</f>
        <v>-1698.7052687390308</v>
      </c>
      <c r="Q317" s="89">
        <f t="shared" si="39"/>
        <v>1</v>
      </c>
      <c r="R317" s="89">
        <f t="shared" si="40"/>
        <v>0</v>
      </c>
      <c r="S317" s="89">
        <f t="shared" si="41"/>
        <v>1</v>
      </c>
      <c r="T317" s="89" t="str">
        <f t="shared" si="42"/>
        <v>NG</v>
      </c>
      <c r="U317" s="117">
        <f t="shared" si="43"/>
        <v>1</v>
      </c>
      <c r="V317" s="89" t="str">
        <f>IF(G317="","",IF(T317="OK","NONE",INDEX({"S1","S2","W1","W2","N1","N2"},MATCH(MAX(K317:P317),K317:P317,0))))</f>
        <v>S1</v>
      </c>
      <c r="W317" s="117">
        <f t="shared" si="44"/>
        <v>1</v>
      </c>
      <c r="X317" s="114" t="str">
        <f t="shared" si="45"/>
        <v>CONFIDENT</v>
      </c>
      <c r="Y317" s="107"/>
    </row>
    <row r="318" spans="1:25">
      <c r="A318" s="115">
        <v>309</v>
      </c>
      <c r="B318" s="135">
        <f>'Runs Z-Score'!B311</f>
        <v>11</v>
      </c>
      <c r="C318" s="89" t="str">
        <f>'Runs Z-Score'!C311</f>
        <v>R6</v>
      </c>
      <c r="D318" s="89" t="str">
        <f>'Runs Z-Score'!D311</f>
        <v>NG</v>
      </c>
      <c r="E318" s="89" t="str">
        <f>'Runs Z-Score'!E311</f>
        <v>S1</v>
      </c>
      <c r="F318" s="89">
        <f>'Runs Z-Score'!F311</f>
        <v>5.94</v>
      </c>
      <c r="G318" s="89">
        <f t="shared" si="37"/>
        <v>6.91</v>
      </c>
      <c r="H318" s="89">
        <v>9.61</v>
      </c>
      <c r="I318" s="89">
        <f>VLOOKUP(C318,Recipes!$A$2:$N$4,12,FALSE())</f>
        <v>6.1509461004819709E-2</v>
      </c>
      <c r="J318" s="89">
        <f t="shared" si="38"/>
        <v>2.6999999999999993</v>
      </c>
      <c r="K318" s="89">
        <f>IF(G318="","",-0.5*((J318-Components!$C$2)/Components!$D$2)^2)</f>
        <v>-32.561403508769892</v>
      </c>
      <c r="L318" s="89">
        <f>IF(G318="","",-0.5*((J318-Components!$C$3)/Components!$D$3)^2)</f>
        <v>-4688.5855072464974</v>
      </c>
      <c r="M318" s="89">
        <f>IF(G318="","",-0.5*((J318-Components!$C$4)/Components!$D$4)^2)</f>
        <v>-7453.113725490216</v>
      </c>
      <c r="N318" s="89">
        <f>IF(G318="","",-0.5*((J318-Components!$C$5)/Components!$D$5)^2)</f>
        <v>-2736.1209088711553</v>
      </c>
      <c r="O318" s="89">
        <f>IF(G318="","",-0.5*((J318-Components!$C$6)/Components!$D$6)^2)</f>
        <v>-1562.2044395924306</v>
      </c>
      <c r="P318" s="89">
        <f>IF(G318="","",-0.5*((J318-Components!$C$7)/Components!$D$7)^2)</f>
        <v>-1389.6847270193407</v>
      </c>
      <c r="Q318" s="89">
        <f t="shared" si="39"/>
        <v>1</v>
      </c>
      <c r="R318" s="89">
        <f t="shared" si="40"/>
        <v>0</v>
      </c>
      <c r="S318" s="89">
        <f t="shared" si="41"/>
        <v>1</v>
      </c>
      <c r="T318" s="89" t="str">
        <f t="shared" si="42"/>
        <v>NG</v>
      </c>
      <c r="U318" s="117">
        <f t="shared" si="43"/>
        <v>1</v>
      </c>
      <c r="V318" s="89" t="str">
        <f>IF(G318="","",IF(T318="OK","NONE",INDEX({"S1","S2","W1","W2","N1","N2"},MATCH(MAX(K318:P318),K318:P318,0))))</f>
        <v>S1</v>
      </c>
      <c r="W318" s="117">
        <f t="shared" si="44"/>
        <v>1</v>
      </c>
      <c r="X318" s="114" t="str">
        <f t="shared" si="45"/>
        <v>CONFIDENT</v>
      </c>
      <c r="Y318" s="107"/>
    </row>
    <row r="319" spans="1:25">
      <c r="A319" s="115">
        <v>310</v>
      </c>
      <c r="B319" s="135">
        <f>'Runs Z-Score'!B312</f>
        <v>11</v>
      </c>
      <c r="C319" s="89" t="str">
        <f>'Runs Z-Score'!C312</f>
        <v>R6</v>
      </c>
      <c r="D319" s="89" t="str">
        <f>'Runs Z-Score'!D312</f>
        <v>NG</v>
      </c>
      <c r="E319" s="89" t="str">
        <f>'Runs Z-Score'!E312</f>
        <v>S1</v>
      </c>
      <c r="F319" s="89">
        <f>'Runs Z-Score'!F312</f>
        <v>5.94</v>
      </c>
      <c r="G319" s="89">
        <f t="shared" si="37"/>
        <v>6.91</v>
      </c>
      <c r="H319" s="89">
        <v>9.61</v>
      </c>
      <c r="I319" s="89">
        <f>VLOOKUP(C319,Recipes!$A$2:$N$4,12,FALSE())</f>
        <v>6.1509461004819709E-2</v>
      </c>
      <c r="J319" s="89">
        <f t="shared" si="38"/>
        <v>2.6999999999999993</v>
      </c>
      <c r="K319" s="89">
        <f>IF(G319="","",-0.5*((J319-Components!$C$2)/Components!$D$2)^2)</f>
        <v>-32.561403508769892</v>
      </c>
      <c r="L319" s="89">
        <f>IF(G319="","",-0.5*((J319-Components!$C$3)/Components!$D$3)^2)</f>
        <v>-4688.5855072464974</v>
      </c>
      <c r="M319" s="89">
        <f>IF(G319="","",-0.5*((J319-Components!$C$4)/Components!$D$4)^2)</f>
        <v>-7453.113725490216</v>
      </c>
      <c r="N319" s="89">
        <f>IF(G319="","",-0.5*((J319-Components!$C$5)/Components!$D$5)^2)</f>
        <v>-2736.1209088711553</v>
      </c>
      <c r="O319" s="89">
        <f>IF(G319="","",-0.5*((J319-Components!$C$6)/Components!$D$6)^2)</f>
        <v>-1562.2044395924306</v>
      </c>
      <c r="P319" s="89">
        <f>IF(G319="","",-0.5*((J319-Components!$C$7)/Components!$D$7)^2)</f>
        <v>-1389.6847270193407</v>
      </c>
      <c r="Q319" s="89">
        <f t="shared" si="39"/>
        <v>1</v>
      </c>
      <c r="R319" s="89">
        <f t="shared" si="40"/>
        <v>0</v>
      </c>
      <c r="S319" s="89">
        <f t="shared" si="41"/>
        <v>1</v>
      </c>
      <c r="T319" s="89" t="str">
        <f t="shared" si="42"/>
        <v>NG</v>
      </c>
      <c r="U319" s="117">
        <f t="shared" si="43"/>
        <v>1</v>
      </c>
      <c r="V319" s="89" t="str">
        <f>IF(G319="","",IF(T319="OK","NONE",INDEX({"S1","S2","W1","W2","N1","N2"},MATCH(MAX(K319:P319),K319:P319,0))))</f>
        <v>S1</v>
      </c>
      <c r="W319" s="117">
        <f t="shared" si="44"/>
        <v>1</v>
      </c>
      <c r="X319" s="114" t="str">
        <f t="shared" si="45"/>
        <v>CONFIDENT</v>
      </c>
      <c r="Y319" s="107"/>
    </row>
    <row r="320" spans="1:25">
      <c r="A320" s="115">
        <v>311</v>
      </c>
      <c r="B320" s="135">
        <f>'Runs Z-Score'!B313</f>
        <v>11</v>
      </c>
      <c r="C320" s="89" t="str">
        <f>'Runs Z-Score'!C313</f>
        <v>R6</v>
      </c>
      <c r="D320" s="89" t="str">
        <f>'Runs Z-Score'!D313</f>
        <v>NG</v>
      </c>
      <c r="E320" s="89" t="str">
        <f>'Runs Z-Score'!E313</f>
        <v>S1</v>
      </c>
      <c r="F320" s="89">
        <f>'Runs Z-Score'!F313</f>
        <v>5.87</v>
      </c>
      <c r="G320" s="89">
        <f t="shared" si="37"/>
        <v>6.84</v>
      </c>
      <c r="H320" s="89">
        <v>9.61</v>
      </c>
      <c r="I320" s="89">
        <f>VLOOKUP(C320,Recipes!$A$2:$N$4,12,FALSE())</f>
        <v>6.1509461004819709E-2</v>
      </c>
      <c r="J320" s="89">
        <f t="shared" si="38"/>
        <v>2.7699999999999996</v>
      </c>
      <c r="K320" s="89">
        <f>IF(G320="","",-0.5*((J320-Components!$C$2)/Components!$D$2)^2)</f>
        <v>-3.1798245614048035</v>
      </c>
      <c r="L320" s="89">
        <f>IF(G320="","",-0.5*((J320-Components!$C$3)/Components!$D$3)^2)</f>
        <v>-4210.1380434783669</v>
      </c>
      <c r="M320" s="89">
        <f>IF(G320="","",-0.5*((J320-Components!$C$4)/Components!$D$4)^2)</f>
        <v>-8077.0401960784548</v>
      </c>
      <c r="N320" s="89">
        <f>IF(G320="","",-0.5*((J320-Components!$C$5)/Components!$D$5)^2)</f>
        <v>-2534.3353758762319</v>
      </c>
      <c r="O320" s="89">
        <f>IF(G320="","",-0.5*((J320-Components!$C$6)/Components!$D$6)^2)</f>
        <v>-1707.0341339155759</v>
      </c>
      <c r="P320" s="89">
        <f>IF(G320="","",-0.5*((J320-Components!$C$7)/Components!$D$7)^2)</f>
        <v>-1540.3202478337394</v>
      </c>
      <c r="Q320" s="89">
        <f t="shared" si="39"/>
        <v>1</v>
      </c>
      <c r="R320" s="89">
        <f t="shared" si="40"/>
        <v>0</v>
      </c>
      <c r="S320" s="89">
        <f t="shared" si="41"/>
        <v>1</v>
      </c>
      <c r="T320" s="89" t="str">
        <f t="shared" si="42"/>
        <v>NG</v>
      </c>
      <c r="U320" s="117">
        <f t="shared" si="43"/>
        <v>1</v>
      </c>
      <c r="V320" s="89" t="str">
        <f>IF(G320="","",IF(T320="OK","NONE",INDEX({"S1","S2","W1","W2","N1","N2"},MATCH(MAX(K320:P320),K320:P320,0))))</f>
        <v>S1</v>
      </c>
      <c r="W320" s="117">
        <f t="shared" si="44"/>
        <v>1</v>
      </c>
      <c r="X320" s="114" t="str">
        <f t="shared" si="45"/>
        <v>CONFIDENT</v>
      </c>
      <c r="Y320" s="107"/>
    </row>
    <row r="321" spans="1:25">
      <c r="A321" s="115">
        <v>312</v>
      </c>
      <c r="B321" s="135">
        <f>'Runs Z-Score'!B314</f>
        <v>11</v>
      </c>
      <c r="C321" s="89" t="str">
        <f>'Runs Z-Score'!C314</f>
        <v>R6</v>
      </c>
      <c r="D321" s="89" t="str">
        <f>'Runs Z-Score'!D314</f>
        <v>NG</v>
      </c>
      <c r="E321" s="89" t="str">
        <f>'Runs Z-Score'!E314</f>
        <v>S1</v>
      </c>
      <c r="F321" s="89">
        <f>'Runs Z-Score'!F314</f>
        <v>5.88</v>
      </c>
      <c r="G321" s="89">
        <f t="shared" si="37"/>
        <v>6.85</v>
      </c>
      <c r="H321" s="89">
        <v>9.61</v>
      </c>
      <c r="I321" s="89">
        <f>VLOOKUP(C321,Recipes!$A$2:$N$4,12,FALSE())</f>
        <v>6.1509461004819709E-2</v>
      </c>
      <c r="J321" s="89">
        <f t="shared" si="38"/>
        <v>2.76</v>
      </c>
      <c r="K321" s="89">
        <f>IF(G321="","",-0.5*((J321-Components!$C$2)/Components!$D$2)^2)</f>
        <v>-0.50877192982508035</v>
      </c>
      <c r="L321" s="89">
        <f>IF(G321="","",-0.5*((J321-Components!$C$3)/Components!$D$3)^2)</f>
        <v>-4276.9115942030048</v>
      </c>
      <c r="M321" s="89">
        <f>IF(G321="","",-0.5*((J321-Components!$C$4)/Components!$D$4)^2)</f>
        <v>-7986.3725490196339</v>
      </c>
      <c r="N321" s="89">
        <f>IF(G321="","",-0.5*((J321-Components!$C$5)/Components!$D$5)^2)</f>
        <v>-2562.6887116267744</v>
      </c>
      <c r="O321" s="89">
        <f>IF(G321="","",-0.5*((J321-Components!$C$6)/Components!$D$6)^2)</f>
        <v>-1685.9511644832617</v>
      </c>
      <c r="P321" s="89">
        <f>IF(G321="","",-0.5*((J321-Components!$C$7)/Components!$D$7)^2)</f>
        <v>-1518.3264285281589</v>
      </c>
      <c r="Q321" s="89">
        <f t="shared" si="39"/>
        <v>1</v>
      </c>
      <c r="R321" s="89">
        <f t="shared" si="40"/>
        <v>0</v>
      </c>
      <c r="S321" s="89">
        <f t="shared" si="41"/>
        <v>1</v>
      </c>
      <c r="T321" s="89" t="str">
        <f t="shared" si="42"/>
        <v>NG</v>
      </c>
      <c r="U321" s="117">
        <f t="shared" si="43"/>
        <v>1</v>
      </c>
      <c r="V321" s="89" t="str">
        <f>IF(G321="","",IF(T321="OK","NONE",INDEX({"S1","S2","W1","W2","N1","N2"},MATCH(MAX(K321:P321),K321:P321,0))))</f>
        <v>S1</v>
      </c>
      <c r="W321" s="117">
        <f t="shared" si="44"/>
        <v>1</v>
      </c>
      <c r="X321" s="114" t="str">
        <f t="shared" si="45"/>
        <v>CONFIDENT</v>
      </c>
      <c r="Y321" s="107"/>
    </row>
    <row r="322" spans="1:25">
      <c r="A322" s="115">
        <v>313</v>
      </c>
      <c r="B322" s="135">
        <f>'Runs Z-Score'!B315</f>
        <v>11</v>
      </c>
      <c r="C322" s="89" t="str">
        <f>'Runs Z-Score'!C315</f>
        <v>R6</v>
      </c>
      <c r="D322" s="89" t="str">
        <f>'Runs Z-Score'!D315</f>
        <v>NG</v>
      </c>
      <c r="E322" s="89" t="str">
        <f>'Runs Z-Score'!E315</f>
        <v>S1</v>
      </c>
      <c r="F322" s="89">
        <f>'Runs Z-Score'!F315</f>
        <v>5.87</v>
      </c>
      <c r="G322" s="89">
        <f t="shared" si="37"/>
        <v>6.84</v>
      </c>
      <c r="H322" s="89">
        <v>9.61</v>
      </c>
      <c r="I322" s="89">
        <f>VLOOKUP(C322,Recipes!$A$2:$N$4,12,FALSE())</f>
        <v>6.1509461004819709E-2</v>
      </c>
      <c r="J322" s="89">
        <f t="shared" si="38"/>
        <v>2.7699999999999996</v>
      </c>
      <c r="K322" s="89">
        <f>IF(G322="","",-0.5*((J322-Components!$C$2)/Components!$D$2)^2)</f>
        <v>-3.1798245614048035</v>
      </c>
      <c r="L322" s="89">
        <f>IF(G322="","",-0.5*((J322-Components!$C$3)/Components!$D$3)^2)</f>
        <v>-4210.1380434783669</v>
      </c>
      <c r="M322" s="89">
        <f>IF(G322="","",-0.5*((J322-Components!$C$4)/Components!$D$4)^2)</f>
        <v>-8077.0401960784548</v>
      </c>
      <c r="N322" s="89">
        <f>IF(G322="","",-0.5*((J322-Components!$C$5)/Components!$D$5)^2)</f>
        <v>-2534.3353758762319</v>
      </c>
      <c r="O322" s="89">
        <f>IF(G322="","",-0.5*((J322-Components!$C$6)/Components!$D$6)^2)</f>
        <v>-1707.0341339155759</v>
      </c>
      <c r="P322" s="89">
        <f>IF(G322="","",-0.5*((J322-Components!$C$7)/Components!$D$7)^2)</f>
        <v>-1540.3202478337394</v>
      </c>
      <c r="Q322" s="89">
        <f t="shared" si="39"/>
        <v>1</v>
      </c>
      <c r="R322" s="89">
        <f t="shared" si="40"/>
        <v>0</v>
      </c>
      <c r="S322" s="89">
        <f t="shared" si="41"/>
        <v>1</v>
      </c>
      <c r="T322" s="89" t="str">
        <f t="shared" si="42"/>
        <v>NG</v>
      </c>
      <c r="U322" s="117">
        <f t="shared" si="43"/>
        <v>1</v>
      </c>
      <c r="V322" s="89" t="str">
        <f>IF(G322="","",IF(T322="OK","NONE",INDEX({"S1","S2","W1","W2","N1","N2"},MATCH(MAX(K322:P322),K322:P322,0))))</f>
        <v>S1</v>
      </c>
      <c r="W322" s="117">
        <f t="shared" si="44"/>
        <v>1</v>
      </c>
      <c r="X322" s="114" t="str">
        <f t="shared" si="45"/>
        <v>CONFIDENT</v>
      </c>
      <c r="Y322" s="107"/>
    </row>
    <row r="323" spans="1:25">
      <c r="A323" s="115">
        <v>314</v>
      </c>
      <c r="B323" s="135">
        <f>'Runs Z-Score'!B316</f>
        <v>11</v>
      </c>
      <c r="C323" s="89" t="str">
        <f>'Runs Z-Score'!C316</f>
        <v>R6</v>
      </c>
      <c r="D323" s="89" t="str">
        <f>'Runs Z-Score'!D316</f>
        <v>NG</v>
      </c>
      <c r="E323" s="89" t="str">
        <f>'Runs Z-Score'!E316</f>
        <v>S1</v>
      </c>
      <c r="F323" s="89">
        <f>'Runs Z-Score'!F316</f>
        <v>5.87</v>
      </c>
      <c r="G323" s="89">
        <f t="shared" si="37"/>
        <v>6.84</v>
      </c>
      <c r="H323" s="89">
        <v>9.61</v>
      </c>
      <c r="I323" s="89">
        <f>VLOOKUP(C323,Recipes!$A$2:$N$4,12,FALSE())</f>
        <v>6.1509461004819709E-2</v>
      </c>
      <c r="J323" s="89">
        <f t="shared" si="38"/>
        <v>2.7699999999999996</v>
      </c>
      <c r="K323" s="89">
        <f>IF(G323="","",-0.5*((J323-Components!$C$2)/Components!$D$2)^2)</f>
        <v>-3.1798245614048035</v>
      </c>
      <c r="L323" s="89">
        <f>IF(G323="","",-0.5*((J323-Components!$C$3)/Components!$D$3)^2)</f>
        <v>-4210.1380434783669</v>
      </c>
      <c r="M323" s="89">
        <f>IF(G323="","",-0.5*((J323-Components!$C$4)/Components!$D$4)^2)</f>
        <v>-8077.0401960784548</v>
      </c>
      <c r="N323" s="89">
        <f>IF(G323="","",-0.5*((J323-Components!$C$5)/Components!$D$5)^2)</f>
        <v>-2534.3353758762319</v>
      </c>
      <c r="O323" s="89">
        <f>IF(G323="","",-0.5*((J323-Components!$C$6)/Components!$D$6)^2)</f>
        <v>-1707.0341339155759</v>
      </c>
      <c r="P323" s="89">
        <f>IF(G323="","",-0.5*((J323-Components!$C$7)/Components!$D$7)^2)</f>
        <v>-1540.3202478337394</v>
      </c>
      <c r="Q323" s="89">
        <f t="shared" si="39"/>
        <v>1</v>
      </c>
      <c r="R323" s="89">
        <f t="shared" si="40"/>
        <v>0</v>
      </c>
      <c r="S323" s="89">
        <f t="shared" si="41"/>
        <v>1</v>
      </c>
      <c r="T323" s="89" t="str">
        <f t="shared" si="42"/>
        <v>NG</v>
      </c>
      <c r="U323" s="117">
        <f t="shared" si="43"/>
        <v>1</v>
      </c>
      <c r="V323" s="89" t="str">
        <f>IF(G323="","",IF(T323="OK","NONE",INDEX({"S1","S2","W1","W2","N1","N2"},MATCH(MAX(K323:P323),K323:P323,0))))</f>
        <v>S1</v>
      </c>
      <c r="W323" s="117">
        <f t="shared" si="44"/>
        <v>1</v>
      </c>
      <c r="X323" s="114" t="str">
        <f t="shared" si="45"/>
        <v>CONFIDENT</v>
      </c>
      <c r="Y323" s="107"/>
    </row>
    <row r="324" spans="1:25">
      <c r="A324" s="115">
        <v>315</v>
      </c>
      <c r="B324" s="135">
        <f>'Runs Z-Score'!B317</f>
        <v>11</v>
      </c>
      <c r="C324" s="89" t="str">
        <f>'Runs Z-Score'!C317</f>
        <v>R6</v>
      </c>
      <c r="D324" s="89" t="str">
        <f>'Runs Z-Score'!D317</f>
        <v>NG</v>
      </c>
      <c r="E324" s="89" t="str">
        <f>'Runs Z-Score'!E317</f>
        <v>S1</v>
      </c>
      <c r="F324" s="89">
        <f>'Runs Z-Score'!F317</f>
        <v>5.82</v>
      </c>
      <c r="G324" s="89">
        <f t="shared" si="37"/>
        <v>6.79</v>
      </c>
      <c r="H324" s="89">
        <v>9.61</v>
      </c>
      <c r="I324" s="89">
        <f>VLOOKUP(C324,Recipes!$A$2:$N$4,12,FALSE())</f>
        <v>6.1509461004819709E-2</v>
      </c>
      <c r="J324" s="89">
        <f t="shared" si="38"/>
        <v>2.8199999999999994</v>
      </c>
      <c r="K324" s="89">
        <f>IF(G324="","",-0.5*((J324-Components!$C$2)/Components!$D$2)^2)</f>
        <v>-50.877192982462631</v>
      </c>
      <c r="L324" s="89">
        <f>IF(G324="","",-0.5*((J324-Components!$C$3)/Components!$D$3)^2)</f>
        <v>-3884.1507246377805</v>
      </c>
      <c r="M324" s="89">
        <f>IF(G324="","",-0.5*((J324-Components!$C$4)/Components!$D$4)^2)</f>
        <v>-8538.0549019608079</v>
      </c>
      <c r="N324" s="89">
        <f>IF(G324="","",-0.5*((J324-Components!$C$5)/Components!$D$5)^2)</f>
        <v>-2394.9345419385968</v>
      </c>
      <c r="O324" s="89">
        <f>IF(G324="","",-0.5*((J324-Components!$C$6)/Components!$D$6)^2)</f>
        <v>-1814.4140465793312</v>
      </c>
      <c r="P324" s="89">
        <f>IF(G324="","",-0.5*((J324-Components!$C$7)/Components!$D$7)^2)</f>
        <v>-1652.6616403078351</v>
      </c>
      <c r="Q324" s="89">
        <f t="shared" si="39"/>
        <v>1</v>
      </c>
      <c r="R324" s="89">
        <f t="shared" si="40"/>
        <v>0</v>
      </c>
      <c r="S324" s="89">
        <f t="shared" si="41"/>
        <v>1</v>
      </c>
      <c r="T324" s="89" t="str">
        <f t="shared" si="42"/>
        <v>NG</v>
      </c>
      <c r="U324" s="117">
        <f t="shared" si="43"/>
        <v>1</v>
      </c>
      <c r="V324" s="89" t="str">
        <f>IF(G324="","",IF(T324="OK","NONE",INDEX({"S1","S2","W1","W2","N1","N2"},MATCH(MAX(K324:P324),K324:P324,0))))</f>
        <v>S1</v>
      </c>
      <c r="W324" s="117">
        <f t="shared" si="44"/>
        <v>1</v>
      </c>
      <c r="X324" s="114" t="str">
        <f t="shared" si="45"/>
        <v>CONFIDENT</v>
      </c>
      <c r="Y324" s="107"/>
    </row>
    <row r="325" spans="1:25">
      <c r="A325" s="115">
        <v>316</v>
      </c>
      <c r="B325" s="135">
        <f>'Runs Z-Score'!B318</f>
        <v>11</v>
      </c>
      <c r="C325" s="89" t="str">
        <f>'Runs Z-Score'!C318</f>
        <v>R6</v>
      </c>
      <c r="D325" s="89" t="str">
        <f>'Runs Z-Score'!D318</f>
        <v>NG</v>
      </c>
      <c r="E325" s="89" t="str">
        <f>'Runs Z-Score'!E318</f>
        <v>S1</v>
      </c>
      <c r="F325" s="89">
        <f>'Runs Z-Score'!F318</f>
        <v>5.92</v>
      </c>
      <c r="G325" s="89">
        <f t="shared" si="37"/>
        <v>6.89</v>
      </c>
      <c r="H325" s="89">
        <v>9.61</v>
      </c>
      <c r="I325" s="89">
        <f>VLOOKUP(C325,Recipes!$A$2:$N$4,12,FALSE())</f>
        <v>6.1509461004819709E-2</v>
      </c>
      <c r="J325" s="89">
        <f t="shared" si="38"/>
        <v>2.7199999999999998</v>
      </c>
      <c r="K325" s="89">
        <f>IF(G325="","",-0.5*((J325-Components!$C$2)/Components!$D$2)^2)</f>
        <v>-12.7192982456121</v>
      </c>
      <c r="L325" s="89">
        <f>IF(G325="","",-0.5*((J325-Components!$C$3)/Components!$D$3)^2)</f>
        <v>-4549.2594202899681</v>
      </c>
      <c r="M325" s="89">
        <f>IF(G325="","",-0.5*((J325-Components!$C$4)/Components!$D$4)^2)</f>
        <v>-7628.8196078431611</v>
      </c>
      <c r="N325" s="89">
        <f>IF(G325="","",-0.5*((J325-Components!$C$5)/Components!$D$5)^2)</f>
        <v>-2677.6792845056711</v>
      </c>
      <c r="O325" s="89">
        <f>IF(G325="","",-0.5*((J325-Components!$C$6)/Components!$D$6)^2)</f>
        <v>-1602.929330422126</v>
      </c>
      <c r="P325" s="89">
        <f>IF(G325="","",-0.5*((J325-Components!$C$7)/Components!$D$7)^2)</f>
        <v>-1431.9326819366295</v>
      </c>
      <c r="Q325" s="89">
        <f t="shared" si="39"/>
        <v>1</v>
      </c>
      <c r="R325" s="89">
        <f t="shared" si="40"/>
        <v>0</v>
      </c>
      <c r="S325" s="89">
        <f t="shared" si="41"/>
        <v>1</v>
      </c>
      <c r="T325" s="89" t="str">
        <f t="shared" si="42"/>
        <v>NG</v>
      </c>
      <c r="U325" s="117">
        <f t="shared" si="43"/>
        <v>1</v>
      </c>
      <c r="V325" s="89" t="str">
        <f>IF(G325="","",IF(T325="OK","NONE",INDEX({"S1","S2","W1","W2","N1","N2"},MATCH(MAX(K325:P325),K325:P325,0))))</f>
        <v>S1</v>
      </c>
      <c r="W325" s="117">
        <f t="shared" si="44"/>
        <v>1</v>
      </c>
      <c r="X325" s="114" t="str">
        <f t="shared" si="45"/>
        <v>CONFIDENT</v>
      </c>
      <c r="Y325" s="107"/>
    </row>
    <row r="326" spans="1:25">
      <c r="A326" s="115">
        <v>317</v>
      </c>
      <c r="B326" s="135">
        <f>'Runs Z-Score'!B319</f>
        <v>11</v>
      </c>
      <c r="C326" s="89" t="str">
        <f>'Runs Z-Score'!C319</f>
        <v>R6</v>
      </c>
      <c r="D326" s="89" t="str">
        <f>'Runs Z-Score'!D319</f>
        <v>NG</v>
      </c>
      <c r="E326" s="89" t="str">
        <f>'Runs Z-Score'!E319</f>
        <v>S1</v>
      </c>
      <c r="F326" s="89">
        <f>'Runs Z-Score'!F319</f>
        <v>5.84</v>
      </c>
      <c r="G326" s="89">
        <f t="shared" si="37"/>
        <v>6.81</v>
      </c>
      <c r="H326" s="89">
        <v>9.61</v>
      </c>
      <c r="I326" s="89">
        <f>VLOOKUP(C326,Recipes!$A$2:$N$4,12,FALSE())</f>
        <v>6.1509461004819709E-2</v>
      </c>
      <c r="J326" s="89">
        <f t="shared" si="38"/>
        <v>2.8</v>
      </c>
      <c r="K326" s="89">
        <f>IF(G326="","",-0.5*((J326-Components!$C$2)/Components!$D$2)^2)</f>
        <v>-24.929824561408065</v>
      </c>
      <c r="L326" s="89">
        <f>IF(G326="","",-0.5*((J326-Components!$C$3)/Components!$D$3)^2)</f>
        <v>-4012.9695652174914</v>
      </c>
      <c r="M326" s="89">
        <f>IF(G326="","",-0.5*((J326-Components!$C$4)/Components!$D$4)^2)</f>
        <v>-8352.1137254902242</v>
      </c>
      <c r="N326" s="89">
        <f>IF(G326="","",-0.5*((J326-Components!$C$5)/Components!$D$5)^2)</f>
        <v>-2450.2217065506329</v>
      </c>
      <c r="O326" s="89">
        <f>IF(G326="","",-0.5*((J326-Components!$C$6)/Components!$D$6)^2)</f>
        <v>-1771.0690684133929</v>
      </c>
      <c r="P326" s="89">
        <f>IF(G326="","",-0.5*((J326-Components!$C$7)/Components!$D$7)^2)</f>
        <v>-1607.2506241289593</v>
      </c>
      <c r="Q326" s="89">
        <f t="shared" si="39"/>
        <v>1</v>
      </c>
      <c r="R326" s="89">
        <f t="shared" si="40"/>
        <v>0</v>
      </c>
      <c r="S326" s="89">
        <f t="shared" si="41"/>
        <v>1</v>
      </c>
      <c r="T326" s="89" t="str">
        <f t="shared" si="42"/>
        <v>NG</v>
      </c>
      <c r="U326" s="117">
        <f t="shared" si="43"/>
        <v>1</v>
      </c>
      <c r="V326" s="89" t="str">
        <f>IF(G326="","",IF(T326="OK","NONE",INDEX({"S1","S2","W1","W2","N1","N2"},MATCH(MAX(K326:P326),K326:P326,0))))</f>
        <v>S1</v>
      </c>
      <c r="W326" s="117">
        <f t="shared" si="44"/>
        <v>1</v>
      </c>
      <c r="X326" s="114" t="str">
        <f t="shared" si="45"/>
        <v>CONFIDENT</v>
      </c>
      <c r="Y326" s="107"/>
    </row>
    <row r="327" spans="1:25">
      <c r="A327" s="115">
        <v>318</v>
      </c>
      <c r="B327" s="135">
        <f>'Runs Z-Score'!B320</f>
        <v>11</v>
      </c>
      <c r="C327" s="89" t="str">
        <f>'Runs Z-Score'!C320</f>
        <v>R6</v>
      </c>
      <c r="D327" s="89" t="str">
        <f>'Runs Z-Score'!D320</f>
        <v>NG</v>
      </c>
      <c r="E327" s="89" t="str">
        <f>'Runs Z-Score'!E320</f>
        <v>S1</v>
      </c>
      <c r="F327" s="89">
        <f>'Runs Z-Score'!F320</f>
        <v>5.92</v>
      </c>
      <c r="G327" s="89">
        <f t="shared" si="37"/>
        <v>6.89</v>
      </c>
      <c r="H327" s="89">
        <v>9.61</v>
      </c>
      <c r="I327" s="89">
        <f>VLOOKUP(C327,Recipes!$A$2:$N$4,12,FALSE())</f>
        <v>6.1509461004819709E-2</v>
      </c>
      <c r="J327" s="89">
        <f t="shared" si="38"/>
        <v>2.7199999999999998</v>
      </c>
      <c r="K327" s="89">
        <f>IF(G327="","",-0.5*((J327-Components!$C$2)/Components!$D$2)^2)</f>
        <v>-12.7192982456121</v>
      </c>
      <c r="L327" s="89">
        <f>IF(G327="","",-0.5*((J327-Components!$C$3)/Components!$D$3)^2)</f>
        <v>-4549.2594202899681</v>
      </c>
      <c r="M327" s="89">
        <f>IF(G327="","",-0.5*((J327-Components!$C$4)/Components!$D$4)^2)</f>
        <v>-7628.8196078431611</v>
      </c>
      <c r="N327" s="89">
        <f>IF(G327="","",-0.5*((J327-Components!$C$5)/Components!$D$5)^2)</f>
        <v>-2677.6792845056711</v>
      </c>
      <c r="O327" s="89">
        <f>IF(G327="","",-0.5*((J327-Components!$C$6)/Components!$D$6)^2)</f>
        <v>-1602.929330422126</v>
      </c>
      <c r="P327" s="89">
        <f>IF(G327="","",-0.5*((J327-Components!$C$7)/Components!$D$7)^2)</f>
        <v>-1431.9326819366295</v>
      </c>
      <c r="Q327" s="89">
        <f t="shared" si="39"/>
        <v>1</v>
      </c>
      <c r="R327" s="89">
        <f t="shared" si="40"/>
        <v>0</v>
      </c>
      <c r="S327" s="89">
        <f t="shared" si="41"/>
        <v>1</v>
      </c>
      <c r="T327" s="89" t="str">
        <f t="shared" si="42"/>
        <v>NG</v>
      </c>
      <c r="U327" s="117">
        <f t="shared" si="43"/>
        <v>1</v>
      </c>
      <c r="V327" s="89" t="str">
        <f>IF(G327="","",IF(T327="OK","NONE",INDEX({"S1","S2","W1","W2","N1","N2"},MATCH(MAX(K327:P327),K327:P327,0))))</f>
        <v>S1</v>
      </c>
      <c r="W327" s="117">
        <f t="shared" si="44"/>
        <v>1</v>
      </c>
      <c r="X327" s="114" t="str">
        <f t="shared" si="45"/>
        <v>CONFIDENT</v>
      </c>
      <c r="Y327" s="107"/>
    </row>
    <row r="328" spans="1:25">
      <c r="A328" s="115">
        <v>319</v>
      </c>
      <c r="B328" s="135">
        <f>'Runs Z-Score'!B321</f>
        <v>11</v>
      </c>
      <c r="C328" s="89" t="str">
        <f>'Runs Z-Score'!C321</f>
        <v>R6</v>
      </c>
      <c r="D328" s="89" t="str">
        <f>'Runs Z-Score'!D321</f>
        <v>NG</v>
      </c>
      <c r="E328" s="89" t="str">
        <f>'Runs Z-Score'!E321</f>
        <v>S1</v>
      </c>
      <c r="F328" s="89">
        <f>'Runs Z-Score'!F321</f>
        <v>5.87</v>
      </c>
      <c r="G328" s="89">
        <f t="shared" si="37"/>
        <v>6.84</v>
      </c>
      <c r="H328" s="89">
        <v>9.61</v>
      </c>
      <c r="I328" s="89">
        <f>VLOOKUP(C328,Recipes!$A$2:$N$4,12,FALSE())</f>
        <v>6.1509461004819709E-2</v>
      </c>
      <c r="J328" s="89">
        <f t="shared" si="38"/>
        <v>2.7699999999999996</v>
      </c>
      <c r="K328" s="89">
        <f>IF(G328="","",-0.5*((J328-Components!$C$2)/Components!$D$2)^2)</f>
        <v>-3.1798245614048035</v>
      </c>
      <c r="L328" s="89">
        <f>IF(G328="","",-0.5*((J328-Components!$C$3)/Components!$D$3)^2)</f>
        <v>-4210.1380434783669</v>
      </c>
      <c r="M328" s="89">
        <f>IF(G328="","",-0.5*((J328-Components!$C$4)/Components!$D$4)^2)</f>
        <v>-8077.0401960784548</v>
      </c>
      <c r="N328" s="89">
        <f>IF(G328="","",-0.5*((J328-Components!$C$5)/Components!$D$5)^2)</f>
        <v>-2534.3353758762319</v>
      </c>
      <c r="O328" s="89">
        <f>IF(G328="","",-0.5*((J328-Components!$C$6)/Components!$D$6)^2)</f>
        <v>-1707.0341339155759</v>
      </c>
      <c r="P328" s="89">
        <f>IF(G328="","",-0.5*((J328-Components!$C$7)/Components!$D$7)^2)</f>
        <v>-1540.3202478337394</v>
      </c>
      <c r="Q328" s="89">
        <f t="shared" si="39"/>
        <v>1</v>
      </c>
      <c r="R328" s="89">
        <f t="shared" si="40"/>
        <v>0</v>
      </c>
      <c r="S328" s="89">
        <f t="shared" si="41"/>
        <v>1</v>
      </c>
      <c r="T328" s="89" t="str">
        <f t="shared" si="42"/>
        <v>NG</v>
      </c>
      <c r="U328" s="117">
        <f t="shared" si="43"/>
        <v>1</v>
      </c>
      <c r="V328" s="89" t="str">
        <f>IF(G328="","",IF(T328="OK","NONE",INDEX({"S1","S2","W1","W2","N1","N2"},MATCH(MAX(K328:P328),K328:P328,0))))</f>
        <v>S1</v>
      </c>
      <c r="W328" s="117">
        <f t="shared" si="44"/>
        <v>1</v>
      </c>
      <c r="X328" s="114" t="str">
        <f t="shared" si="45"/>
        <v>CONFIDENT</v>
      </c>
      <c r="Y328" s="107"/>
    </row>
    <row r="329" spans="1:25">
      <c r="A329" s="115">
        <v>320</v>
      </c>
      <c r="B329" s="135">
        <f>'Runs Z-Score'!B322</f>
        <v>11</v>
      </c>
      <c r="C329" s="89" t="str">
        <f>'Runs Z-Score'!C322</f>
        <v>R6</v>
      </c>
      <c r="D329" s="89" t="str">
        <f>'Runs Z-Score'!D322</f>
        <v>NG</v>
      </c>
      <c r="E329" s="89" t="str">
        <f>'Runs Z-Score'!E322</f>
        <v>S1</v>
      </c>
      <c r="F329" s="89">
        <f>'Runs Z-Score'!F322</f>
        <v>5.82</v>
      </c>
      <c r="G329" s="89">
        <f t="shared" si="37"/>
        <v>6.79</v>
      </c>
      <c r="H329" s="89">
        <v>9.61</v>
      </c>
      <c r="I329" s="89">
        <f>VLOOKUP(C329,Recipes!$A$2:$N$4,12,FALSE())</f>
        <v>6.1509461004819709E-2</v>
      </c>
      <c r="J329" s="89">
        <f t="shared" si="38"/>
        <v>2.8199999999999994</v>
      </c>
      <c r="K329" s="89">
        <f>IF(G329="","",-0.5*((J329-Components!$C$2)/Components!$D$2)^2)</f>
        <v>-50.877192982462631</v>
      </c>
      <c r="L329" s="89">
        <f>IF(G329="","",-0.5*((J329-Components!$C$3)/Components!$D$3)^2)</f>
        <v>-3884.1507246377805</v>
      </c>
      <c r="M329" s="89">
        <f>IF(G329="","",-0.5*((J329-Components!$C$4)/Components!$D$4)^2)</f>
        <v>-8538.0549019608079</v>
      </c>
      <c r="N329" s="89">
        <f>IF(G329="","",-0.5*((J329-Components!$C$5)/Components!$D$5)^2)</f>
        <v>-2394.9345419385968</v>
      </c>
      <c r="O329" s="89">
        <f>IF(G329="","",-0.5*((J329-Components!$C$6)/Components!$D$6)^2)</f>
        <v>-1814.4140465793312</v>
      </c>
      <c r="P329" s="89">
        <f>IF(G329="","",-0.5*((J329-Components!$C$7)/Components!$D$7)^2)</f>
        <v>-1652.6616403078351</v>
      </c>
      <c r="Q329" s="89">
        <f t="shared" si="39"/>
        <v>1</v>
      </c>
      <c r="R329" s="89">
        <f t="shared" si="40"/>
        <v>0</v>
      </c>
      <c r="S329" s="89">
        <f t="shared" si="41"/>
        <v>1</v>
      </c>
      <c r="T329" s="89" t="str">
        <f t="shared" si="42"/>
        <v>NG</v>
      </c>
      <c r="U329" s="117">
        <f t="shared" si="43"/>
        <v>1</v>
      </c>
      <c r="V329" s="89" t="str">
        <f>IF(G329="","",IF(T329="OK","NONE",INDEX({"S1","S2","W1","W2","N1","N2"},MATCH(MAX(K329:P329),K329:P329,0))))</f>
        <v>S1</v>
      </c>
      <c r="W329" s="117">
        <f t="shared" si="44"/>
        <v>1</v>
      </c>
      <c r="X329" s="114" t="str">
        <f t="shared" si="45"/>
        <v>CONFIDENT</v>
      </c>
      <c r="Y329" s="107"/>
    </row>
    <row r="330" spans="1:25">
      <c r="A330" s="115">
        <v>321</v>
      </c>
      <c r="B330" s="135">
        <f>'Runs Z-Score'!B323</f>
        <v>11</v>
      </c>
      <c r="C330" s="89" t="str">
        <f>'Runs Z-Score'!C323</f>
        <v>R6</v>
      </c>
      <c r="D330" s="89" t="str">
        <f>'Runs Z-Score'!D323</f>
        <v>NG</v>
      </c>
      <c r="E330" s="89" t="str">
        <f>'Runs Z-Score'!E323</f>
        <v>S1</v>
      </c>
      <c r="F330" s="89">
        <f>'Runs Z-Score'!F323</f>
        <v>5.77</v>
      </c>
      <c r="G330" s="89">
        <f t="shared" ref="G330:G393" si="46">0.97+F330</f>
        <v>6.7399999999999993</v>
      </c>
      <c r="H330" s="89">
        <v>9.61</v>
      </c>
      <c r="I330" s="89">
        <f>VLOOKUP(C330,Recipes!$A$2:$N$4,12,FALSE())</f>
        <v>6.1509461004819709E-2</v>
      </c>
      <c r="J330" s="89">
        <f t="shared" si="38"/>
        <v>2.87</v>
      </c>
      <c r="K330" s="89">
        <f>IF(G330="","",-0.5*((J330-Components!$C$2)/Components!$D$2)^2)</f>
        <v>-155.81140350878792</v>
      </c>
      <c r="L330" s="89">
        <f>IF(G330="","",-0.5*((J330-Components!$C$3)/Components!$D$3)^2)</f>
        <v>-3571.2974637682028</v>
      </c>
      <c r="M330" s="89">
        <f>IF(G330="","",-0.5*((J330-Components!$C$4)/Components!$D$4)^2)</f>
        <v>-9011.8637254902278</v>
      </c>
      <c r="N330" s="89">
        <f>IF(G330="","",-0.5*((J330-Components!$C$5)/Components!$D$5)^2)</f>
        <v>-2259.4767826927655</v>
      </c>
      <c r="O330" s="89">
        <f>IF(G330="","",-0.5*((J330-Components!$C$6)/Components!$D$6)^2)</f>
        <v>-1925.0690684133942</v>
      </c>
      <c r="P330" s="89">
        <f>IF(G330="","",-0.5*((J330-Components!$C$7)/Components!$D$7)^2)</f>
        <v>-1768.9568593589192</v>
      </c>
      <c r="Q330" s="89">
        <f t="shared" si="39"/>
        <v>1</v>
      </c>
      <c r="R330" s="89">
        <f t="shared" si="40"/>
        <v>0</v>
      </c>
      <c r="S330" s="89">
        <f t="shared" si="41"/>
        <v>1</v>
      </c>
      <c r="T330" s="89" t="str">
        <f t="shared" si="42"/>
        <v>NG</v>
      </c>
      <c r="U330" s="117">
        <f t="shared" si="43"/>
        <v>1</v>
      </c>
      <c r="V330" s="89" t="str">
        <f>IF(G330="","",IF(T330="OK","NONE",INDEX({"S1","S2","W1","W2","N1","N2"},MATCH(MAX(K330:P330),K330:P330,0))))</f>
        <v>S1</v>
      </c>
      <c r="W330" s="117">
        <f t="shared" si="44"/>
        <v>1</v>
      </c>
      <c r="X330" s="114" t="str">
        <f t="shared" si="45"/>
        <v>CONFIDENT</v>
      </c>
      <c r="Y330" s="107"/>
    </row>
    <row r="331" spans="1:25">
      <c r="A331" s="115">
        <v>322</v>
      </c>
      <c r="B331" s="135">
        <f>'Runs Z-Score'!B324</f>
        <v>11</v>
      </c>
      <c r="C331" s="89" t="str">
        <f>'Runs Z-Score'!C324</f>
        <v>R6</v>
      </c>
      <c r="D331" s="89" t="str">
        <f>'Runs Z-Score'!D324</f>
        <v>NG</v>
      </c>
      <c r="E331" s="89" t="str">
        <f>'Runs Z-Score'!E324</f>
        <v>S1</v>
      </c>
      <c r="F331" s="89">
        <f>'Runs Z-Score'!F324</f>
        <v>5.83</v>
      </c>
      <c r="G331" s="89">
        <f t="shared" si="46"/>
        <v>6.8</v>
      </c>
      <c r="H331" s="89">
        <v>9.61</v>
      </c>
      <c r="I331" s="89">
        <f>VLOOKUP(C331,Recipes!$A$2:$N$4,12,FALSE())</f>
        <v>6.1509461004819709E-2</v>
      </c>
      <c r="J331" s="89">
        <f t="shared" ref="J331:J394" si="47">IF(G331="","",H331-G331)</f>
        <v>2.8099999999999996</v>
      </c>
      <c r="K331" s="89">
        <f>IF(G331="","",-0.5*((J331-Components!$C$2)/Components!$D$2)^2)</f>
        <v>-36.75877192983009</v>
      </c>
      <c r="L331" s="89">
        <f>IF(G331="","",-0.5*((J331-Components!$C$3)/Components!$D$3)^2)</f>
        <v>-3948.297463768215</v>
      </c>
      <c r="M331" s="89">
        <f>IF(G331="","",-0.5*((J331-Components!$C$4)/Components!$D$4)^2)</f>
        <v>-8444.8284313725744</v>
      </c>
      <c r="N331" s="89">
        <f>IF(G331="","",-0.5*((J331-Components!$C$5)/Components!$D$5)^2)</f>
        <v>-2422.4992627507781</v>
      </c>
      <c r="O331" s="89">
        <f>IF(G331="","",-0.5*((J331-Components!$C$6)/Components!$D$6)^2)</f>
        <v>-1792.6760553129557</v>
      </c>
      <c r="P331" s="89">
        <f>IF(G331="","",-0.5*((J331-Components!$C$7)/Components!$D$7)^2)</f>
        <v>-1629.8770556868576</v>
      </c>
      <c r="Q331" s="89">
        <f t="shared" ref="Q331:Q394" si="48">IF(G331="","",EXP(LARGE(K331:P331,1)-MAX(K331:P331))/(EXP(K331-MAX(K331:P331))+EXP(L331-MAX(K331:P331))+EXP(M331-MAX(K331:P331))+EXP(N331-MAX(K331:P331))+EXP(O331-MAX(K331:P331))+EXP(P331-MAX(K331:P331))))</f>
        <v>1</v>
      </c>
      <c r="R331" s="89">
        <f t="shared" ref="R331:R394" si="49">IF(G331="","",EXP(LARGE(K331:P331,2)-MAX(K331:P331))/(EXP(K331-MAX(K331:P331))+EXP(L331-MAX(K331:P331))+EXP(M331-MAX(K331:P331))+EXP(N331-MAX(K331:P331))+EXP(O331-MAX(K331:P331))+EXP(P331-MAX(K331:P331))))</f>
        <v>0</v>
      </c>
      <c r="S331" s="89">
        <f t="shared" ref="S331:S394" si="50">IF(G331="","",Q331-R331)</f>
        <v>1</v>
      </c>
      <c r="T331" s="89" t="str">
        <f t="shared" ref="T331:T394" si="51">IF(G331="","",IF(AND(G331&gt;=H331-$B$6*I331,G331&lt;=H331+$B$6*I331),"OK","NG"))</f>
        <v>NG</v>
      </c>
      <c r="U331" s="117">
        <f t="shared" ref="U331:U394" si="52">IF(T331="","",IF(T331=D331,1,0))</f>
        <v>1</v>
      </c>
      <c r="V331" s="89" t="str">
        <f>IF(G331="","",IF(T331="OK","NONE",INDEX({"S1","S2","W1","W2","N1","N2"},MATCH(MAX(K331:P331),K331:P331,0))))</f>
        <v>S1</v>
      </c>
      <c r="W331" s="117">
        <f t="shared" ref="W331:W394" si="53">IF(G331="","",IF(V331=E331,1,0))</f>
        <v>1</v>
      </c>
      <c r="X331" s="114" t="str">
        <f t="shared" ref="X331:X394" si="54">IF(G331="","",IF(AND(T331="NG",S331&lt;$B$7),"AMBIGUOUS","CONFIDENT"))</f>
        <v>CONFIDENT</v>
      </c>
      <c r="Y331" s="107"/>
    </row>
    <row r="332" spans="1:25">
      <c r="A332" s="115">
        <v>323</v>
      </c>
      <c r="B332" s="135">
        <f>'Runs Z-Score'!B325</f>
        <v>11</v>
      </c>
      <c r="C332" s="89" t="str">
        <f>'Runs Z-Score'!C325</f>
        <v>R6</v>
      </c>
      <c r="D332" s="89" t="str">
        <f>'Runs Z-Score'!D325</f>
        <v>NG</v>
      </c>
      <c r="E332" s="89" t="str">
        <f>'Runs Z-Score'!E325</f>
        <v>S1</v>
      </c>
      <c r="F332" s="89">
        <f>'Runs Z-Score'!F325</f>
        <v>5.85</v>
      </c>
      <c r="G332" s="89">
        <f t="shared" si="46"/>
        <v>6.8199999999999994</v>
      </c>
      <c r="H332" s="89">
        <v>9.61</v>
      </c>
      <c r="I332" s="89">
        <f>VLOOKUP(C332,Recipes!$A$2:$N$4,12,FALSE())</f>
        <v>6.1509461004819709E-2</v>
      </c>
      <c r="J332" s="89">
        <f t="shared" si="47"/>
        <v>2.79</v>
      </c>
      <c r="K332" s="89">
        <f>IF(G332="","",-0.5*((J332-Components!$C$2)/Components!$D$2)^2)</f>
        <v>-15.390350877196566</v>
      </c>
      <c r="L332" s="89">
        <f>IF(G332="","",-0.5*((J332-Components!$C$3)/Components!$D$3)^2)</f>
        <v>-4078.167028985607</v>
      </c>
      <c r="M332" s="89">
        <f>IF(G332="","",-0.5*((J332-Components!$C$4)/Components!$D$4)^2)</f>
        <v>-8259.9107843137535</v>
      </c>
      <c r="N332" s="89">
        <f>IF(G332="","",-0.5*((J332-Components!$C$5)/Components!$D$5)^2)</f>
        <v>-2478.1018733381593</v>
      </c>
      <c r="O332" s="89">
        <f>IF(G332="","",-0.5*((J332-Components!$C$6)/Components!$D$6)^2)</f>
        <v>-1749.5930858806423</v>
      </c>
      <c r="P332" s="89">
        <f>IF(G332="","",-0.5*((J332-Components!$C$7)/Components!$D$7)^2)</f>
        <v>-1584.7823456341405</v>
      </c>
      <c r="Q332" s="89">
        <f t="shared" si="48"/>
        <v>1</v>
      </c>
      <c r="R332" s="89">
        <f t="shared" si="49"/>
        <v>0</v>
      </c>
      <c r="S332" s="89">
        <f t="shared" si="50"/>
        <v>1</v>
      </c>
      <c r="T332" s="89" t="str">
        <f t="shared" si="51"/>
        <v>NG</v>
      </c>
      <c r="U332" s="117">
        <f t="shared" si="52"/>
        <v>1</v>
      </c>
      <c r="V332" s="89" t="str">
        <f>IF(G332="","",IF(T332="OK","NONE",INDEX({"S1","S2","W1","W2","N1","N2"},MATCH(MAX(K332:P332),K332:P332,0))))</f>
        <v>S1</v>
      </c>
      <c r="W332" s="117">
        <f t="shared" si="53"/>
        <v>1</v>
      </c>
      <c r="X332" s="114" t="str">
        <f t="shared" si="54"/>
        <v>CONFIDENT</v>
      </c>
      <c r="Y332" s="107"/>
    </row>
    <row r="333" spans="1:25">
      <c r="A333" s="115">
        <v>324</v>
      </c>
      <c r="B333" s="135">
        <f>'Runs Z-Score'!B326</f>
        <v>11</v>
      </c>
      <c r="C333" s="89" t="str">
        <f>'Runs Z-Score'!C326</f>
        <v>R6</v>
      </c>
      <c r="D333" s="89" t="str">
        <f>'Runs Z-Score'!D326</f>
        <v>NG</v>
      </c>
      <c r="E333" s="89" t="str">
        <f>'Runs Z-Score'!E326</f>
        <v>S1</v>
      </c>
      <c r="F333" s="89">
        <f>'Runs Z-Score'!F326</f>
        <v>5.86</v>
      </c>
      <c r="G333" s="89">
        <f t="shared" si="46"/>
        <v>6.83</v>
      </c>
      <c r="H333" s="89">
        <v>9.61</v>
      </c>
      <c r="I333" s="89">
        <f>VLOOKUP(C333,Recipes!$A$2:$N$4,12,FALSE())</f>
        <v>6.1509461004819709E-2</v>
      </c>
      <c r="J333" s="89">
        <f t="shared" si="47"/>
        <v>2.7799999999999994</v>
      </c>
      <c r="K333" s="89">
        <f>IF(G333="","",-0.5*((J333-Components!$C$2)/Components!$D$2)^2)</f>
        <v>-8.1403508771950506</v>
      </c>
      <c r="L333" s="89">
        <f>IF(G333="","",-0.5*((J333-Components!$C$3)/Components!$D$3)^2)</f>
        <v>-4143.8898550725698</v>
      </c>
      <c r="M333" s="89">
        <f>IF(G333="","",-0.5*((J333-Components!$C$4)/Components!$D$4)^2)</f>
        <v>-8168.2196078431598</v>
      </c>
      <c r="N333" s="89">
        <f>IF(G333="","",-0.5*((J333-Components!$C$5)/Components!$D$5)^2)</f>
        <v>-2506.1397631133605</v>
      </c>
      <c r="O333" s="89">
        <f>IF(G333="","",-0.5*((J333-Components!$C$6)/Components!$D$6)^2)</f>
        <v>-1728.248107714702</v>
      </c>
      <c r="P333" s="89">
        <f>IF(G333="","",-0.5*((J333-Components!$C$7)/Components!$D$7)^2)</f>
        <v>-1562.4722202023993</v>
      </c>
      <c r="Q333" s="89">
        <f t="shared" si="48"/>
        <v>1</v>
      </c>
      <c r="R333" s="89">
        <f t="shared" si="49"/>
        <v>0</v>
      </c>
      <c r="S333" s="89">
        <f t="shared" si="50"/>
        <v>1</v>
      </c>
      <c r="T333" s="89" t="str">
        <f t="shared" si="51"/>
        <v>NG</v>
      </c>
      <c r="U333" s="117">
        <f t="shared" si="52"/>
        <v>1</v>
      </c>
      <c r="V333" s="89" t="str">
        <f>IF(G333="","",IF(T333="OK","NONE",INDEX({"S1","S2","W1","W2","N1","N2"},MATCH(MAX(K333:P333),K333:P333,0))))</f>
        <v>S1</v>
      </c>
      <c r="W333" s="117">
        <f t="shared" si="53"/>
        <v>1</v>
      </c>
      <c r="X333" s="114" t="str">
        <f t="shared" si="54"/>
        <v>CONFIDENT</v>
      </c>
      <c r="Y333" s="107"/>
    </row>
    <row r="334" spans="1:25">
      <c r="A334" s="115">
        <v>325</v>
      </c>
      <c r="B334" s="135">
        <f>'Runs Z-Score'!B327</f>
        <v>11</v>
      </c>
      <c r="C334" s="89" t="str">
        <f>'Runs Z-Score'!C327</f>
        <v>R6</v>
      </c>
      <c r="D334" s="89" t="str">
        <f>'Runs Z-Score'!D327</f>
        <v>NG</v>
      </c>
      <c r="E334" s="89" t="str">
        <f>'Runs Z-Score'!E327</f>
        <v>S1</v>
      </c>
      <c r="F334" s="89">
        <f>'Runs Z-Score'!F327</f>
        <v>5.87</v>
      </c>
      <c r="G334" s="89">
        <f t="shared" si="46"/>
        <v>6.84</v>
      </c>
      <c r="H334" s="89">
        <v>9.61</v>
      </c>
      <c r="I334" s="89">
        <f>VLOOKUP(C334,Recipes!$A$2:$N$4,12,FALSE())</f>
        <v>6.1509461004819709E-2</v>
      </c>
      <c r="J334" s="89">
        <f t="shared" si="47"/>
        <v>2.7699999999999996</v>
      </c>
      <c r="K334" s="89">
        <f>IF(G334="","",-0.5*((J334-Components!$C$2)/Components!$D$2)^2)</f>
        <v>-3.1798245614048035</v>
      </c>
      <c r="L334" s="89">
        <f>IF(G334="","",-0.5*((J334-Components!$C$3)/Components!$D$3)^2)</f>
        <v>-4210.1380434783669</v>
      </c>
      <c r="M334" s="89">
        <f>IF(G334="","",-0.5*((J334-Components!$C$4)/Components!$D$4)^2)</f>
        <v>-8077.0401960784548</v>
      </c>
      <c r="N334" s="89">
        <f>IF(G334="","",-0.5*((J334-Components!$C$5)/Components!$D$5)^2)</f>
        <v>-2534.3353758762319</v>
      </c>
      <c r="O334" s="89">
        <f>IF(G334="","",-0.5*((J334-Components!$C$6)/Components!$D$6)^2)</f>
        <v>-1707.0341339155759</v>
      </c>
      <c r="P334" s="89">
        <f>IF(G334="","",-0.5*((J334-Components!$C$7)/Components!$D$7)^2)</f>
        <v>-1540.3202478337394</v>
      </c>
      <c r="Q334" s="89">
        <f t="shared" si="48"/>
        <v>1</v>
      </c>
      <c r="R334" s="89">
        <f t="shared" si="49"/>
        <v>0</v>
      </c>
      <c r="S334" s="89">
        <f t="shared" si="50"/>
        <v>1</v>
      </c>
      <c r="T334" s="89" t="str">
        <f t="shared" si="51"/>
        <v>NG</v>
      </c>
      <c r="U334" s="117">
        <f t="shared" si="52"/>
        <v>1</v>
      </c>
      <c r="V334" s="89" t="str">
        <f>IF(G334="","",IF(T334="OK","NONE",INDEX({"S1","S2","W1","W2","N1","N2"},MATCH(MAX(K334:P334),K334:P334,0))))</f>
        <v>S1</v>
      </c>
      <c r="W334" s="117">
        <f t="shared" si="53"/>
        <v>1</v>
      </c>
      <c r="X334" s="114" t="str">
        <f t="shared" si="54"/>
        <v>CONFIDENT</v>
      </c>
      <c r="Y334" s="107"/>
    </row>
    <row r="335" spans="1:25">
      <c r="A335" s="115">
        <v>326</v>
      </c>
      <c r="B335" s="135">
        <f>'Runs Z-Score'!B328</f>
        <v>11</v>
      </c>
      <c r="C335" s="89" t="str">
        <f>'Runs Z-Score'!C328</f>
        <v>R6</v>
      </c>
      <c r="D335" s="89" t="str">
        <f>'Runs Z-Score'!D328</f>
        <v>NG</v>
      </c>
      <c r="E335" s="89" t="str">
        <f>'Runs Z-Score'!E328</f>
        <v>S1</v>
      </c>
      <c r="F335" s="89">
        <f>'Runs Z-Score'!F328</f>
        <v>5.81</v>
      </c>
      <c r="G335" s="89">
        <f t="shared" si="46"/>
        <v>6.7799999999999994</v>
      </c>
      <c r="H335" s="89">
        <v>9.61</v>
      </c>
      <c r="I335" s="89">
        <f>VLOOKUP(C335,Recipes!$A$2:$N$4,12,FALSE())</f>
        <v>6.1509461004819709E-2</v>
      </c>
      <c r="J335" s="89">
        <f t="shared" si="47"/>
        <v>2.83</v>
      </c>
      <c r="K335" s="89">
        <f>IF(G335="","",-0.5*((J335-Components!$C$2)/Components!$D$2)^2)</f>
        <v>-67.285087719307256</v>
      </c>
      <c r="L335" s="89">
        <f>IF(G335="","",-0.5*((J335-Components!$C$3)/Components!$D$3)^2)</f>
        <v>-3820.5293478261801</v>
      </c>
      <c r="M335" s="89">
        <f>IF(G335="","",-0.5*((J335-Components!$C$4)/Components!$D$4)^2)</f>
        <v>-8631.7931372549338</v>
      </c>
      <c r="N335" s="89">
        <f>IF(G335="","",-0.5*((J335-Components!$C$5)/Components!$D$5)^2)</f>
        <v>-2367.5275441140843</v>
      </c>
      <c r="O335" s="89">
        <f>IF(G335="","",-0.5*((J335-Components!$C$6)/Components!$D$6)^2)</f>
        <v>-1836.2830422125205</v>
      </c>
      <c r="P335" s="89">
        <f>IF(G335="","",-0.5*((J335-Components!$C$7)/Components!$D$7)^2)</f>
        <v>-1675.6043779918944</v>
      </c>
      <c r="Q335" s="89">
        <f t="shared" si="48"/>
        <v>1</v>
      </c>
      <c r="R335" s="89">
        <f t="shared" si="49"/>
        <v>0</v>
      </c>
      <c r="S335" s="89">
        <f t="shared" si="50"/>
        <v>1</v>
      </c>
      <c r="T335" s="89" t="str">
        <f t="shared" si="51"/>
        <v>NG</v>
      </c>
      <c r="U335" s="117">
        <f t="shared" si="52"/>
        <v>1</v>
      </c>
      <c r="V335" s="89" t="str">
        <f>IF(G335="","",IF(T335="OK","NONE",INDEX({"S1","S2","W1","W2","N1","N2"},MATCH(MAX(K335:P335),K335:P335,0))))</f>
        <v>S1</v>
      </c>
      <c r="W335" s="117">
        <f t="shared" si="53"/>
        <v>1</v>
      </c>
      <c r="X335" s="114" t="str">
        <f t="shared" si="54"/>
        <v>CONFIDENT</v>
      </c>
      <c r="Y335" s="107"/>
    </row>
    <row r="336" spans="1:25">
      <c r="A336" s="115">
        <v>327</v>
      </c>
      <c r="B336" s="135">
        <f>'Runs Z-Score'!B329</f>
        <v>11</v>
      </c>
      <c r="C336" s="89" t="str">
        <f>'Runs Z-Score'!C329</f>
        <v>R6</v>
      </c>
      <c r="D336" s="89" t="str">
        <f>'Runs Z-Score'!D329</f>
        <v>NG</v>
      </c>
      <c r="E336" s="89" t="str">
        <f>'Runs Z-Score'!E329</f>
        <v>S1</v>
      </c>
      <c r="F336" s="89">
        <f>'Runs Z-Score'!F329</f>
        <v>5.83</v>
      </c>
      <c r="G336" s="89">
        <f t="shared" si="46"/>
        <v>6.8</v>
      </c>
      <c r="H336" s="89">
        <v>9.61</v>
      </c>
      <c r="I336" s="89">
        <f>VLOOKUP(C336,Recipes!$A$2:$N$4,12,FALSE())</f>
        <v>6.1509461004819709E-2</v>
      </c>
      <c r="J336" s="89">
        <f t="shared" si="47"/>
        <v>2.8099999999999996</v>
      </c>
      <c r="K336" s="89">
        <f>IF(G336="","",-0.5*((J336-Components!$C$2)/Components!$D$2)^2)</f>
        <v>-36.75877192983009</v>
      </c>
      <c r="L336" s="89">
        <f>IF(G336="","",-0.5*((J336-Components!$C$3)/Components!$D$3)^2)</f>
        <v>-3948.297463768215</v>
      </c>
      <c r="M336" s="89">
        <f>IF(G336="","",-0.5*((J336-Components!$C$4)/Components!$D$4)^2)</f>
        <v>-8444.8284313725744</v>
      </c>
      <c r="N336" s="89">
        <f>IF(G336="","",-0.5*((J336-Components!$C$5)/Components!$D$5)^2)</f>
        <v>-2422.4992627507781</v>
      </c>
      <c r="O336" s="89">
        <f>IF(G336="","",-0.5*((J336-Components!$C$6)/Components!$D$6)^2)</f>
        <v>-1792.6760553129557</v>
      </c>
      <c r="P336" s="89">
        <f>IF(G336="","",-0.5*((J336-Components!$C$7)/Components!$D$7)^2)</f>
        <v>-1629.8770556868576</v>
      </c>
      <c r="Q336" s="89">
        <f t="shared" si="48"/>
        <v>1</v>
      </c>
      <c r="R336" s="89">
        <f t="shared" si="49"/>
        <v>0</v>
      </c>
      <c r="S336" s="89">
        <f t="shared" si="50"/>
        <v>1</v>
      </c>
      <c r="T336" s="89" t="str">
        <f t="shared" si="51"/>
        <v>NG</v>
      </c>
      <c r="U336" s="117">
        <f t="shared" si="52"/>
        <v>1</v>
      </c>
      <c r="V336" s="89" t="str">
        <f>IF(G336="","",IF(T336="OK","NONE",INDEX({"S1","S2","W1","W2","N1","N2"},MATCH(MAX(K336:P336),K336:P336,0))))</f>
        <v>S1</v>
      </c>
      <c r="W336" s="117">
        <f t="shared" si="53"/>
        <v>1</v>
      </c>
      <c r="X336" s="114" t="str">
        <f t="shared" si="54"/>
        <v>CONFIDENT</v>
      </c>
      <c r="Y336" s="107"/>
    </row>
    <row r="337" spans="1:25">
      <c r="A337" s="115">
        <v>328</v>
      </c>
      <c r="B337" s="135">
        <f>'Runs Z-Score'!B330</f>
        <v>11</v>
      </c>
      <c r="C337" s="89" t="str">
        <f>'Runs Z-Score'!C330</f>
        <v>R6</v>
      </c>
      <c r="D337" s="89" t="str">
        <f>'Runs Z-Score'!D330</f>
        <v>NG</v>
      </c>
      <c r="E337" s="89" t="str">
        <f>'Runs Z-Score'!E330</f>
        <v>S1</v>
      </c>
      <c r="F337" s="89">
        <f>'Runs Z-Score'!F330</f>
        <v>5.87</v>
      </c>
      <c r="G337" s="89">
        <f t="shared" si="46"/>
        <v>6.84</v>
      </c>
      <c r="H337" s="89">
        <v>9.61</v>
      </c>
      <c r="I337" s="89">
        <f>VLOOKUP(C337,Recipes!$A$2:$N$4,12,FALSE())</f>
        <v>6.1509461004819709E-2</v>
      </c>
      <c r="J337" s="89">
        <f t="shared" si="47"/>
        <v>2.7699999999999996</v>
      </c>
      <c r="K337" s="89">
        <f>IF(G337="","",-0.5*((J337-Components!$C$2)/Components!$D$2)^2)</f>
        <v>-3.1798245614048035</v>
      </c>
      <c r="L337" s="89">
        <f>IF(G337="","",-0.5*((J337-Components!$C$3)/Components!$D$3)^2)</f>
        <v>-4210.1380434783669</v>
      </c>
      <c r="M337" s="89">
        <f>IF(G337="","",-0.5*((J337-Components!$C$4)/Components!$D$4)^2)</f>
        <v>-8077.0401960784548</v>
      </c>
      <c r="N337" s="89">
        <f>IF(G337="","",-0.5*((J337-Components!$C$5)/Components!$D$5)^2)</f>
        <v>-2534.3353758762319</v>
      </c>
      <c r="O337" s="89">
        <f>IF(G337="","",-0.5*((J337-Components!$C$6)/Components!$D$6)^2)</f>
        <v>-1707.0341339155759</v>
      </c>
      <c r="P337" s="89">
        <f>IF(G337="","",-0.5*((J337-Components!$C$7)/Components!$D$7)^2)</f>
        <v>-1540.3202478337394</v>
      </c>
      <c r="Q337" s="89">
        <f t="shared" si="48"/>
        <v>1</v>
      </c>
      <c r="R337" s="89">
        <f t="shared" si="49"/>
        <v>0</v>
      </c>
      <c r="S337" s="89">
        <f t="shared" si="50"/>
        <v>1</v>
      </c>
      <c r="T337" s="89" t="str">
        <f t="shared" si="51"/>
        <v>NG</v>
      </c>
      <c r="U337" s="117">
        <f t="shared" si="52"/>
        <v>1</v>
      </c>
      <c r="V337" s="89" t="str">
        <f>IF(G337="","",IF(T337="OK","NONE",INDEX({"S1","S2","W1","W2","N1","N2"},MATCH(MAX(K337:P337),K337:P337,0))))</f>
        <v>S1</v>
      </c>
      <c r="W337" s="117">
        <f t="shared" si="53"/>
        <v>1</v>
      </c>
      <c r="X337" s="114" t="str">
        <f t="shared" si="54"/>
        <v>CONFIDENT</v>
      </c>
      <c r="Y337" s="107"/>
    </row>
    <row r="338" spans="1:25">
      <c r="A338" s="115">
        <v>329</v>
      </c>
      <c r="B338" s="135">
        <f>'Runs Z-Score'!B331</f>
        <v>11</v>
      </c>
      <c r="C338" s="89" t="str">
        <f>'Runs Z-Score'!C331</f>
        <v>R6</v>
      </c>
      <c r="D338" s="89" t="str">
        <f>'Runs Z-Score'!D331</f>
        <v>NG</v>
      </c>
      <c r="E338" s="89" t="str">
        <f>'Runs Z-Score'!E331</f>
        <v>S1</v>
      </c>
      <c r="F338" s="89">
        <f>'Runs Z-Score'!F331</f>
        <v>5.8</v>
      </c>
      <c r="G338" s="89">
        <f t="shared" si="46"/>
        <v>6.77</v>
      </c>
      <c r="H338" s="89">
        <v>9.61</v>
      </c>
      <c r="I338" s="89">
        <f>VLOOKUP(C338,Recipes!$A$2:$N$4,12,FALSE())</f>
        <v>6.1509461004819709E-2</v>
      </c>
      <c r="J338" s="89">
        <f t="shared" si="47"/>
        <v>2.84</v>
      </c>
      <c r="K338" s="89">
        <f>IF(G338="","",-0.5*((J338-Components!$C$2)/Components!$D$2)^2)</f>
        <v>-85.982456140361052</v>
      </c>
      <c r="L338" s="89">
        <f>IF(G338="","",-0.5*((J338-Components!$C$3)/Components!$D$3)^2)</f>
        <v>-3757.4333333334266</v>
      </c>
      <c r="M338" s="89">
        <f>IF(G338="","",-0.5*((J338-Components!$C$4)/Components!$D$4)^2)</f>
        <v>-8726.0431372549301</v>
      </c>
      <c r="N338" s="89">
        <f>IF(G338="","",-0.5*((J338-Components!$C$5)/Components!$D$5)^2)</f>
        <v>-2340.2782692772475</v>
      </c>
      <c r="O338" s="89">
        <f>IF(G338="","",-0.5*((J338-Components!$C$6)/Components!$D$6)^2)</f>
        <v>-1858.2830422125201</v>
      </c>
      <c r="P338" s="89">
        <f>IF(G338="","",-0.5*((J338-Components!$C$7)/Components!$D$7)^2)</f>
        <v>-1698.7052687390308</v>
      </c>
      <c r="Q338" s="89">
        <f t="shared" si="48"/>
        <v>1</v>
      </c>
      <c r="R338" s="89">
        <f t="shared" si="49"/>
        <v>0</v>
      </c>
      <c r="S338" s="89">
        <f t="shared" si="50"/>
        <v>1</v>
      </c>
      <c r="T338" s="89" t="str">
        <f t="shared" si="51"/>
        <v>NG</v>
      </c>
      <c r="U338" s="117">
        <f t="shared" si="52"/>
        <v>1</v>
      </c>
      <c r="V338" s="89" t="str">
        <f>IF(G338="","",IF(T338="OK","NONE",INDEX({"S1","S2","W1","W2","N1","N2"},MATCH(MAX(K338:P338),K338:P338,0))))</f>
        <v>S1</v>
      </c>
      <c r="W338" s="117">
        <f t="shared" si="53"/>
        <v>1</v>
      </c>
      <c r="X338" s="114" t="str">
        <f t="shared" si="54"/>
        <v>CONFIDENT</v>
      </c>
      <c r="Y338" s="107"/>
    </row>
    <row r="339" spans="1:25">
      <c r="A339" s="115">
        <v>330</v>
      </c>
      <c r="B339" s="135">
        <f>'Runs Z-Score'!B332</f>
        <v>11</v>
      </c>
      <c r="C339" s="89" t="str">
        <f>'Runs Z-Score'!C332</f>
        <v>R6</v>
      </c>
      <c r="D339" s="89" t="str">
        <f>'Runs Z-Score'!D332</f>
        <v>NG</v>
      </c>
      <c r="E339" s="89" t="str">
        <f>'Runs Z-Score'!E332</f>
        <v>S1</v>
      </c>
      <c r="F339" s="89">
        <f>'Runs Z-Score'!F332</f>
        <v>5.86</v>
      </c>
      <c r="G339" s="89">
        <f t="shared" si="46"/>
        <v>6.83</v>
      </c>
      <c r="H339" s="89">
        <v>9.61</v>
      </c>
      <c r="I339" s="89">
        <f>VLOOKUP(C339,Recipes!$A$2:$N$4,12,FALSE())</f>
        <v>6.1509461004819709E-2</v>
      </c>
      <c r="J339" s="89">
        <f t="shared" si="47"/>
        <v>2.7799999999999994</v>
      </c>
      <c r="K339" s="89">
        <f>IF(G339="","",-0.5*((J339-Components!$C$2)/Components!$D$2)^2)</f>
        <v>-8.1403508771950506</v>
      </c>
      <c r="L339" s="89">
        <f>IF(G339="","",-0.5*((J339-Components!$C$3)/Components!$D$3)^2)</f>
        <v>-4143.8898550725698</v>
      </c>
      <c r="M339" s="89">
        <f>IF(G339="","",-0.5*((J339-Components!$C$4)/Components!$D$4)^2)</f>
        <v>-8168.2196078431598</v>
      </c>
      <c r="N339" s="89">
        <f>IF(G339="","",-0.5*((J339-Components!$C$5)/Components!$D$5)^2)</f>
        <v>-2506.1397631133605</v>
      </c>
      <c r="O339" s="89">
        <f>IF(G339="","",-0.5*((J339-Components!$C$6)/Components!$D$6)^2)</f>
        <v>-1728.248107714702</v>
      </c>
      <c r="P339" s="89">
        <f>IF(G339="","",-0.5*((J339-Components!$C$7)/Components!$D$7)^2)</f>
        <v>-1562.4722202023993</v>
      </c>
      <c r="Q339" s="89">
        <f t="shared" si="48"/>
        <v>1</v>
      </c>
      <c r="R339" s="89">
        <f t="shared" si="49"/>
        <v>0</v>
      </c>
      <c r="S339" s="89">
        <f t="shared" si="50"/>
        <v>1</v>
      </c>
      <c r="T339" s="89" t="str">
        <f t="shared" si="51"/>
        <v>NG</v>
      </c>
      <c r="U339" s="117">
        <f t="shared" si="52"/>
        <v>1</v>
      </c>
      <c r="V339" s="89" t="str">
        <f>IF(G339="","",IF(T339="OK","NONE",INDEX({"S1","S2","W1","W2","N1","N2"},MATCH(MAX(K339:P339),K339:P339,0))))</f>
        <v>S1</v>
      </c>
      <c r="W339" s="117">
        <f t="shared" si="53"/>
        <v>1</v>
      </c>
      <c r="X339" s="114" t="str">
        <f t="shared" si="54"/>
        <v>CONFIDENT</v>
      </c>
      <c r="Y339" s="107"/>
    </row>
    <row r="340" spans="1:25">
      <c r="A340" s="115">
        <v>331</v>
      </c>
      <c r="B340" s="135">
        <f>'Runs Z-Score'!B333</f>
        <v>12</v>
      </c>
      <c r="C340" s="89" t="str">
        <f>'Runs Z-Score'!C333</f>
        <v>R6</v>
      </c>
      <c r="D340" s="89" t="str">
        <f>'Runs Z-Score'!D333</f>
        <v>NG</v>
      </c>
      <c r="E340" s="89" t="str">
        <f>'Runs Z-Score'!E333</f>
        <v>W1</v>
      </c>
      <c r="F340" s="89">
        <f>'Runs Z-Score'!F333</f>
        <v>7.6</v>
      </c>
      <c r="G340" s="89">
        <f t="shared" si="46"/>
        <v>8.57</v>
      </c>
      <c r="H340" s="89">
        <v>9.61</v>
      </c>
      <c r="I340" s="89">
        <f>VLOOKUP(C340,Recipes!$A$2:$N$4,12,FALSE())</f>
        <v>6.1509461004819709E-2</v>
      </c>
      <c r="J340" s="89">
        <f t="shared" si="47"/>
        <v>1.0399999999999991</v>
      </c>
      <c r="K340" s="89">
        <f>IF(G340="","",-0.5*((J340-Components!$C$2)/Components!$D$2)^2)</f>
        <v>-33603.877192983738</v>
      </c>
      <c r="L340" s="89">
        <f>IF(G340="","",-0.5*((J340-Components!$C$3)/Components!$D$3)^2)</f>
        <v>-23578.302898551327</v>
      </c>
      <c r="M340" s="89">
        <f>IF(G340="","",-0.5*((J340-Components!$C$4)/Components!$D$4)^2)</f>
        <v>-5.5725490196077461</v>
      </c>
      <c r="N340" s="89">
        <f>IF(G340="","",-0.5*((J340-Components!$C$5)/Components!$D$5)^2)</f>
        <v>-9786.0650713076611</v>
      </c>
      <c r="O340" s="89">
        <f>IF(G340="","",-0.5*((J340-Components!$C$6)/Components!$D$6)^2)</f>
        <v>-8.763391557497032</v>
      </c>
      <c r="P340" s="89">
        <f>IF(G340="","",-0.5*((J340-Components!$C$7)/Components!$D$7)^2)</f>
        <v>-88.390780464157089</v>
      </c>
      <c r="Q340" s="89">
        <f t="shared" si="48"/>
        <v>0.96048820768486087</v>
      </c>
      <c r="R340" s="89">
        <f t="shared" si="49"/>
        <v>3.9511792315139148E-2</v>
      </c>
      <c r="S340" s="89">
        <f t="shared" si="50"/>
        <v>0.92097641536972175</v>
      </c>
      <c r="T340" s="89" t="str">
        <f t="shared" si="51"/>
        <v>NG</v>
      </c>
      <c r="U340" s="117">
        <f t="shared" si="52"/>
        <v>1</v>
      </c>
      <c r="V340" s="89" t="str">
        <f>IF(G340="","",IF(T340="OK","NONE",INDEX({"S1","S2","W1","W2","N1","N2"},MATCH(MAX(K340:P340),K340:P340,0))))</f>
        <v>W1</v>
      </c>
      <c r="W340" s="117">
        <f t="shared" si="53"/>
        <v>1</v>
      </c>
      <c r="X340" s="114" t="str">
        <f t="shared" si="54"/>
        <v>CONFIDENT</v>
      </c>
      <c r="Y340" s="107"/>
    </row>
    <row r="341" spans="1:25">
      <c r="A341" s="115">
        <v>332</v>
      </c>
      <c r="B341" s="135">
        <f>'Runs Z-Score'!B334</f>
        <v>12</v>
      </c>
      <c r="C341" s="89" t="str">
        <f>'Runs Z-Score'!C334</f>
        <v>R6</v>
      </c>
      <c r="D341" s="89" t="str">
        <f>'Runs Z-Score'!D334</f>
        <v>NG</v>
      </c>
      <c r="E341" s="89" t="str">
        <f>'Runs Z-Score'!E334</f>
        <v>W1</v>
      </c>
      <c r="F341" s="89">
        <f>'Runs Z-Score'!F334</f>
        <v>7.68</v>
      </c>
      <c r="G341" s="89">
        <f t="shared" si="46"/>
        <v>8.65</v>
      </c>
      <c r="H341" s="89">
        <v>9.61</v>
      </c>
      <c r="I341" s="89">
        <f>VLOOKUP(C341,Recipes!$A$2:$N$4,12,FALSE())</f>
        <v>6.1509461004819709E-2</v>
      </c>
      <c r="J341" s="89">
        <f t="shared" si="47"/>
        <v>0.95999999999999908</v>
      </c>
      <c r="K341" s="89">
        <f>IF(G341="","",-0.5*((J341-Components!$C$2)/Components!$D$2)^2)</f>
        <v>-36815.245614036503</v>
      </c>
      <c r="L341" s="89">
        <f>IF(G341="","",-0.5*((J341-Components!$C$3)/Components!$D$3)^2)</f>
        <v>-24854.302898551363</v>
      </c>
      <c r="M341" s="89">
        <f>IF(G341="","",-0.5*((J341-Components!$C$4)/Components!$D$4)^2)</f>
        <v>-2.8431372549020626</v>
      </c>
      <c r="N341" s="89">
        <f>IF(G341="","",-0.5*((J341-Components!$C$5)/Components!$D$5)^2)</f>
        <v>-10235.596615905193</v>
      </c>
      <c r="O341" s="89">
        <f>IF(G341="","",-0.5*((J341-Components!$C$6)/Components!$D$6)^2)</f>
        <v>-25.077802037846912</v>
      </c>
      <c r="P341" s="89">
        <f>IF(G341="","",-0.5*((J341-Components!$C$7)/Components!$D$7)^2)</f>
        <v>-135.75235108768001</v>
      </c>
      <c r="Q341" s="89">
        <f t="shared" si="48"/>
        <v>0.99999999977939891</v>
      </c>
      <c r="R341" s="89">
        <f t="shared" si="49"/>
        <v>2.206011528461921E-10</v>
      </c>
      <c r="S341" s="89">
        <f t="shared" si="50"/>
        <v>0.9999999995587977</v>
      </c>
      <c r="T341" s="89" t="str">
        <f t="shared" si="51"/>
        <v>NG</v>
      </c>
      <c r="U341" s="117">
        <f t="shared" si="52"/>
        <v>1</v>
      </c>
      <c r="V341" s="89" t="str">
        <f>IF(G341="","",IF(T341="OK","NONE",INDEX({"S1","S2","W1","W2","N1","N2"},MATCH(MAX(K341:P341),K341:P341,0))))</f>
        <v>W1</v>
      </c>
      <c r="W341" s="117">
        <f t="shared" si="53"/>
        <v>1</v>
      </c>
      <c r="X341" s="114" t="str">
        <f t="shared" si="54"/>
        <v>CONFIDENT</v>
      </c>
      <c r="Y341" s="107"/>
    </row>
    <row r="342" spans="1:25">
      <c r="A342" s="115">
        <v>333</v>
      </c>
      <c r="B342" s="135">
        <f>'Runs Z-Score'!B335</f>
        <v>12</v>
      </c>
      <c r="C342" s="89" t="str">
        <f>'Runs Z-Score'!C335</f>
        <v>R6</v>
      </c>
      <c r="D342" s="89" t="str">
        <f>'Runs Z-Score'!D335</f>
        <v>NG</v>
      </c>
      <c r="E342" s="89" t="str">
        <f>'Runs Z-Score'!E335</f>
        <v>W1</v>
      </c>
      <c r="F342" s="89">
        <f>'Runs Z-Score'!F335</f>
        <v>7.4</v>
      </c>
      <c r="G342" s="89">
        <f t="shared" si="46"/>
        <v>8.370000000000001</v>
      </c>
      <c r="H342" s="89">
        <v>9.61</v>
      </c>
      <c r="I342" s="89">
        <f>VLOOKUP(C342,Recipes!$A$2:$N$4,12,FALSE())</f>
        <v>6.1509461004819709E-2</v>
      </c>
      <c r="J342" s="89">
        <f t="shared" si="47"/>
        <v>1.2399999999999984</v>
      </c>
      <c r="K342" s="89">
        <f>IF(G342="","",-0.5*((J342-Components!$C$2)/Components!$D$2)^2)</f>
        <v>-26216.508771930843</v>
      </c>
      <c r="L342" s="89">
        <f>IF(G342="","",-0.5*((J342-Components!$C$3)/Components!$D$3)^2)</f>
        <v>-20535.404347826621</v>
      </c>
      <c r="M342" s="89">
        <f>IF(G342="","",-0.5*((J342-Components!$C$4)/Components!$D$4)^2)</f>
        <v>-155.69019607843032</v>
      </c>
      <c r="N342" s="89">
        <f>IF(G342="","",-0.5*((J342-Components!$C$5)/Components!$D$5)^2)</f>
        <v>-8706.3986463620604</v>
      </c>
      <c r="O342" s="89">
        <f>IF(G342="","",-0.5*((J342-Components!$C$6)/Components!$D$6)^2)</f>
        <v>-4.658588064046068</v>
      </c>
      <c r="P342" s="89">
        <f>IF(G342="","",-0.5*((J342-Components!$C$7)/Components!$D$7)^2)</f>
        <v>-14.269711567593468</v>
      </c>
      <c r="Q342" s="89">
        <f t="shared" si="48"/>
        <v>0.9999330249556827</v>
      </c>
      <c r="R342" s="89">
        <f t="shared" si="49"/>
        <v>6.6975044317302217E-5</v>
      </c>
      <c r="S342" s="89">
        <f t="shared" si="50"/>
        <v>0.99986604991136541</v>
      </c>
      <c r="T342" s="89" t="str">
        <f t="shared" si="51"/>
        <v>NG</v>
      </c>
      <c r="U342" s="117">
        <f t="shared" si="52"/>
        <v>1</v>
      </c>
      <c r="V342" s="89" t="str">
        <f>IF(G342="","",IF(T342="OK","NONE",INDEX({"S1","S2","W1","W2","N1","N2"},MATCH(MAX(K342:P342),K342:P342,0))))</f>
        <v>N1</v>
      </c>
      <c r="W342" s="122">
        <f t="shared" si="53"/>
        <v>0</v>
      </c>
      <c r="X342" s="114" t="str">
        <f t="shared" si="54"/>
        <v>CONFIDENT</v>
      </c>
      <c r="Y342" s="107"/>
    </row>
    <row r="343" spans="1:25">
      <c r="A343" s="115">
        <v>334</v>
      </c>
      <c r="B343" s="135">
        <f>'Runs Z-Score'!B336</f>
        <v>12</v>
      </c>
      <c r="C343" s="89" t="str">
        <f>'Runs Z-Score'!C336</f>
        <v>R6</v>
      </c>
      <c r="D343" s="89" t="str">
        <f>'Runs Z-Score'!D336</f>
        <v>NG</v>
      </c>
      <c r="E343" s="89" t="str">
        <f>'Runs Z-Score'!E336</f>
        <v>W1</v>
      </c>
      <c r="F343" s="89">
        <f>'Runs Z-Score'!F336</f>
        <v>7.59</v>
      </c>
      <c r="G343" s="89">
        <f t="shared" si="46"/>
        <v>8.56</v>
      </c>
      <c r="H343" s="89">
        <v>9.61</v>
      </c>
      <c r="I343" s="89">
        <f>VLOOKUP(C343,Recipes!$A$2:$N$4,12,FALSE())</f>
        <v>6.1509461004819709E-2</v>
      </c>
      <c r="J343" s="89">
        <f t="shared" si="47"/>
        <v>1.0499999999999989</v>
      </c>
      <c r="K343" s="89">
        <f>IF(G343="","",-0.5*((J343-Components!$C$2)/Components!$D$2)^2)</f>
        <v>-33212.758771931098</v>
      </c>
      <c r="L343" s="89">
        <f>IF(G343="","",-0.5*((J343-Components!$C$3)/Components!$D$3)^2)</f>
        <v>-23421.167028986107</v>
      </c>
      <c r="M343" s="89">
        <f>IF(G343="","",-0.5*((J343-Components!$C$4)/Components!$D$4)^2)</f>
        <v>-8.2166666666664909</v>
      </c>
      <c r="N343" s="89">
        <f>IF(G343="","",-0.5*((J343-Components!$C$5)/Components!$D$5)^2)</f>
        <v>-9730.5833816774957</v>
      </c>
      <c r="O343" s="89">
        <f>IF(G343="","",-0.5*((J343-Components!$C$6)/Components!$D$6)^2)</f>
        <v>-7.3136098981083535</v>
      </c>
      <c r="P343" s="89">
        <f>IF(G343="","",-0.5*((J343-Components!$C$7)/Components!$D$7)^2)</f>
        <v>-83.182272920074354</v>
      </c>
      <c r="Q343" s="89">
        <f t="shared" si="48"/>
        <v>0.71157726421874634</v>
      </c>
      <c r="R343" s="89">
        <f t="shared" si="49"/>
        <v>0.2884227357812536</v>
      </c>
      <c r="S343" s="89">
        <f t="shared" si="50"/>
        <v>0.42315452843749274</v>
      </c>
      <c r="T343" s="89" t="str">
        <f t="shared" si="51"/>
        <v>NG</v>
      </c>
      <c r="U343" s="117">
        <f t="shared" si="52"/>
        <v>1</v>
      </c>
      <c r="V343" s="89" t="str">
        <f>IF(G343="","",IF(T343="OK","NONE",INDEX({"S1","S2","W1","W2","N1","N2"},MATCH(MAX(K343:P343),K343:P343,0))))</f>
        <v>N1</v>
      </c>
      <c r="W343" s="122">
        <f t="shared" si="53"/>
        <v>0</v>
      </c>
      <c r="X343" s="114" t="str">
        <f t="shared" si="54"/>
        <v>CONFIDENT</v>
      </c>
      <c r="Y343" s="107"/>
    </row>
    <row r="344" spans="1:25">
      <c r="A344" s="115">
        <v>335</v>
      </c>
      <c r="B344" s="135">
        <f>'Runs Z-Score'!B337</f>
        <v>12</v>
      </c>
      <c r="C344" s="89" t="str">
        <f>'Runs Z-Score'!C337</f>
        <v>R6</v>
      </c>
      <c r="D344" s="89" t="str">
        <f>'Runs Z-Score'!D337</f>
        <v>NG</v>
      </c>
      <c r="E344" s="89" t="str">
        <f>'Runs Z-Score'!E337</f>
        <v>W1</v>
      </c>
      <c r="F344" s="89">
        <f>'Runs Z-Score'!F337</f>
        <v>7.53</v>
      </c>
      <c r="G344" s="89">
        <f t="shared" si="46"/>
        <v>8.5</v>
      </c>
      <c r="H344" s="89">
        <v>9.61</v>
      </c>
      <c r="I344" s="89">
        <f>VLOOKUP(C344,Recipes!$A$2:$N$4,12,FALSE())</f>
        <v>6.1509461004819709E-2</v>
      </c>
      <c r="J344" s="89">
        <f t="shared" si="47"/>
        <v>1.1099999999999994</v>
      </c>
      <c r="K344" s="89">
        <f>IF(G344="","",-0.5*((J344-Components!$C$2)/Components!$D$2)^2)</f>
        <v>-30914.127192983626</v>
      </c>
      <c r="L344" s="89">
        <f>IF(G344="","",-0.5*((J344-Components!$C$3)/Components!$D$3)^2)</f>
        <v>-22489.384420290422</v>
      </c>
      <c r="M344" s="89">
        <f>IF(G344="","",-0.5*((J344-Components!$C$4)/Components!$D$4)^2)</f>
        <v>-34.828431372549005</v>
      </c>
      <c r="N344" s="89">
        <f>IF(G344="","",-0.5*((J344-Components!$C$5)/Components!$D$5)^2)</f>
        <v>-9401.0054266376137</v>
      </c>
      <c r="O344" s="89">
        <f>IF(G344="","",-0.5*((J344-Components!$C$6)/Components!$D$6)^2)</f>
        <v>-1.366011644832843</v>
      </c>
      <c r="P344" s="89">
        <f>IF(G344="","",-0.5*((J344-Components!$C$7)/Components!$D$7)^2)</f>
        <v>-55.252441980245109</v>
      </c>
      <c r="Q344" s="89">
        <f t="shared" si="48"/>
        <v>0.99999999999999711</v>
      </c>
      <c r="R344" s="89">
        <f t="shared" si="49"/>
        <v>2.9339706233949987E-15</v>
      </c>
      <c r="S344" s="89">
        <f t="shared" si="50"/>
        <v>0.99999999999999423</v>
      </c>
      <c r="T344" s="89" t="str">
        <f t="shared" si="51"/>
        <v>NG</v>
      </c>
      <c r="U344" s="117">
        <f t="shared" si="52"/>
        <v>1</v>
      </c>
      <c r="V344" s="89" t="str">
        <f>IF(G344="","",IF(T344="OK","NONE",INDEX({"S1","S2","W1","W2","N1","N2"},MATCH(MAX(K344:P344),K344:P344,0))))</f>
        <v>N1</v>
      </c>
      <c r="W344" s="122">
        <f t="shared" si="53"/>
        <v>0</v>
      </c>
      <c r="X344" s="114" t="str">
        <f t="shared" si="54"/>
        <v>CONFIDENT</v>
      </c>
      <c r="Y344" s="107"/>
    </row>
    <row r="345" spans="1:25">
      <c r="A345" s="115">
        <v>336</v>
      </c>
      <c r="B345" s="135">
        <f>'Runs Z-Score'!B338</f>
        <v>12</v>
      </c>
      <c r="C345" s="89" t="str">
        <f>'Runs Z-Score'!C338</f>
        <v>R6</v>
      </c>
      <c r="D345" s="89" t="str">
        <f>'Runs Z-Score'!D338</f>
        <v>NG</v>
      </c>
      <c r="E345" s="89" t="str">
        <f>'Runs Z-Score'!E338</f>
        <v>W1</v>
      </c>
      <c r="F345" s="89">
        <f>'Runs Z-Score'!F338</f>
        <v>7.53</v>
      </c>
      <c r="G345" s="89">
        <f t="shared" si="46"/>
        <v>8.5</v>
      </c>
      <c r="H345" s="89">
        <v>9.61</v>
      </c>
      <c r="I345" s="89">
        <f>VLOOKUP(C345,Recipes!$A$2:$N$4,12,FALSE())</f>
        <v>6.1509461004819709E-2</v>
      </c>
      <c r="J345" s="89">
        <f t="shared" si="47"/>
        <v>1.1099999999999994</v>
      </c>
      <c r="K345" s="89">
        <f>IF(G345="","",-0.5*((J345-Components!$C$2)/Components!$D$2)^2)</f>
        <v>-30914.127192983626</v>
      </c>
      <c r="L345" s="89">
        <f>IF(G345="","",-0.5*((J345-Components!$C$3)/Components!$D$3)^2)</f>
        <v>-22489.384420290422</v>
      </c>
      <c r="M345" s="89">
        <f>IF(G345="","",-0.5*((J345-Components!$C$4)/Components!$D$4)^2)</f>
        <v>-34.828431372549005</v>
      </c>
      <c r="N345" s="89">
        <f>IF(G345="","",-0.5*((J345-Components!$C$5)/Components!$D$5)^2)</f>
        <v>-9401.0054266376137</v>
      </c>
      <c r="O345" s="89">
        <f>IF(G345="","",-0.5*((J345-Components!$C$6)/Components!$D$6)^2)</f>
        <v>-1.366011644832843</v>
      </c>
      <c r="P345" s="89">
        <f>IF(G345="","",-0.5*((J345-Components!$C$7)/Components!$D$7)^2)</f>
        <v>-55.252441980245109</v>
      </c>
      <c r="Q345" s="89">
        <f t="shared" si="48"/>
        <v>0.99999999999999711</v>
      </c>
      <c r="R345" s="89">
        <f t="shared" si="49"/>
        <v>2.9339706233949987E-15</v>
      </c>
      <c r="S345" s="89">
        <f t="shared" si="50"/>
        <v>0.99999999999999423</v>
      </c>
      <c r="T345" s="89" t="str">
        <f t="shared" si="51"/>
        <v>NG</v>
      </c>
      <c r="U345" s="117">
        <f t="shared" si="52"/>
        <v>1</v>
      </c>
      <c r="V345" s="89" t="str">
        <f>IF(G345="","",IF(T345="OK","NONE",INDEX({"S1","S2","W1","W2","N1","N2"},MATCH(MAX(K345:P345),K345:P345,0))))</f>
        <v>N1</v>
      </c>
      <c r="W345" s="122">
        <f t="shared" si="53"/>
        <v>0</v>
      </c>
      <c r="X345" s="114" t="str">
        <f t="shared" si="54"/>
        <v>CONFIDENT</v>
      </c>
      <c r="Y345" s="107"/>
    </row>
    <row r="346" spans="1:25">
      <c r="A346" s="115">
        <v>337</v>
      </c>
      <c r="B346" s="135">
        <f>'Runs Z-Score'!B339</f>
        <v>12</v>
      </c>
      <c r="C346" s="89" t="str">
        <f>'Runs Z-Score'!C339</f>
        <v>R6</v>
      </c>
      <c r="D346" s="89" t="str">
        <f>'Runs Z-Score'!D339</f>
        <v>NG</v>
      </c>
      <c r="E346" s="89" t="str">
        <f>'Runs Z-Score'!E339</f>
        <v>W1</v>
      </c>
      <c r="F346" s="89">
        <f>'Runs Z-Score'!F339</f>
        <v>7.63</v>
      </c>
      <c r="G346" s="89">
        <f t="shared" si="46"/>
        <v>8.6</v>
      </c>
      <c r="H346" s="89">
        <v>9.61</v>
      </c>
      <c r="I346" s="89">
        <f>VLOOKUP(C346,Recipes!$A$2:$N$4,12,FALSE())</f>
        <v>6.1509461004819709E-2</v>
      </c>
      <c r="J346" s="89">
        <f t="shared" si="47"/>
        <v>1.0099999999999998</v>
      </c>
      <c r="K346" s="89">
        <f>IF(G346="","",-0.5*((J346-Components!$C$2)/Components!$D$2)^2)</f>
        <v>-34790.969298246928</v>
      </c>
      <c r="L346" s="89">
        <f>IF(G346="","",-0.5*((J346-Components!$C$3)/Components!$D$3)^2)</f>
        <v>-24052.862681160026</v>
      </c>
      <c r="M346" s="89">
        <f>IF(G346="","",-0.5*((J346-Components!$C$4)/Components!$D$4)^2)</f>
        <v>-0.7107843137255061</v>
      </c>
      <c r="N346" s="89">
        <f>IF(G346="","",-0.5*((J346-Components!$C$5)/Components!$D$5)^2)</f>
        <v>-9953.4564781241897</v>
      </c>
      <c r="O346" s="89">
        <f>IF(G346="","",-0.5*((J346-Components!$C$6)/Components!$D$6)^2)</f>
        <v>-13.898762736536399</v>
      </c>
      <c r="P346" s="89">
        <f>IF(G346="","",-0.5*((J346-Components!$C$7)/Components!$D$7)^2)</f>
        <v>-104.965221474882</v>
      </c>
      <c r="Q346" s="89">
        <f t="shared" si="48"/>
        <v>0.99999812702090507</v>
      </c>
      <c r="R346" s="89">
        <f t="shared" si="49"/>
        <v>1.8729790950215809E-6</v>
      </c>
      <c r="S346" s="89">
        <f t="shared" si="50"/>
        <v>0.99999625404181003</v>
      </c>
      <c r="T346" s="89" t="str">
        <f t="shared" si="51"/>
        <v>NG</v>
      </c>
      <c r="U346" s="117">
        <f t="shared" si="52"/>
        <v>1</v>
      </c>
      <c r="V346" s="89" t="str">
        <f>IF(G346="","",IF(T346="OK","NONE",INDEX({"S1","S2","W1","W2","N1","N2"},MATCH(MAX(K346:P346),K346:P346,0))))</f>
        <v>W1</v>
      </c>
      <c r="W346" s="117">
        <f t="shared" si="53"/>
        <v>1</v>
      </c>
      <c r="X346" s="114" t="str">
        <f t="shared" si="54"/>
        <v>CONFIDENT</v>
      </c>
      <c r="Y346" s="107"/>
    </row>
    <row r="347" spans="1:25">
      <c r="A347" s="115">
        <v>338</v>
      </c>
      <c r="B347" s="135">
        <f>'Runs Z-Score'!B340</f>
        <v>12</v>
      </c>
      <c r="C347" s="89" t="str">
        <f>'Runs Z-Score'!C340</f>
        <v>R6</v>
      </c>
      <c r="D347" s="89" t="str">
        <f>'Runs Z-Score'!D340</f>
        <v>NG</v>
      </c>
      <c r="E347" s="89" t="str">
        <f>'Runs Z-Score'!E340</f>
        <v>W1</v>
      </c>
      <c r="F347" s="89">
        <f>'Runs Z-Score'!F340</f>
        <v>7.62</v>
      </c>
      <c r="G347" s="89">
        <f t="shared" si="46"/>
        <v>8.59</v>
      </c>
      <c r="H347" s="89">
        <v>9.61</v>
      </c>
      <c r="I347" s="89">
        <f>VLOOKUP(C347,Recipes!$A$2:$N$4,12,FALSE())</f>
        <v>6.1509461004819709E-2</v>
      </c>
      <c r="J347" s="89">
        <f t="shared" si="47"/>
        <v>1.0199999999999996</v>
      </c>
      <c r="K347" s="89">
        <f>IF(G347="","",-0.5*((J347-Components!$C$2)/Components!$D$2)^2)</f>
        <v>-34392.982456141654</v>
      </c>
      <c r="L347" s="89">
        <f>IF(G347="","",-0.5*((J347-Components!$C$3)/Components!$D$3)^2)</f>
        <v>-23894.150724638283</v>
      </c>
      <c r="M347" s="89">
        <f>IF(G347="","",-0.5*((J347-Components!$C$4)/Components!$D$4)^2)</f>
        <v>-1.8196078431372533</v>
      </c>
      <c r="N347" s="89">
        <f>IF(G347="","",-0.5*((J347-Components!$C$5)/Components!$D$5)^2)</f>
        <v>-9897.5016195310109</v>
      </c>
      <c r="O347" s="89">
        <f>IF(G347="","",-0.5*((J347-Components!$C$6)/Components!$D$6)^2)</f>
        <v>-12.055967976711054</v>
      </c>
      <c r="P347" s="89">
        <f>IF(G347="","",-0.5*((J347-Components!$C$7)/Components!$D$7)^2)</f>
        <v>-99.282254741560934</v>
      </c>
      <c r="Q347" s="89">
        <f t="shared" si="48"/>
        <v>0.99996415820817575</v>
      </c>
      <c r="R347" s="89">
        <f t="shared" si="49"/>
        <v>3.5841791824358934E-5</v>
      </c>
      <c r="S347" s="89">
        <f t="shared" si="50"/>
        <v>0.99992831641635138</v>
      </c>
      <c r="T347" s="89" t="str">
        <f t="shared" si="51"/>
        <v>NG</v>
      </c>
      <c r="U347" s="117">
        <f t="shared" si="52"/>
        <v>1</v>
      </c>
      <c r="V347" s="89" t="str">
        <f>IF(G347="","",IF(T347="OK","NONE",INDEX({"S1","S2","W1","W2","N1","N2"},MATCH(MAX(K347:P347),K347:P347,0))))</f>
        <v>W1</v>
      </c>
      <c r="W347" s="117">
        <f t="shared" si="53"/>
        <v>1</v>
      </c>
      <c r="X347" s="114" t="str">
        <f t="shared" si="54"/>
        <v>CONFIDENT</v>
      </c>
      <c r="Y347" s="107"/>
    </row>
    <row r="348" spans="1:25">
      <c r="A348" s="115">
        <v>339</v>
      </c>
      <c r="B348" s="135">
        <f>'Runs Z-Score'!B341</f>
        <v>12</v>
      </c>
      <c r="C348" s="89" t="str">
        <f>'Runs Z-Score'!C341</f>
        <v>R6</v>
      </c>
      <c r="D348" s="89" t="str">
        <f>'Runs Z-Score'!D341</f>
        <v>NG</v>
      </c>
      <c r="E348" s="89" t="str">
        <f>'Runs Z-Score'!E341</f>
        <v>W1</v>
      </c>
      <c r="F348" s="89">
        <f>'Runs Z-Score'!F341</f>
        <v>7.59</v>
      </c>
      <c r="G348" s="89">
        <f t="shared" si="46"/>
        <v>8.56</v>
      </c>
      <c r="H348" s="89">
        <v>9.61</v>
      </c>
      <c r="I348" s="89">
        <f>VLOOKUP(C348,Recipes!$A$2:$N$4,12,FALSE())</f>
        <v>6.1509461004819709E-2</v>
      </c>
      <c r="J348" s="89">
        <f t="shared" si="47"/>
        <v>1.0499999999999989</v>
      </c>
      <c r="K348" s="89">
        <f>IF(G348="","",-0.5*((J348-Components!$C$2)/Components!$D$2)^2)</f>
        <v>-33212.758771931098</v>
      </c>
      <c r="L348" s="89">
        <f>IF(G348="","",-0.5*((J348-Components!$C$3)/Components!$D$3)^2)</f>
        <v>-23421.167028986107</v>
      </c>
      <c r="M348" s="89">
        <f>IF(G348="","",-0.5*((J348-Components!$C$4)/Components!$D$4)^2)</f>
        <v>-8.2166666666664909</v>
      </c>
      <c r="N348" s="89">
        <f>IF(G348="","",-0.5*((J348-Components!$C$5)/Components!$D$5)^2)</f>
        <v>-9730.5833816774957</v>
      </c>
      <c r="O348" s="89">
        <f>IF(G348="","",-0.5*((J348-Components!$C$6)/Components!$D$6)^2)</f>
        <v>-7.3136098981083535</v>
      </c>
      <c r="P348" s="89">
        <f>IF(G348="","",-0.5*((J348-Components!$C$7)/Components!$D$7)^2)</f>
        <v>-83.182272920074354</v>
      </c>
      <c r="Q348" s="89">
        <f t="shared" si="48"/>
        <v>0.71157726421874634</v>
      </c>
      <c r="R348" s="89">
        <f t="shared" si="49"/>
        <v>0.2884227357812536</v>
      </c>
      <c r="S348" s="89">
        <f t="shared" si="50"/>
        <v>0.42315452843749274</v>
      </c>
      <c r="T348" s="89" t="str">
        <f t="shared" si="51"/>
        <v>NG</v>
      </c>
      <c r="U348" s="117">
        <f t="shared" si="52"/>
        <v>1</v>
      </c>
      <c r="V348" s="89" t="str">
        <f>IF(G348="","",IF(T348="OK","NONE",INDEX({"S1","S2","W1","W2","N1","N2"},MATCH(MAX(K348:P348),K348:P348,0))))</f>
        <v>N1</v>
      </c>
      <c r="W348" s="122">
        <f t="shared" si="53"/>
        <v>0</v>
      </c>
      <c r="X348" s="114" t="str">
        <f t="shared" si="54"/>
        <v>CONFIDENT</v>
      </c>
      <c r="Y348" s="107"/>
    </row>
    <row r="349" spans="1:25">
      <c r="A349" s="115">
        <v>340</v>
      </c>
      <c r="B349" s="135">
        <f>'Runs Z-Score'!B342</f>
        <v>12</v>
      </c>
      <c r="C349" s="89" t="str">
        <f>'Runs Z-Score'!C342</f>
        <v>R6</v>
      </c>
      <c r="D349" s="89" t="str">
        <f>'Runs Z-Score'!D342</f>
        <v>NG</v>
      </c>
      <c r="E349" s="89" t="str">
        <f>'Runs Z-Score'!E342</f>
        <v>W1</v>
      </c>
      <c r="F349" s="89">
        <f>'Runs Z-Score'!F342</f>
        <v>7.64</v>
      </c>
      <c r="G349" s="89">
        <f t="shared" si="46"/>
        <v>8.61</v>
      </c>
      <c r="H349" s="89">
        <v>9.61</v>
      </c>
      <c r="I349" s="89">
        <f>VLOOKUP(C349,Recipes!$A$2:$N$4,12,FALSE())</f>
        <v>6.1509461004819709E-2</v>
      </c>
      <c r="J349" s="89">
        <f t="shared" si="47"/>
        <v>1</v>
      </c>
      <c r="K349" s="89">
        <f>IF(G349="","",-0.5*((J349-Components!$C$2)/Components!$D$2)^2)</f>
        <v>-35191.245614036394</v>
      </c>
      <c r="L349" s="89">
        <f>IF(G349="","",-0.5*((J349-Components!$C$3)/Components!$D$3)^2)</f>
        <v>-24212.100000000602</v>
      </c>
      <c r="M349" s="89">
        <f>IF(G349="","",-0.5*((J349-Components!$C$4)/Components!$D$4)^2)</f>
        <v>-0.1137254901960916</v>
      </c>
      <c r="N349" s="89">
        <f>IF(G349="","",-0.5*((J349-Components!$C$5)/Components!$D$5)^2)</f>
        <v>-10009.569059705045</v>
      </c>
      <c r="O349" s="89">
        <f>IF(G349="","",-0.5*((J349-Components!$C$6)/Components!$D$6)^2)</f>
        <v>-15.872561863173967</v>
      </c>
      <c r="P349" s="89">
        <f>IF(G349="","",-0.5*((J349-Components!$C$7)/Components!$D$7)^2)</f>
        <v>-110.80634127128251</v>
      </c>
      <c r="Q349" s="89">
        <f t="shared" si="48"/>
        <v>0.99999985677320968</v>
      </c>
      <c r="R349" s="89">
        <f t="shared" si="49"/>
        <v>1.4322679038772536E-7</v>
      </c>
      <c r="S349" s="89">
        <f t="shared" si="50"/>
        <v>0.99999971354641926</v>
      </c>
      <c r="T349" s="89" t="str">
        <f t="shared" si="51"/>
        <v>NG</v>
      </c>
      <c r="U349" s="117">
        <f t="shared" si="52"/>
        <v>1</v>
      </c>
      <c r="V349" s="89" t="str">
        <f>IF(G349="","",IF(T349="OK","NONE",INDEX({"S1","S2","W1","W2","N1","N2"},MATCH(MAX(K349:P349),K349:P349,0))))</f>
        <v>W1</v>
      </c>
      <c r="W349" s="117">
        <f t="shared" si="53"/>
        <v>1</v>
      </c>
      <c r="X349" s="114" t="str">
        <f t="shared" si="54"/>
        <v>CONFIDENT</v>
      </c>
      <c r="Y349" s="107"/>
    </row>
    <row r="350" spans="1:25">
      <c r="A350" s="115">
        <v>341</v>
      </c>
      <c r="B350" s="135">
        <f>'Runs Z-Score'!B343</f>
        <v>12</v>
      </c>
      <c r="C350" s="89" t="str">
        <f>'Runs Z-Score'!C343</f>
        <v>R6</v>
      </c>
      <c r="D350" s="89" t="str">
        <f>'Runs Z-Score'!D343</f>
        <v>NG</v>
      </c>
      <c r="E350" s="89" t="str">
        <f>'Runs Z-Score'!E343</f>
        <v>W1</v>
      </c>
      <c r="F350" s="89">
        <f>'Runs Z-Score'!F343</f>
        <v>7.65</v>
      </c>
      <c r="G350" s="89">
        <f t="shared" si="46"/>
        <v>8.620000000000001</v>
      </c>
      <c r="H350" s="89">
        <v>9.61</v>
      </c>
      <c r="I350" s="89">
        <f>VLOOKUP(C350,Recipes!$A$2:$N$4,12,FALSE())</f>
        <v>6.1509461004819709E-2</v>
      </c>
      <c r="J350" s="89">
        <f t="shared" si="47"/>
        <v>0.98999999999999844</v>
      </c>
      <c r="K350" s="89">
        <f>IF(G350="","",-0.5*((J350-Components!$C$2)/Components!$D$2)^2)</f>
        <v>-35593.811403510168</v>
      </c>
      <c r="L350" s="89">
        <f>IF(G350="","",-0.5*((J350-Components!$C$3)/Components!$D$3)^2)</f>
        <v>-24371.862681160055</v>
      </c>
      <c r="M350" s="89">
        <f>IF(G350="","",-0.5*((J350-Components!$C$4)/Components!$D$4)^2)</f>
        <v>-2.8431372549039942E-2</v>
      </c>
      <c r="N350" s="89">
        <f>IF(G350="","",-0.5*((J350-Components!$C$5)/Components!$D$5)^2)</f>
        <v>-10065.839364273581</v>
      </c>
      <c r="O350" s="89">
        <f>IF(G350="","",-0.5*((J350-Components!$C$6)/Components!$D$6)^2)</f>
        <v>-17.977365356624141</v>
      </c>
      <c r="P350" s="89">
        <f>IF(G350="","",-0.5*((J350-Components!$C$7)/Components!$D$7)^2)</f>
        <v>-116.80561413076353</v>
      </c>
      <c r="Q350" s="89">
        <f t="shared" si="48"/>
        <v>0.99999998397208589</v>
      </c>
      <c r="R350" s="89">
        <f t="shared" si="49"/>
        <v>1.6027914155375805E-8</v>
      </c>
      <c r="S350" s="89">
        <f t="shared" si="50"/>
        <v>0.99999996794417179</v>
      </c>
      <c r="T350" s="89" t="str">
        <f t="shared" si="51"/>
        <v>NG</v>
      </c>
      <c r="U350" s="117">
        <f t="shared" si="52"/>
        <v>1</v>
      </c>
      <c r="V350" s="89" t="str">
        <f>IF(G350="","",IF(T350="OK","NONE",INDEX({"S1","S2","W1","W2","N1","N2"},MATCH(MAX(K350:P350),K350:P350,0))))</f>
        <v>W1</v>
      </c>
      <c r="W350" s="117">
        <f t="shared" si="53"/>
        <v>1</v>
      </c>
      <c r="X350" s="114" t="str">
        <f t="shared" si="54"/>
        <v>CONFIDENT</v>
      </c>
      <c r="Y350" s="107"/>
    </row>
    <row r="351" spans="1:25">
      <c r="A351" s="115">
        <v>342</v>
      </c>
      <c r="B351" s="135">
        <f>'Runs Z-Score'!B344</f>
        <v>12</v>
      </c>
      <c r="C351" s="89" t="str">
        <f>'Runs Z-Score'!C344</f>
        <v>R6</v>
      </c>
      <c r="D351" s="89" t="str">
        <f>'Runs Z-Score'!D344</f>
        <v>NG</v>
      </c>
      <c r="E351" s="89" t="str">
        <f>'Runs Z-Score'!E344</f>
        <v>W1</v>
      </c>
      <c r="F351" s="89">
        <f>'Runs Z-Score'!F344</f>
        <v>7.6</v>
      </c>
      <c r="G351" s="89">
        <f t="shared" si="46"/>
        <v>8.57</v>
      </c>
      <c r="H351" s="89">
        <v>9.61</v>
      </c>
      <c r="I351" s="89">
        <f>VLOOKUP(C351,Recipes!$A$2:$N$4,12,FALSE())</f>
        <v>6.1509461004819709E-2</v>
      </c>
      <c r="J351" s="89">
        <f t="shared" si="47"/>
        <v>1.0399999999999991</v>
      </c>
      <c r="K351" s="89">
        <f>IF(G351="","",-0.5*((J351-Components!$C$2)/Components!$D$2)^2)</f>
        <v>-33603.877192983738</v>
      </c>
      <c r="L351" s="89">
        <f>IF(G351="","",-0.5*((J351-Components!$C$3)/Components!$D$3)^2)</f>
        <v>-23578.302898551327</v>
      </c>
      <c r="M351" s="89">
        <f>IF(G351="","",-0.5*((J351-Components!$C$4)/Components!$D$4)^2)</f>
        <v>-5.5725490196077461</v>
      </c>
      <c r="N351" s="89">
        <f>IF(G351="","",-0.5*((J351-Components!$C$5)/Components!$D$5)^2)</f>
        <v>-9786.0650713076611</v>
      </c>
      <c r="O351" s="89">
        <f>IF(G351="","",-0.5*((J351-Components!$C$6)/Components!$D$6)^2)</f>
        <v>-8.763391557497032</v>
      </c>
      <c r="P351" s="89">
        <f>IF(G351="","",-0.5*((J351-Components!$C$7)/Components!$D$7)^2)</f>
        <v>-88.390780464157089</v>
      </c>
      <c r="Q351" s="89">
        <f t="shared" si="48"/>
        <v>0.96048820768486087</v>
      </c>
      <c r="R351" s="89">
        <f t="shared" si="49"/>
        <v>3.9511792315139148E-2</v>
      </c>
      <c r="S351" s="89">
        <f t="shared" si="50"/>
        <v>0.92097641536972175</v>
      </c>
      <c r="T351" s="89" t="str">
        <f t="shared" si="51"/>
        <v>NG</v>
      </c>
      <c r="U351" s="117">
        <f t="shared" si="52"/>
        <v>1</v>
      </c>
      <c r="V351" s="89" t="str">
        <f>IF(G351="","",IF(T351="OK","NONE",INDEX({"S1","S2","W1","W2","N1","N2"},MATCH(MAX(K351:P351),K351:P351,0))))</f>
        <v>W1</v>
      </c>
      <c r="W351" s="117">
        <f t="shared" si="53"/>
        <v>1</v>
      </c>
      <c r="X351" s="114" t="str">
        <f t="shared" si="54"/>
        <v>CONFIDENT</v>
      </c>
      <c r="Y351" s="107"/>
    </row>
    <row r="352" spans="1:25">
      <c r="A352" s="115">
        <v>343</v>
      </c>
      <c r="B352" s="135">
        <f>'Runs Z-Score'!B345</f>
        <v>12</v>
      </c>
      <c r="C352" s="89" t="str">
        <f>'Runs Z-Score'!C345</f>
        <v>R6</v>
      </c>
      <c r="D352" s="89" t="str">
        <f>'Runs Z-Score'!D345</f>
        <v>NG</v>
      </c>
      <c r="E352" s="89" t="str">
        <f>'Runs Z-Score'!E345</f>
        <v>W1</v>
      </c>
      <c r="F352" s="89">
        <f>'Runs Z-Score'!F345</f>
        <v>7.6</v>
      </c>
      <c r="G352" s="89">
        <f t="shared" si="46"/>
        <v>8.57</v>
      </c>
      <c r="H352" s="89">
        <v>9.61</v>
      </c>
      <c r="I352" s="89">
        <f>VLOOKUP(C352,Recipes!$A$2:$N$4,12,FALSE())</f>
        <v>6.1509461004819709E-2</v>
      </c>
      <c r="J352" s="89">
        <f t="shared" si="47"/>
        <v>1.0399999999999991</v>
      </c>
      <c r="K352" s="89">
        <f>IF(G352="","",-0.5*((J352-Components!$C$2)/Components!$D$2)^2)</f>
        <v>-33603.877192983738</v>
      </c>
      <c r="L352" s="89">
        <f>IF(G352="","",-0.5*((J352-Components!$C$3)/Components!$D$3)^2)</f>
        <v>-23578.302898551327</v>
      </c>
      <c r="M352" s="89">
        <f>IF(G352="","",-0.5*((J352-Components!$C$4)/Components!$D$4)^2)</f>
        <v>-5.5725490196077461</v>
      </c>
      <c r="N352" s="89">
        <f>IF(G352="","",-0.5*((J352-Components!$C$5)/Components!$D$5)^2)</f>
        <v>-9786.0650713076611</v>
      </c>
      <c r="O352" s="89">
        <f>IF(G352="","",-0.5*((J352-Components!$C$6)/Components!$D$6)^2)</f>
        <v>-8.763391557497032</v>
      </c>
      <c r="P352" s="89">
        <f>IF(G352="","",-0.5*((J352-Components!$C$7)/Components!$D$7)^2)</f>
        <v>-88.390780464157089</v>
      </c>
      <c r="Q352" s="89">
        <f t="shared" si="48"/>
        <v>0.96048820768486087</v>
      </c>
      <c r="R352" s="89">
        <f t="shared" si="49"/>
        <v>3.9511792315139148E-2</v>
      </c>
      <c r="S352" s="89">
        <f t="shared" si="50"/>
        <v>0.92097641536972175</v>
      </c>
      <c r="T352" s="89" t="str">
        <f t="shared" si="51"/>
        <v>NG</v>
      </c>
      <c r="U352" s="117">
        <f t="shared" si="52"/>
        <v>1</v>
      </c>
      <c r="V352" s="89" t="str">
        <f>IF(G352="","",IF(T352="OK","NONE",INDEX({"S1","S2","W1","W2","N1","N2"},MATCH(MAX(K352:P352),K352:P352,0))))</f>
        <v>W1</v>
      </c>
      <c r="W352" s="117">
        <f t="shared" si="53"/>
        <v>1</v>
      </c>
      <c r="X352" s="114" t="str">
        <f t="shared" si="54"/>
        <v>CONFIDENT</v>
      </c>
      <c r="Y352" s="107"/>
    </row>
    <row r="353" spans="1:25">
      <c r="A353" s="115">
        <v>344</v>
      </c>
      <c r="B353" s="135">
        <f>'Runs Z-Score'!B346</f>
        <v>12</v>
      </c>
      <c r="C353" s="89" t="str">
        <f>'Runs Z-Score'!C346</f>
        <v>R6</v>
      </c>
      <c r="D353" s="89" t="str">
        <f>'Runs Z-Score'!D346</f>
        <v>NG</v>
      </c>
      <c r="E353" s="89" t="str">
        <f>'Runs Z-Score'!E346</f>
        <v>W1</v>
      </c>
      <c r="F353" s="89">
        <f>'Runs Z-Score'!F346</f>
        <v>7.59</v>
      </c>
      <c r="G353" s="89">
        <f t="shared" si="46"/>
        <v>8.56</v>
      </c>
      <c r="H353" s="89">
        <v>9.61</v>
      </c>
      <c r="I353" s="89">
        <f>VLOOKUP(C353,Recipes!$A$2:$N$4,12,FALSE())</f>
        <v>6.1509461004819709E-2</v>
      </c>
      <c r="J353" s="89">
        <f t="shared" si="47"/>
        <v>1.0499999999999989</v>
      </c>
      <c r="K353" s="89">
        <f>IF(G353="","",-0.5*((J353-Components!$C$2)/Components!$D$2)^2)</f>
        <v>-33212.758771931098</v>
      </c>
      <c r="L353" s="89">
        <f>IF(G353="","",-0.5*((J353-Components!$C$3)/Components!$D$3)^2)</f>
        <v>-23421.167028986107</v>
      </c>
      <c r="M353" s="89">
        <f>IF(G353="","",-0.5*((J353-Components!$C$4)/Components!$D$4)^2)</f>
        <v>-8.2166666666664909</v>
      </c>
      <c r="N353" s="89">
        <f>IF(G353="","",-0.5*((J353-Components!$C$5)/Components!$D$5)^2)</f>
        <v>-9730.5833816774957</v>
      </c>
      <c r="O353" s="89">
        <f>IF(G353="","",-0.5*((J353-Components!$C$6)/Components!$D$6)^2)</f>
        <v>-7.3136098981083535</v>
      </c>
      <c r="P353" s="89">
        <f>IF(G353="","",-0.5*((J353-Components!$C$7)/Components!$D$7)^2)</f>
        <v>-83.182272920074354</v>
      </c>
      <c r="Q353" s="89">
        <f t="shared" si="48"/>
        <v>0.71157726421874634</v>
      </c>
      <c r="R353" s="89">
        <f t="shared" si="49"/>
        <v>0.2884227357812536</v>
      </c>
      <c r="S353" s="89">
        <f t="shared" si="50"/>
        <v>0.42315452843749274</v>
      </c>
      <c r="T353" s="89" t="str">
        <f t="shared" si="51"/>
        <v>NG</v>
      </c>
      <c r="U353" s="117">
        <f t="shared" si="52"/>
        <v>1</v>
      </c>
      <c r="V353" s="89" t="str">
        <f>IF(G353="","",IF(T353="OK","NONE",INDEX({"S1","S2","W1","W2","N1","N2"},MATCH(MAX(K353:P353),K353:P353,0))))</f>
        <v>N1</v>
      </c>
      <c r="W353" s="122">
        <f t="shared" si="53"/>
        <v>0</v>
      </c>
      <c r="X353" s="114" t="str">
        <f t="shared" si="54"/>
        <v>CONFIDENT</v>
      </c>
      <c r="Y353" s="107"/>
    </row>
    <row r="354" spans="1:25">
      <c r="A354" s="115">
        <v>345</v>
      </c>
      <c r="B354" s="135">
        <f>'Runs Z-Score'!B347</f>
        <v>12</v>
      </c>
      <c r="C354" s="89" t="str">
        <f>'Runs Z-Score'!C347</f>
        <v>R6</v>
      </c>
      <c r="D354" s="89" t="str">
        <f>'Runs Z-Score'!D347</f>
        <v>NG</v>
      </c>
      <c r="E354" s="89" t="str">
        <f>'Runs Z-Score'!E347</f>
        <v>W1</v>
      </c>
      <c r="F354" s="89">
        <f>'Runs Z-Score'!F347</f>
        <v>7.63</v>
      </c>
      <c r="G354" s="89">
        <f t="shared" si="46"/>
        <v>8.6</v>
      </c>
      <c r="H354" s="89">
        <v>9.61</v>
      </c>
      <c r="I354" s="89">
        <f>VLOOKUP(C354,Recipes!$A$2:$N$4,12,FALSE())</f>
        <v>6.1509461004819709E-2</v>
      </c>
      <c r="J354" s="89">
        <f t="shared" si="47"/>
        <v>1.0099999999999998</v>
      </c>
      <c r="K354" s="89">
        <f>IF(G354="","",-0.5*((J354-Components!$C$2)/Components!$D$2)^2)</f>
        <v>-34790.969298246928</v>
      </c>
      <c r="L354" s="89">
        <f>IF(G354="","",-0.5*((J354-Components!$C$3)/Components!$D$3)^2)</f>
        <v>-24052.862681160026</v>
      </c>
      <c r="M354" s="89">
        <f>IF(G354="","",-0.5*((J354-Components!$C$4)/Components!$D$4)^2)</f>
        <v>-0.7107843137255061</v>
      </c>
      <c r="N354" s="89">
        <f>IF(G354="","",-0.5*((J354-Components!$C$5)/Components!$D$5)^2)</f>
        <v>-9953.4564781241897</v>
      </c>
      <c r="O354" s="89">
        <f>IF(G354="","",-0.5*((J354-Components!$C$6)/Components!$D$6)^2)</f>
        <v>-13.898762736536399</v>
      </c>
      <c r="P354" s="89">
        <f>IF(G354="","",-0.5*((J354-Components!$C$7)/Components!$D$7)^2)</f>
        <v>-104.965221474882</v>
      </c>
      <c r="Q354" s="89">
        <f t="shared" si="48"/>
        <v>0.99999812702090507</v>
      </c>
      <c r="R354" s="89">
        <f t="shared" si="49"/>
        <v>1.8729790950215809E-6</v>
      </c>
      <c r="S354" s="89">
        <f t="shared" si="50"/>
        <v>0.99999625404181003</v>
      </c>
      <c r="T354" s="89" t="str">
        <f t="shared" si="51"/>
        <v>NG</v>
      </c>
      <c r="U354" s="117">
        <f t="shared" si="52"/>
        <v>1</v>
      </c>
      <c r="V354" s="89" t="str">
        <f>IF(G354="","",IF(T354="OK","NONE",INDEX({"S1","S2","W1","W2","N1","N2"},MATCH(MAX(K354:P354),K354:P354,0))))</f>
        <v>W1</v>
      </c>
      <c r="W354" s="117">
        <f t="shared" si="53"/>
        <v>1</v>
      </c>
      <c r="X354" s="114" t="str">
        <f t="shared" si="54"/>
        <v>CONFIDENT</v>
      </c>
      <c r="Y354" s="107"/>
    </row>
    <row r="355" spans="1:25">
      <c r="A355" s="115">
        <v>346</v>
      </c>
      <c r="B355" s="135">
        <f>'Runs Z-Score'!B348</f>
        <v>12</v>
      </c>
      <c r="C355" s="89" t="str">
        <f>'Runs Z-Score'!C348</f>
        <v>R6</v>
      </c>
      <c r="D355" s="89" t="str">
        <f>'Runs Z-Score'!D348</f>
        <v>NG</v>
      </c>
      <c r="E355" s="89" t="str">
        <f>'Runs Z-Score'!E348</f>
        <v>W1</v>
      </c>
      <c r="F355" s="89">
        <f>'Runs Z-Score'!F348</f>
        <v>7.6</v>
      </c>
      <c r="G355" s="89">
        <f t="shared" si="46"/>
        <v>8.57</v>
      </c>
      <c r="H355" s="89">
        <v>9.61</v>
      </c>
      <c r="I355" s="89">
        <f>VLOOKUP(C355,Recipes!$A$2:$N$4,12,FALSE())</f>
        <v>6.1509461004819709E-2</v>
      </c>
      <c r="J355" s="89">
        <f t="shared" si="47"/>
        <v>1.0399999999999991</v>
      </c>
      <c r="K355" s="89">
        <f>IF(G355="","",-0.5*((J355-Components!$C$2)/Components!$D$2)^2)</f>
        <v>-33603.877192983738</v>
      </c>
      <c r="L355" s="89">
        <f>IF(G355="","",-0.5*((J355-Components!$C$3)/Components!$D$3)^2)</f>
        <v>-23578.302898551327</v>
      </c>
      <c r="M355" s="89">
        <f>IF(G355="","",-0.5*((J355-Components!$C$4)/Components!$D$4)^2)</f>
        <v>-5.5725490196077461</v>
      </c>
      <c r="N355" s="89">
        <f>IF(G355="","",-0.5*((J355-Components!$C$5)/Components!$D$5)^2)</f>
        <v>-9786.0650713076611</v>
      </c>
      <c r="O355" s="89">
        <f>IF(G355="","",-0.5*((J355-Components!$C$6)/Components!$D$6)^2)</f>
        <v>-8.763391557497032</v>
      </c>
      <c r="P355" s="89">
        <f>IF(G355="","",-0.5*((J355-Components!$C$7)/Components!$D$7)^2)</f>
        <v>-88.390780464157089</v>
      </c>
      <c r="Q355" s="89">
        <f t="shared" si="48"/>
        <v>0.96048820768486087</v>
      </c>
      <c r="R355" s="89">
        <f t="shared" si="49"/>
        <v>3.9511792315139148E-2</v>
      </c>
      <c r="S355" s="89">
        <f t="shared" si="50"/>
        <v>0.92097641536972175</v>
      </c>
      <c r="T355" s="89" t="str">
        <f t="shared" si="51"/>
        <v>NG</v>
      </c>
      <c r="U355" s="117">
        <f t="shared" si="52"/>
        <v>1</v>
      </c>
      <c r="V355" s="89" t="str">
        <f>IF(G355="","",IF(T355="OK","NONE",INDEX({"S1","S2","W1","W2","N1","N2"},MATCH(MAX(K355:P355),K355:P355,0))))</f>
        <v>W1</v>
      </c>
      <c r="W355" s="117">
        <f t="shared" si="53"/>
        <v>1</v>
      </c>
      <c r="X355" s="114" t="str">
        <f t="shared" si="54"/>
        <v>CONFIDENT</v>
      </c>
      <c r="Y355" s="107"/>
    </row>
    <row r="356" spans="1:25">
      <c r="A356" s="115">
        <v>347</v>
      </c>
      <c r="B356" s="135">
        <f>'Runs Z-Score'!B349</f>
        <v>12</v>
      </c>
      <c r="C356" s="89" t="str">
        <f>'Runs Z-Score'!C349</f>
        <v>R6</v>
      </c>
      <c r="D356" s="89" t="str">
        <f>'Runs Z-Score'!D349</f>
        <v>NG</v>
      </c>
      <c r="E356" s="89" t="str">
        <f>'Runs Z-Score'!E349</f>
        <v>W1</v>
      </c>
      <c r="F356" s="89">
        <f>'Runs Z-Score'!F349</f>
        <v>7.56</v>
      </c>
      <c r="G356" s="89">
        <f t="shared" si="46"/>
        <v>8.5299999999999994</v>
      </c>
      <c r="H356" s="89">
        <v>9.61</v>
      </c>
      <c r="I356" s="89">
        <f>VLOOKUP(C356,Recipes!$A$2:$N$4,12,FALSE())</f>
        <v>6.1509461004819709E-2</v>
      </c>
      <c r="J356" s="89">
        <f t="shared" si="47"/>
        <v>1.08</v>
      </c>
      <c r="K356" s="89">
        <f>IF(G356="","",-0.5*((J356-Components!$C$2)/Components!$D$2)^2)</f>
        <v>-32053.140350878384</v>
      </c>
      <c r="L356" s="89">
        <f>IF(G356="","",-0.5*((J356-Components!$C$3)/Components!$D$3)^2)</f>
        <v>-22952.911594203466</v>
      </c>
      <c r="M356" s="89">
        <f>IF(G356="","",-0.5*((J356-Components!$C$4)/Components!$D$4)^2)</f>
        <v>-19.21960784313751</v>
      </c>
      <c r="N356" s="89">
        <f>IF(G356="","",-0.5*((J356-Components!$C$5)/Components!$D$5)^2)</f>
        <v>-9565.0846507130263</v>
      </c>
      <c r="O356" s="89">
        <f>IF(G356="","",-0.5*((J356-Components!$C$6)/Components!$D$6)^2)</f>
        <v>-3.7502911208154757</v>
      </c>
      <c r="P356" s="89">
        <f>IF(G356="","",-0.5*((J356-Components!$C$7)/Components!$D$7)^2)</f>
        <v>-68.505668666301816</v>
      </c>
      <c r="Q356" s="89">
        <f t="shared" si="48"/>
        <v>0.99999980867971217</v>
      </c>
      <c r="R356" s="89">
        <f t="shared" si="49"/>
        <v>1.9132028783962112E-7</v>
      </c>
      <c r="S356" s="89">
        <f t="shared" si="50"/>
        <v>0.99999961735942433</v>
      </c>
      <c r="T356" s="89" t="str">
        <f t="shared" si="51"/>
        <v>NG</v>
      </c>
      <c r="U356" s="117">
        <f t="shared" si="52"/>
        <v>1</v>
      </c>
      <c r="V356" s="89" t="str">
        <f>IF(G356="","",IF(T356="OK","NONE",INDEX({"S1","S2","W1","W2","N1","N2"},MATCH(MAX(K356:P356),K356:P356,0))))</f>
        <v>N1</v>
      </c>
      <c r="W356" s="122">
        <f t="shared" si="53"/>
        <v>0</v>
      </c>
      <c r="X356" s="114" t="str">
        <f t="shared" si="54"/>
        <v>CONFIDENT</v>
      </c>
      <c r="Y356" s="107"/>
    </row>
    <row r="357" spans="1:25">
      <c r="A357" s="115">
        <v>348</v>
      </c>
      <c r="B357" s="135">
        <f>'Runs Z-Score'!B350</f>
        <v>12</v>
      </c>
      <c r="C357" s="89" t="str">
        <f>'Runs Z-Score'!C350</f>
        <v>R6</v>
      </c>
      <c r="D357" s="89" t="str">
        <f>'Runs Z-Score'!D350</f>
        <v>NG</v>
      </c>
      <c r="E357" s="89" t="str">
        <f>'Runs Z-Score'!E350</f>
        <v>W1</v>
      </c>
      <c r="F357" s="89">
        <f>'Runs Z-Score'!F350</f>
        <v>7.63</v>
      </c>
      <c r="G357" s="89">
        <f t="shared" si="46"/>
        <v>8.6</v>
      </c>
      <c r="H357" s="89">
        <v>9.61</v>
      </c>
      <c r="I357" s="89">
        <f>VLOOKUP(C357,Recipes!$A$2:$N$4,12,FALSE())</f>
        <v>6.1509461004819709E-2</v>
      </c>
      <c r="J357" s="89">
        <f t="shared" si="47"/>
        <v>1.0099999999999998</v>
      </c>
      <c r="K357" s="89">
        <f>IF(G357="","",-0.5*((J357-Components!$C$2)/Components!$D$2)^2)</f>
        <v>-34790.969298246928</v>
      </c>
      <c r="L357" s="89">
        <f>IF(G357="","",-0.5*((J357-Components!$C$3)/Components!$D$3)^2)</f>
        <v>-24052.862681160026</v>
      </c>
      <c r="M357" s="89">
        <f>IF(G357="","",-0.5*((J357-Components!$C$4)/Components!$D$4)^2)</f>
        <v>-0.7107843137255061</v>
      </c>
      <c r="N357" s="89">
        <f>IF(G357="","",-0.5*((J357-Components!$C$5)/Components!$D$5)^2)</f>
        <v>-9953.4564781241897</v>
      </c>
      <c r="O357" s="89">
        <f>IF(G357="","",-0.5*((J357-Components!$C$6)/Components!$D$6)^2)</f>
        <v>-13.898762736536399</v>
      </c>
      <c r="P357" s="89">
        <f>IF(G357="","",-0.5*((J357-Components!$C$7)/Components!$D$7)^2)</f>
        <v>-104.965221474882</v>
      </c>
      <c r="Q357" s="89">
        <f t="shared" si="48"/>
        <v>0.99999812702090507</v>
      </c>
      <c r="R357" s="89">
        <f t="shared" si="49"/>
        <v>1.8729790950215809E-6</v>
      </c>
      <c r="S357" s="89">
        <f t="shared" si="50"/>
        <v>0.99999625404181003</v>
      </c>
      <c r="T357" s="89" t="str">
        <f t="shared" si="51"/>
        <v>NG</v>
      </c>
      <c r="U357" s="117">
        <f t="shared" si="52"/>
        <v>1</v>
      </c>
      <c r="V357" s="89" t="str">
        <f>IF(G357="","",IF(T357="OK","NONE",INDEX({"S1","S2","W1","W2","N1","N2"},MATCH(MAX(K357:P357),K357:P357,0))))</f>
        <v>W1</v>
      </c>
      <c r="W357" s="117">
        <f t="shared" si="53"/>
        <v>1</v>
      </c>
      <c r="X357" s="114" t="str">
        <f t="shared" si="54"/>
        <v>CONFIDENT</v>
      </c>
      <c r="Y357" s="107"/>
    </row>
    <row r="358" spans="1:25">
      <c r="A358" s="115">
        <v>349</v>
      </c>
      <c r="B358" s="135">
        <f>'Runs Z-Score'!B351</f>
        <v>12</v>
      </c>
      <c r="C358" s="89" t="str">
        <f>'Runs Z-Score'!C351</f>
        <v>R6</v>
      </c>
      <c r="D358" s="89" t="str">
        <f>'Runs Z-Score'!D351</f>
        <v>NG</v>
      </c>
      <c r="E358" s="89" t="str">
        <f>'Runs Z-Score'!E351</f>
        <v>W1</v>
      </c>
      <c r="F358" s="89">
        <f>'Runs Z-Score'!F351</f>
        <v>7.6</v>
      </c>
      <c r="G358" s="89">
        <f t="shared" si="46"/>
        <v>8.57</v>
      </c>
      <c r="H358" s="89">
        <v>9.61</v>
      </c>
      <c r="I358" s="89">
        <f>VLOOKUP(C358,Recipes!$A$2:$N$4,12,FALSE())</f>
        <v>6.1509461004819709E-2</v>
      </c>
      <c r="J358" s="89">
        <f t="shared" si="47"/>
        <v>1.0399999999999991</v>
      </c>
      <c r="K358" s="89">
        <f>IF(G358="","",-0.5*((J358-Components!$C$2)/Components!$D$2)^2)</f>
        <v>-33603.877192983738</v>
      </c>
      <c r="L358" s="89">
        <f>IF(G358="","",-0.5*((J358-Components!$C$3)/Components!$D$3)^2)</f>
        <v>-23578.302898551327</v>
      </c>
      <c r="M358" s="89">
        <f>IF(G358="","",-0.5*((J358-Components!$C$4)/Components!$D$4)^2)</f>
        <v>-5.5725490196077461</v>
      </c>
      <c r="N358" s="89">
        <f>IF(G358="","",-0.5*((J358-Components!$C$5)/Components!$D$5)^2)</f>
        <v>-9786.0650713076611</v>
      </c>
      <c r="O358" s="89">
        <f>IF(G358="","",-0.5*((J358-Components!$C$6)/Components!$D$6)^2)</f>
        <v>-8.763391557497032</v>
      </c>
      <c r="P358" s="89">
        <f>IF(G358="","",-0.5*((J358-Components!$C$7)/Components!$D$7)^2)</f>
        <v>-88.390780464157089</v>
      </c>
      <c r="Q358" s="89">
        <f t="shared" si="48"/>
        <v>0.96048820768486087</v>
      </c>
      <c r="R358" s="89">
        <f t="shared" si="49"/>
        <v>3.9511792315139148E-2</v>
      </c>
      <c r="S358" s="89">
        <f t="shared" si="50"/>
        <v>0.92097641536972175</v>
      </c>
      <c r="T358" s="89" t="str">
        <f t="shared" si="51"/>
        <v>NG</v>
      </c>
      <c r="U358" s="117">
        <f t="shared" si="52"/>
        <v>1</v>
      </c>
      <c r="V358" s="89" t="str">
        <f>IF(G358="","",IF(T358="OK","NONE",INDEX({"S1","S2","W1","W2","N1","N2"},MATCH(MAX(K358:P358),K358:P358,0))))</f>
        <v>W1</v>
      </c>
      <c r="W358" s="117">
        <f t="shared" si="53"/>
        <v>1</v>
      </c>
      <c r="X358" s="114" t="str">
        <f t="shared" si="54"/>
        <v>CONFIDENT</v>
      </c>
      <c r="Y358" s="107"/>
    </row>
    <row r="359" spans="1:25">
      <c r="A359" s="115">
        <v>350</v>
      </c>
      <c r="B359" s="135">
        <f>'Runs Z-Score'!B352</f>
        <v>12</v>
      </c>
      <c r="C359" s="89" t="str">
        <f>'Runs Z-Score'!C352</f>
        <v>R6</v>
      </c>
      <c r="D359" s="89" t="str">
        <f>'Runs Z-Score'!D352</f>
        <v>NG</v>
      </c>
      <c r="E359" s="89" t="str">
        <f>'Runs Z-Score'!E352</f>
        <v>W1</v>
      </c>
      <c r="F359" s="89">
        <f>'Runs Z-Score'!F352</f>
        <v>7.58</v>
      </c>
      <c r="G359" s="89">
        <f t="shared" si="46"/>
        <v>8.5500000000000007</v>
      </c>
      <c r="H359" s="89">
        <v>9.61</v>
      </c>
      <c r="I359" s="89">
        <f>VLOOKUP(C359,Recipes!$A$2:$N$4,12,FALSE())</f>
        <v>6.1509461004819709E-2</v>
      </c>
      <c r="J359" s="89">
        <f t="shared" si="47"/>
        <v>1.0599999999999987</v>
      </c>
      <c r="K359" s="89">
        <f>IF(G359="","",-0.5*((J359-Components!$C$2)/Components!$D$2)^2)</f>
        <v>-32823.929824562678</v>
      </c>
      <c r="L359" s="89">
        <f>IF(G359="","",-0.5*((J359-Components!$C$3)/Components!$D$3)^2)</f>
        <v>-23264.556521739727</v>
      </c>
      <c r="M359" s="89">
        <f>IF(G359="","",-0.5*((J359-Components!$C$4)/Components!$D$4)^2)</f>
        <v>-11.372549019607568</v>
      </c>
      <c r="N359" s="89">
        <f>IF(G359="","",-0.5*((J359-Components!$C$5)/Components!$D$5)^2)</f>
        <v>-9675.2594150350051</v>
      </c>
      <c r="O359" s="89">
        <f>IF(G359="","",-0.5*((J359-Components!$C$6)/Components!$D$6)^2)</f>
        <v>-5.9948326055318981</v>
      </c>
      <c r="P359" s="89">
        <f>IF(G359="","",-0.5*((J359-Components!$C$7)/Components!$D$7)^2)</f>
        <v>-78.131918439071015</v>
      </c>
      <c r="Q359" s="89">
        <f t="shared" si="48"/>
        <v>0.99540287485114476</v>
      </c>
      <c r="R359" s="89">
        <f t="shared" si="49"/>
        <v>4.5971251488551631E-3</v>
      </c>
      <c r="S359" s="89">
        <f t="shared" si="50"/>
        <v>0.99080574970228963</v>
      </c>
      <c r="T359" s="89" t="str">
        <f t="shared" si="51"/>
        <v>NG</v>
      </c>
      <c r="U359" s="117">
        <f t="shared" si="52"/>
        <v>1</v>
      </c>
      <c r="V359" s="89" t="str">
        <f>IF(G359="","",IF(T359="OK","NONE",INDEX({"S1","S2","W1","W2","N1","N2"},MATCH(MAX(K359:P359),K359:P359,0))))</f>
        <v>N1</v>
      </c>
      <c r="W359" s="122">
        <f t="shared" si="53"/>
        <v>0</v>
      </c>
      <c r="X359" s="114" t="str">
        <f t="shared" si="54"/>
        <v>CONFIDENT</v>
      </c>
      <c r="Y359" s="107"/>
    </row>
    <row r="360" spans="1:25">
      <c r="A360" s="115">
        <v>351</v>
      </c>
      <c r="B360" s="135">
        <f>'Runs Z-Score'!B353</f>
        <v>12</v>
      </c>
      <c r="C360" s="89" t="str">
        <f>'Runs Z-Score'!C353</f>
        <v>R6</v>
      </c>
      <c r="D360" s="89" t="str">
        <f>'Runs Z-Score'!D353</f>
        <v>NG</v>
      </c>
      <c r="E360" s="89" t="str">
        <f>'Runs Z-Score'!E353</f>
        <v>W1</v>
      </c>
      <c r="F360" s="89">
        <f>'Runs Z-Score'!F353</f>
        <v>7.61</v>
      </c>
      <c r="G360" s="89">
        <f t="shared" si="46"/>
        <v>8.58</v>
      </c>
      <c r="H360" s="89">
        <v>9.61</v>
      </c>
      <c r="I360" s="89">
        <f>VLOOKUP(C360,Recipes!$A$2:$N$4,12,FALSE())</f>
        <v>6.1509461004819709E-2</v>
      </c>
      <c r="J360" s="89">
        <f t="shared" si="47"/>
        <v>1.0299999999999994</v>
      </c>
      <c r="K360" s="89">
        <f>IF(G360="","",-0.5*((J360-Components!$C$2)/Components!$D$2)^2)</f>
        <v>-33997.285087720593</v>
      </c>
      <c r="L360" s="89">
        <f>IF(G360="","",-0.5*((J360-Components!$C$3)/Components!$D$3)^2)</f>
        <v>-23735.964130435383</v>
      </c>
      <c r="M360" s="89">
        <f>IF(G360="","",-0.5*((J360-Components!$C$4)/Components!$D$4)^2)</f>
        <v>-3.4401960784313332</v>
      </c>
      <c r="N360" s="89">
        <f>IF(G360="","",-0.5*((J360-Components!$C$5)/Components!$D$5)^2)</f>
        <v>-9841.7044839254995</v>
      </c>
      <c r="O360" s="89">
        <f>IF(G360="","",-0.5*((J360-Components!$C$6)/Components!$D$6)^2)</f>
        <v>-10.344177583697935</v>
      </c>
      <c r="P360" s="89">
        <f>IF(G360="","",-0.5*((J360-Components!$C$7)/Components!$D$7)^2)</f>
        <v>-93.757441071319292</v>
      </c>
      <c r="Q360" s="89">
        <f t="shared" si="48"/>
        <v>0.99899722566236515</v>
      </c>
      <c r="R360" s="89">
        <f t="shared" si="49"/>
        <v>1.0027743376348011E-3</v>
      </c>
      <c r="S360" s="89">
        <f t="shared" si="50"/>
        <v>0.9979944513247303</v>
      </c>
      <c r="T360" s="89" t="str">
        <f t="shared" si="51"/>
        <v>NG</v>
      </c>
      <c r="U360" s="117">
        <f t="shared" si="52"/>
        <v>1</v>
      </c>
      <c r="V360" s="89" t="str">
        <f>IF(G360="","",IF(T360="OK","NONE",INDEX({"S1","S2","W1","W2","N1","N2"},MATCH(MAX(K360:P360),K360:P360,0))))</f>
        <v>W1</v>
      </c>
      <c r="W360" s="117">
        <f t="shared" si="53"/>
        <v>1</v>
      </c>
      <c r="X360" s="114" t="str">
        <f t="shared" si="54"/>
        <v>CONFIDENT</v>
      </c>
      <c r="Y360" s="107"/>
    </row>
    <row r="361" spans="1:25">
      <c r="A361" s="115">
        <v>352</v>
      </c>
      <c r="B361" s="135">
        <f>'Runs Z-Score'!B354</f>
        <v>12</v>
      </c>
      <c r="C361" s="89" t="str">
        <f>'Runs Z-Score'!C354</f>
        <v>R6</v>
      </c>
      <c r="D361" s="89" t="str">
        <f>'Runs Z-Score'!D354</f>
        <v>NG</v>
      </c>
      <c r="E361" s="89" t="str">
        <f>'Runs Z-Score'!E354</f>
        <v>W1</v>
      </c>
      <c r="F361" s="89">
        <f>'Runs Z-Score'!F354</f>
        <v>7.67</v>
      </c>
      <c r="G361" s="89">
        <f t="shared" si="46"/>
        <v>8.64</v>
      </c>
      <c r="H361" s="89">
        <v>9.61</v>
      </c>
      <c r="I361" s="89">
        <f>VLOOKUP(C361,Recipes!$A$2:$N$4,12,FALSE())</f>
        <v>6.1509461004819709E-2</v>
      </c>
      <c r="J361" s="89">
        <f t="shared" si="47"/>
        <v>0.96999999999999886</v>
      </c>
      <c r="K361" s="89">
        <f>IF(G361="","",-0.5*((J361-Components!$C$2)/Components!$D$2)^2)</f>
        <v>-36405.81140351019</v>
      </c>
      <c r="L361" s="89">
        <f>IF(G361="","",-0.5*((J361-Components!$C$3)/Components!$D$3)^2)</f>
        <v>-24692.964130435415</v>
      </c>
      <c r="M361" s="89">
        <f>IF(G361="","",-0.5*((J361-Components!$C$4)/Components!$D$4)^2)</f>
        <v>-1.3931372549020558</v>
      </c>
      <c r="N361" s="89">
        <f>IF(G361="","",-0.5*((J361-Components!$C$5)/Components!$D$5)^2)</f>
        <v>-10178.853142373653</v>
      </c>
      <c r="O361" s="89">
        <f>IF(G361="","",-0.5*((J361-Components!$C$6)/Components!$D$6)^2)</f>
        <v>-22.579985443960428</v>
      </c>
      <c r="P361" s="89">
        <f>IF(G361="","",-0.5*((J361-Components!$C$7)/Components!$D$7)^2)</f>
        <v>-129.27861903896175</v>
      </c>
      <c r="Q361" s="89">
        <f t="shared" si="48"/>
        <v>0.99999999937097384</v>
      </c>
      <c r="R361" s="89">
        <f t="shared" si="49"/>
        <v>6.29026210687195E-10</v>
      </c>
      <c r="S361" s="89">
        <f t="shared" si="50"/>
        <v>0.99999999874194767</v>
      </c>
      <c r="T361" s="89" t="str">
        <f t="shared" si="51"/>
        <v>NG</v>
      </c>
      <c r="U361" s="117">
        <f t="shared" si="52"/>
        <v>1</v>
      </c>
      <c r="V361" s="89" t="str">
        <f>IF(G361="","",IF(T361="OK","NONE",INDEX({"S1","S2","W1","W2","N1","N2"},MATCH(MAX(K361:P361),K361:P361,0))))</f>
        <v>W1</v>
      </c>
      <c r="W361" s="117">
        <f t="shared" si="53"/>
        <v>1</v>
      </c>
      <c r="X361" s="114" t="str">
        <f t="shared" si="54"/>
        <v>CONFIDENT</v>
      </c>
      <c r="Y361" s="107"/>
    </row>
    <row r="362" spans="1:25">
      <c r="A362" s="115">
        <v>353</v>
      </c>
      <c r="B362" s="135">
        <f>'Runs Z-Score'!B355</f>
        <v>12</v>
      </c>
      <c r="C362" s="89" t="str">
        <f>'Runs Z-Score'!C355</f>
        <v>R6</v>
      </c>
      <c r="D362" s="89" t="str">
        <f>'Runs Z-Score'!D355</f>
        <v>NG</v>
      </c>
      <c r="E362" s="89" t="str">
        <f>'Runs Z-Score'!E355</f>
        <v>W1</v>
      </c>
      <c r="F362" s="89">
        <f>'Runs Z-Score'!F355</f>
        <v>7.42</v>
      </c>
      <c r="G362" s="89">
        <f t="shared" si="46"/>
        <v>8.39</v>
      </c>
      <c r="H362" s="89">
        <v>9.61</v>
      </c>
      <c r="I362" s="89">
        <f>VLOOKUP(C362,Recipes!$A$2:$N$4,12,FALSE())</f>
        <v>6.1509461004819709E-2</v>
      </c>
      <c r="J362" s="89">
        <f t="shared" si="47"/>
        <v>1.2199999999999989</v>
      </c>
      <c r="K362" s="89">
        <f>IF(G362="","",-0.5*((J362-Components!$C$2)/Components!$D$2)^2)</f>
        <v>-26914.035087720327</v>
      </c>
      <c r="L362" s="89">
        <f>IF(G362="","",-0.5*((J362-Components!$C$3)/Components!$D$3)^2)</f>
        <v>-20830.237681159957</v>
      </c>
      <c r="M362" s="89">
        <f>IF(G362="","",-0.5*((J362-Components!$C$4)/Components!$D$4)^2)</f>
        <v>-131.46666666666616</v>
      </c>
      <c r="N362" s="89">
        <f>IF(G362="","",-0.5*((J362-Components!$C$5)/Components!$D$5)^2)</f>
        <v>-8811.5262750785168</v>
      </c>
      <c r="O362" s="89">
        <f>IF(G362="","",-0.5*((J362-Components!$C$6)/Components!$D$6)^2)</f>
        <v>-2.7109898107711117</v>
      </c>
      <c r="P362" s="89">
        <f>IF(G362="","",-0.5*((J362-Components!$C$7)/Components!$D$7)^2)</f>
        <v>-18.835063321819835</v>
      </c>
      <c r="Q362" s="89">
        <f t="shared" si="48"/>
        <v>0.99999990059601263</v>
      </c>
      <c r="R362" s="89">
        <f t="shared" si="49"/>
        <v>9.9403987295388235E-8</v>
      </c>
      <c r="S362" s="89">
        <f t="shared" si="50"/>
        <v>0.99999980119202536</v>
      </c>
      <c r="T362" s="89" t="str">
        <f t="shared" si="51"/>
        <v>NG</v>
      </c>
      <c r="U362" s="117">
        <f t="shared" si="52"/>
        <v>1</v>
      </c>
      <c r="V362" s="89" t="str">
        <f>IF(G362="","",IF(T362="OK","NONE",INDEX({"S1","S2","W1","W2","N1","N2"},MATCH(MAX(K362:P362),K362:P362,0))))</f>
        <v>N1</v>
      </c>
      <c r="W362" s="122">
        <f t="shared" si="53"/>
        <v>0</v>
      </c>
      <c r="X362" s="114" t="str">
        <f t="shared" si="54"/>
        <v>CONFIDENT</v>
      </c>
      <c r="Y362" s="107"/>
    </row>
    <row r="363" spans="1:25">
      <c r="A363" s="115">
        <v>354</v>
      </c>
      <c r="B363" s="135">
        <f>'Runs Z-Score'!B356</f>
        <v>12</v>
      </c>
      <c r="C363" s="89" t="str">
        <f>'Runs Z-Score'!C356</f>
        <v>R6</v>
      </c>
      <c r="D363" s="89" t="str">
        <f>'Runs Z-Score'!D356</f>
        <v>NG</v>
      </c>
      <c r="E363" s="89" t="str">
        <f>'Runs Z-Score'!E356</f>
        <v>W1</v>
      </c>
      <c r="F363" s="89">
        <f>'Runs Z-Score'!F356</f>
        <v>7.69</v>
      </c>
      <c r="G363" s="89">
        <f t="shared" si="46"/>
        <v>8.66</v>
      </c>
      <c r="H363" s="89">
        <v>9.61</v>
      </c>
      <c r="I363" s="89">
        <f>VLOOKUP(C363,Recipes!$A$2:$N$4,12,FALSE())</f>
        <v>6.1509461004819709E-2</v>
      </c>
      <c r="J363" s="89">
        <f t="shared" si="47"/>
        <v>0.94999999999999929</v>
      </c>
      <c r="K363" s="89">
        <f>IF(G363="","",-0.5*((J363-Components!$C$2)/Components!$D$2)^2)</f>
        <v>-37226.969298247037</v>
      </c>
      <c r="L363" s="89">
        <f>IF(G363="","",-0.5*((J363-Components!$C$3)/Components!$D$3)^2)</f>
        <v>-25016.167028986139</v>
      </c>
      <c r="M363" s="89">
        <f>IF(G363="","",-0.5*((J363-Components!$C$4)/Components!$D$4)^2)</f>
        <v>-4.8049019607844023</v>
      </c>
      <c r="N363" s="89">
        <f>IF(G363="","",-0.5*((J363-Components!$C$5)/Components!$D$5)^2)</f>
        <v>-10292.497812424408</v>
      </c>
      <c r="O363" s="89">
        <f>IF(G363="","",-0.5*((J363-Components!$C$6)/Components!$D$6)^2)</f>
        <v>-27.706622998545612</v>
      </c>
      <c r="P363" s="89">
        <f>IF(G363="","",-0.5*((J363-Components!$C$7)/Components!$D$7)^2)</f>
        <v>-142.38423619947773</v>
      </c>
      <c r="Q363" s="89">
        <f t="shared" si="48"/>
        <v>0.99999999988678367</v>
      </c>
      <c r="R363" s="89">
        <f t="shared" si="49"/>
        <v>1.1321629204295097E-10</v>
      </c>
      <c r="S363" s="89">
        <f t="shared" si="50"/>
        <v>0.99999999977356735</v>
      </c>
      <c r="T363" s="89" t="str">
        <f t="shared" si="51"/>
        <v>NG</v>
      </c>
      <c r="U363" s="117">
        <f t="shared" si="52"/>
        <v>1</v>
      </c>
      <c r="V363" s="89" t="str">
        <f>IF(G363="","",IF(T363="OK","NONE",INDEX({"S1","S2","W1","W2","N1","N2"},MATCH(MAX(K363:P363),K363:P363,0))))</f>
        <v>W1</v>
      </c>
      <c r="W363" s="117">
        <f t="shared" si="53"/>
        <v>1</v>
      </c>
      <c r="X363" s="114" t="str">
        <f t="shared" si="54"/>
        <v>CONFIDENT</v>
      </c>
      <c r="Y363" s="107"/>
    </row>
    <row r="364" spans="1:25">
      <c r="A364" s="115">
        <v>355</v>
      </c>
      <c r="B364" s="135">
        <f>'Runs Z-Score'!B357</f>
        <v>12</v>
      </c>
      <c r="C364" s="89" t="str">
        <f>'Runs Z-Score'!C357</f>
        <v>R6</v>
      </c>
      <c r="D364" s="89" t="str">
        <f>'Runs Z-Score'!D357</f>
        <v>NG</v>
      </c>
      <c r="E364" s="89" t="str">
        <f>'Runs Z-Score'!E357</f>
        <v>W1</v>
      </c>
      <c r="F364" s="89">
        <f>'Runs Z-Score'!F357</f>
        <v>7.63</v>
      </c>
      <c r="G364" s="89">
        <f t="shared" si="46"/>
        <v>8.6</v>
      </c>
      <c r="H364" s="89">
        <v>9.61</v>
      </c>
      <c r="I364" s="89">
        <f>VLOOKUP(C364,Recipes!$A$2:$N$4,12,FALSE())</f>
        <v>6.1509461004819709E-2</v>
      </c>
      <c r="J364" s="89">
        <f t="shared" si="47"/>
        <v>1.0099999999999998</v>
      </c>
      <c r="K364" s="89">
        <f>IF(G364="","",-0.5*((J364-Components!$C$2)/Components!$D$2)^2)</f>
        <v>-34790.969298246928</v>
      </c>
      <c r="L364" s="89">
        <f>IF(G364="","",-0.5*((J364-Components!$C$3)/Components!$D$3)^2)</f>
        <v>-24052.862681160026</v>
      </c>
      <c r="M364" s="89">
        <f>IF(G364="","",-0.5*((J364-Components!$C$4)/Components!$D$4)^2)</f>
        <v>-0.7107843137255061</v>
      </c>
      <c r="N364" s="89">
        <f>IF(G364="","",-0.5*((J364-Components!$C$5)/Components!$D$5)^2)</f>
        <v>-9953.4564781241897</v>
      </c>
      <c r="O364" s="89">
        <f>IF(G364="","",-0.5*((J364-Components!$C$6)/Components!$D$6)^2)</f>
        <v>-13.898762736536399</v>
      </c>
      <c r="P364" s="89">
        <f>IF(G364="","",-0.5*((J364-Components!$C$7)/Components!$D$7)^2)</f>
        <v>-104.965221474882</v>
      </c>
      <c r="Q364" s="89">
        <f t="shared" si="48"/>
        <v>0.99999812702090507</v>
      </c>
      <c r="R364" s="89">
        <f t="shared" si="49"/>
        <v>1.8729790950215809E-6</v>
      </c>
      <c r="S364" s="89">
        <f t="shared" si="50"/>
        <v>0.99999625404181003</v>
      </c>
      <c r="T364" s="89" t="str">
        <f t="shared" si="51"/>
        <v>NG</v>
      </c>
      <c r="U364" s="117">
        <f t="shared" si="52"/>
        <v>1</v>
      </c>
      <c r="V364" s="89" t="str">
        <f>IF(G364="","",IF(T364="OK","NONE",INDEX({"S1","S2","W1","W2","N1","N2"},MATCH(MAX(K364:P364),K364:P364,0))))</f>
        <v>W1</v>
      </c>
      <c r="W364" s="117">
        <f t="shared" si="53"/>
        <v>1</v>
      </c>
      <c r="X364" s="114" t="str">
        <f t="shared" si="54"/>
        <v>CONFIDENT</v>
      </c>
      <c r="Y364" s="107"/>
    </row>
    <row r="365" spans="1:25">
      <c r="A365" s="115">
        <v>356</v>
      </c>
      <c r="B365" s="135">
        <f>'Runs Z-Score'!B358</f>
        <v>12</v>
      </c>
      <c r="C365" s="89" t="str">
        <f>'Runs Z-Score'!C358</f>
        <v>R6</v>
      </c>
      <c r="D365" s="89" t="str">
        <f>'Runs Z-Score'!D358</f>
        <v>NG</v>
      </c>
      <c r="E365" s="89" t="str">
        <f>'Runs Z-Score'!E358</f>
        <v>W1</v>
      </c>
      <c r="F365" s="89">
        <f>'Runs Z-Score'!F358</f>
        <v>7.38</v>
      </c>
      <c r="G365" s="89">
        <f t="shared" si="46"/>
        <v>8.35</v>
      </c>
      <c r="H365" s="89">
        <v>9.61</v>
      </c>
      <c r="I365" s="89">
        <f>VLOOKUP(C365,Recipes!$A$2:$N$4,12,FALSE())</f>
        <v>6.1509461004819709E-2</v>
      </c>
      <c r="J365" s="89">
        <f t="shared" si="47"/>
        <v>1.2599999999999998</v>
      </c>
      <c r="K365" s="89">
        <f>IF(G365="","",-0.5*((J365-Components!$C$2)/Components!$D$2)^2)</f>
        <v>-25528.140350878133</v>
      </c>
      <c r="L365" s="89">
        <f>IF(G365="","",-0.5*((J365-Components!$C$3)/Components!$D$3)^2)</f>
        <v>-20242.67246376862</v>
      </c>
      <c r="M365" s="89">
        <f>IF(G365="","",-0.5*((J365-Components!$C$4)/Components!$D$4)^2)</f>
        <v>-181.96078431372624</v>
      </c>
      <c r="N365" s="89">
        <f>IF(G365="","",-0.5*((J365-Components!$C$5)/Components!$D$5)^2)</f>
        <v>-8601.9019095962813</v>
      </c>
      <c r="O365" s="89">
        <f>IF(G365="","",-0.5*((J365-Components!$C$6)/Components!$D$6)^2)</f>
        <v>-7.1302037845701545</v>
      </c>
      <c r="P365" s="89">
        <f>IF(G365="","",-0.5*((J365-Components!$C$7)/Components!$D$7)^2)</f>
        <v>-10.336972065684517</v>
      </c>
      <c r="Q365" s="89">
        <f t="shared" si="48"/>
        <v>0.9610881866672395</v>
      </c>
      <c r="R365" s="89">
        <f t="shared" si="49"/>
        <v>3.89118133327606E-2</v>
      </c>
      <c r="S365" s="89">
        <f t="shared" si="50"/>
        <v>0.92217637333447888</v>
      </c>
      <c r="T365" s="89" t="str">
        <f t="shared" si="51"/>
        <v>NG</v>
      </c>
      <c r="U365" s="117">
        <f t="shared" si="52"/>
        <v>1</v>
      </c>
      <c r="V365" s="89" t="str">
        <f>IF(G365="","",IF(T365="OK","NONE",INDEX({"S1","S2","W1","W2","N1","N2"},MATCH(MAX(K365:P365),K365:P365,0))))</f>
        <v>N1</v>
      </c>
      <c r="W365" s="122">
        <f t="shared" si="53"/>
        <v>0</v>
      </c>
      <c r="X365" s="114" t="str">
        <f t="shared" si="54"/>
        <v>CONFIDENT</v>
      </c>
      <c r="Y365" s="107"/>
    </row>
    <row r="366" spans="1:25">
      <c r="A366" s="115">
        <v>357</v>
      </c>
      <c r="B366" s="135">
        <f>'Runs Z-Score'!B359</f>
        <v>12</v>
      </c>
      <c r="C366" s="89" t="str">
        <f>'Runs Z-Score'!C359</f>
        <v>R6</v>
      </c>
      <c r="D366" s="89" t="str">
        <f>'Runs Z-Score'!D359</f>
        <v>NG</v>
      </c>
      <c r="E366" s="89" t="str">
        <f>'Runs Z-Score'!E359</f>
        <v>W1</v>
      </c>
      <c r="F366" s="89">
        <f>'Runs Z-Score'!F359</f>
        <v>7.54</v>
      </c>
      <c r="G366" s="89">
        <f t="shared" si="46"/>
        <v>8.51</v>
      </c>
      <c r="H366" s="89">
        <v>9.61</v>
      </c>
      <c r="I366" s="89">
        <f>VLOOKUP(C366,Recipes!$A$2:$N$4,12,FALSE())</f>
        <v>6.1509461004819709E-2</v>
      </c>
      <c r="J366" s="89">
        <f t="shared" si="47"/>
        <v>1.0999999999999996</v>
      </c>
      <c r="K366" s="89">
        <f>IF(G366="","",-0.5*((J366-Components!$C$2)/Components!$D$2)^2)</f>
        <v>-31291.508771931003</v>
      </c>
      <c r="L366" s="89">
        <f>IF(G366="","",-0.5*((J366-Components!$C$3)/Components!$D$3)^2)</f>
        <v>-22643.368115942598</v>
      </c>
      <c r="M366" s="89">
        <f>IF(G366="","",-0.5*((J366-Components!$C$4)/Components!$D$4)^2)</f>
        <v>-29.113725490196174</v>
      </c>
      <c r="N366" s="89">
        <f>IF(G366="","",-0.5*((J366-Components!$C$5)/Components!$D$5)^2)</f>
        <v>-9455.5407783417431</v>
      </c>
      <c r="O366" s="89">
        <f>IF(G366="","",-0.5*((J366-Components!$C$6)/Components!$D$6)^2)</f>
        <v>-2.0297671033481648</v>
      </c>
      <c r="P366" s="89">
        <f>IF(G366="","",-0.5*((J366-Components!$C$7)/Components!$D$7)^2)</f>
        <v>-59.512031145851246</v>
      </c>
      <c r="Q366" s="89">
        <f t="shared" si="48"/>
        <v>0.99999999999827183</v>
      </c>
      <c r="R366" s="89">
        <f t="shared" si="49"/>
        <v>1.7281694537363926E-12</v>
      </c>
      <c r="S366" s="89">
        <f t="shared" si="50"/>
        <v>0.99999999999654365</v>
      </c>
      <c r="T366" s="89" t="str">
        <f t="shared" si="51"/>
        <v>NG</v>
      </c>
      <c r="U366" s="117">
        <f t="shared" si="52"/>
        <v>1</v>
      </c>
      <c r="V366" s="89" t="str">
        <f>IF(G366="","",IF(T366="OK","NONE",INDEX({"S1","S2","W1","W2","N1","N2"},MATCH(MAX(K366:P366),K366:P366,0))))</f>
        <v>N1</v>
      </c>
      <c r="W366" s="122">
        <f t="shared" si="53"/>
        <v>0</v>
      </c>
      <c r="X366" s="114" t="str">
        <f t="shared" si="54"/>
        <v>CONFIDENT</v>
      </c>
      <c r="Y366" s="107"/>
    </row>
    <row r="367" spans="1:25">
      <c r="A367" s="115">
        <v>358</v>
      </c>
      <c r="B367" s="135">
        <f>'Runs Z-Score'!B360</f>
        <v>12</v>
      </c>
      <c r="C367" s="89" t="str">
        <f>'Runs Z-Score'!C360</f>
        <v>R6</v>
      </c>
      <c r="D367" s="89" t="str">
        <f>'Runs Z-Score'!D360</f>
        <v>NG</v>
      </c>
      <c r="E367" s="89" t="str">
        <f>'Runs Z-Score'!E360</f>
        <v>W1</v>
      </c>
      <c r="F367" s="89">
        <f>'Runs Z-Score'!F360</f>
        <v>7.65</v>
      </c>
      <c r="G367" s="89">
        <f t="shared" si="46"/>
        <v>8.620000000000001</v>
      </c>
      <c r="H367" s="89">
        <v>9.61</v>
      </c>
      <c r="I367" s="89">
        <f>VLOOKUP(C367,Recipes!$A$2:$N$4,12,FALSE())</f>
        <v>6.1509461004819709E-2</v>
      </c>
      <c r="J367" s="89">
        <f t="shared" si="47"/>
        <v>0.98999999999999844</v>
      </c>
      <c r="K367" s="89">
        <f>IF(G367="","",-0.5*((J367-Components!$C$2)/Components!$D$2)^2)</f>
        <v>-35593.811403510168</v>
      </c>
      <c r="L367" s="89">
        <f>IF(G367="","",-0.5*((J367-Components!$C$3)/Components!$D$3)^2)</f>
        <v>-24371.862681160055</v>
      </c>
      <c r="M367" s="89">
        <f>IF(G367="","",-0.5*((J367-Components!$C$4)/Components!$D$4)^2)</f>
        <v>-2.8431372549039942E-2</v>
      </c>
      <c r="N367" s="89">
        <f>IF(G367="","",-0.5*((J367-Components!$C$5)/Components!$D$5)^2)</f>
        <v>-10065.839364273581</v>
      </c>
      <c r="O367" s="89">
        <f>IF(G367="","",-0.5*((J367-Components!$C$6)/Components!$D$6)^2)</f>
        <v>-17.977365356624141</v>
      </c>
      <c r="P367" s="89">
        <f>IF(G367="","",-0.5*((J367-Components!$C$7)/Components!$D$7)^2)</f>
        <v>-116.80561413076353</v>
      </c>
      <c r="Q367" s="89">
        <f t="shared" si="48"/>
        <v>0.99999998397208589</v>
      </c>
      <c r="R367" s="89">
        <f t="shared" si="49"/>
        <v>1.6027914155375805E-8</v>
      </c>
      <c r="S367" s="89">
        <f t="shared" si="50"/>
        <v>0.99999996794417179</v>
      </c>
      <c r="T367" s="89" t="str">
        <f t="shared" si="51"/>
        <v>NG</v>
      </c>
      <c r="U367" s="117">
        <f t="shared" si="52"/>
        <v>1</v>
      </c>
      <c r="V367" s="89" t="str">
        <f>IF(G367="","",IF(T367="OK","NONE",INDEX({"S1","S2","W1","W2","N1","N2"},MATCH(MAX(K367:P367),K367:P367,0))))</f>
        <v>W1</v>
      </c>
      <c r="W367" s="117">
        <f t="shared" si="53"/>
        <v>1</v>
      </c>
      <c r="X367" s="114" t="str">
        <f t="shared" si="54"/>
        <v>CONFIDENT</v>
      </c>
      <c r="Y367" s="107"/>
    </row>
    <row r="368" spans="1:25">
      <c r="A368" s="115">
        <v>359</v>
      </c>
      <c r="B368" s="135">
        <f>'Runs Z-Score'!B361</f>
        <v>12</v>
      </c>
      <c r="C368" s="89" t="str">
        <f>'Runs Z-Score'!C361</f>
        <v>R6</v>
      </c>
      <c r="D368" s="89" t="str">
        <f>'Runs Z-Score'!D361</f>
        <v>NG</v>
      </c>
      <c r="E368" s="89" t="str">
        <f>'Runs Z-Score'!E361</f>
        <v>W1</v>
      </c>
      <c r="F368" s="89">
        <f>'Runs Z-Score'!F361</f>
        <v>7.34</v>
      </c>
      <c r="G368" s="89">
        <f t="shared" si="46"/>
        <v>8.31</v>
      </c>
      <c r="H368" s="89">
        <v>9.61</v>
      </c>
      <c r="I368" s="89">
        <f>VLOOKUP(C368,Recipes!$A$2:$N$4,12,FALSE())</f>
        <v>6.1509461004819709E-2</v>
      </c>
      <c r="J368" s="89">
        <f t="shared" si="47"/>
        <v>1.2999999999999989</v>
      </c>
      <c r="K368" s="89">
        <f>IF(G368="","",-0.5*((J368-Components!$C$2)/Components!$D$2)^2)</f>
        <v>-24178.877192983375</v>
      </c>
      <c r="L368" s="89">
        <f>IF(G368="","",-0.5*((J368-Components!$C$3)/Components!$D$3)^2)</f>
        <v>-19663.513043478768</v>
      </c>
      <c r="M368" s="89">
        <f>IF(G368="","",-0.5*((J368-Components!$C$4)/Components!$D$4)^2)</f>
        <v>-240.6431372549016</v>
      </c>
      <c r="N368" s="89">
        <f>IF(G368="","",-0.5*((J368-Components!$C$5)/Components!$D$5)^2)</f>
        <v>-8394.8011119168095</v>
      </c>
      <c r="O368" s="89">
        <f>IF(G368="","",-0.5*((J368-Components!$C$6)/Components!$D$6)^2)</f>
        <v>-13.645487627364604</v>
      </c>
      <c r="P368" s="89">
        <f>IF(G368="","",-0.5*((J368-Components!$C$7)/Components!$D$7)^2)</f>
        <v>-4.3693298188205789</v>
      </c>
      <c r="Q368" s="89">
        <f t="shared" si="48"/>
        <v>0.99990637858747389</v>
      </c>
      <c r="R368" s="89">
        <f t="shared" si="49"/>
        <v>9.362141252609563E-5</v>
      </c>
      <c r="S368" s="89">
        <f t="shared" si="50"/>
        <v>0.99981275717494777</v>
      </c>
      <c r="T368" s="89" t="str">
        <f t="shared" si="51"/>
        <v>NG</v>
      </c>
      <c r="U368" s="117">
        <f t="shared" si="52"/>
        <v>1</v>
      </c>
      <c r="V368" s="89" t="str">
        <f>IF(G368="","",IF(T368="OK","NONE",INDEX({"S1","S2","W1","W2","N1","N2"},MATCH(MAX(K368:P368),K368:P368,0))))</f>
        <v>N2</v>
      </c>
      <c r="W368" s="122">
        <f t="shared" si="53"/>
        <v>0</v>
      </c>
      <c r="X368" s="114" t="str">
        <f t="shared" si="54"/>
        <v>CONFIDENT</v>
      </c>
      <c r="Y368" s="107"/>
    </row>
    <row r="369" spans="1:25">
      <c r="A369" s="115">
        <v>360</v>
      </c>
      <c r="B369" s="135">
        <f>'Runs Z-Score'!B362</f>
        <v>12</v>
      </c>
      <c r="C369" s="89" t="str">
        <f>'Runs Z-Score'!C362</f>
        <v>R6</v>
      </c>
      <c r="D369" s="89" t="str">
        <f>'Runs Z-Score'!D362</f>
        <v>NG</v>
      </c>
      <c r="E369" s="89" t="str">
        <f>'Runs Z-Score'!E362</f>
        <v>W1</v>
      </c>
      <c r="F369" s="89">
        <f>'Runs Z-Score'!F362</f>
        <v>7.68</v>
      </c>
      <c r="G369" s="89">
        <f t="shared" si="46"/>
        <v>8.65</v>
      </c>
      <c r="H369" s="89">
        <v>9.61</v>
      </c>
      <c r="I369" s="89">
        <f>VLOOKUP(C369,Recipes!$A$2:$N$4,12,FALSE())</f>
        <v>6.1509461004819709E-2</v>
      </c>
      <c r="J369" s="89">
        <f t="shared" si="47"/>
        <v>0.95999999999999908</v>
      </c>
      <c r="K369" s="89">
        <f>IF(G369="","",-0.5*((J369-Components!$C$2)/Components!$D$2)^2)</f>
        <v>-36815.245614036503</v>
      </c>
      <c r="L369" s="89">
        <f>IF(G369="","",-0.5*((J369-Components!$C$3)/Components!$D$3)^2)</f>
        <v>-24854.302898551363</v>
      </c>
      <c r="M369" s="89">
        <f>IF(G369="","",-0.5*((J369-Components!$C$4)/Components!$D$4)^2)</f>
        <v>-2.8431372549020626</v>
      </c>
      <c r="N369" s="89">
        <f>IF(G369="","",-0.5*((J369-Components!$C$5)/Components!$D$5)^2)</f>
        <v>-10235.596615905193</v>
      </c>
      <c r="O369" s="89">
        <f>IF(G369="","",-0.5*((J369-Components!$C$6)/Components!$D$6)^2)</f>
        <v>-25.077802037846912</v>
      </c>
      <c r="P369" s="89">
        <f>IF(G369="","",-0.5*((J369-Components!$C$7)/Components!$D$7)^2)</f>
        <v>-135.75235108768001</v>
      </c>
      <c r="Q369" s="89">
        <f t="shared" si="48"/>
        <v>0.99999999977939891</v>
      </c>
      <c r="R369" s="89">
        <f t="shared" si="49"/>
        <v>2.206011528461921E-10</v>
      </c>
      <c r="S369" s="89">
        <f t="shared" si="50"/>
        <v>0.9999999995587977</v>
      </c>
      <c r="T369" s="89" t="str">
        <f t="shared" si="51"/>
        <v>NG</v>
      </c>
      <c r="U369" s="117">
        <f t="shared" si="52"/>
        <v>1</v>
      </c>
      <c r="V369" s="89" t="str">
        <f>IF(G369="","",IF(T369="OK","NONE",INDEX({"S1","S2","W1","W2","N1","N2"},MATCH(MAX(K369:P369),K369:P369,0))))</f>
        <v>W1</v>
      </c>
      <c r="W369" s="117">
        <f t="shared" si="53"/>
        <v>1</v>
      </c>
      <c r="X369" s="114" t="str">
        <f t="shared" si="54"/>
        <v>CONFIDENT</v>
      </c>
      <c r="Y369" s="107"/>
    </row>
    <row r="370" spans="1:25">
      <c r="A370" s="115">
        <v>361</v>
      </c>
      <c r="B370" s="135">
        <f>'Runs Z-Score'!B363</f>
        <v>13</v>
      </c>
      <c r="C370" s="89" t="str">
        <f>'Runs Z-Score'!C363</f>
        <v>R6</v>
      </c>
      <c r="D370" s="89" t="str">
        <f>'Runs Z-Score'!D363</f>
        <v>NG</v>
      </c>
      <c r="E370" s="89" t="str">
        <f>'Runs Z-Score'!E363</f>
        <v>N2</v>
      </c>
      <c r="F370" s="89">
        <f>'Runs Z-Score'!F363</f>
        <v>7.21</v>
      </c>
      <c r="G370" s="89">
        <f t="shared" si="46"/>
        <v>8.18</v>
      </c>
      <c r="H370" s="89">
        <v>9.61</v>
      </c>
      <c r="I370" s="89">
        <f>VLOOKUP(C370,Recipes!$A$2:$N$4,12,FALSE())</f>
        <v>6.1509461004819709E-2</v>
      </c>
      <c r="J370" s="89">
        <f t="shared" si="47"/>
        <v>1.4299999999999997</v>
      </c>
      <c r="K370" s="89">
        <f>IF(G370="","",-0.5*((J370-Components!$C$2)/Components!$D$2)^2)</f>
        <v>-20046.758771930559</v>
      </c>
      <c r="L370" s="89">
        <f>IF(G370="","",-0.5*((J370-Components!$C$3)/Components!$D$3)^2)</f>
        <v>-17839.297463768566</v>
      </c>
      <c r="M370" s="89">
        <f>IF(G370="","",-0.5*((J370-Components!$C$4)/Components!$D$4)^2)</f>
        <v>-487.91078431372722</v>
      </c>
      <c r="N370" s="89">
        <f>IF(G370="","",-0.5*((J370-Components!$C$5)/Components!$D$5)^2)</f>
        <v>-7739.1519095962876</v>
      </c>
      <c r="O370" s="89">
        <f>IF(G370="","",-0.5*((J370-Components!$C$6)/Components!$D$6)^2)</f>
        <v>-49.296142649198373</v>
      </c>
      <c r="P370" s="89">
        <f>IF(G370="","",-0.5*((J370-Components!$C$7)/Components!$D$7)^2)</f>
        <v>-2.4504059867905519</v>
      </c>
      <c r="Q370" s="89">
        <f t="shared" si="48"/>
        <v>1</v>
      </c>
      <c r="R370" s="89">
        <f t="shared" si="49"/>
        <v>4.5201731040505721E-21</v>
      </c>
      <c r="S370" s="89">
        <f t="shared" si="50"/>
        <v>1</v>
      </c>
      <c r="T370" s="89" t="str">
        <f t="shared" si="51"/>
        <v>NG</v>
      </c>
      <c r="U370" s="117">
        <f t="shared" si="52"/>
        <v>1</v>
      </c>
      <c r="V370" s="89" t="str">
        <f>IF(G370="","",IF(T370="OK","NONE",INDEX({"S1","S2","W1","W2","N1","N2"},MATCH(MAX(K370:P370),K370:P370,0))))</f>
        <v>N2</v>
      </c>
      <c r="W370" s="117">
        <f t="shared" si="53"/>
        <v>1</v>
      </c>
      <c r="X370" s="114" t="str">
        <f t="shared" si="54"/>
        <v>CONFIDENT</v>
      </c>
      <c r="Y370" s="107"/>
    </row>
    <row r="371" spans="1:25">
      <c r="A371" s="115">
        <v>362</v>
      </c>
      <c r="B371" s="135">
        <f>'Runs Z-Score'!B364</f>
        <v>13</v>
      </c>
      <c r="C371" s="89" t="str">
        <f>'Runs Z-Score'!C364</f>
        <v>R6</v>
      </c>
      <c r="D371" s="89" t="str">
        <f>'Runs Z-Score'!D364</f>
        <v>NG</v>
      </c>
      <c r="E371" s="89" t="str">
        <f>'Runs Z-Score'!E364</f>
        <v>N2</v>
      </c>
      <c r="F371" s="89">
        <f>'Runs Z-Score'!F364</f>
        <v>7.27</v>
      </c>
      <c r="G371" s="89">
        <f t="shared" si="46"/>
        <v>8.24</v>
      </c>
      <c r="H371" s="89">
        <v>9.61</v>
      </c>
      <c r="I371" s="89">
        <f>VLOOKUP(C371,Recipes!$A$2:$N$4,12,FALSE())</f>
        <v>6.1509461004819709E-2</v>
      </c>
      <c r="J371" s="89">
        <f t="shared" si="47"/>
        <v>1.3699999999999992</v>
      </c>
      <c r="K371" s="89">
        <f>IF(G371="","",-0.5*((J371-Components!$C$2)/Components!$D$2)^2)</f>
        <v>-21905.811403509593</v>
      </c>
      <c r="L371" s="89">
        <f>IF(G371="","",-0.5*((J371-Components!$C$3)/Components!$D$3)^2)</f>
        <v>-18670.210507246851</v>
      </c>
      <c r="M371" s="89">
        <f>IF(G371="","",-0.5*((J371-Components!$C$4)/Components!$D$4)^2)</f>
        <v>-363.04019607843168</v>
      </c>
      <c r="N371" s="89">
        <f>IF(G371="","",-0.5*((J371-Components!$C$5)/Components!$D$5)^2)</f>
        <v>-8038.4470510031051</v>
      </c>
      <c r="O371" s="89">
        <f>IF(G371="","",-0.5*((J371-Components!$C$6)/Components!$D$6)^2)</f>
        <v>-30.090902474525937</v>
      </c>
      <c r="P371" s="89">
        <f>IF(G371="","",-0.5*((J371-Components!$C$7)/Components!$D$7)^2)</f>
        <v>-1.4848815366886078E-2</v>
      </c>
      <c r="Q371" s="89">
        <f t="shared" si="48"/>
        <v>0.99999999999991318</v>
      </c>
      <c r="R371" s="89">
        <f t="shared" si="49"/>
        <v>8.6723312599048569E-14</v>
      </c>
      <c r="S371" s="89">
        <f t="shared" si="50"/>
        <v>0.99999999999982647</v>
      </c>
      <c r="T371" s="89" t="str">
        <f t="shared" si="51"/>
        <v>NG</v>
      </c>
      <c r="U371" s="117">
        <f t="shared" si="52"/>
        <v>1</v>
      </c>
      <c r="V371" s="89" t="str">
        <f>IF(G371="","",IF(T371="OK","NONE",INDEX({"S1","S2","W1","W2","N1","N2"},MATCH(MAX(K371:P371),K371:P371,0))))</f>
        <v>N2</v>
      </c>
      <c r="W371" s="117">
        <f t="shared" si="53"/>
        <v>1</v>
      </c>
      <c r="X371" s="114" t="str">
        <f t="shared" si="54"/>
        <v>CONFIDENT</v>
      </c>
      <c r="Y371" s="107"/>
    </row>
    <row r="372" spans="1:25">
      <c r="A372" s="115">
        <v>363</v>
      </c>
      <c r="B372" s="135">
        <f>'Runs Z-Score'!B365</f>
        <v>13</v>
      </c>
      <c r="C372" s="89" t="str">
        <f>'Runs Z-Score'!C365</f>
        <v>R6</v>
      </c>
      <c r="D372" s="89" t="str">
        <f>'Runs Z-Score'!D365</f>
        <v>NG</v>
      </c>
      <c r="E372" s="89" t="str">
        <f>'Runs Z-Score'!E365</f>
        <v>N2</v>
      </c>
      <c r="F372" s="89">
        <f>'Runs Z-Score'!F365</f>
        <v>7.3</v>
      </c>
      <c r="G372" s="89">
        <f t="shared" si="46"/>
        <v>8.27</v>
      </c>
      <c r="H372" s="89">
        <v>9.61</v>
      </c>
      <c r="I372" s="89">
        <f>VLOOKUP(C372,Recipes!$A$2:$N$4,12,FALSE())</f>
        <v>6.1509461004819709E-2</v>
      </c>
      <c r="J372" s="89">
        <f t="shared" si="47"/>
        <v>1.3399999999999999</v>
      </c>
      <c r="K372" s="89">
        <f>IF(G372="","",-0.5*((J372-Components!$C$2)/Components!$D$2)^2)</f>
        <v>-22866.245614035925</v>
      </c>
      <c r="L372" s="89">
        <f>IF(G372="","",-0.5*((J372-Components!$C$3)/Components!$D$3)^2)</f>
        <v>-19092.759420290331</v>
      </c>
      <c r="M372" s="89">
        <f>IF(G372="","",-0.5*((J372-Components!$C$4)/Components!$D$4)^2)</f>
        <v>-307.51372549019743</v>
      </c>
      <c r="N372" s="89">
        <f>IF(G372="","",-0.5*((J372-Components!$C$5)/Components!$D$5)^2)</f>
        <v>-8190.2238820400835</v>
      </c>
      <c r="O372" s="89">
        <f>IF(G372="","",-0.5*((J372-Components!$C$6)/Components!$D$6)^2)</f>
        <v>-22.256841339155034</v>
      </c>
      <c r="P372" s="89">
        <f>IF(G372="","",-0.5*((J372-Components!$C$7)/Components!$D$7)^2)</f>
        <v>-0.93213658122748999</v>
      </c>
      <c r="Q372" s="89">
        <f t="shared" si="48"/>
        <v>0.99999999945197748</v>
      </c>
      <c r="R372" s="89">
        <f t="shared" si="49"/>
        <v>5.4802250709890652E-10</v>
      </c>
      <c r="S372" s="89">
        <f t="shared" si="50"/>
        <v>0.99999999890395497</v>
      </c>
      <c r="T372" s="89" t="str">
        <f t="shared" si="51"/>
        <v>NG</v>
      </c>
      <c r="U372" s="117">
        <f t="shared" si="52"/>
        <v>1</v>
      </c>
      <c r="V372" s="89" t="str">
        <f>IF(G372="","",IF(T372="OK","NONE",INDEX({"S1","S2","W1","W2","N1","N2"},MATCH(MAX(K372:P372),K372:P372,0))))</f>
        <v>N2</v>
      </c>
      <c r="W372" s="117">
        <f t="shared" si="53"/>
        <v>1</v>
      </c>
      <c r="X372" s="114" t="str">
        <f t="shared" si="54"/>
        <v>CONFIDENT</v>
      </c>
      <c r="Y372" s="107"/>
    </row>
    <row r="373" spans="1:25">
      <c r="A373" s="115">
        <v>364</v>
      </c>
      <c r="B373" s="135">
        <f>'Runs Z-Score'!B366</f>
        <v>13</v>
      </c>
      <c r="C373" s="89" t="str">
        <f>'Runs Z-Score'!C366</f>
        <v>R6</v>
      </c>
      <c r="D373" s="89" t="str">
        <f>'Runs Z-Score'!D366</f>
        <v>NG</v>
      </c>
      <c r="E373" s="89" t="str">
        <f>'Runs Z-Score'!E366</f>
        <v>N2</v>
      </c>
      <c r="F373" s="89">
        <f>'Runs Z-Score'!F366</f>
        <v>7.31</v>
      </c>
      <c r="G373" s="89">
        <f t="shared" si="46"/>
        <v>8.2799999999999994</v>
      </c>
      <c r="H373" s="89">
        <v>9.61</v>
      </c>
      <c r="I373" s="89">
        <f>VLOOKUP(C373,Recipes!$A$2:$N$4,12,FALSE())</f>
        <v>6.1509461004819709E-2</v>
      </c>
      <c r="J373" s="89">
        <f t="shared" si="47"/>
        <v>1.33</v>
      </c>
      <c r="K373" s="89">
        <f>IF(G373="","",-0.5*((J373-Components!$C$2)/Components!$D$2)^2)</f>
        <v>-23190.969298246458</v>
      </c>
      <c r="L373" s="89">
        <f>IF(G373="","",-0.5*((J373-Components!$C$3)/Components!$D$3)^2)</f>
        <v>-19234.659782609171</v>
      </c>
      <c r="M373" s="89">
        <f>IF(G373="","",-0.5*((J373-Components!$C$4)/Components!$D$4)^2)</f>
        <v>-290.02843137255064</v>
      </c>
      <c r="N373" s="89">
        <f>IF(G373="","",-0.5*((J373-Components!$C$5)/Components!$D$5)^2)</f>
        <v>-8241.1316050277528</v>
      </c>
      <c r="O373" s="89">
        <f>IF(G373="","",-0.5*((J373-Components!$C$6)/Components!$D$6)^2)</f>
        <v>-19.907496360989175</v>
      </c>
      <c r="P373" s="89">
        <f>IF(G373="","",-0.5*((J373-Components!$C$7)/Components!$D$7)^2)</f>
        <v>-1.5542052960065593</v>
      </c>
      <c r="Q373" s="89">
        <f t="shared" si="48"/>
        <v>0.99999998930287759</v>
      </c>
      <c r="R373" s="89">
        <f t="shared" si="49"/>
        <v>1.069712229888698E-8</v>
      </c>
      <c r="S373" s="89">
        <f t="shared" si="50"/>
        <v>0.99999997860575529</v>
      </c>
      <c r="T373" s="89" t="str">
        <f t="shared" si="51"/>
        <v>NG</v>
      </c>
      <c r="U373" s="117">
        <f t="shared" si="52"/>
        <v>1</v>
      </c>
      <c r="V373" s="89" t="str">
        <f>IF(G373="","",IF(T373="OK","NONE",INDEX({"S1","S2","W1","W2","N1","N2"},MATCH(MAX(K373:P373),K373:P373,0))))</f>
        <v>N2</v>
      </c>
      <c r="W373" s="117">
        <f t="shared" si="53"/>
        <v>1</v>
      </c>
      <c r="X373" s="114" t="str">
        <f t="shared" si="54"/>
        <v>CONFIDENT</v>
      </c>
      <c r="Y373" s="107"/>
    </row>
    <row r="374" spans="1:25">
      <c r="A374" s="115">
        <v>365</v>
      </c>
      <c r="B374" s="135">
        <f>'Runs Z-Score'!B367</f>
        <v>13</v>
      </c>
      <c r="C374" s="89" t="str">
        <f>'Runs Z-Score'!C367</f>
        <v>R6</v>
      </c>
      <c r="D374" s="89" t="str">
        <f>'Runs Z-Score'!D367</f>
        <v>NG</v>
      </c>
      <c r="E374" s="89" t="str">
        <f>'Runs Z-Score'!E367</f>
        <v>N2</v>
      </c>
      <c r="F374" s="89">
        <f>'Runs Z-Score'!F367</f>
        <v>7.17</v>
      </c>
      <c r="G374" s="89">
        <f t="shared" si="46"/>
        <v>8.14</v>
      </c>
      <c r="H374" s="89">
        <v>9.61</v>
      </c>
      <c r="I374" s="89">
        <f>VLOOKUP(C374,Recipes!$A$2:$N$4,12,FALSE())</f>
        <v>6.1509461004819709E-2</v>
      </c>
      <c r="J374" s="89">
        <f t="shared" si="47"/>
        <v>1.4699999999999989</v>
      </c>
      <c r="K374" s="89">
        <f>IF(G374="","",-0.5*((J374-Components!$C$2)/Components!$D$2)^2)</f>
        <v>-18853.179824562114</v>
      </c>
      <c r="L374" s="89">
        <f>IF(G374="","",-0.5*((J374-Components!$C$3)/Components!$D$3)^2)</f>
        <v>-17295.862681159866</v>
      </c>
      <c r="M374" s="89">
        <f>IF(G374="","",-0.5*((J374-Components!$C$4)/Components!$D$4)^2)</f>
        <v>-581.39313725490172</v>
      </c>
      <c r="N374" s="89">
        <f>IF(G374="","",-0.5*((J374-Components!$C$5)/Components!$D$5)^2)</f>
        <v>-7542.7762750785259</v>
      </c>
      <c r="O374" s="89">
        <f>IF(G374="","",-0.5*((J374-Components!$C$6)/Components!$D$6)^2)</f>
        <v>-64.719723435224125</v>
      </c>
      <c r="P374" s="89">
        <f>IF(G374="","",-0.5*((J374-Components!$C$7)/Components!$D$7)^2)</f>
        <v>-7.2371720293283506</v>
      </c>
      <c r="Q374" s="89">
        <f t="shared" si="48"/>
        <v>1</v>
      </c>
      <c r="R374" s="89">
        <f t="shared" si="49"/>
        <v>1.0855382196289201E-25</v>
      </c>
      <c r="S374" s="89">
        <f t="shared" si="50"/>
        <v>1</v>
      </c>
      <c r="T374" s="89" t="str">
        <f t="shared" si="51"/>
        <v>NG</v>
      </c>
      <c r="U374" s="117">
        <f t="shared" si="52"/>
        <v>1</v>
      </c>
      <c r="V374" s="89" t="str">
        <f>IF(G374="","",IF(T374="OK","NONE",INDEX({"S1","S2","W1","W2","N1","N2"},MATCH(MAX(K374:P374),K374:P374,0))))</f>
        <v>N2</v>
      </c>
      <c r="W374" s="117">
        <f t="shared" si="53"/>
        <v>1</v>
      </c>
      <c r="X374" s="114" t="str">
        <f t="shared" si="54"/>
        <v>CONFIDENT</v>
      </c>
      <c r="Y374" s="107"/>
    </row>
    <row r="375" spans="1:25">
      <c r="A375" s="115">
        <v>366</v>
      </c>
      <c r="B375" s="135">
        <f>'Runs Z-Score'!B368</f>
        <v>13</v>
      </c>
      <c r="C375" s="89" t="str">
        <f>'Runs Z-Score'!C368</f>
        <v>R6</v>
      </c>
      <c r="D375" s="89" t="str">
        <f>'Runs Z-Score'!D368</f>
        <v>NG</v>
      </c>
      <c r="E375" s="89" t="str">
        <f>'Runs Z-Score'!E368</f>
        <v>N2</v>
      </c>
      <c r="F375" s="89">
        <f>'Runs Z-Score'!F368</f>
        <v>7.23</v>
      </c>
      <c r="G375" s="89">
        <f t="shared" si="46"/>
        <v>8.2000000000000011</v>
      </c>
      <c r="H375" s="89">
        <v>9.61</v>
      </c>
      <c r="I375" s="89">
        <f>VLOOKUP(C375,Recipes!$A$2:$N$4,12,FALSE())</f>
        <v>6.1509461004819709E-2</v>
      </c>
      <c r="J375" s="89">
        <f t="shared" si="47"/>
        <v>1.4099999999999984</v>
      </c>
      <c r="K375" s="89">
        <f>IF(G375="","",-0.5*((J375-Components!$C$2)/Components!$D$2)^2)</f>
        <v>-20657.285087720094</v>
      </c>
      <c r="L375" s="89">
        <f>IF(G375="","",-0.5*((J375-Components!$C$3)/Components!$D$3)^2)</f>
        <v>-18114.167028985983</v>
      </c>
      <c r="M375" s="89">
        <f>IF(G375="","",-0.5*((J375-Components!$C$4)/Components!$D$4)^2)</f>
        <v>-444.24019607843002</v>
      </c>
      <c r="N375" s="89">
        <f>IF(G375="","",-0.5*((J375-Components!$C$5)/Components!$D$5)^2)</f>
        <v>-7838.2860647812104</v>
      </c>
      <c r="O375" s="89">
        <f>IF(G375="","",-0.5*((J375-Components!$C$6)/Components!$D$6)^2)</f>
        <v>-42.370378457058258</v>
      </c>
      <c r="P375" s="89">
        <f>IF(G375="","",-0.5*((J375-Components!$C$7)/Components!$D$7)^2)</f>
        <v>-1.0059413439981566</v>
      </c>
      <c r="Q375" s="89">
        <f t="shared" si="48"/>
        <v>1</v>
      </c>
      <c r="R375" s="89">
        <f t="shared" si="49"/>
        <v>1.0855584562879019E-18</v>
      </c>
      <c r="S375" s="89">
        <f t="shared" si="50"/>
        <v>1</v>
      </c>
      <c r="T375" s="89" t="str">
        <f t="shared" si="51"/>
        <v>NG</v>
      </c>
      <c r="U375" s="117">
        <f t="shared" si="52"/>
        <v>1</v>
      </c>
      <c r="V375" s="89" t="str">
        <f>IF(G375="","",IF(T375="OK","NONE",INDEX({"S1","S2","W1","W2","N1","N2"},MATCH(MAX(K375:P375),K375:P375,0))))</f>
        <v>N2</v>
      </c>
      <c r="W375" s="117">
        <f t="shared" si="53"/>
        <v>1</v>
      </c>
      <c r="X375" s="114" t="str">
        <f t="shared" si="54"/>
        <v>CONFIDENT</v>
      </c>
      <c r="Y375" s="107"/>
    </row>
    <row r="376" spans="1:25">
      <c r="A376" s="115">
        <v>367</v>
      </c>
      <c r="B376" s="135">
        <f>'Runs Z-Score'!B369</f>
        <v>13</v>
      </c>
      <c r="C376" s="89" t="str">
        <f>'Runs Z-Score'!C369</f>
        <v>R6</v>
      </c>
      <c r="D376" s="89" t="str">
        <f>'Runs Z-Score'!D369</f>
        <v>NG</v>
      </c>
      <c r="E376" s="89" t="str">
        <f>'Runs Z-Score'!E369</f>
        <v>N2</v>
      </c>
      <c r="F376" s="89">
        <f>'Runs Z-Score'!F369</f>
        <v>7.23</v>
      </c>
      <c r="G376" s="89">
        <f t="shared" si="46"/>
        <v>8.2000000000000011</v>
      </c>
      <c r="H376" s="89">
        <v>9.61</v>
      </c>
      <c r="I376" s="89">
        <f>VLOOKUP(C376,Recipes!$A$2:$N$4,12,FALSE())</f>
        <v>6.1509461004819709E-2</v>
      </c>
      <c r="J376" s="89">
        <f t="shared" si="47"/>
        <v>1.4099999999999984</v>
      </c>
      <c r="K376" s="89">
        <f>IF(G376="","",-0.5*((J376-Components!$C$2)/Components!$D$2)^2)</f>
        <v>-20657.285087720094</v>
      </c>
      <c r="L376" s="89">
        <f>IF(G376="","",-0.5*((J376-Components!$C$3)/Components!$D$3)^2)</f>
        <v>-18114.167028985983</v>
      </c>
      <c r="M376" s="89">
        <f>IF(G376="","",-0.5*((J376-Components!$C$4)/Components!$D$4)^2)</f>
        <v>-444.24019607843002</v>
      </c>
      <c r="N376" s="89">
        <f>IF(G376="","",-0.5*((J376-Components!$C$5)/Components!$D$5)^2)</f>
        <v>-7838.2860647812104</v>
      </c>
      <c r="O376" s="89">
        <f>IF(G376="","",-0.5*((J376-Components!$C$6)/Components!$D$6)^2)</f>
        <v>-42.370378457058258</v>
      </c>
      <c r="P376" s="89">
        <f>IF(G376="","",-0.5*((J376-Components!$C$7)/Components!$D$7)^2)</f>
        <v>-1.0059413439981566</v>
      </c>
      <c r="Q376" s="89">
        <f t="shared" si="48"/>
        <v>1</v>
      </c>
      <c r="R376" s="89">
        <f t="shared" si="49"/>
        <v>1.0855584562879019E-18</v>
      </c>
      <c r="S376" s="89">
        <f t="shared" si="50"/>
        <v>1</v>
      </c>
      <c r="T376" s="89" t="str">
        <f t="shared" si="51"/>
        <v>NG</v>
      </c>
      <c r="U376" s="117">
        <f t="shared" si="52"/>
        <v>1</v>
      </c>
      <c r="V376" s="89" t="str">
        <f>IF(G376="","",IF(T376="OK","NONE",INDEX({"S1","S2","W1","W2","N1","N2"},MATCH(MAX(K376:P376),K376:P376,0))))</f>
        <v>N2</v>
      </c>
      <c r="W376" s="117">
        <f t="shared" si="53"/>
        <v>1</v>
      </c>
      <c r="X376" s="114" t="str">
        <f t="shared" si="54"/>
        <v>CONFIDENT</v>
      </c>
      <c r="Y376" s="107"/>
    </row>
    <row r="377" spans="1:25">
      <c r="A377" s="115">
        <v>368</v>
      </c>
      <c r="B377" s="135">
        <f>'Runs Z-Score'!B370</f>
        <v>13</v>
      </c>
      <c r="C377" s="89" t="str">
        <f>'Runs Z-Score'!C370</f>
        <v>R6</v>
      </c>
      <c r="D377" s="89" t="str">
        <f>'Runs Z-Score'!D370</f>
        <v>NG</v>
      </c>
      <c r="E377" s="89" t="str">
        <f>'Runs Z-Score'!E370</f>
        <v>N2</v>
      </c>
      <c r="F377" s="89">
        <f>'Runs Z-Score'!F370</f>
        <v>7.3</v>
      </c>
      <c r="G377" s="89">
        <f t="shared" si="46"/>
        <v>8.27</v>
      </c>
      <c r="H377" s="89">
        <v>9.61</v>
      </c>
      <c r="I377" s="89">
        <f>VLOOKUP(C377,Recipes!$A$2:$N$4,12,FALSE())</f>
        <v>6.1509461004819709E-2</v>
      </c>
      <c r="J377" s="89">
        <f t="shared" si="47"/>
        <v>1.3399999999999999</v>
      </c>
      <c r="K377" s="89">
        <f>IF(G377="","",-0.5*((J377-Components!$C$2)/Components!$D$2)^2)</f>
        <v>-22866.245614035925</v>
      </c>
      <c r="L377" s="89">
        <f>IF(G377="","",-0.5*((J377-Components!$C$3)/Components!$D$3)^2)</f>
        <v>-19092.759420290331</v>
      </c>
      <c r="M377" s="89">
        <f>IF(G377="","",-0.5*((J377-Components!$C$4)/Components!$D$4)^2)</f>
        <v>-307.51372549019743</v>
      </c>
      <c r="N377" s="89">
        <f>IF(G377="","",-0.5*((J377-Components!$C$5)/Components!$D$5)^2)</f>
        <v>-8190.2238820400835</v>
      </c>
      <c r="O377" s="89">
        <f>IF(G377="","",-0.5*((J377-Components!$C$6)/Components!$D$6)^2)</f>
        <v>-22.256841339155034</v>
      </c>
      <c r="P377" s="89">
        <f>IF(G377="","",-0.5*((J377-Components!$C$7)/Components!$D$7)^2)</f>
        <v>-0.93213658122748999</v>
      </c>
      <c r="Q377" s="89">
        <f t="shared" si="48"/>
        <v>0.99999999945197748</v>
      </c>
      <c r="R377" s="89">
        <f t="shared" si="49"/>
        <v>5.4802250709890652E-10</v>
      </c>
      <c r="S377" s="89">
        <f t="shared" si="50"/>
        <v>0.99999999890395497</v>
      </c>
      <c r="T377" s="89" t="str">
        <f t="shared" si="51"/>
        <v>NG</v>
      </c>
      <c r="U377" s="117">
        <f t="shared" si="52"/>
        <v>1</v>
      </c>
      <c r="V377" s="89" t="str">
        <f>IF(G377="","",IF(T377="OK","NONE",INDEX({"S1","S2","W1","W2","N1","N2"},MATCH(MAX(K377:P377),K377:P377,0))))</f>
        <v>N2</v>
      </c>
      <c r="W377" s="117">
        <f t="shared" si="53"/>
        <v>1</v>
      </c>
      <c r="X377" s="114" t="str">
        <f t="shared" si="54"/>
        <v>CONFIDENT</v>
      </c>
      <c r="Y377" s="107"/>
    </row>
    <row r="378" spans="1:25">
      <c r="A378" s="115">
        <v>369</v>
      </c>
      <c r="B378" s="135">
        <f>'Runs Z-Score'!B371</f>
        <v>13</v>
      </c>
      <c r="C378" s="89" t="str">
        <f>'Runs Z-Score'!C371</f>
        <v>R6</v>
      </c>
      <c r="D378" s="89" t="str">
        <f>'Runs Z-Score'!D371</f>
        <v>NG</v>
      </c>
      <c r="E378" s="89" t="str">
        <f>'Runs Z-Score'!E371</f>
        <v>N2</v>
      </c>
      <c r="F378" s="89">
        <f>'Runs Z-Score'!F371</f>
        <v>7.25</v>
      </c>
      <c r="G378" s="89">
        <f t="shared" si="46"/>
        <v>8.2200000000000006</v>
      </c>
      <c r="H378" s="89">
        <v>9.61</v>
      </c>
      <c r="I378" s="89">
        <f>VLOOKUP(C378,Recipes!$A$2:$N$4,12,FALSE())</f>
        <v>6.1509461004819709E-2</v>
      </c>
      <c r="J378" s="89">
        <f t="shared" si="47"/>
        <v>1.3899999999999988</v>
      </c>
      <c r="K378" s="89">
        <f>IF(G378="","",-0.5*((J378-Components!$C$2)/Components!$D$2)^2)</f>
        <v>-21276.969298246422</v>
      </c>
      <c r="L378" s="89">
        <f>IF(G378="","",-0.5*((J378-Components!$C$3)/Components!$D$3)^2)</f>
        <v>-18391.138043478735</v>
      </c>
      <c r="M378" s="89">
        <f>IF(G378="","",-0.5*((J378-Components!$C$4)/Components!$D$4)^2)</f>
        <v>-402.61666666666622</v>
      </c>
      <c r="N378" s="89">
        <f>IF(G378="","",-0.5*((J378-Components!$C$5)/Components!$D$5)^2)</f>
        <v>-7938.0511119168132</v>
      </c>
      <c r="O378" s="89">
        <f>IF(G378="","",-0.5*((J378-Components!$C$6)/Components!$D$6)^2)</f>
        <v>-35.968631732167651</v>
      </c>
      <c r="P378" s="89">
        <f>IF(G378="","",-0.5*((J378-Components!$C$7)/Components!$D$7)^2)</f>
        <v>-0.1940889535236533</v>
      </c>
      <c r="Q378" s="89">
        <f t="shared" si="48"/>
        <v>0.99999999999999978</v>
      </c>
      <c r="R378" s="89">
        <f t="shared" si="49"/>
        <v>2.9061195672510651E-16</v>
      </c>
      <c r="S378" s="89">
        <f t="shared" si="50"/>
        <v>0.99999999999999944</v>
      </c>
      <c r="T378" s="89" t="str">
        <f t="shared" si="51"/>
        <v>NG</v>
      </c>
      <c r="U378" s="117">
        <f t="shared" si="52"/>
        <v>1</v>
      </c>
      <c r="V378" s="89" t="str">
        <f>IF(G378="","",IF(T378="OK","NONE",INDEX({"S1","S2","W1","W2","N1","N2"},MATCH(MAX(K378:P378),K378:P378,0))))</f>
        <v>N2</v>
      </c>
      <c r="W378" s="117">
        <f t="shared" si="53"/>
        <v>1</v>
      </c>
      <c r="X378" s="114" t="str">
        <f t="shared" si="54"/>
        <v>CONFIDENT</v>
      </c>
      <c r="Y378" s="107"/>
    </row>
    <row r="379" spans="1:25">
      <c r="A379" s="115">
        <v>370</v>
      </c>
      <c r="B379" s="135">
        <f>'Runs Z-Score'!B372</f>
        <v>13</v>
      </c>
      <c r="C379" s="89" t="str">
        <f>'Runs Z-Score'!C372</f>
        <v>R6</v>
      </c>
      <c r="D379" s="89" t="str">
        <f>'Runs Z-Score'!D372</f>
        <v>NG</v>
      </c>
      <c r="E379" s="89" t="str">
        <f>'Runs Z-Score'!E372</f>
        <v>N2</v>
      </c>
      <c r="F379" s="89">
        <f>'Runs Z-Score'!F372</f>
        <v>7.25</v>
      </c>
      <c r="G379" s="89">
        <f t="shared" si="46"/>
        <v>8.2200000000000006</v>
      </c>
      <c r="H379" s="89">
        <v>9.61</v>
      </c>
      <c r="I379" s="89">
        <f>VLOOKUP(C379,Recipes!$A$2:$N$4,12,FALSE())</f>
        <v>6.1509461004819709E-2</v>
      </c>
      <c r="J379" s="89">
        <f t="shared" si="47"/>
        <v>1.3899999999999988</v>
      </c>
      <c r="K379" s="89">
        <f>IF(G379="","",-0.5*((J379-Components!$C$2)/Components!$D$2)^2)</f>
        <v>-21276.969298246422</v>
      </c>
      <c r="L379" s="89">
        <f>IF(G379="","",-0.5*((J379-Components!$C$3)/Components!$D$3)^2)</f>
        <v>-18391.138043478735</v>
      </c>
      <c r="M379" s="89">
        <f>IF(G379="","",-0.5*((J379-Components!$C$4)/Components!$D$4)^2)</f>
        <v>-402.61666666666622</v>
      </c>
      <c r="N379" s="89">
        <f>IF(G379="","",-0.5*((J379-Components!$C$5)/Components!$D$5)^2)</f>
        <v>-7938.0511119168132</v>
      </c>
      <c r="O379" s="89">
        <f>IF(G379="","",-0.5*((J379-Components!$C$6)/Components!$D$6)^2)</f>
        <v>-35.968631732167651</v>
      </c>
      <c r="P379" s="89">
        <f>IF(G379="","",-0.5*((J379-Components!$C$7)/Components!$D$7)^2)</f>
        <v>-0.1940889535236533</v>
      </c>
      <c r="Q379" s="89">
        <f t="shared" si="48"/>
        <v>0.99999999999999978</v>
      </c>
      <c r="R379" s="89">
        <f t="shared" si="49"/>
        <v>2.9061195672510651E-16</v>
      </c>
      <c r="S379" s="89">
        <f t="shared" si="50"/>
        <v>0.99999999999999944</v>
      </c>
      <c r="T379" s="89" t="str">
        <f t="shared" si="51"/>
        <v>NG</v>
      </c>
      <c r="U379" s="117">
        <f t="shared" si="52"/>
        <v>1</v>
      </c>
      <c r="V379" s="89" t="str">
        <f>IF(G379="","",IF(T379="OK","NONE",INDEX({"S1","S2","W1","W2","N1","N2"},MATCH(MAX(K379:P379),K379:P379,0))))</f>
        <v>N2</v>
      </c>
      <c r="W379" s="117">
        <f t="shared" si="53"/>
        <v>1</v>
      </c>
      <c r="X379" s="114" t="str">
        <f t="shared" si="54"/>
        <v>CONFIDENT</v>
      </c>
      <c r="Y379" s="107"/>
    </row>
    <row r="380" spans="1:25">
      <c r="A380" s="115">
        <v>371</v>
      </c>
      <c r="B380" s="135">
        <f>'Runs Z-Score'!B373</f>
        <v>13</v>
      </c>
      <c r="C380" s="89" t="str">
        <f>'Runs Z-Score'!C373</f>
        <v>R6</v>
      </c>
      <c r="D380" s="89" t="str">
        <f>'Runs Z-Score'!D373</f>
        <v>NG</v>
      </c>
      <c r="E380" s="89" t="str">
        <f>'Runs Z-Score'!E373</f>
        <v>N2</v>
      </c>
      <c r="F380" s="89">
        <f>'Runs Z-Score'!F373</f>
        <v>7.19</v>
      </c>
      <c r="G380" s="89">
        <f t="shared" si="46"/>
        <v>8.16</v>
      </c>
      <c r="H380" s="89">
        <v>9.61</v>
      </c>
      <c r="I380" s="89">
        <f>VLOOKUP(C380,Recipes!$A$2:$N$4,12,FALSE())</f>
        <v>6.1509461004819709E-2</v>
      </c>
      <c r="J380" s="89">
        <f t="shared" si="47"/>
        <v>1.4499999999999993</v>
      </c>
      <c r="K380" s="89">
        <f>IF(G380="","",-0.5*((J380-Components!$C$2)/Components!$D$2)^2)</f>
        <v>-19445.390350877911</v>
      </c>
      <c r="L380" s="89">
        <f>IF(G380="","",-0.5*((J380-Components!$C$3)/Components!$D$3)^2)</f>
        <v>-17566.529347826538</v>
      </c>
      <c r="M380" s="89">
        <f>IF(G380="","",-0.5*((J380-Components!$C$4)/Components!$D$4)^2)</f>
        <v>-533.62843137254981</v>
      </c>
      <c r="N380" s="89">
        <f>IF(G380="","",-0.5*((J380-Components!$C$5)/Components!$D$5)^2)</f>
        <v>-7640.6486463620622</v>
      </c>
      <c r="O380" s="89">
        <f>IF(G380="","",-0.5*((J380-Components!$C$6)/Components!$D$6)^2)</f>
        <v>-56.745924308586801</v>
      </c>
      <c r="P380" s="89">
        <f>IF(G380="","",-0.5*((J380-Components!$C$7)/Components!$D$7)^2)</f>
        <v>-4.5274828819005837</v>
      </c>
      <c r="Q380" s="89">
        <f t="shared" si="48"/>
        <v>1</v>
      </c>
      <c r="R380" s="89">
        <f t="shared" si="49"/>
        <v>2.0980654632426128E-23</v>
      </c>
      <c r="S380" s="89">
        <f t="shared" si="50"/>
        <v>1</v>
      </c>
      <c r="T380" s="89" t="str">
        <f t="shared" si="51"/>
        <v>NG</v>
      </c>
      <c r="U380" s="117">
        <f t="shared" si="52"/>
        <v>1</v>
      </c>
      <c r="V380" s="89" t="str">
        <f>IF(G380="","",IF(T380="OK","NONE",INDEX({"S1","S2","W1","W2","N1","N2"},MATCH(MAX(K380:P380),K380:P380,0))))</f>
        <v>N2</v>
      </c>
      <c r="W380" s="117">
        <f t="shared" si="53"/>
        <v>1</v>
      </c>
      <c r="X380" s="114" t="str">
        <f t="shared" si="54"/>
        <v>CONFIDENT</v>
      </c>
      <c r="Y380" s="107"/>
    </row>
    <row r="381" spans="1:25">
      <c r="A381" s="115">
        <v>372</v>
      </c>
      <c r="B381" s="135">
        <f>'Runs Z-Score'!B374</f>
        <v>13</v>
      </c>
      <c r="C381" s="89" t="str">
        <f>'Runs Z-Score'!C374</f>
        <v>R6</v>
      </c>
      <c r="D381" s="89" t="str">
        <f>'Runs Z-Score'!D374</f>
        <v>NG</v>
      </c>
      <c r="E381" s="89" t="str">
        <f>'Runs Z-Score'!E374</f>
        <v>N2</v>
      </c>
      <c r="F381" s="89">
        <f>'Runs Z-Score'!F374</f>
        <v>7.26</v>
      </c>
      <c r="G381" s="89">
        <f t="shared" si="46"/>
        <v>8.23</v>
      </c>
      <c r="H381" s="89">
        <v>9.61</v>
      </c>
      <c r="I381" s="89">
        <f>VLOOKUP(C381,Recipes!$A$2:$N$4,12,FALSE())</f>
        <v>6.1509461004819709E-2</v>
      </c>
      <c r="J381" s="89">
        <f t="shared" si="47"/>
        <v>1.379999999999999</v>
      </c>
      <c r="K381" s="89">
        <f>IF(G381="","",-0.5*((J381-Components!$C$2)/Components!$D$2)^2)</f>
        <v>-21590.245614035903</v>
      </c>
      <c r="L381" s="89">
        <f>IF(G381="","",-0.5*((J381-Components!$C$3)/Components!$D$3)^2)</f>
        <v>-18530.411594203375</v>
      </c>
      <c r="M381" s="89">
        <f>IF(G381="","",-0.5*((J381-Components!$C$4)/Components!$D$4)^2)</f>
        <v>-382.57254901960778</v>
      </c>
      <c r="N381" s="89">
        <f>IF(G381="","",-0.5*((J381-Components!$C$5)/Components!$D$5)^2)</f>
        <v>-7988.1702199661222</v>
      </c>
      <c r="O381" s="89">
        <f>IF(G381="","",-0.5*((J381-Components!$C$6)/Components!$D$6)^2)</f>
        <v>-32.964264919940675</v>
      </c>
      <c r="P381" s="89">
        <f>IF(G381="","",-0.5*((J381-Components!$C$7)/Components!$D$7)^2)</f>
        <v>-2.5392352905552702E-2</v>
      </c>
      <c r="Q381" s="89">
        <f t="shared" si="48"/>
        <v>0.99999999999999512</v>
      </c>
      <c r="R381" s="89">
        <f t="shared" si="49"/>
        <v>4.952556103649202E-15</v>
      </c>
      <c r="S381" s="89">
        <f t="shared" si="50"/>
        <v>0.99999999999999012</v>
      </c>
      <c r="T381" s="89" t="str">
        <f t="shared" si="51"/>
        <v>NG</v>
      </c>
      <c r="U381" s="117">
        <f t="shared" si="52"/>
        <v>1</v>
      </c>
      <c r="V381" s="89" t="str">
        <f>IF(G381="","",IF(T381="OK","NONE",INDEX({"S1","S2","W1","W2","N1","N2"},MATCH(MAX(K381:P381),K381:P381,0))))</f>
        <v>N2</v>
      </c>
      <c r="W381" s="117">
        <f t="shared" si="53"/>
        <v>1</v>
      </c>
      <c r="X381" s="114" t="str">
        <f t="shared" si="54"/>
        <v>CONFIDENT</v>
      </c>
      <c r="Y381" s="107"/>
    </row>
    <row r="382" spans="1:25">
      <c r="A382" s="115">
        <v>373</v>
      </c>
      <c r="B382" s="135">
        <f>'Runs Z-Score'!B375</f>
        <v>13</v>
      </c>
      <c r="C382" s="89" t="str">
        <f>'Runs Z-Score'!C375</f>
        <v>R6</v>
      </c>
      <c r="D382" s="89" t="str">
        <f>'Runs Z-Score'!D375</f>
        <v>NG</v>
      </c>
      <c r="E382" s="89" t="str">
        <f>'Runs Z-Score'!E375</f>
        <v>N2</v>
      </c>
      <c r="F382" s="89">
        <f>'Runs Z-Score'!F375</f>
        <v>7.23</v>
      </c>
      <c r="G382" s="89">
        <f t="shared" si="46"/>
        <v>8.2000000000000011</v>
      </c>
      <c r="H382" s="89">
        <v>9.61</v>
      </c>
      <c r="I382" s="89">
        <f>VLOOKUP(C382,Recipes!$A$2:$N$4,12,FALSE())</f>
        <v>6.1509461004819709E-2</v>
      </c>
      <c r="J382" s="89">
        <f t="shared" si="47"/>
        <v>1.4099999999999984</v>
      </c>
      <c r="K382" s="89">
        <f>IF(G382="","",-0.5*((J382-Components!$C$2)/Components!$D$2)^2)</f>
        <v>-20657.285087720094</v>
      </c>
      <c r="L382" s="89">
        <f>IF(G382="","",-0.5*((J382-Components!$C$3)/Components!$D$3)^2)</f>
        <v>-18114.167028985983</v>
      </c>
      <c r="M382" s="89">
        <f>IF(G382="","",-0.5*((J382-Components!$C$4)/Components!$D$4)^2)</f>
        <v>-444.24019607843002</v>
      </c>
      <c r="N382" s="89">
        <f>IF(G382="","",-0.5*((J382-Components!$C$5)/Components!$D$5)^2)</f>
        <v>-7838.2860647812104</v>
      </c>
      <c r="O382" s="89">
        <f>IF(G382="","",-0.5*((J382-Components!$C$6)/Components!$D$6)^2)</f>
        <v>-42.370378457058258</v>
      </c>
      <c r="P382" s="89">
        <f>IF(G382="","",-0.5*((J382-Components!$C$7)/Components!$D$7)^2)</f>
        <v>-1.0059413439981566</v>
      </c>
      <c r="Q382" s="89">
        <f t="shared" si="48"/>
        <v>1</v>
      </c>
      <c r="R382" s="89">
        <f t="shared" si="49"/>
        <v>1.0855584562879019E-18</v>
      </c>
      <c r="S382" s="89">
        <f t="shared" si="50"/>
        <v>1</v>
      </c>
      <c r="T382" s="89" t="str">
        <f t="shared" si="51"/>
        <v>NG</v>
      </c>
      <c r="U382" s="117">
        <f t="shared" si="52"/>
        <v>1</v>
      </c>
      <c r="V382" s="89" t="str">
        <f>IF(G382="","",IF(T382="OK","NONE",INDEX({"S1","S2","W1","W2","N1","N2"},MATCH(MAX(K382:P382),K382:P382,0))))</f>
        <v>N2</v>
      </c>
      <c r="W382" s="117">
        <f t="shared" si="53"/>
        <v>1</v>
      </c>
      <c r="X382" s="114" t="str">
        <f t="shared" si="54"/>
        <v>CONFIDENT</v>
      </c>
      <c r="Y382" s="107"/>
    </row>
    <row r="383" spans="1:25">
      <c r="A383" s="115">
        <v>374</v>
      </c>
      <c r="B383" s="135">
        <f>'Runs Z-Score'!B376</f>
        <v>13</v>
      </c>
      <c r="C383" s="89" t="str">
        <f>'Runs Z-Score'!C376</f>
        <v>R6</v>
      </c>
      <c r="D383" s="89" t="str">
        <f>'Runs Z-Score'!D376</f>
        <v>NG</v>
      </c>
      <c r="E383" s="89" t="str">
        <f>'Runs Z-Score'!E376</f>
        <v>N2</v>
      </c>
      <c r="F383" s="89">
        <f>'Runs Z-Score'!F376</f>
        <v>7.06</v>
      </c>
      <c r="G383" s="89">
        <f t="shared" si="46"/>
        <v>8.0299999999999994</v>
      </c>
      <c r="H383" s="89">
        <v>9.61</v>
      </c>
      <c r="I383" s="89">
        <f>VLOOKUP(C383,Recipes!$A$2:$N$4,12,FALSE())</f>
        <v>6.1509461004819709E-2</v>
      </c>
      <c r="J383" s="89">
        <f t="shared" si="47"/>
        <v>1.58</v>
      </c>
      <c r="K383" s="89">
        <f>IF(G383="","",-0.5*((J383-Components!$C$2)/Components!$D$2)^2)</f>
        <v>-15759.719298246171</v>
      </c>
      <c r="L383" s="89">
        <f>IF(G383="","",-0.5*((J383-Components!$C$3)/Components!$D$3)^2)</f>
        <v>-15844.759420290249</v>
      </c>
      <c r="M383" s="89">
        <f>IF(G383="","",-0.5*((J383-Components!$C$4)/Components!$D$4)^2)</f>
        <v>-880.69019607843529</v>
      </c>
      <c r="N383" s="89">
        <f>IF(G383="","",-0.5*((J383-Components!$C$5)/Components!$D$5)^2)</f>
        <v>-7015.7554266376237</v>
      </c>
      <c r="O383" s="89">
        <f>IF(G383="","",-0.5*((J383-Components!$C$6)/Components!$D$6)^2)</f>
        <v>-117.9424308588052</v>
      </c>
      <c r="P383" s="89">
        <f>IF(G383="","",-0.5*((J383-Components!$C$7)/Components!$D$7)^2)</f>
        <v>-33.448406350361751</v>
      </c>
      <c r="Q383" s="89">
        <f t="shared" si="48"/>
        <v>1</v>
      </c>
      <c r="R383" s="89">
        <f t="shared" si="49"/>
        <v>2.0170255623375118E-37</v>
      </c>
      <c r="S383" s="89">
        <f t="shared" si="50"/>
        <v>1</v>
      </c>
      <c r="T383" s="89" t="str">
        <f t="shared" si="51"/>
        <v>NG</v>
      </c>
      <c r="U383" s="117">
        <f t="shared" si="52"/>
        <v>1</v>
      </c>
      <c r="V383" s="89" t="str">
        <f>IF(G383="","",IF(T383="OK","NONE",INDEX({"S1","S2","W1","W2","N1","N2"},MATCH(MAX(K383:P383),K383:P383,0))))</f>
        <v>N2</v>
      </c>
      <c r="W383" s="117">
        <f t="shared" si="53"/>
        <v>1</v>
      </c>
      <c r="X383" s="114" t="str">
        <f t="shared" si="54"/>
        <v>CONFIDENT</v>
      </c>
      <c r="Y383" s="107"/>
    </row>
    <row r="384" spans="1:25">
      <c r="A384" s="115">
        <v>375</v>
      </c>
      <c r="B384" s="135">
        <f>'Runs Z-Score'!B377</f>
        <v>13</v>
      </c>
      <c r="C384" s="89" t="str">
        <f>'Runs Z-Score'!C377</f>
        <v>R6</v>
      </c>
      <c r="D384" s="89" t="str">
        <f>'Runs Z-Score'!D377</f>
        <v>NG</v>
      </c>
      <c r="E384" s="89" t="str">
        <f>'Runs Z-Score'!E377</f>
        <v>N2</v>
      </c>
      <c r="F384" s="89">
        <f>'Runs Z-Score'!F377</f>
        <v>7.2</v>
      </c>
      <c r="G384" s="89">
        <f t="shared" si="46"/>
        <v>8.17</v>
      </c>
      <c r="H384" s="89">
        <v>9.61</v>
      </c>
      <c r="I384" s="89">
        <f>VLOOKUP(C384,Recipes!$A$2:$N$4,12,FALSE())</f>
        <v>6.1509461004819709E-2</v>
      </c>
      <c r="J384" s="89">
        <f t="shared" si="47"/>
        <v>1.4399999999999995</v>
      </c>
      <c r="K384" s="89">
        <f>IF(G384="","",-0.5*((J384-Components!$C$2)/Components!$D$2)^2)</f>
        <v>-19744.929824562128</v>
      </c>
      <c r="L384" s="89">
        <f>IF(G384="","",-0.5*((J384-Components!$C$3)/Components!$D$3)^2)</f>
        <v>-17702.650724638126</v>
      </c>
      <c r="M384" s="89">
        <f>IF(G384="","",-0.5*((J384-Components!$C$4)/Components!$D$4)^2)</f>
        <v>-510.51372549019737</v>
      </c>
      <c r="N384" s="89">
        <f>IF(G384="","",-0.5*((J384-Components!$C$5)/Components!$D$5)^2)</f>
        <v>-7689.821416485338</v>
      </c>
      <c r="O384" s="89">
        <f>IF(G384="","",-0.5*((J384-Components!$C$6)/Components!$D$6)^2)</f>
        <v>-52.955531295486487</v>
      </c>
      <c r="P384" s="89">
        <f>IF(G384="","",-0.5*((J384-Components!$C$7)/Components!$D$7)^2)</f>
        <v>-3.4098679028058507</v>
      </c>
      <c r="Q384" s="89">
        <f t="shared" si="48"/>
        <v>1</v>
      </c>
      <c r="R384" s="89">
        <f t="shared" si="49"/>
        <v>3.0380280986368631E-22</v>
      </c>
      <c r="S384" s="89">
        <f t="shared" si="50"/>
        <v>1</v>
      </c>
      <c r="T384" s="89" t="str">
        <f t="shared" si="51"/>
        <v>NG</v>
      </c>
      <c r="U384" s="117">
        <f t="shared" si="52"/>
        <v>1</v>
      </c>
      <c r="V384" s="89" t="str">
        <f>IF(G384="","",IF(T384="OK","NONE",INDEX({"S1","S2","W1","W2","N1","N2"},MATCH(MAX(K384:P384),K384:P384,0))))</f>
        <v>N2</v>
      </c>
      <c r="W384" s="117">
        <f t="shared" si="53"/>
        <v>1</v>
      </c>
      <c r="X384" s="114" t="str">
        <f t="shared" si="54"/>
        <v>CONFIDENT</v>
      </c>
      <c r="Y384" s="107"/>
    </row>
    <row r="385" spans="1:25">
      <c r="A385" s="115">
        <v>376</v>
      </c>
      <c r="B385" s="135">
        <f>'Runs Z-Score'!B378</f>
        <v>13</v>
      </c>
      <c r="C385" s="89" t="str">
        <f>'Runs Z-Score'!C378</f>
        <v>R6</v>
      </c>
      <c r="D385" s="89" t="str">
        <f>'Runs Z-Score'!D378</f>
        <v>NG</v>
      </c>
      <c r="E385" s="89" t="str">
        <f>'Runs Z-Score'!E378</f>
        <v>N2</v>
      </c>
      <c r="F385" s="89">
        <f>'Runs Z-Score'!F378</f>
        <v>7.21</v>
      </c>
      <c r="G385" s="89">
        <f t="shared" si="46"/>
        <v>8.18</v>
      </c>
      <c r="H385" s="89">
        <v>9.61</v>
      </c>
      <c r="I385" s="89">
        <f>VLOOKUP(C385,Recipes!$A$2:$N$4,12,FALSE())</f>
        <v>6.1509461004819709E-2</v>
      </c>
      <c r="J385" s="89">
        <f t="shared" si="47"/>
        <v>1.4299999999999997</v>
      </c>
      <c r="K385" s="89">
        <f>IF(G385="","",-0.5*((J385-Components!$C$2)/Components!$D$2)^2)</f>
        <v>-20046.758771930559</v>
      </c>
      <c r="L385" s="89">
        <f>IF(G385="","",-0.5*((J385-Components!$C$3)/Components!$D$3)^2)</f>
        <v>-17839.297463768566</v>
      </c>
      <c r="M385" s="89">
        <f>IF(G385="","",-0.5*((J385-Components!$C$4)/Components!$D$4)^2)</f>
        <v>-487.91078431372722</v>
      </c>
      <c r="N385" s="89">
        <f>IF(G385="","",-0.5*((J385-Components!$C$5)/Components!$D$5)^2)</f>
        <v>-7739.1519095962876</v>
      </c>
      <c r="O385" s="89">
        <f>IF(G385="","",-0.5*((J385-Components!$C$6)/Components!$D$6)^2)</f>
        <v>-49.296142649198373</v>
      </c>
      <c r="P385" s="89">
        <f>IF(G385="","",-0.5*((J385-Components!$C$7)/Components!$D$7)^2)</f>
        <v>-2.4504059867905519</v>
      </c>
      <c r="Q385" s="89">
        <f t="shared" si="48"/>
        <v>1</v>
      </c>
      <c r="R385" s="89">
        <f t="shared" si="49"/>
        <v>4.5201731040505721E-21</v>
      </c>
      <c r="S385" s="89">
        <f t="shared" si="50"/>
        <v>1</v>
      </c>
      <c r="T385" s="89" t="str">
        <f t="shared" si="51"/>
        <v>NG</v>
      </c>
      <c r="U385" s="117">
        <f t="shared" si="52"/>
        <v>1</v>
      </c>
      <c r="V385" s="89" t="str">
        <f>IF(G385="","",IF(T385="OK","NONE",INDEX({"S1","S2","W1","W2","N1","N2"},MATCH(MAX(K385:P385),K385:P385,0))))</f>
        <v>N2</v>
      </c>
      <c r="W385" s="117">
        <f t="shared" si="53"/>
        <v>1</v>
      </c>
      <c r="X385" s="114" t="str">
        <f t="shared" si="54"/>
        <v>CONFIDENT</v>
      </c>
      <c r="Y385" s="107"/>
    </row>
    <row r="386" spans="1:25">
      <c r="A386" s="115">
        <v>377</v>
      </c>
      <c r="B386" s="135">
        <f>'Runs Z-Score'!B379</f>
        <v>13</v>
      </c>
      <c r="C386" s="89" t="str">
        <f>'Runs Z-Score'!C379</f>
        <v>R6</v>
      </c>
      <c r="D386" s="89" t="str">
        <f>'Runs Z-Score'!D379</f>
        <v>NG</v>
      </c>
      <c r="E386" s="89" t="str">
        <f>'Runs Z-Score'!E379</f>
        <v>N2</v>
      </c>
      <c r="F386" s="89">
        <f>'Runs Z-Score'!F379</f>
        <v>7.22</v>
      </c>
      <c r="G386" s="89">
        <f t="shared" si="46"/>
        <v>8.19</v>
      </c>
      <c r="H386" s="89">
        <v>9.61</v>
      </c>
      <c r="I386" s="89">
        <f>VLOOKUP(C386,Recipes!$A$2:$N$4,12,FALSE())</f>
        <v>6.1509461004819709E-2</v>
      </c>
      <c r="J386" s="89">
        <f t="shared" si="47"/>
        <v>1.42</v>
      </c>
      <c r="K386" s="89">
        <f>IF(G386="","",-0.5*((J386-Components!$C$2)/Components!$D$2)^2)</f>
        <v>-20350.877192983193</v>
      </c>
      <c r="L386" s="89">
        <f>IF(G386="","",-0.5*((J386-Components!$C$3)/Components!$D$3)^2)</f>
        <v>-17976.469565217842</v>
      </c>
      <c r="M386" s="89">
        <f>IF(G386="","",-0.5*((J386-Components!$C$4)/Components!$D$4)^2)</f>
        <v>-465.81960784313935</v>
      </c>
      <c r="N386" s="89">
        <f>IF(G386="","",-0.5*((J386-Components!$C$5)/Components!$D$5)^2)</f>
        <v>-7788.6401256949075</v>
      </c>
      <c r="O386" s="89">
        <f>IF(G386="","",-0.5*((J386-Components!$C$6)/Components!$D$6)^2)</f>
        <v>-45.7677583697225</v>
      </c>
      <c r="P386" s="89">
        <f>IF(G386="","",-0.5*((J386-Components!$C$7)/Components!$D$7)^2)</f>
        <v>-1.6490971338546874</v>
      </c>
      <c r="Q386" s="89">
        <f t="shared" si="48"/>
        <v>1</v>
      </c>
      <c r="R386" s="89">
        <f t="shared" si="49"/>
        <v>6.9104905322839601E-20</v>
      </c>
      <c r="S386" s="89">
        <f t="shared" si="50"/>
        <v>1</v>
      </c>
      <c r="T386" s="89" t="str">
        <f t="shared" si="51"/>
        <v>NG</v>
      </c>
      <c r="U386" s="117">
        <f t="shared" si="52"/>
        <v>1</v>
      </c>
      <c r="V386" s="89" t="str">
        <f>IF(G386="","",IF(T386="OK","NONE",INDEX({"S1","S2","W1","W2","N1","N2"},MATCH(MAX(K386:P386),K386:P386,0))))</f>
        <v>N2</v>
      </c>
      <c r="W386" s="117">
        <f t="shared" si="53"/>
        <v>1</v>
      </c>
      <c r="X386" s="114" t="str">
        <f t="shared" si="54"/>
        <v>CONFIDENT</v>
      </c>
      <c r="Y386" s="107"/>
    </row>
    <row r="387" spans="1:25">
      <c r="A387" s="115">
        <v>378</v>
      </c>
      <c r="B387" s="135">
        <f>'Runs Z-Score'!B380</f>
        <v>13</v>
      </c>
      <c r="C387" s="89" t="str">
        <f>'Runs Z-Score'!C380</f>
        <v>R6</v>
      </c>
      <c r="D387" s="89" t="str">
        <f>'Runs Z-Score'!D380</f>
        <v>NG</v>
      </c>
      <c r="E387" s="89" t="str">
        <f>'Runs Z-Score'!E380</f>
        <v>N2</v>
      </c>
      <c r="F387" s="89">
        <f>'Runs Z-Score'!F380</f>
        <v>7.15</v>
      </c>
      <c r="G387" s="89">
        <f t="shared" si="46"/>
        <v>8.120000000000001</v>
      </c>
      <c r="H387" s="89">
        <v>9.61</v>
      </c>
      <c r="I387" s="89">
        <f>VLOOKUP(C387,Recipes!$A$2:$N$4,12,FALSE())</f>
        <v>6.1509461004819709E-2</v>
      </c>
      <c r="J387" s="89">
        <f t="shared" si="47"/>
        <v>1.4899999999999984</v>
      </c>
      <c r="K387" s="89">
        <f>IF(G387="","",-0.5*((J387-Components!$C$2)/Components!$D$2)^2)</f>
        <v>-18270.127192983156</v>
      </c>
      <c r="L387" s="89">
        <f>IF(G387="","",-0.5*((J387-Components!$C$3)/Components!$D$3)^2)</f>
        <v>-17027.297463768562</v>
      </c>
      <c r="M387" s="89">
        <f>IF(G387="","",-0.5*((J387-Components!$C$4)/Components!$D$4)^2)</f>
        <v>-631.2049019607831</v>
      </c>
      <c r="N387" s="89">
        <f>IF(G387="","",-0.5*((J387-Components!$C$5)/Components!$D$5)^2)</f>
        <v>-7445.5347957456788</v>
      </c>
      <c r="O387" s="89">
        <f>IF(G387="","",-0.5*((J387-Components!$C$6)/Components!$D$6)^2)</f>
        <v>-73.217540029110339</v>
      </c>
      <c r="P387" s="89">
        <f>IF(G387="","",-0.5*((J387-Components!$C$7)/Components!$D$7)^2)</f>
        <v>-10.579473429073852</v>
      </c>
      <c r="Q387" s="89">
        <f t="shared" si="48"/>
        <v>1</v>
      </c>
      <c r="R387" s="89">
        <f t="shared" si="49"/>
        <v>6.2608502827075782E-28</v>
      </c>
      <c r="S387" s="89">
        <f t="shared" si="50"/>
        <v>1</v>
      </c>
      <c r="T387" s="89" t="str">
        <f t="shared" si="51"/>
        <v>NG</v>
      </c>
      <c r="U387" s="117">
        <f t="shared" si="52"/>
        <v>1</v>
      </c>
      <c r="V387" s="89" t="str">
        <f>IF(G387="","",IF(T387="OK","NONE",INDEX({"S1","S2","W1","W2","N1","N2"},MATCH(MAX(K387:P387),K387:P387,0))))</f>
        <v>N2</v>
      </c>
      <c r="W387" s="117">
        <f t="shared" si="53"/>
        <v>1</v>
      </c>
      <c r="X387" s="114" t="str">
        <f t="shared" si="54"/>
        <v>CONFIDENT</v>
      </c>
      <c r="Y387" s="107"/>
    </row>
    <row r="388" spans="1:25">
      <c r="A388" s="115">
        <v>379</v>
      </c>
      <c r="B388" s="135">
        <f>'Runs Z-Score'!B381</f>
        <v>13</v>
      </c>
      <c r="C388" s="89" t="str">
        <f>'Runs Z-Score'!C381</f>
        <v>R6</v>
      </c>
      <c r="D388" s="89" t="str">
        <f>'Runs Z-Score'!D381</f>
        <v>NG</v>
      </c>
      <c r="E388" s="89" t="str">
        <f>'Runs Z-Score'!E381</f>
        <v>N2</v>
      </c>
      <c r="F388" s="89">
        <f>'Runs Z-Score'!F381</f>
        <v>7.28</v>
      </c>
      <c r="G388" s="89">
        <f t="shared" si="46"/>
        <v>8.25</v>
      </c>
      <c r="H388" s="89">
        <v>9.61</v>
      </c>
      <c r="I388" s="89">
        <f>VLOOKUP(C388,Recipes!$A$2:$N$4,12,FALSE())</f>
        <v>6.1509461004819709E-2</v>
      </c>
      <c r="J388" s="89">
        <f t="shared" si="47"/>
        <v>1.3599999999999994</v>
      </c>
      <c r="K388" s="89">
        <f>IF(G388="","",-0.5*((J388-Components!$C$2)/Components!$D$2)^2)</f>
        <v>-22223.666666667494</v>
      </c>
      <c r="L388" s="89">
        <f>IF(G388="","",-0.5*((J388-Components!$C$3)/Components!$D$3)^2)</f>
        <v>-18810.534782609171</v>
      </c>
      <c r="M388" s="89">
        <f>IF(G388="","",-0.5*((J388-Components!$C$4)/Components!$D$4)^2)</f>
        <v>-344.01960784313792</v>
      </c>
      <c r="N388" s="89">
        <f>IF(G388="","",-0.5*((J388-Components!$C$5)/Components!$D$5)^2)</f>
        <v>-8088.8816050277583</v>
      </c>
      <c r="O388" s="89">
        <f>IF(G388="","",-0.5*((J388-Components!$C$6)/Components!$D$6)^2)</f>
        <v>-27.348544395923412</v>
      </c>
      <c r="P388" s="89">
        <f>IF(G388="","",-0.5*((J388-Components!$C$7)/Components!$D$7)^2)</f>
        <v>-0.1624583409076534</v>
      </c>
      <c r="Q388" s="89">
        <f t="shared" si="48"/>
        <v>0.99999999999843969</v>
      </c>
      <c r="R388" s="89">
        <f t="shared" si="49"/>
        <v>1.5603888623116053E-12</v>
      </c>
      <c r="S388" s="89">
        <f t="shared" si="50"/>
        <v>0.99999999999687927</v>
      </c>
      <c r="T388" s="89" t="str">
        <f t="shared" si="51"/>
        <v>NG</v>
      </c>
      <c r="U388" s="117">
        <f t="shared" si="52"/>
        <v>1</v>
      </c>
      <c r="V388" s="89" t="str">
        <f>IF(G388="","",IF(T388="OK","NONE",INDEX({"S1","S2","W1","W2","N1","N2"},MATCH(MAX(K388:P388),K388:P388,0))))</f>
        <v>N2</v>
      </c>
      <c r="W388" s="117">
        <f t="shared" si="53"/>
        <v>1</v>
      </c>
      <c r="X388" s="114" t="str">
        <f t="shared" si="54"/>
        <v>CONFIDENT</v>
      </c>
      <c r="Y388" s="107"/>
    </row>
    <row r="389" spans="1:25">
      <c r="A389" s="115">
        <v>380</v>
      </c>
      <c r="B389" s="135">
        <f>'Runs Z-Score'!B382</f>
        <v>13</v>
      </c>
      <c r="C389" s="89" t="str">
        <f>'Runs Z-Score'!C382</f>
        <v>R6</v>
      </c>
      <c r="D389" s="89" t="str">
        <f>'Runs Z-Score'!D382</f>
        <v>NG</v>
      </c>
      <c r="E389" s="89" t="str">
        <f>'Runs Z-Score'!E382</f>
        <v>N2</v>
      </c>
      <c r="F389" s="89">
        <f>'Runs Z-Score'!F382</f>
        <v>7.23</v>
      </c>
      <c r="G389" s="89">
        <f t="shared" si="46"/>
        <v>8.2000000000000011</v>
      </c>
      <c r="H389" s="89">
        <v>9.61</v>
      </c>
      <c r="I389" s="89">
        <f>VLOOKUP(C389,Recipes!$A$2:$N$4,12,FALSE())</f>
        <v>6.1509461004819709E-2</v>
      </c>
      <c r="J389" s="89">
        <f t="shared" si="47"/>
        <v>1.4099999999999984</v>
      </c>
      <c r="K389" s="89">
        <f>IF(G389="","",-0.5*((J389-Components!$C$2)/Components!$D$2)^2)</f>
        <v>-20657.285087720094</v>
      </c>
      <c r="L389" s="89">
        <f>IF(G389="","",-0.5*((J389-Components!$C$3)/Components!$D$3)^2)</f>
        <v>-18114.167028985983</v>
      </c>
      <c r="M389" s="89">
        <f>IF(G389="","",-0.5*((J389-Components!$C$4)/Components!$D$4)^2)</f>
        <v>-444.24019607843002</v>
      </c>
      <c r="N389" s="89">
        <f>IF(G389="","",-0.5*((J389-Components!$C$5)/Components!$D$5)^2)</f>
        <v>-7838.2860647812104</v>
      </c>
      <c r="O389" s="89">
        <f>IF(G389="","",-0.5*((J389-Components!$C$6)/Components!$D$6)^2)</f>
        <v>-42.370378457058258</v>
      </c>
      <c r="P389" s="89">
        <f>IF(G389="","",-0.5*((J389-Components!$C$7)/Components!$D$7)^2)</f>
        <v>-1.0059413439981566</v>
      </c>
      <c r="Q389" s="89">
        <f t="shared" si="48"/>
        <v>1</v>
      </c>
      <c r="R389" s="89">
        <f t="shared" si="49"/>
        <v>1.0855584562879019E-18</v>
      </c>
      <c r="S389" s="89">
        <f t="shared" si="50"/>
        <v>1</v>
      </c>
      <c r="T389" s="89" t="str">
        <f t="shared" si="51"/>
        <v>NG</v>
      </c>
      <c r="U389" s="117">
        <f t="shared" si="52"/>
        <v>1</v>
      </c>
      <c r="V389" s="89" t="str">
        <f>IF(G389="","",IF(T389="OK","NONE",INDEX({"S1","S2","W1","W2","N1","N2"},MATCH(MAX(K389:P389),K389:P389,0))))</f>
        <v>N2</v>
      </c>
      <c r="W389" s="117">
        <f t="shared" si="53"/>
        <v>1</v>
      </c>
      <c r="X389" s="114" t="str">
        <f t="shared" si="54"/>
        <v>CONFIDENT</v>
      </c>
      <c r="Y389" s="107"/>
    </row>
    <row r="390" spans="1:25">
      <c r="A390" s="115">
        <v>381</v>
      </c>
      <c r="B390" s="135">
        <f>'Runs Z-Score'!B383</f>
        <v>13</v>
      </c>
      <c r="C390" s="89" t="str">
        <f>'Runs Z-Score'!C383</f>
        <v>R6</v>
      </c>
      <c r="D390" s="89" t="str">
        <f>'Runs Z-Score'!D383</f>
        <v>NG</v>
      </c>
      <c r="E390" s="89" t="str">
        <f>'Runs Z-Score'!E383</f>
        <v>N2</v>
      </c>
      <c r="F390" s="89">
        <f>'Runs Z-Score'!F383</f>
        <v>7.26</v>
      </c>
      <c r="G390" s="89">
        <f t="shared" si="46"/>
        <v>8.23</v>
      </c>
      <c r="H390" s="89">
        <v>9.61</v>
      </c>
      <c r="I390" s="89">
        <f>VLOOKUP(C390,Recipes!$A$2:$N$4,12,FALSE())</f>
        <v>6.1509461004819709E-2</v>
      </c>
      <c r="J390" s="89">
        <f t="shared" si="47"/>
        <v>1.379999999999999</v>
      </c>
      <c r="K390" s="89">
        <f>IF(G390="","",-0.5*((J390-Components!$C$2)/Components!$D$2)^2)</f>
        <v>-21590.245614035903</v>
      </c>
      <c r="L390" s="89">
        <f>IF(G390="","",-0.5*((J390-Components!$C$3)/Components!$D$3)^2)</f>
        <v>-18530.411594203375</v>
      </c>
      <c r="M390" s="89">
        <f>IF(G390="","",-0.5*((J390-Components!$C$4)/Components!$D$4)^2)</f>
        <v>-382.57254901960778</v>
      </c>
      <c r="N390" s="89">
        <f>IF(G390="","",-0.5*((J390-Components!$C$5)/Components!$D$5)^2)</f>
        <v>-7988.1702199661222</v>
      </c>
      <c r="O390" s="89">
        <f>IF(G390="","",-0.5*((J390-Components!$C$6)/Components!$D$6)^2)</f>
        <v>-32.964264919940675</v>
      </c>
      <c r="P390" s="89">
        <f>IF(G390="","",-0.5*((J390-Components!$C$7)/Components!$D$7)^2)</f>
        <v>-2.5392352905552702E-2</v>
      </c>
      <c r="Q390" s="89">
        <f t="shared" si="48"/>
        <v>0.99999999999999512</v>
      </c>
      <c r="R390" s="89">
        <f t="shared" si="49"/>
        <v>4.952556103649202E-15</v>
      </c>
      <c r="S390" s="89">
        <f t="shared" si="50"/>
        <v>0.99999999999999012</v>
      </c>
      <c r="T390" s="89" t="str">
        <f t="shared" si="51"/>
        <v>NG</v>
      </c>
      <c r="U390" s="117">
        <f t="shared" si="52"/>
        <v>1</v>
      </c>
      <c r="V390" s="89" t="str">
        <f>IF(G390="","",IF(T390="OK","NONE",INDEX({"S1","S2","W1","W2","N1","N2"},MATCH(MAX(K390:P390),K390:P390,0))))</f>
        <v>N2</v>
      </c>
      <c r="W390" s="117">
        <f t="shared" si="53"/>
        <v>1</v>
      </c>
      <c r="X390" s="114" t="str">
        <f t="shared" si="54"/>
        <v>CONFIDENT</v>
      </c>
      <c r="Y390" s="107"/>
    </row>
    <row r="391" spans="1:25">
      <c r="A391" s="115">
        <v>382</v>
      </c>
      <c r="B391" s="135">
        <f>'Runs Z-Score'!B384</f>
        <v>13</v>
      </c>
      <c r="C391" s="89" t="str">
        <f>'Runs Z-Score'!C384</f>
        <v>R6</v>
      </c>
      <c r="D391" s="89" t="str">
        <f>'Runs Z-Score'!D384</f>
        <v>NG</v>
      </c>
      <c r="E391" s="89" t="str">
        <f>'Runs Z-Score'!E384</f>
        <v>N2</v>
      </c>
      <c r="F391" s="89">
        <f>'Runs Z-Score'!F384</f>
        <v>7.26</v>
      </c>
      <c r="G391" s="89">
        <f t="shared" si="46"/>
        <v>8.23</v>
      </c>
      <c r="H391" s="89">
        <v>9.61</v>
      </c>
      <c r="I391" s="89">
        <f>VLOOKUP(C391,Recipes!$A$2:$N$4,12,FALSE())</f>
        <v>6.1509461004819709E-2</v>
      </c>
      <c r="J391" s="89">
        <f t="shared" si="47"/>
        <v>1.379999999999999</v>
      </c>
      <c r="K391" s="89">
        <f>IF(G391="","",-0.5*((J391-Components!$C$2)/Components!$D$2)^2)</f>
        <v>-21590.245614035903</v>
      </c>
      <c r="L391" s="89">
        <f>IF(G391="","",-0.5*((J391-Components!$C$3)/Components!$D$3)^2)</f>
        <v>-18530.411594203375</v>
      </c>
      <c r="M391" s="89">
        <f>IF(G391="","",-0.5*((J391-Components!$C$4)/Components!$D$4)^2)</f>
        <v>-382.57254901960778</v>
      </c>
      <c r="N391" s="89">
        <f>IF(G391="","",-0.5*((J391-Components!$C$5)/Components!$D$5)^2)</f>
        <v>-7988.1702199661222</v>
      </c>
      <c r="O391" s="89">
        <f>IF(G391="","",-0.5*((J391-Components!$C$6)/Components!$D$6)^2)</f>
        <v>-32.964264919940675</v>
      </c>
      <c r="P391" s="89">
        <f>IF(G391="","",-0.5*((J391-Components!$C$7)/Components!$D$7)^2)</f>
        <v>-2.5392352905552702E-2</v>
      </c>
      <c r="Q391" s="89">
        <f t="shared" si="48"/>
        <v>0.99999999999999512</v>
      </c>
      <c r="R391" s="89">
        <f t="shared" si="49"/>
        <v>4.952556103649202E-15</v>
      </c>
      <c r="S391" s="89">
        <f t="shared" si="50"/>
        <v>0.99999999999999012</v>
      </c>
      <c r="T391" s="89" t="str">
        <f t="shared" si="51"/>
        <v>NG</v>
      </c>
      <c r="U391" s="117">
        <f t="shared" si="52"/>
        <v>1</v>
      </c>
      <c r="V391" s="89" t="str">
        <f>IF(G391="","",IF(T391="OK","NONE",INDEX({"S1","S2","W1","W2","N1","N2"},MATCH(MAX(K391:P391),K391:P391,0))))</f>
        <v>N2</v>
      </c>
      <c r="W391" s="117">
        <f t="shared" si="53"/>
        <v>1</v>
      </c>
      <c r="X391" s="114" t="str">
        <f t="shared" si="54"/>
        <v>CONFIDENT</v>
      </c>
      <c r="Y391" s="107"/>
    </row>
    <row r="392" spans="1:25">
      <c r="A392" s="115">
        <v>383</v>
      </c>
      <c r="B392" s="135">
        <f>'Runs Z-Score'!B385</f>
        <v>13</v>
      </c>
      <c r="C392" s="89" t="str">
        <f>'Runs Z-Score'!C385</f>
        <v>R6</v>
      </c>
      <c r="D392" s="89" t="str">
        <f>'Runs Z-Score'!D385</f>
        <v>NG</v>
      </c>
      <c r="E392" s="89" t="str">
        <f>'Runs Z-Score'!E385</f>
        <v>N2</v>
      </c>
      <c r="F392" s="89">
        <f>'Runs Z-Score'!F385</f>
        <v>7.27</v>
      </c>
      <c r="G392" s="89">
        <f t="shared" si="46"/>
        <v>8.24</v>
      </c>
      <c r="H392" s="89">
        <v>9.61</v>
      </c>
      <c r="I392" s="89">
        <f>VLOOKUP(C392,Recipes!$A$2:$N$4,12,FALSE())</f>
        <v>6.1509461004819709E-2</v>
      </c>
      <c r="J392" s="89">
        <f t="shared" si="47"/>
        <v>1.3699999999999992</v>
      </c>
      <c r="K392" s="89">
        <f>IF(G392="","",-0.5*((J392-Components!$C$2)/Components!$D$2)^2)</f>
        <v>-21905.811403509593</v>
      </c>
      <c r="L392" s="89">
        <f>IF(G392="","",-0.5*((J392-Components!$C$3)/Components!$D$3)^2)</f>
        <v>-18670.210507246851</v>
      </c>
      <c r="M392" s="89">
        <f>IF(G392="","",-0.5*((J392-Components!$C$4)/Components!$D$4)^2)</f>
        <v>-363.04019607843168</v>
      </c>
      <c r="N392" s="89">
        <f>IF(G392="","",-0.5*((J392-Components!$C$5)/Components!$D$5)^2)</f>
        <v>-8038.4470510031051</v>
      </c>
      <c r="O392" s="89">
        <f>IF(G392="","",-0.5*((J392-Components!$C$6)/Components!$D$6)^2)</f>
        <v>-30.090902474525937</v>
      </c>
      <c r="P392" s="89">
        <f>IF(G392="","",-0.5*((J392-Components!$C$7)/Components!$D$7)^2)</f>
        <v>-1.4848815366886078E-2</v>
      </c>
      <c r="Q392" s="89">
        <f t="shared" si="48"/>
        <v>0.99999999999991318</v>
      </c>
      <c r="R392" s="89">
        <f t="shared" si="49"/>
        <v>8.6723312599048569E-14</v>
      </c>
      <c r="S392" s="89">
        <f t="shared" si="50"/>
        <v>0.99999999999982647</v>
      </c>
      <c r="T392" s="89" t="str">
        <f t="shared" si="51"/>
        <v>NG</v>
      </c>
      <c r="U392" s="117">
        <f t="shared" si="52"/>
        <v>1</v>
      </c>
      <c r="V392" s="89" t="str">
        <f>IF(G392="","",IF(T392="OK","NONE",INDEX({"S1","S2","W1","W2","N1","N2"},MATCH(MAX(K392:P392),K392:P392,0))))</f>
        <v>N2</v>
      </c>
      <c r="W392" s="117">
        <f t="shared" si="53"/>
        <v>1</v>
      </c>
      <c r="X392" s="114" t="str">
        <f t="shared" si="54"/>
        <v>CONFIDENT</v>
      </c>
      <c r="Y392" s="107"/>
    </row>
    <row r="393" spans="1:25">
      <c r="A393" s="115">
        <v>384</v>
      </c>
      <c r="B393" s="135">
        <f>'Runs Z-Score'!B386</f>
        <v>13</v>
      </c>
      <c r="C393" s="89" t="str">
        <f>'Runs Z-Score'!C386</f>
        <v>R6</v>
      </c>
      <c r="D393" s="89" t="str">
        <f>'Runs Z-Score'!D386</f>
        <v>NG</v>
      </c>
      <c r="E393" s="89" t="str">
        <f>'Runs Z-Score'!E386</f>
        <v>N2</v>
      </c>
      <c r="F393" s="89">
        <f>'Runs Z-Score'!F386</f>
        <v>7.14</v>
      </c>
      <c r="G393" s="89">
        <f t="shared" si="46"/>
        <v>8.11</v>
      </c>
      <c r="H393" s="89">
        <v>9.61</v>
      </c>
      <c r="I393" s="89">
        <f>VLOOKUP(C393,Recipes!$A$2:$N$4,12,FALSE())</f>
        <v>6.1509461004819709E-2</v>
      </c>
      <c r="J393" s="89">
        <f t="shared" si="47"/>
        <v>1.5</v>
      </c>
      <c r="K393" s="89">
        <f>IF(G393="","",-0.5*((J393-Components!$C$2)/Components!$D$2)^2)</f>
        <v>-17982.035087719942</v>
      </c>
      <c r="L393" s="89">
        <f>IF(G393="","",-0.5*((J393-Components!$C$3)/Components!$D$3)^2)</f>
        <v>-16893.802898551148</v>
      </c>
      <c r="M393" s="89">
        <f>IF(G393="","",-0.5*((J393-Components!$C$4)/Components!$D$4)^2)</f>
        <v>-656.87843137255186</v>
      </c>
      <c r="N393" s="89">
        <f>IF(G393="","",-0.5*((J393-Components!$C$5)/Components!$D$5)^2)</f>
        <v>-7397.1506405607552</v>
      </c>
      <c r="O393" s="89">
        <f>IF(G393="","",-0.5*((J393-Components!$C$6)/Components!$D$6)^2)</f>
        <v>-77.662954876272551</v>
      </c>
      <c r="P393" s="89">
        <f>IF(G393="","",-0.5*((J393-Components!$C$7)/Components!$D$7)^2)</f>
        <v>-12.48785372356611</v>
      </c>
      <c r="Q393" s="89">
        <f t="shared" si="48"/>
        <v>1</v>
      </c>
      <c r="R393" s="89">
        <f t="shared" si="49"/>
        <v>4.9523714572045596E-29</v>
      </c>
      <c r="S393" s="89">
        <f t="shared" si="50"/>
        <v>1</v>
      </c>
      <c r="T393" s="89" t="str">
        <f t="shared" si="51"/>
        <v>NG</v>
      </c>
      <c r="U393" s="117">
        <f t="shared" si="52"/>
        <v>1</v>
      </c>
      <c r="V393" s="89" t="str">
        <f>IF(G393="","",IF(T393="OK","NONE",INDEX({"S1","S2","W1","W2","N1","N2"},MATCH(MAX(K393:P393),K393:P393,0))))</f>
        <v>N2</v>
      </c>
      <c r="W393" s="117">
        <f t="shared" si="53"/>
        <v>1</v>
      </c>
      <c r="X393" s="114" t="str">
        <f t="shared" si="54"/>
        <v>CONFIDENT</v>
      </c>
      <c r="Y393" s="107"/>
    </row>
    <row r="394" spans="1:25">
      <c r="A394" s="115">
        <v>385</v>
      </c>
      <c r="B394" s="135">
        <f>'Runs Z-Score'!B387</f>
        <v>13</v>
      </c>
      <c r="C394" s="89" t="str">
        <f>'Runs Z-Score'!C387</f>
        <v>R6</v>
      </c>
      <c r="D394" s="89" t="str">
        <f>'Runs Z-Score'!D387</f>
        <v>NG</v>
      </c>
      <c r="E394" s="89" t="str">
        <f>'Runs Z-Score'!E387</f>
        <v>N2</v>
      </c>
      <c r="F394" s="89">
        <f>'Runs Z-Score'!F387</f>
        <v>6.97</v>
      </c>
      <c r="G394" s="89">
        <f t="shared" ref="G394:G429" si="55">0.97+F394</f>
        <v>7.9399999999999995</v>
      </c>
      <c r="H394" s="89">
        <v>9.61</v>
      </c>
      <c r="I394" s="89">
        <f>VLOOKUP(C394,Recipes!$A$2:$N$4,12,FALSE())</f>
        <v>6.1509461004819709E-2</v>
      </c>
      <c r="J394" s="89">
        <f t="shared" si="47"/>
        <v>1.67</v>
      </c>
      <c r="K394" s="89">
        <f>IF(G394="","",-0.5*((J394-Components!$C$2)/Components!$D$2)^2)</f>
        <v>-13434.758771930294</v>
      </c>
      <c r="L394" s="89">
        <f>IF(G394="","",-0.5*((J394-Components!$C$3)/Components!$D$3)^2)</f>
        <v>-14704.775724638046</v>
      </c>
      <c r="M394" s="89">
        <f>IF(G394="","",-0.5*((J394-Components!$C$4)/Components!$D$4)^2)</f>
        <v>-1171.6284313725537</v>
      </c>
      <c r="N394" s="89">
        <f>IF(G394="","",-0.5*((J394-Components!$C$5)/Components!$D$5)^2)</f>
        <v>-6598.7516195310282</v>
      </c>
      <c r="O394" s="89">
        <f>IF(G394="","",-0.5*((J394-Components!$C$6)/Components!$D$6)^2)</f>
        <v>-173.2786754002897</v>
      </c>
      <c r="P394" s="89">
        <f>IF(G394="","",-0.5*((J394-Components!$C$7)/Components!$D$7)^2)</f>
        <v>-69.127737381083989</v>
      </c>
      <c r="Q394" s="89">
        <f t="shared" si="48"/>
        <v>1</v>
      </c>
      <c r="R394" s="89">
        <f t="shared" si="49"/>
        <v>5.8589842859354664E-46</v>
      </c>
      <c r="S394" s="89">
        <f t="shared" si="50"/>
        <v>1</v>
      </c>
      <c r="T394" s="89" t="str">
        <f t="shared" si="51"/>
        <v>NG</v>
      </c>
      <c r="U394" s="117">
        <f t="shared" si="52"/>
        <v>1</v>
      </c>
      <c r="V394" s="89" t="str">
        <f>IF(G394="","",IF(T394="OK","NONE",INDEX({"S1","S2","W1","W2","N1","N2"},MATCH(MAX(K394:P394),K394:P394,0))))</f>
        <v>N2</v>
      </c>
      <c r="W394" s="117">
        <f t="shared" si="53"/>
        <v>1</v>
      </c>
      <c r="X394" s="114" t="str">
        <f t="shared" si="54"/>
        <v>CONFIDENT</v>
      </c>
      <c r="Y394" s="107"/>
    </row>
    <row r="395" spans="1:25">
      <c r="A395" s="115">
        <v>386</v>
      </c>
      <c r="B395" s="135">
        <f>'Runs Z-Score'!B388</f>
        <v>13</v>
      </c>
      <c r="C395" s="89" t="str">
        <f>'Runs Z-Score'!C388</f>
        <v>R6</v>
      </c>
      <c r="D395" s="89" t="str">
        <f>'Runs Z-Score'!D388</f>
        <v>NG</v>
      </c>
      <c r="E395" s="89" t="str">
        <f>'Runs Z-Score'!E388</f>
        <v>N2</v>
      </c>
      <c r="F395" s="89">
        <f>'Runs Z-Score'!F388</f>
        <v>7.29</v>
      </c>
      <c r="G395" s="89">
        <f t="shared" si="55"/>
        <v>8.26</v>
      </c>
      <c r="H395" s="89">
        <v>9.61</v>
      </c>
      <c r="I395" s="89">
        <f>VLOOKUP(C395,Recipes!$A$2:$N$4,12,FALSE())</f>
        <v>6.1509461004819709E-2</v>
      </c>
      <c r="J395" s="89">
        <f t="shared" ref="J395:J429" si="56">IF(G395="","",H395-G395)</f>
        <v>1.3499999999999996</v>
      </c>
      <c r="K395" s="89">
        <f>IF(G395="","",-0.5*((J395-Components!$C$2)/Components!$D$2)^2)</f>
        <v>-22543.811403509604</v>
      </c>
      <c r="L395" s="89">
        <f>IF(G395="","",-0.5*((J395-Components!$C$3)/Components!$D$3)^2)</f>
        <v>-18951.384420290335</v>
      </c>
      <c r="M395" s="89">
        <f>IF(G395="","",-0.5*((J395-Components!$C$4)/Components!$D$4)^2)</f>
        <v>-325.5107843137265</v>
      </c>
      <c r="N395" s="89">
        <f>IF(G395="","",-0.5*((J395-Components!$C$5)/Components!$D$5)^2)</f>
        <v>-8139.4738820400835</v>
      </c>
      <c r="O395" s="89">
        <f>IF(G395="","",-0.5*((J395-Components!$C$6)/Components!$D$6)^2)</f>
        <v>-24.737190684133115</v>
      </c>
      <c r="P395" s="89">
        <f>IF(G395="","",-0.5*((J395-Components!$C$7)/Components!$D$7)^2)</f>
        <v>-0.46822092952785477</v>
      </c>
      <c r="Q395" s="89">
        <f t="shared" ref="Q395:Q429" si="57">IF(G395="","",EXP(LARGE(K395:P395,1)-MAX(K395:P395))/(EXP(K395-MAX(K395:P395))+EXP(L395-MAX(K395:P395))+EXP(M395-MAX(K395:P395))+EXP(N395-MAX(K395:P395))+EXP(O395-MAX(K395:P395))+EXP(P395-MAX(K395:P395))))</f>
        <v>0.99999999997115174</v>
      </c>
      <c r="R395" s="89">
        <f t="shared" ref="R395:R429" si="58">IF(G395="","",EXP(LARGE(K395:P395,2)-MAX(K395:P395))/(EXP(K395-MAX(K395:P395))+EXP(L395-MAX(K395:P395))+EXP(M395-MAX(K395:P395))+EXP(N395-MAX(K395:P395))+EXP(O395-MAX(K395:P395))+EXP(P395-MAX(K395:P395))))</f>
        <v>2.8848308526206043E-11</v>
      </c>
      <c r="S395" s="89">
        <f t="shared" ref="S395:S429" si="59">IF(G395="","",Q395-R395)</f>
        <v>0.99999999994230349</v>
      </c>
      <c r="T395" s="89" t="str">
        <f t="shared" ref="T395:T429" si="60">IF(G395="","",IF(AND(G395&gt;=H395-$B$6*I395,G395&lt;=H395+$B$6*I395),"OK","NG"))</f>
        <v>NG</v>
      </c>
      <c r="U395" s="117">
        <f t="shared" ref="U395:U429" si="61">IF(T395="","",IF(T395=D395,1,0))</f>
        <v>1</v>
      </c>
      <c r="V395" s="89" t="str">
        <f>IF(G395="","",IF(T395="OK","NONE",INDEX({"S1","S2","W1","W2","N1","N2"},MATCH(MAX(K395:P395),K395:P395,0))))</f>
        <v>N2</v>
      </c>
      <c r="W395" s="117">
        <f t="shared" ref="W395:W429" si="62">IF(G395="","",IF(V395=E395,1,0))</f>
        <v>1</v>
      </c>
      <c r="X395" s="114" t="str">
        <f t="shared" ref="X395:X429" si="63">IF(G395="","",IF(AND(T395="NG",S395&lt;$B$7),"AMBIGUOUS","CONFIDENT"))</f>
        <v>CONFIDENT</v>
      </c>
      <c r="Y395" s="107"/>
    </row>
    <row r="396" spans="1:25">
      <c r="A396" s="115">
        <v>387</v>
      </c>
      <c r="B396" s="135">
        <f>'Runs Z-Score'!B389</f>
        <v>13</v>
      </c>
      <c r="C396" s="89" t="str">
        <f>'Runs Z-Score'!C389</f>
        <v>R6</v>
      </c>
      <c r="D396" s="89" t="str">
        <f>'Runs Z-Score'!D389</f>
        <v>NG</v>
      </c>
      <c r="E396" s="89" t="str">
        <f>'Runs Z-Score'!E389</f>
        <v>N2</v>
      </c>
      <c r="F396" s="89">
        <f>'Runs Z-Score'!F389</f>
        <v>7.16</v>
      </c>
      <c r="G396" s="89">
        <f t="shared" si="55"/>
        <v>8.1300000000000008</v>
      </c>
      <c r="H396" s="89">
        <v>9.61</v>
      </c>
      <c r="I396" s="89">
        <f>VLOOKUP(C396,Recipes!$A$2:$N$4,12,FALSE())</f>
        <v>6.1509461004819709E-2</v>
      </c>
      <c r="J396" s="89">
        <f t="shared" si="56"/>
        <v>1.4799999999999986</v>
      </c>
      <c r="K396" s="89">
        <f>IF(G396="","",-0.5*((J396-Components!$C$2)/Components!$D$2)^2)</f>
        <v>-18560.50877193053</v>
      </c>
      <c r="L396" s="89">
        <f>IF(G396="","",-0.5*((J396-Components!$C$3)/Components!$D$3)^2)</f>
        <v>-17161.31739130479</v>
      </c>
      <c r="M396" s="89">
        <f>IF(G396="","",-0.5*((J396-Components!$C$4)/Components!$D$4)^2)</f>
        <v>-606.04313725490124</v>
      </c>
      <c r="N396" s="89">
        <f>IF(G396="","",-0.5*((J396-Components!$C$5)/Components!$D$5)^2)</f>
        <v>-7494.0766739182673</v>
      </c>
      <c r="O396" s="89">
        <f>IF(G396="","",-0.5*((J396-Components!$C$6)/Components!$D$6)^2)</f>
        <v>-68.9031295487611</v>
      </c>
      <c r="P396" s="89">
        <f>IF(G396="","",-0.5*((J396-Components!$C$7)/Components!$D$7)^2)</f>
        <v>-8.8292461976613836</v>
      </c>
      <c r="Q396" s="89">
        <f t="shared" si="57"/>
        <v>1</v>
      </c>
      <c r="R396" s="89">
        <f t="shared" si="58"/>
        <v>8.1328723174151026E-27</v>
      </c>
      <c r="S396" s="89">
        <f t="shared" si="59"/>
        <v>1</v>
      </c>
      <c r="T396" s="89" t="str">
        <f t="shared" si="60"/>
        <v>NG</v>
      </c>
      <c r="U396" s="117">
        <f t="shared" si="61"/>
        <v>1</v>
      </c>
      <c r="V396" s="89" t="str">
        <f>IF(G396="","",IF(T396="OK","NONE",INDEX({"S1","S2","W1","W2","N1","N2"},MATCH(MAX(K396:P396),K396:P396,0))))</f>
        <v>N2</v>
      </c>
      <c r="W396" s="117">
        <f t="shared" si="62"/>
        <v>1</v>
      </c>
      <c r="X396" s="114" t="str">
        <f t="shared" si="63"/>
        <v>CONFIDENT</v>
      </c>
      <c r="Y396" s="107"/>
    </row>
    <row r="397" spans="1:25">
      <c r="A397" s="115">
        <v>388</v>
      </c>
      <c r="B397" s="135">
        <f>'Runs Z-Score'!B390</f>
        <v>13</v>
      </c>
      <c r="C397" s="89" t="str">
        <f>'Runs Z-Score'!C390</f>
        <v>R6</v>
      </c>
      <c r="D397" s="89" t="str">
        <f>'Runs Z-Score'!D390</f>
        <v>NG</v>
      </c>
      <c r="E397" s="89" t="str">
        <f>'Runs Z-Score'!E390</f>
        <v>N2</v>
      </c>
      <c r="F397" s="89">
        <f>'Runs Z-Score'!F390</f>
        <v>7.23</v>
      </c>
      <c r="G397" s="89">
        <f t="shared" si="55"/>
        <v>8.2000000000000011</v>
      </c>
      <c r="H397" s="89">
        <v>9.61</v>
      </c>
      <c r="I397" s="89">
        <f>VLOOKUP(C397,Recipes!$A$2:$N$4,12,FALSE())</f>
        <v>6.1509461004819709E-2</v>
      </c>
      <c r="J397" s="89">
        <f t="shared" si="56"/>
        <v>1.4099999999999984</v>
      </c>
      <c r="K397" s="89">
        <f>IF(G397="","",-0.5*((J397-Components!$C$2)/Components!$D$2)^2)</f>
        <v>-20657.285087720094</v>
      </c>
      <c r="L397" s="89">
        <f>IF(G397="","",-0.5*((J397-Components!$C$3)/Components!$D$3)^2)</f>
        <v>-18114.167028985983</v>
      </c>
      <c r="M397" s="89">
        <f>IF(G397="","",-0.5*((J397-Components!$C$4)/Components!$D$4)^2)</f>
        <v>-444.24019607843002</v>
      </c>
      <c r="N397" s="89">
        <f>IF(G397="","",-0.5*((J397-Components!$C$5)/Components!$D$5)^2)</f>
        <v>-7838.2860647812104</v>
      </c>
      <c r="O397" s="89">
        <f>IF(G397="","",-0.5*((J397-Components!$C$6)/Components!$D$6)^2)</f>
        <v>-42.370378457058258</v>
      </c>
      <c r="P397" s="89">
        <f>IF(G397="","",-0.5*((J397-Components!$C$7)/Components!$D$7)^2)</f>
        <v>-1.0059413439981566</v>
      </c>
      <c r="Q397" s="89">
        <f t="shared" si="57"/>
        <v>1</v>
      </c>
      <c r="R397" s="89">
        <f t="shared" si="58"/>
        <v>1.0855584562879019E-18</v>
      </c>
      <c r="S397" s="89">
        <f t="shared" si="59"/>
        <v>1</v>
      </c>
      <c r="T397" s="89" t="str">
        <f t="shared" si="60"/>
        <v>NG</v>
      </c>
      <c r="U397" s="117">
        <f t="shared" si="61"/>
        <v>1</v>
      </c>
      <c r="V397" s="89" t="str">
        <f>IF(G397="","",IF(T397="OK","NONE",INDEX({"S1","S2","W1","W2","N1","N2"},MATCH(MAX(K397:P397),K397:P397,0))))</f>
        <v>N2</v>
      </c>
      <c r="W397" s="117">
        <f t="shared" si="62"/>
        <v>1</v>
      </c>
      <c r="X397" s="114" t="str">
        <f t="shared" si="63"/>
        <v>CONFIDENT</v>
      </c>
      <c r="Y397" s="107"/>
    </row>
    <row r="398" spans="1:25">
      <c r="A398" s="115">
        <v>389</v>
      </c>
      <c r="B398" s="135">
        <f>'Runs Z-Score'!B391</f>
        <v>13</v>
      </c>
      <c r="C398" s="89" t="str">
        <f>'Runs Z-Score'!C391</f>
        <v>R6</v>
      </c>
      <c r="D398" s="89" t="str">
        <f>'Runs Z-Score'!D391</f>
        <v>NG</v>
      </c>
      <c r="E398" s="89" t="str">
        <f>'Runs Z-Score'!E391</f>
        <v>N2</v>
      </c>
      <c r="F398" s="89">
        <f>'Runs Z-Score'!F391</f>
        <v>7.25</v>
      </c>
      <c r="G398" s="89">
        <f t="shared" si="55"/>
        <v>8.2200000000000006</v>
      </c>
      <c r="H398" s="89">
        <v>9.61</v>
      </c>
      <c r="I398" s="89">
        <f>VLOOKUP(C398,Recipes!$A$2:$N$4,12,FALSE())</f>
        <v>6.1509461004819709E-2</v>
      </c>
      <c r="J398" s="89">
        <f t="shared" si="56"/>
        <v>1.3899999999999988</v>
      </c>
      <c r="K398" s="89">
        <f>IF(G398="","",-0.5*((J398-Components!$C$2)/Components!$D$2)^2)</f>
        <v>-21276.969298246422</v>
      </c>
      <c r="L398" s="89">
        <f>IF(G398="","",-0.5*((J398-Components!$C$3)/Components!$D$3)^2)</f>
        <v>-18391.138043478735</v>
      </c>
      <c r="M398" s="89">
        <f>IF(G398="","",-0.5*((J398-Components!$C$4)/Components!$D$4)^2)</f>
        <v>-402.61666666666622</v>
      </c>
      <c r="N398" s="89">
        <f>IF(G398="","",-0.5*((J398-Components!$C$5)/Components!$D$5)^2)</f>
        <v>-7938.0511119168132</v>
      </c>
      <c r="O398" s="89">
        <f>IF(G398="","",-0.5*((J398-Components!$C$6)/Components!$D$6)^2)</f>
        <v>-35.968631732167651</v>
      </c>
      <c r="P398" s="89">
        <f>IF(G398="","",-0.5*((J398-Components!$C$7)/Components!$D$7)^2)</f>
        <v>-0.1940889535236533</v>
      </c>
      <c r="Q398" s="89">
        <f t="shared" si="57"/>
        <v>0.99999999999999978</v>
      </c>
      <c r="R398" s="89">
        <f t="shared" si="58"/>
        <v>2.9061195672510651E-16</v>
      </c>
      <c r="S398" s="89">
        <f t="shared" si="59"/>
        <v>0.99999999999999944</v>
      </c>
      <c r="T398" s="89" t="str">
        <f t="shared" si="60"/>
        <v>NG</v>
      </c>
      <c r="U398" s="117">
        <f t="shared" si="61"/>
        <v>1</v>
      </c>
      <c r="V398" s="89" t="str">
        <f>IF(G398="","",IF(T398="OK","NONE",INDEX({"S1","S2","W1","W2","N1","N2"},MATCH(MAX(K398:P398),K398:P398,0))))</f>
        <v>N2</v>
      </c>
      <c r="W398" s="117">
        <f t="shared" si="62"/>
        <v>1</v>
      </c>
      <c r="X398" s="114" t="str">
        <f t="shared" si="63"/>
        <v>CONFIDENT</v>
      </c>
      <c r="Y398" s="107"/>
    </row>
    <row r="399" spans="1:25">
      <c r="A399" s="115">
        <v>390</v>
      </c>
      <c r="B399" s="135">
        <f>'Runs Z-Score'!B392</f>
        <v>13</v>
      </c>
      <c r="C399" s="89" t="str">
        <f>'Runs Z-Score'!C392</f>
        <v>R6</v>
      </c>
      <c r="D399" s="89" t="str">
        <f>'Runs Z-Score'!D392</f>
        <v>NG</v>
      </c>
      <c r="E399" s="89" t="str">
        <f>'Runs Z-Score'!E392</f>
        <v>N2</v>
      </c>
      <c r="F399" s="89">
        <f>'Runs Z-Score'!F392</f>
        <v>7.2</v>
      </c>
      <c r="G399" s="89">
        <f t="shared" si="55"/>
        <v>8.17</v>
      </c>
      <c r="H399" s="89">
        <v>9.61</v>
      </c>
      <c r="I399" s="89">
        <f>VLOOKUP(C399,Recipes!$A$2:$N$4,12,FALSE())</f>
        <v>6.1509461004819709E-2</v>
      </c>
      <c r="J399" s="89">
        <f t="shared" si="56"/>
        <v>1.4399999999999995</v>
      </c>
      <c r="K399" s="89">
        <f>IF(G399="","",-0.5*((J399-Components!$C$2)/Components!$D$2)^2)</f>
        <v>-19744.929824562128</v>
      </c>
      <c r="L399" s="89">
        <f>IF(G399="","",-0.5*((J399-Components!$C$3)/Components!$D$3)^2)</f>
        <v>-17702.650724638126</v>
      </c>
      <c r="M399" s="89">
        <f>IF(G399="","",-0.5*((J399-Components!$C$4)/Components!$D$4)^2)</f>
        <v>-510.51372549019737</v>
      </c>
      <c r="N399" s="89">
        <f>IF(G399="","",-0.5*((J399-Components!$C$5)/Components!$D$5)^2)</f>
        <v>-7689.821416485338</v>
      </c>
      <c r="O399" s="89">
        <f>IF(G399="","",-0.5*((J399-Components!$C$6)/Components!$D$6)^2)</f>
        <v>-52.955531295486487</v>
      </c>
      <c r="P399" s="89">
        <f>IF(G399="","",-0.5*((J399-Components!$C$7)/Components!$D$7)^2)</f>
        <v>-3.4098679028058507</v>
      </c>
      <c r="Q399" s="89">
        <f t="shared" si="57"/>
        <v>1</v>
      </c>
      <c r="R399" s="89">
        <f t="shared" si="58"/>
        <v>3.0380280986368631E-22</v>
      </c>
      <c r="S399" s="89">
        <f t="shared" si="59"/>
        <v>1</v>
      </c>
      <c r="T399" s="89" t="str">
        <f t="shared" si="60"/>
        <v>NG</v>
      </c>
      <c r="U399" s="117">
        <f t="shared" si="61"/>
        <v>1</v>
      </c>
      <c r="V399" s="89" t="str">
        <f>IF(G399="","",IF(T399="OK","NONE",INDEX({"S1","S2","W1","W2","N1","N2"},MATCH(MAX(K399:P399),K399:P399,0))))</f>
        <v>N2</v>
      </c>
      <c r="W399" s="117">
        <f t="shared" si="62"/>
        <v>1</v>
      </c>
      <c r="X399" s="114" t="str">
        <f t="shared" si="63"/>
        <v>CONFIDENT</v>
      </c>
      <c r="Y399" s="107"/>
    </row>
    <row r="400" spans="1:25">
      <c r="A400" s="115">
        <v>391</v>
      </c>
      <c r="B400" s="135">
        <f>'Runs Z-Score'!B393</f>
        <v>14</v>
      </c>
      <c r="C400" s="89" t="str">
        <f>'Runs Z-Score'!C393</f>
        <v>R6</v>
      </c>
      <c r="D400" s="89" t="str">
        <f>'Runs Z-Score'!D393</f>
        <v>NG</v>
      </c>
      <c r="E400" s="89" t="str">
        <f>'Runs Z-Score'!E393</f>
        <v>N1</v>
      </c>
      <c r="F400" s="89">
        <f>'Runs Z-Score'!F393</f>
        <v>7.39</v>
      </c>
      <c r="G400" s="89">
        <f t="shared" si="55"/>
        <v>8.36</v>
      </c>
      <c r="H400" s="89">
        <v>9.61</v>
      </c>
      <c r="I400" s="89">
        <f>VLOOKUP(C400,Recipes!$A$2:$N$4,12,FALSE())</f>
        <v>6.1509461004819709E-2</v>
      </c>
      <c r="J400" s="89">
        <f t="shared" si="56"/>
        <v>1.25</v>
      </c>
      <c r="K400" s="89">
        <f>IF(G400="","",-0.5*((J400-Components!$C$2)/Components!$D$2)^2)</f>
        <v>-25871.179824562354</v>
      </c>
      <c r="L400" s="89">
        <f>IF(G400="","",-0.5*((J400-Components!$C$3)/Components!$D$3)^2)</f>
        <v>-20388.775724638188</v>
      </c>
      <c r="M400" s="89">
        <f>IF(G400="","",-0.5*((J400-Components!$C$4)/Components!$D$4)^2)</f>
        <v>-168.56960784313824</v>
      </c>
      <c r="N400" s="89">
        <f>IF(G400="","",-0.5*((J400-Components!$C$5)/Components!$D$5)^2)</f>
        <v>-8654.0714164853289</v>
      </c>
      <c r="O400" s="89">
        <f>IF(G400="","",-0.5*((J400-Components!$C$6)/Components!$D$6)^2)</f>
        <v>-5.8288937409020987</v>
      </c>
      <c r="P400" s="89">
        <f>IF(G400="","",-0.5*((J400-Components!$C$7)/Components!$D$7)^2)</f>
        <v>-12.224265285099086</v>
      </c>
      <c r="Q400" s="89">
        <f t="shared" si="57"/>
        <v>0.9983335162613739</v>
      </c>
      <c r="R400" s="89">
        <f t="shared" si="58"/>
        <v>1.6664837386259923E-3</v>
      </c>
      <c r="S400" s="89">
        <f t="shared" si="59"/>
        <v>0.99666703252274791</v>
      </c>
      <c r="T400" s="89" t="str">
        <f t="shared" si="60"/>
        <v>NG</v>
      </c>
      <c r="U400" s="117">
        <f t="shared" si="61"/>
        <v>1</v>
      </c>
      <c r="V400" s="89" t="str">
        <f>IF(G400="","",IF(T400="OK","NONE",INDEX({"S1","S2","W1","W2","N1","N2"},MATCH(MAX(K400:P400),K400:P400,0))))</f>
        <v>N1</v>
      </c>
      <c r="W400" s="117">
        <f t="shared" si="62"/>
        <v>1</v>
      </c>
      <c r="X400" s="114" t="str">
        <f t="shared" si="63"/>
        <v>CONFIDENT</v>
      </c>
      <c r="Y400" s="107"/>
    </row>
    <row r="401" spans="1:25">
      <c r="A401" s="115">
        <v>392</v>
      </c>
      <c r="B401" s="135">
        <f>'Runs Z-Score'!B394</f>
        <v>14</v>
      </c>
      <c r="C401" s="89" t="str">
        <f>'Runs Z-Score'!C394</f>
        <v>R6</v>
      </c>
      <c r="D401" s="89" t="str">
        <f>'Runs Z-Score'!D394</f>
        <v>NG</v>
      </c>
      <c r="E401" s="89" t="str">
        <f>'Runs Z-Score'!E394</f>
        <v>N1</v>
      </c>
      <c r="F401" s="89">
        <f>'Runs Z-Score'!F394</f>
        <v>7.49</v>
      </c>
      <c r="G401" s="89">
        <f t="shared" si="55"/>
        <v>8.4600000000000009</v>
      </c>
      <c r="H401" s="89">
        <v>9.61</v>
      </c>
      <c r="I401" s="89">
        <f>VLOOKUP(C401,Recipes!$A$2:$N$4,12,FALSE())</f>
        <v>6.1509461004819709E-2</v>
      </c>
      <c r="J401" s="89">
        <f t="shared" si="56"/>
        <v>1.1499999999999986</v>
      </c>
      <c r="K401" s="89">
        <f>IF(G401="","",-0.5*((J401-Components!$C$2)/Components!$D$2)^2)</f>
        <v>-29427.49561403623</v>
      </c>
      <c r="L401" s="89">
        <f>IF(G401="","",-0.5*((J401-Components!$C$3)/Components!$D$3)^2)</f>
        <v>-21878.703260870134</v>
      </c>
      <c r="M401" s="89">
        <f>IF(G401="","",-0.5*((J401-Components!$C$4)/Components!$D$4)^2)</f>
        <v>-62.80490196078366</v>
      </c>
      <c r="N401" s="89">
        <f>IF(G401="","",-0.5*((J401-Components!$C$5)/Components!$D$5)^2)</f>
        <v>-9184.4412496978075</v>
      </c>
      <c r="O401" s="89">
        <f>IF(G401="","",-0.5*((J401-Components!$C$6)/Components!$D$6)^2)</f>
        <v>-2.1033478893775936E-2</v>
      </c>
      <c r="P401" s="89">
        <f>IF(G401="","",-0.5*((J401-Components!$C$7)/Components!$D$7)^2)</f>
        <v>-39.795615948614909</v>
      </c>
      <c r="Q401" s="89">
        <f t="shared" si="57"/>
        <v>1</v>
      </c>
      <c r="R401" s="89">
        <f t="shared" si="58"/>
        <v>5.3225323948890957E-18</v>
      </c>
      <c r="S401" s="89">
        <f t="shared" si="59"/>
        <v>1</v>
      </c>
      <c r="T401" s="89" t="str">
        <f t="shared" si="60"/>
        <v>NG</v>
      </c>
      <c r="U401" s="117">
        <f t="shared" si="61"/>
        <v>1</v>
      </c>
      <c r="V401" s="89" t="str">
        <f>IF(G401="","",IF(T401="OK","NONE",INDEX({"S1","S2","W1","W2","N1","N2"},MATCH(MAX(K401:P401),K401:P401,0))))</f>
        <v>N1</v>
      </c>
      <c r="W401" s="117">
        <f t="shared" si="62"/>
        <v>1</v>
      </c>
      <c r="X401" s="114" t="str">
        <f t="shared" si="63"/>
        <v>CONFIDENT</v>
      </c>
      <c r="Y401" s="107"/>
    </row>
    <row r="402" spans="1:25">
      <c r="A402" s="115">
        <v>393</v>
      </c>
      <c r="B402" s="135">
        <f>'Runs Z-Score'!B395</f>
        <v>14</v>
      </c>
      <c r="C402" s="89" t="str">
        <f>'Runs Z-Score'!C395</f>
        <v>R6</v>
      </c>
      <c r="D402" s="89" t="str">
        <f>'Runs Z-Score'!D395</f>
        <v>NG</v>
      </c>
      <c r="E402" s="89" t="str">
        <f>'Runs Z-Score'!E395</f>
        <v>N1</v>
      </c>
      <c r="F402" s="89">
        <f>'Runs Z-Score'!F395</f>
        <v>7.43</v>
      </c>
      <c r="G402" s="89">
        <f t="shared" si="55"/>
        <v>8.4</v>
      </c>
      <c r="H402" s="89">
        <v>9.61</v>
      </c>
      <c r="I402" s="89">
        <f>VLOOKUP(C402,Recipes!$A$2:$N$4,12,FALSE())</f>
        <v>6.1509461004819709E-2</v>
      </c>
      <c r="J402" s="89">
        <f t="shared" si="56"/>
        <v>1.2099999999999991</v>
      </c>
      <c r="K402" s="89">
        <f>IF(G402="","",-0.5*((J402-Components!$C$2)/Components!$D$2)^2)</f>
        <v>-27266.232456141392</v>
      </c>
      <c r="L402" s="89">
        <f>IF(G402="","",-0.5*((J402-Components!$C$3)/Components!$D$3)^2)</f>
        <v>-20978.442391304881</v>
      </c>
      <c r="M402" s="89">
        <f>IF(G402="","",-0.5*((J402-Components!$C$4)/Components!$D$4)^2)</f>
        <v>-120.1225490196076</v>
      </c>
      <c r="N402" s="89">
        <f>IF(G402="","",-0.5*((J402-Components!$C$5)/Components!$D$5)^2)</f>
        <v>-8864.3266739182563</v>
      </c>
      <c r="O402" s="89">
        <f>IF(G402="","",-0.5*((J402-Components!$C$6)/Components!$D$6)^2)</f>
        <v>-1.9336972343519663</v>
      </c>
      <c r="P402" s="89">
        <f>IF(G402="","",-0.5*((J402-Components!$C$7)/Components!$D$7)^2)</f>
        <v>-21.35496879355216</v>
      </c>
      <c r="Q402" s="89">
        <f t="shared" si="57"/>
        <v>0.99999999632337833</v>
      </c>
      <c r="R402" s="89">
        <f t="shared" si="58"/>
        <v>3.6766215523032614E-9</v>
      </c>
      <c r="S402" s="89">
        <f t="shared" si="59"/>
        <v>0.99999999264675676</v>
      </c>
      <c r="T402" s="89" t="str">
        <f t="shared" si="60"/>
        <v>NG</v>
      </c>
      <c r="U402" s="117">
        <f t="shared" si="61"/>
        <v>1</v>
      </c>
      <c r="V402" s="89" t="str">
        <f>IF(G402="","",IF(T402="OK","NONE",INDEX({"S1","S2","W1","W2","N1","N2"},MATCH(MAX(K402:P402),K402:P402,0))))</f>
        <v>N1</v>
      </c>
      <c r="W402" s="117">
        <f t="shared" si="62"/>
        <v>1</v>
      </c>
      <c r="X402" s="114" t="str">
        <f t="shared" si="63"/>
        <v>CONFIDENT</v>
      </c>
      <c r="Y402" s="107"/>
    </row>
    <row r="403" spans="1:25">
      <c r="A403" s="115">
        <v>394</v>
      </c>
      <c r="B403" s="135">
        <f>'Runs Z-Score'!B396</f>
        <v>14</v>
      </c>
      <c r="C403" s="89" t="str">
        <f>'Runs Z-Score'!C396</f>
        <v>R6</v>
      </c>
      <c r="D403" s="89" t="str">
        <f>'Runs Z-Score'!D396</f>
        <v>NG</v>
      </c>
      <c r="E403" s="89" t="str">
        <f>'Runs Z-Score'!E396</f>
        <v>N1</v>
      </c>
      <c r="F403" s="89">
        <f>'Runs Z-Score'!F396</f>
        <v>7.39</v>
      </c>
      <c r="G403" s="89">
        <f t="shared" si="55"/>
        <v>8.36</v>
      </c>
      <c r="H403" s="89">
        <v>9.61</v>
      </c>
      <c r="I403" s="89">
        <f>VLOOKUP(C403,Recipes!$A$2:$N$4,12,FALSE())</f>
        <v>6.1509461004819709E-2</v>
      </c>
      <c r="J403" s="89">
        <f t="shared" si="56"/>
        <v>1.25</v>
      </c>
      <c r="K403" s="89">
        <f>IF(G403="","",-0.5*((J403-Components!$C$2)/Components!$D$2)^2)</f>
        <v>-25871.179824562354</v>
      </c>
      <c r="L403" s="89">
        <f>IF(G403="","",-0.5*((J403-Components!$C$3)/Components!$D$3)^2)</f>
        <v>-20388.775724638188</v>
      </c>
      <c r="M403" s="89">
        <f>IF(G403="","",-0.5*((J403-Components!$C$4)/Components!$D$4)^2)</f>
        <v>-168.56960784313824</v>
      </c>
      <c r="N403" s="89">
        <f>IF(G403="","",-0.5*((J403-Components!$C$5)/Components!$D$5)^2)</f>
        <v>-8654.0714164853289</v>
      </c>
      <c r="O403" s="89">
        <f>IF(G403="","",-0.5*((J403-Components!$C$6)/Components!$D$6)^2)</f>
        <v>-5.8288937409020987</v>
      </c>
      <c r="P403" s="89">
        <f>IF(G403="","",-0.5*((J403-Components!$C$7)/Components!$D$7)^2)</f>
        <v>-12.224265285099086</v>
      </c>
      <c r="Q403" s="89">
        <f t="shared" si="57"/>
        <v>0.9983335162613739</v>
      </c>
      <c r="R403" s="89">
        <f t="shared" si="58"/>
        <v>1.6664837386259923E-3</v>
      </c>
      <c r="S403" s="89">
        <f t="shared" si="59"/>
        <v>0.99666703252274791</v>
      </c>
      <c r="T403" s="89" t="str">
        <f t="shared" si="60"/>
        <v>NG</v>
      </c>
      <c r="U403" s="117">
        <f t="shared" si="61"/>
        <v>1</v>
      </c>
      <c r="V403" s="89" t="str">
        <f>IF(G403="","",IF(T403="OK","NONE",INDEX({"S1","S2","W1","W2","N1","N2"},MATCH(MAX(K403:P403),K403:P403,0))))</f>
        <v>N1</v>
      </c>
      <c r="W403" s="117">
        <f t="shared" si="62"/>
        <v>1</v>
      </c>
      <c r="X403" s="114" t="str">
        <f t="shared" si="63"/>
        <v>CONFIDENT</v>
      </c>
      <c r="Y403" s="107"/>
    </row>
    <row r="404" spans="1:25">
      <c r="A404" s="115">
        <v>395</v>
      </c>
      <c r="B404" s="135">
        <f>'Runs Z-Score'!B397</f>
        <v>14</v>
      </c>
      <c r="C404" s="89" t="str">
        <f>'Runs Z-Score'!C397</f>
        <v>R6</v>
      </c>
      <c r="D404" s="89" t="str">
        <f>'Runs Z-Score'!D397</f>
        <v>NG</v>
      </c>
      <c r="E404" s="89" t="str">
        <f>'Runs Z-Score'!E397</f>
        <v>N1</v>
      </c>
      <c r="F404" s="89">
        <f>'Runs Z-Score'!F397</f>
        <v>7.49</v>
      </c>
      <c r="G404" s="89">
        <f t="shared" si="55"/>
        <v>8.4600000000000009</v>
      </c>
      <c r="H404" s="89">
        <v>9.61</v>
      </c>
      <c r="I404" s="89">
        <f>VLOOKUP(C404,Recipes!$A$2:$N$4,12,FALSE())</f>
        <v>6.1509461004819709E-2</v>
      </c>
      <c r="J404" s="89">
        <f t="shared" si="56"/>
        <v>1.1499999999999986</v>
      </c>
      <c r="K404" s="89">
        <f>IF(G404="","",-0.5*((J404-Components!$C$2)/Components!$D$2)^2)</f>
        <v>-29427.49561403623</v>
      </c>
      <c r="L404" s="89">
        <f>IF(G404="","",-0.5*((J404-Components!$C$3)/Components!$D$3)^2)</f>
        <v>-21878.703260870134</v>
      </c>
      <c r="M404" s="89">
        <f>IF(G404="","",-0.5*((J404-Components!$C$4)/Components!$D$4)^2)</f>
        <v>-62.80490196078366</v>
      </c>
      <c r="N404" s="89">
        <f>IF(G404="","",-0.5*((J404-Components!$C$5)/Components!$D$5)^2)</f>
        <v>-9184.4412496978075</v>
      </c>
      <c r="O404" s="89">
        <f>IF(G404="","",-0.5*((J404-Components!$C$6)/Components!$D$6)^2)</f>
        <v>-2.1033478893775936E-2</v>
      </c>
      <c r="P404" s="89">
        <f>IF(G404="","",-0.5*((J404-Components!$C$7)/Components!$D$7)^2)</f>
        <v>-39.795615948614909</v>
      </c>
      <c r="Q404" s="89">
        <f t="shared" si="57"/>
        <v>1</v>
      </c>
      <c r="R404" s="89">
        <f t="shared" si="58"/>
        <v>5.3225323948890957E-18</v>
      </c>
      <c r="S404" s="89">
        <f t="shared" si="59"/>
        <v>1</v>
      </c>
      <c r="T404" s="89" t="str">
        <f t="shared" si="60"/>
        <v>NG</v>
      </c>
      <c r="U404" s="117">
        <f t="shared" si="61"/>
        <v>1</v>
      </c>
      <c r="V404" s="89" t="str">
        <f>IF(G404="","",IF(T404="OK","NONE",INDEX({"S1","S2","W1","W2","N1","N2"},MATCH(MAX(K404:P404),K404:P404,0))))</f>
        <v>N1</v>
      </c>
      <c r="W404" s="117">
        <f t="shared" si="62"/>
        <v>1</v>
      </c>
      <c r="X404" s="114" t="str">
        <f t="shared" si="63"/>
        <v>CONFIDENT</v>
      </c>
      <c r="Y404" s="107"/>
    </row>
    <row r="405" spans="1:25">
      <c r="A405" s="115">
        <v>396</v>
      </c>
      <c r="B405" s="135">
        <f>'Runs Z-Score'!B398</f>
        <v>14</v>
      </c>
      <c r="C405" s="89" t="str">
        <f>'Runs Z-Score'!C398</f>
        <v>R6</v>
      </c>
      <c r="D405" s="89" t="str">
        <f>'Runs Z-Score'!D398</f>
        <v>NG</v>
      </c>
      <c r="E405" s="89" t="str">
        <f>'Runs Z-Score'!E398</f>
        <v>N1</v>
      </c>
      <c r="F405" s="89">
        <f>'Runs Z-Score'!F398</f>
        <v>7.48</v>
      </c>
      <c r="G405" s="89">
        <f t="shared" si="55"/>
        <v>8.4500000000000011</v>
      </c>
      <c r="H405" s="89">
        <v>9.61</v>
      </c>
      <c r="I405" s="89">
        <f>VLOOKUP(C405,Recipes!$A$2:$N$4,12,FALSE())</f>
        <v>6.1509461004819709E-2</v>
      </c>
      <c r="J405" s="89">
        <f t="shared" si="56"/>
        <v>1.1599999999999984</v>
      </c>
      <c r="K405" s="89">
        <f>IF(G405="","",-0.5*((J405-Components!$C$2)/Components!$D$2)^2)</f>
        <v>-29061.561403509906</v>
      </c>
      <c r="L405" s="89">
        <f>IF(G405="","",-0.5*((J405-Components!$C$3)/Components!$D$3)^2)</f>
        <v>-21727.346376812158</v>
      </c>
      <c r="M405" s="89">
        <f>IF(G405="","",-0.5*((J405-Components!$C$4)/Components!$D$4)^2)</f>
        <v>-71.078431372548152</v>
      </c>
      <c r="N405" s="89">
        <f>IF(G405="","",-0.5*((J405-Components!$C$5)/Components!$D$5)^2)</f>
        <v>-9130.6945129320357</v>
      </c>
      <c r="O405" s="89">
        <f>IF(G405="","",-0.5*((J405-Components!$C$6)/Components!$D$6)^2)</f>
        <v>-1.2299854439564575E-2</v>
      </c>
      <c r="P405" s="89">
        <f>IF(G405="","",-0.5*((J405-Components!$C$7)/Components!$D$7)^2)</f>
        <v>-36.326792098405946</v>
      </c>
      <c r="Q405" s="89">
        <f t="shared" si="57"/>
        <v>0.99999999999999978</v>
      </c>
      <c r="R405" s="89">
        <f t="shared" si="58"/>
        <v>1.6936216834686761E-16</v>
      </c>
      <c r="S405" s="89">
        <f t="shared" si="59"/>
        <v>0.99999999999999956</v>
      </c>
      <c r="T405" s="89" t="str">
        <f t="shared" si="60"/>
        <v>NG</v>
      </c>
      <c r="U405" s="117">
        <f t="shared" si="61"/>
        <v>1</v>
      </c>
      <c r="V405" s="89" t="str">
        <f>IF(G405="","",IF(T405="OK","NONE",INDEX({"S1","S2","W1","W2","N1","N2"},MATCH(MAX(K405:P405),K405:P405,0))))</f>
        <v>N1</v>
      </c>
      <c r="W405" s="117">
        <f t="shared" si="62"/>
        <v>1</v>
      </c>
      <c r="X405" s="114" t="str">
        <f t="shared" si="63"/>
        <v>CONFIDENT</v>
      </c>
      <c r="Y405" s="107"/>
    </row>
    <row r="406" spans="1:25">
      <c r="A406" s="115">
        <v>397</v>
      </c>
      <c r="B406" s="135">
        <f>'Runs Z-Score'!B399</f>
        <v>14</v>
      </c>
      <c r="C406" s="89" t="str">
        <f>'Runs Z-Score'!C399</f>
        <v>R6</v>
      </c>
      <c r="D406" s="89" t="str">
        <f>'Runs Z-Score'!D399</f>
        <v>NG</v>
      </c>
      <c r="E406" s="89" t="str">
        <f>'Runs Z-Score'!E399</f>
        <v>N1</v>
      </c>
      <c r="F406" s="89">
        <f>'Runs Z-Score'!F399</f>
        <v>7.46</v>
      </c>
      <c r="G406" s="89">
        <f t="shared" si="55"/>
        <v>8.43</v>
      </c>
      <c r="H406" s="89">
        <v>9.61</v>
      </c>
      <c r="I406" s="89">
        <f>VLOOKUP(C406,Recipes!$A$2:$N$4,12,FALSE())</f>
        <v>6.1509461004819709E-2</v>
      </c>
      <c r="J406" s="89">
        <f t="shared" si="56"/>
        <v>1.1799999999999997</v>
      </c>
      <c r="K406" s="89">
        <f>IF(G406="","",-0.5*((J406-Components!$C$2)/Components!$D$2)^2)</f>
        <v>-28336.561403509833</v>
      </c>
      <c r="L406" s="89">
        <f>IF(G406="","",-0.5*((J406-Components!$C$3)/Components!$D$3)^2)</f>
        <v>-21426.208695652709</v>
      </c>
      <c r="M406" s="89">
        <f>IF(G406="","",-0.5*((J406-Components!$C$4)/Components!$D$4)^2)</f>
        <v>-89.160784313725856</v>
      </c>
      <c r="N406" s="89">
        <f>IF(G406="","",-0.5*((J406-Components!$C$5)/Components!$D$5)^2)</f>
        <v>-9023.6742083635017</v>
      </c>
      <c r="O406" s="89">
        <f>IF(G406="","",-0.5*((J406-Components!$C$6)/Components!$D$6)^2)</f>
        <v>-0.38784570596786494</v>
      </c>
      <c r="P406" s="89">
        <f>IF(G406="","",-0.5*((J406-Components!$C$7)/Components!$D$7)^2)</f>
        <v>-29.863603587225764</v>
      </c>
      <c r="Q406" s="89">
        <f t="shared" si="57"/>
        <v>0.9999999999998419</v>
      </c>
      <c r="R406" s="89">
        <f t="shared" si="58"/>
        <v>1.5806692410838608E-13</v>
      </c>
      <c r="S406" s="89">
        <f t="shared" si="59"/>
        <v>0.99999999999968381</v>
      </c>
      <c r="T406" s="89" t="str">
        <f t="shared" si="60"/>
        <v>NG</v>
      </c>
      <c r="U406" s="117">
        <f t="shared" si="61"/>
        <v>1</v>
      </c>
      <c r="V406" s="89" t="str">
        <f>IF(G406="","",IF(T406="OK","NONE",INDEX({"S1","S2","W1","W2","N1","N2"},MATCH(MAX(K406:P406),K406:P406,0))))</f>
        <v>N1</v>
      </c>
      <c r="W406" s="117">
        <f t="shared" si="62"/>
        <v>1</v>
      </c>
      <c r="X406" s="114" t="str">
        <f t="shared" si="63"/>
        <v>CONFIDENT</v>
      </c>
      <c r="Y406" s="107"/>
    </row>
    <row r="407" spans="1:25">
      <c r="A407" s="115">
        <v>398</v>
      </c>
      <c r="B407" s="135">
        <f>'Runs Z-Score'!B400</f>
        <v>14</v>
      </c>
      <c r="C407" s="89" t="str">
        <f>'Runs Z-Score'!C400</f>
        <v>R6</v>
      </c>
      <c r="D407" s="89" t="str">
        <f>'Runs Z-Score'!D400</f>
        <v>NG</v>
      </c>
      <c r="E407" s="89" t="str">
        <f>'Runs Z-Score'!E400</f>
        <v>N1</v>
      </c>
      <c r="F407" s="89">
        <f>'Runs Z-Score'!F400</f>
        <v>7.48</v>
      </c>
      <c r="G407" s="89">
        <f t="shared" si="55"/>
        <v>8.4500000000000011</v>
      </c>
      <c r="H407" s="89">
        <v>9.61</v>
      </c>
      <c r="I407" s="89">
        <f>VLOOKUP(C407,Recipes!$A$2:$N$4,12,FALSE())</f>
        <v>6.1509461004819709E-2</v>
      </c>
      <c r="J407" s="89">
        <f t="shared" si="56"/>
        <v>1.1599999999999984</v>
      </c>
      <c r="K407" s="89">
        <f>IF(G407="","",-0.5*((J407-Components!$C$2)/Components!$D$2)^2)</f>
        <v>-29061.561403509906</v>
      </c>
      <c r="L407" s="89">
        <f>IF(G407="","",-0.5*((J407-Components!$C$3)/Components!$D$3)^2)</f>
        <v>-21727.346376812158</v>
      </c>
      <c r="M407" s="89">
        <f>IF(G407="","",-0.5*((J407-Components!$C$4)/Components!$D$4)^2)</f>
        <v>-71.078431372548152</v>
      </c>
      <c r="N407" s="89">
        <f>IF(G407="","",-0.5*((J407-Components!$C$5)/Components!$D$5)^2)</f>
        <v>-9130.6945129320357</v>
      </c>
      <c r="O407" s="89">
        <f>IF(G407="","",-0.5*((J407-Components!$C$6)/Components!$D$6)^2)</f>
        <v>-1.2299854439564575E-2</v>
      </c>
      <c r="P407" s="89">
        <f>IF(G407="","",-0.5*((J407-Components!$C$7)/Components!$D$7)^2)</f>
        <v>-36.326792098405946</v>
      </c>
      <c r="Q407" s="89">
        <f t="shared" si="57"/>
        <v>0.99999999999999978</v>
      </c>
      <c r="R407" s="89">
        <f t="shared" si="58"/>
        <v>1.6936216834686761E-16</v>
      </c>
      <c r="S407" s="89">
        <f t="shared" si="59"/>
        <v>0.99999999999999956</v>
      </c>
      <c r="T407" s="89" t="str">
        <f t="shared" si="60"/>
        <v>NG</v>
      </c>
      <c r="U407" s="117">
        <f t="shared" si="61"/>
        <v>1</v>
      </c>
      <c r="V407" s="89" t="str">
        <f>IF(G407="","",IF(T407="OK","NONE",INDEX({"S1","S2","W1","W2","N1","N2"},MATCH(MAX(K407:P407),K407:P407,0))))</f>
        <v>N1</v>
      </c>
      <c r="W407" s="117">
        <f t="shared" si="62"/>
        <v>1</v>
      </c>
      <c r="X407" s="114" t="str">
        <f t="shared" si="63"/>
        <v>CONFIDENT</v>
      </c>
      <c r="Y407" s="107"/>
    </row>
    <row r="408" spans="1:25">
      <c r="A408" s="115">
        <v>399</v>
      </c>
      <c r="B408" s="135">
        <f>'Runs Z-Score'!B401</f>
        <v>14</v>
      </c>
      <c r="C408" s="89" t="str">
        <f>'Runs Z-Score'!C401</f>
        <v>R6</v>
      </c>
      <c r="D408" s="89" t="str">
        <f>'Runs Z-Score'!D401</f>
        <v>NG</v>
      </c>
      <c r="E408" s="89" t="str">
        <f>'Runs Z-Score'!E401</f>
        <v>N1</v>
      </c>
      <c r="F408" s="89">
        <f>'Runs Z-Score'!F401</f>
        <v>7.45</v>
      </c>
      <c r="G408" s="89">
        <f t="shared" si="55"/>
        <v>8.42</v>
      </c>
      <c r="H408" s="89">
        <v>9.61</v>
      </c>
      <c r="I408" s="89">
        <f>VLOOKUP(C408,Recipes!$A$2:$N$4,12,FALSE())</f>
        <v>6.1509461004819709E-2</v>
      </c>
      <c r="J408" s="89">
        <f t="shared" si="56"/>
        <v>1.1899999999999995</v>
      </c>
      <c r="K408" s="89">
        <f>IF(G408="","",-0.5*((J408-Components!$C$2)/Components!$D$2)^2)</f>
        <v>-27977.495614036139</v>
      </c>
      <c r="L408" s="89">
        <f>IF(G408="","",-0.5*((J408-Components!$C$3)/Components!$D$3)^2)</f>
        <v>-21276.427898551265</v>
      </c>
      <c r="M408" s="89">
        <f>IF(G408="","",-0.5*((J408-Components!$C$4)/Components!$D$4)^2)</f>
        <v>-98.969607843137439</v>
      </c>
      <c r="N408" s="89">
        <f>IF(G408="","",-0.5*((J408-Components!$C$5)/Components!$D$5)^2)</f>
        <v>-8970.400640560747</v>
      </c>
      <c r="O408" s="89">
        <f>IF(G408="","",-0.5*((J408-Components!$C$6)/Components!$D$6)^2)</f>
        <v>-0.77212518195034319</v>
      </c>
      <c r="P408" s="89">
        <f>IF(G408="","",-0.5*((J408-Components!$C$7)/Components!$D$7)^2)</f>
        <v>-26.869238926255129</v>
      </c>
      <c r="Q408" s="89">
        <f t="shared" si="57"/>
        <v>0.99999999999536371</v>
      </c>
      <c r="R408" s="89">
        <f t="shared" si="58"/>
        <v>4.6362570554388569E-12</v>
      </c>
      <c r="S408" s="89">
        <f t="shared" si="59"/>
        <v>0.99999999999072742</v>
      </c>
      <c r="T408" s="89" t="str">
        <f t="shared" si="60"/>
        <v>NG</v>
      </c>
      <c r="U408" s="117">
        <f t="shared" si="61"/>
        <v>1</v>
      </c>
      <c r="V408" s="89" t="str">
        <f>IF(G408="","",IF(T408="OK","NONE",INDEX({"S1","S2","W1","W2","N1","N2"},MATCH(MAX(K408:P408),K408:P408,0))))</f>
        <v>N1</v>
      </c>
      <c r="W408" s="117">
        <f t="shared" si="62"/>
        <v>1</v>
      </c>
      <c r="X408" s="114" t="str">
        <f t="shared" si="63"/>
        <v>CONFIDENT</v>
      </c>
      <c r="Y408" s="107"/>
    </row>
    <row r="409" spans="1:25">
      <c r="A409" s="115">
        <v>400</v>
      </c>
      <c r="B409" s="135">
        <f>'Runs Z-Score'!B402</f>
        <v>14</v>
      </c>
      <c r="C409" s="89" t="str">
        <f>'Runs Z-Score'!C402</f>
        <v>R6</v>
      </c>
      <c r="D409" s="89" t="str">
        <f>'Runs Z-Score'!D402</f>
        <v>NG</v>
      </c>
      <c r="E409" s="89" t="str">
        <f>'Runs Z-Score'!E402</f>
        <v>N1</v>
      </c>
      <c r="F409" s="89">
        <f>'Runs Z-Score'!F402</f>
        <v>7.43</v>
      </c>
      <c r="G409" s="89">
        <f t="shared" si="55"/>
        <v>8.4</v>
      </c>
      <c r="H409" s="89">
        <v>9.61</v>
      </c>
      <c r="I409" s="89">
        <f>VLOOKUP(C409,Recipes!$A$2:$N$4,12,FALSE())</f>
        <v>6.1509461004819709E-2</v>
      </c>
      <c r="J409" s="89">
        <f t="shared" si="56"/>
        <v>1.2099999999999991</v>
      </c>
      <c r="K409" s="89">
        <f>IF(G409="","",-0.5*((J409-Components!$C$2)/Components!$D$2)^2)</f>
        <v>-27266.232456141392</v>
      </c>
      <c r="L409" s="89">
        <f>IF(G409="","",-0.5*((J409-Components!$C$3)/Components!$D$3)^2)</f>
        <v>-20978.442391304881</v>
      </c>
      <c r="M409" s="89">
        <f>IF(G409="","",-0.5*((J409-Components!$C$4)/Components!$D$4)^2)</f>
        <v>-120.1225490196076</v>
      </c>
      <c r="N409" s="89">
        <f>IF(G409="","",-0.5*((J409-Components!$C$5)/Components!$D$5)^2)</f>
        <v>-8864.3266739182563</v>
      </c>
      <c r="O409" s="89">
        <f>IF(G409="","",-0.5*((J409-Components!$C$6)/Components!$D$6)^2)</f>
        <v>-1.9336972343519663</v>
      </c>
      <c r="P409" s="89">
        <f>IF(G409="","",-0.5*((J409-Components!$C$7)/Components!$D$7)^2)</f>
        <v>-21.35496879355216</v>
      </c>
      <c r="Q409" s="89">
        <f t="shared" si="57"/>
        <v>0.99999999632337833</v>
      </c>
      <c r="R409" s="89">
        <f t="shared" si="58"/>
        <v>3.6766215523032614E-9</v>
      </c>
      <c r="S409" s="89">
        <f t="shared" si="59"/>
        <v>0.99999999264675676</v>
      </c>
      <c r="T409" s="89" t="str">
        <f t="shared" si="60"/>
        <v>NG</v>
      </c>
      <c r="U409" s="117">
        <f t="shared" si="61"/>
        <v>1</v>
      </c>
      <c r="V409" s="89" t="str">
        <f>IF(G409="","",IF(T409="OK","NONE",INDEX({"S1","S2","W1","W2","N1","N2"},MATCH(MAX(K409:P409),K409:P409,0))))</f>
        <v>N1</v>
      </c>
      <c r="W409" s="117">
        <f t="shared" si="62"/>
        <v>1</v>
      </c>
      <c r="X409" s="114" t="str">
        <f t="shared" si="63"/>
        <v>CONFIDENT</v>
      </c>
      <c r="Y409" s="107"/>
    </row>
    <row r="410" spans="1:25">
      <c r="A410" s="115">
        <v>401</v>
      </c>
      <c r="B410" s="135">
        <f>'Runs Z-Score'!B403</f>
        <v>14</v>
      </c>
      <c r="C410" s="89" t="str">
        <f>'Runs Z-Score'!C403</f>
        <v>R6</v>
      </c>
      <c r="D410" s="89" t="str">
        <f>'Runs Z-Score'!D403</f>
        <v>NG</v>
      </c>
      <c r="E410" s="89" t="str">
        <f>'Runs Z-Score'!E403</f>
        <v>N1</v>
      </c>
      <c r="F410" s="89">
        <f>'Runs Z-Score'!F403</f>
        <v>7.48</v>
      </c>
      <c r="G410" s="89">
        <f t="shared" si="55"/>
        <v>8.4500000000000011</v>
      </c>
      <c r="H410" s="89">
        <v>9.61</v>
      </c>
      <c r="I410" s="89">
        <f>VLOOKUP(C410,Recipes!$A$2:$N$4,12,FALSE())</f>
        <v>6.1509461004819709E-2</v>
      </c>
      <c r="J410" s="89">
        <f t="shared" si="56"/>
        <v>1.1599999999999984</v>
      </c>
      <c r="K410" s="89">
        <f>IF(G410="","",-0.5*((J410-Components!$C$2)/Components!$D$2)^2)</f>
        <v>-29061.561403509906</v>
      </c>
      <c r="L410" s="89">
        <f>IF(G410="","",-0.5*((J410-Components!$C$3)/Components!$D$3)^2)</f>
        <v>-21727.346376812158</v>
      </c>
      <c r="M410" s="89">
        <f>IF(G410="","",-0.5*((J410-Components!$C$4)/Components!$D$4)^2)</f>
        <v>-71.078431372548152</v>
      </c>
      <c r="N410" s="89">
        <f>IF(G410="","",-0.5*((J410-Components!$C$5)/Components!$D$5)^2)</f>
        <v>-9130.6945129320357</v>
      </c>
      <c r="O410" s="89">
        <f>IF(G410="","",-0.5*((J410-Components!$C$6)/Components!$D$6)^2)</f>
        <v>-1.2299854439564575E-2</v>
      </c>
      <c r="P410" s="89">
        <f>IF(G410="","",-0.5*((J410-Components!$C$7)/Components!$D$7)^2)</f>
        <v>-36.326792098405946</v>
      </c>
      <c r="Q410" s="89">
        <f t="shared" si="57"/>
        <v>0.99999999999999978</v>
      </c>
      <c r="R410" s="89">
        <f t="shared" si="58"/>
        <v>1.6936216834686761E-16</v>
      </c>
      <c r="S410" s="89">
        <f t="shared" si="59"/>
        <v>0.99999999999999956</v>
      </c>
      <c r="T410" s="89" t="str">
        <f t="shared" si="60"/>
        <v>NG</v>
      </c>
      <c r="U410" s="117">
        <f t="shared" si="61"/>
        <v>1</v>
      </c>
      <c r="V410" s="89" t="str">
        <f>IF(G410="","",IF(T410="OK","NONE",INDEX({"S1","S2","W1","W2","N1","N2"},MATCH(MAX(K410:P410),K410:P410,0))))</f>
        <v>N1</v>
      </c>
      <c r="W410" s="117">
        <f t="shared" si="62"/>
        <v>1</v>
      </c>
      <c r="X410" s="114" t="str">
        <f t="shared" si="63"/>
        <v>CONFIDENT</v>
      </c>
      <c r="Y410" s="107"/>
    </row>
    <row r="411" spans="1:25">
      <c r="A411" s="115">
        <v>402</v>
      </c>
      <c r="B411" s="135">
        <f>'Runs Z-Score'!B404</f>
        <v>14</v>
      </c>
      <c r="C411" s="89" t="str">
        <f>'Runs Z-Score'!C404</f>
        <v>R6</v>
      </c>
      <c r="D411" s="89" t="str">
        <f>'Runs Z-Score'!D404</f>
        <v>NG</v>
      </c>
      <c r="E411" s="89" t="str">
        <f>'Runs Z-Score'!E404</f>
        <v>N1</v>
      </c>
      <c r="F411" s="89">
        <f>'Runs Z-Score'!F404</f>
        <v>7.46</v>
      </c>
      <c r="G411" s="89">
        <f t="shared" si="55"/>
        <v>8.43</v>
      </c>
      <c r="H411" s="89">
        <v>9.61</v>
      </c>
      <c r="I411" s="89">
        <f>VLOOKUP(C411,Recipes!$A$2:$N$4,12,FALSE())</f>
        <v>6.1509461004819709E-2</v>
      </c>
      <c r="J411" s="89">
        <f t="shared" si="56"/>
        <v>1.1799999999999997</v>
      </c>
      <c r="K411" s="89">
        <f>IF(G411="","",-0.5*((J411-Components!$C$2)/Components!$D$2)^2)</f>
        <v>-28336.561403509833</v>
      </c>
      <c r="L411" s="89">
        <f>IF(G411="","",-0.5*((J411-Components!$C$3)/Components!$D$3)^2)</f>
        <v>-21426.208695652709</v>
      </c>
      <c r="M411" s="89">
        <f>IF(G411="","",-0.5*((J411-Components!$C$4)/Components!$D$4)^2)</f>
        <v>-89.160784313725856</v>
      </c>
      <c r="N411" s="89">
        <f>IF(G411="","",-0.5*((J411-Components!$C$5)/Components!$D$5)^2)</f>
        <v>-9023.6742083635017</v>
      </c>
      <c r="O411" s="89">
        <f>IF(G411="","",-0.5*((J411-Components!$C$6)/Components!$D$6)^2)</f>
        <v>-0.38784570596786494</v>
      </c>
      <c r="P411" s="89">
        <f>IF(G411="","",-0.5*((J411-Components!$C$7)/Components!$D$7)^2)</f>
        <v>-29.863603587225764</v>
      </c>
      <c r="Q411" s="89">
        <f t="shared" si="57"/>
        <v>0.9999999999998419</v>
      </c>
      <c r="R411" s="89">
        <f t="shared" si="58"/>
        <v>1.5806692410838608E-13</v>
      </c>
      <c r="S411" s="89">
        <f t="shared" si="59"/>
        <v>0.99999999999968381</v>
      </c>
      <c r="T411" s="89" t="str">
        <f t="shared" si="60"/>
        <v>NG</v>
      </c>
      <c r="U411" s="117">
        <f t="shared" si="61"/>
        <v>1</v>
      </c>
      <c r="V411" s="89" t="str">
        <f>IF(G411="","",IF(T411="OK","NONE",INDEX({"S1","S2","W1","W2","N1","N2"},MATCH(MAX(K411:P411),K411:P411,0))))</f>
        <v>N1</v>
      </c>
      <c r="W411" s="117">
        <f t="shared" si="62"/>
        <v>1</v>
      </c>
      <c r="X411" s="114" t="str">
        <f t="shared" si="63"/>
        <v>CONFIDENT</v>
      </c>
      <c r="Y411" s="107"/>
    </row>
    <row r="412" spans="1:25">
      <c r="A412" s="115">
        <v>403</v>
      </c>
      <c r="B412" s="135">
        <f>'Runs Z-Score'!B405</f>
        <v>14</v>
      </c>
      <c r="C412" s="89" t="str">
        <f>'Runs Z-Score'!C405</f>
        <v>R6</v>
      </c>
      <c r="D412" s="89" t="str">
        <f>'Runs Z-Score'!D405</f>
        <v>NG</v>
      </c>
      <c r="E412" s="89" t="str">
        <f>'Runs Z-Score'!E405</f>
        <v>N1</v>
      </c>
      <c r="F412" s="89">
        <f>'Runs Z-Score'!F405</f>
        <v>7.47</v>
      </c>
      <c r="G412" s="89">
        <f t="shared" si="55"/>
        <v>8.44</v>
      </c>
      <c r="H412" s="89">
        <v>9.61</v>
      </c>
      <c r="I412" s="89">
        <f>VLOOKUP(C412,Recipes!$A$2:$N$4,12,FALSE())</f>
        <v>6.1509461004819709E-2</v>
      </c>
      <c r="J412" s="89">
        <f t="shared" si="56"/>
        <v>1.17</v>
      </c>
      <c r="K412" s="89">
        <f>IF(G412="","",-0.5*((J412-Components!$C$2)/Components!$D$2)^2)</f>
        <v>-28697.91666666773</v>
      </c>
      <c r="L412" s="89">
        <f>IF(G412="","",-0.5*((J412-Components!$C$3)/Components!$D$3)^2)</f>
        <v>-21576.514855073001</v>
      </c>
      <c r="M412" s="89">
        <f>IF(G412="","",-0.5*((J412-Components!$C$4)/Components!$D$4)^2)</f>
        <v>-79.8637254901966</v>
      </c>
      <c r="N412" s="89">
        <f>IF(G412="","",-0.5*((J412-Components!$C$5)/Components!$D$5)^2)</f>
        <v>-9077.1054991539295</v>
      </c>
      <c r="O412" s="89">
        <f>IF(G412="","",-0.5*((J412-Components!$C$6)/Components!$D$6)^2)</f>
        <v>-0.13457059679760872</v>
      </c>
      <c r="P412" s="89">
        <f>IF(G412="","",-0.5*((J412-Components!$C$7)/Components!$D$7)^2)</f>
        <v>-33.016121311275832</v>
      </c>
      <c r="Q412" s="89">
        <f t="shared" si="57"/>
        <v>0.99999999999999467</v>
      </c>
      <c r="R412" s="89">
        <f t="shared" si="58"/>
        <v>5.2447400568157394E-15</v>
      </c>
      <c r="S412" s="89">
        <f t="shared" si="59"/>
        <v>0.99999999999998945</v>
      </c>
      <c r="T412" s="89" t="str">
        <f t="shared" si="60"/>
        <v>NG</v>
      </c>
      <c r="U412" s="117">
        <f t="shared" si="61"/>
        <v>1</v>
      </c>
      <c r="V412" s="89" t="str">
        <f>IF(G412="","",IF(T412="OK","NONE",INDEX({"S1","S2","W1","W2","N1","N2"},MATCH(MAX(K412:P412),K412:P412,0))))</f>
        <v>N1</v>
      </c>
      <c r="W412" s="117">
        <f t="shared" si="62"/>
        <v>1</v>
      </c>
      <c r="X412" s="114" t="str">
        <f t="shared" si="63"/>
        <v>CONFIDENT</v>
      </c>
      <c r="Y412" s="107"/>
    </row>
    <row r="413" spans="1:25">
      <c r="A413" s="115">
        <v>404</v>
      </c>
      <c r="B413" s="135">
        <f>'Runs Z-Score'!B406</f>
        <v>14</v>
      </c>
      <c r="C413" s="89" t="str">
        <f>'Runs Z-Score'!C406</f>
        <v>R6</v>
      </c>
      <c r="D413" s="89" t="str">
        <f>'Runs Z-Score'!D406</f>
        <v>NG</v>
      </c>
      <c r="E413" s="89" t="str">
        <f>'Runs Z-Score'!E406</f>
        <v>N1</v>
      </c>
      <c r="F413" s="89">
        <f>'Runs Z-Score'!F406</f>
        <v>7.3</v>
      </c>
      <c r="G413" s="89">
        <f t="shared" si="55"/>
        <v>8.27</v>
      </c>
      <c r="H413" s="89">
        <v>9.61</v>
      </c>
      <c r="I413" s="89">
        <f>VLOOKUP(C413,Recipes!$A$2:$N$4,12,FALSE())</f>
        <v>6.1509461004819709E-2</v>
      </c>
      <c r="J413" s="89">
        <f t="shared" si="56"/>
        <v>1.3399999999999999</v>
      </c>
      <c r="K413" s="89">
        <f>IF(G413="","",-0.5*((J413-Components!$C$2)/Components!$D$2)^2)</f>
        <v>-22866.245614035925</v>
      </c>
      <c r="L413" s="89">
        <f>IF(G413="","",-0.5*((J413-Components!$C$3)/Components!$D$3)^2)</f>
        <v>-19092.759420290331</v>
      </c>
      <c r="M413" s="89">
        <f>IF(G413="","",-0.5*((J413-Components!$C$4)/Components!$D$4)^2)</f>
        <v>-307.51372549019743</v>
      </c>
      <c r="N413" s="89">
        <f>IF(G413="","",-0.5*((J413-Components!$C$5)/Components!$D$5)^2)</f>
        <v>-8190.2238820400835</v>
      </c>
      <c r="O413" s="89">
        <f>IF(G413="","",-0.5*((J413-Components!$C$6)/Components!$D$6)^2)</f>
        <v>-22.256841339155034</v>
      </c>
      <c r="P413" s="89">
        <f>IF(G413="","",-0.5*((J413-Components!$C$7)/Components!$D$7)^2)</f>
        <v>-0.93213658122748999</v>
      </c>
      <c r="Q413" s="89">
        <f t="shared" si="57"/>
        <v>0.99999999945197748</v>
      </c>
      <c r="R413" s="89">
        <f t="shared" si="58"/>
        <v>5.4802250709890652E-10</v>
      </c>
      <c r="S413" s="89">
        <f t="shared" si="59"/>
        <v>0.99999999890395497</v>
      </c>
      <c r="T413" s="89" t="str">
        <f t="shared" si="60"/>
        <v>NG</v>
      </c>
      <c r="U413" s="117">
        <f t="shared" si="61"/>
        <v>1</v>
      </c>
      <c r="V413" s="89" t="str">
        <f>IF(G413="","",IF(T413="OK","NONE",INDEX({"S1","S2","W1","W2","N1","N2"},MATCH(MAX(K413:P413),K413:P413,0))))</f>
        <v>N2</v>
      </c>
      <c r="W413" s="122">
        <f t="shared" si="62"/>
        <v>0</v>
      </c>
      <c r="X413" s="114" t="str">
        <f t="shared" si="63"/>
        <v>CONFIDENT</v>
      </c>
      <c r="Y413" s="107"/>
    </row>
    <row r="414" spans="1:25">
      <c r="A414" s="115">
        <v>405</v>
      </c>
      <c r="B414" s="135">
        <f>'Runs Z-Score'!B407</f>
        <v>14</v>
      </c>
      <c r="C414" s="89" t="str">
        <f>'Runs Z-Score'!C407</f>
        <v>R6</v>
      </c>
      <c r="D414" s="89" t="str">
        <f>'Runs Z-Score'!D407</f>
        <v>NG</v>
      </c>
      <c r="E414" s="89" t="str">
        <f>'Runs Z-Score'!E407</f>
        <v>N1</v>
      </c>
      <c r="F414" s="89">
        <f>'Runs Z-Score'!F407</f>
        <v>7.44</v>
      </c>
      <c r="G414" s="89">
        <f t="shared" si="55"/>
        <v>8.41</v>
      </c>
      <c r="H414" s="89">
        <v>9.61</v>
      </c>
      <c r="I414" s="89">
        <f>VLOOKUP(C414,Recipes!$A$2:$N$4,12,FALSE())</f>
        <v>6.1509461004819709E-2</v>
      </c>
      <c r="J414" s="89">
        <f t="shared" si="56"/>
        <v>1.1999999999999993</v>
      </c>
      <c r="K414" s="89">
        <f>IF(G414="","",-0.5*((J414-Components!$C$2)/Components!$D$2)^2)</f>
        <v>-27620.719298246655</v>
      </c>
      <c r="L414" s="89">
        <f>IF(G414="","",-0.5*((J414-Components!$C$3)/Components!$D$3)^2)</f>
        <v>-21127.172463768653</v>
      </c>
      <c r="M414" s="89">
        <f>IF(G414="","",-0.5*((J414-Components!$C$4)/Components!$D$4)^2)</f>
        <v>-109.29019607843135</v>
      </c>
      <c r="N414" s="89">
        <f>IF(G414="","",-0.5*((J414-Components!$C$5)/Components!$D$5)^2)</f>
        <v>-8917.284795745667</v>
      </c>
      <c r="O414" s="89">
        <f>IF(G414="","",-0.5*((J414-Components!$C$6)/Components!$D$6)^2)</f>
        <v>-1.2874090247450436</v>
      </c>
      <c r="P414" s="89">
        <f>IF(G414="","",-0.5*((J414-Components!$C$7)/Components!$D$7)^2)</f>
        <v>-24.033027328363929</v>
      </c>
      <c r="Q414" s="89">
        <f t="shared" si="57"/>
        <v>0.99999999986765631</v>
      </c>
      <c r="R414" s="89">
        <f t="shared" si="58"/>
        <v>1.3234376427868615E-10</v>
      </c>
      <c r="S414" s="89">
        <f t="shared" si="59"/>
        <v>0.99999999973531251</v>
      </c>
      <c r="T414" s="89" t="str">
        <f t="shared" si="60"/>
        <v>NG</v>
      </c>
      <c r="U414" s="117">
        <f t="shared" si="61"/>
        <v>1</v>
      </c>
      <c r="V414" s="89" t="str">
        <f>IF(G414="","",IF(T414="OK","NONE",INDEX({"S1","S2","W1","W2","N1","N2"},MATCH(MAX(K414:P414),K414:P414,0))))</f>
        <v>N1</v>
      </c>
      <c r="W414" s="117">
        <f t="shared" si="62"/>
        <v>1</v>
      </c>
      <c r="X414" s="114" t="str">
        <f t="shared" si="63"/>
        <v>CONFIDENT</v>
      </c>
      <c r="Y414" s="107"/>
    </row>
    <row r="415" spans="1:25">
      <c r="A415" s="115">
        <v>406</v>
      </c>
      <c r="B415" s="135">
        <f>'Runs Z-Score'!B408</f>
        <v>14</v>
      </c>
      <c r="C415" s="89" t="str">
        <f>'Runs Z-Score'!C408</f>
        <v>R6</v>
      </c>
      <c r="D415" s="89" t="str">
        <f>'Runs Z-Score'!D408</f>
        <v>NG</v>
      </c>
      <c r="E415" s="89" t="str">
        <f>'Runs Z-Score'!E408</f>
        <v>N1</v>
      </c>
      <c r="F415" s="89">
        <f>'Runs Z-Score'!F408</f>
        <v>7.45</v>
      </c>
      <c r="G415" s="89">
        <f t="shared" si="55"/>
        <v>8.42</v>
      </c>
      <c r="H415" s="89">
        <v>9.61</v>
      </c>
      <c r="I415" s="89">
        <f>VLOOKUP(C415,Recipes!$A$2:$N$4,12,FALSE())</f>
        <v>6.1509461004819709E-2</v>
      </c>
      <c r="J415" s="89">
        <f t="shared" si="56"/>
        <v>1.1899999999999995</v>
      </c>
      <c r="K415" s="89">
        <f>IF(G415="","",-0.5*((J415-Components!$C$2)/Components!$D$2)^2)</f>
        <v>-27977.495614036139</v>
      </c>
      <c r="L415" s="89">
        <f>IF(G415="","",-0.5*((J415-Components!$C$3)/Components!$D$3)^2)</f>
        <v>-21276.427898551265</v>
      </c>
      <c r="M415" s="89">
        <f>IF(G415="","",-0.5*((J415-Components!$C$4)/Components!$D$4)^2)</f>
        <v>-98.969607843137439</v>
      </c>
      <c r="N415" s="89">
        <f>IF(G415="","",-0.5*((J415-Components!$C$5)/Components!$D$5)^2)</f>
        <v>-8970.400640560747</v>
      </c>
      <c r="O415" s="89">
        <f>IF(G415="","",-0.5*((J415-Components!$C$6)/Components!$D$6)^2)</f>
        <v>-0.77212518195034319</v>
      </c>
      <c r="P415" s="89">
        <f>IF(G415="","",-0.5*((J415-Components!$C$7)/Components!$D$7)^2)</f>
        <v>-26.869238926255129</v>
      </c>
      <c r="Q415" s="89">
        <f t="shared" si="57"/>
        <v>0.99999999999536371</v>
      </c>
      <c r="R415" s="89">
        <f t="shared" si="58"/>
        <v>4.6362570554388569E-12</v>
      </c>
      <c r="S415" s="89">
        <f t="shared" si="59"/>
        <v>0.99999999999072742</v>
      </c>
      <c r="T415" s="89" t="str">
        <f t="shared" si="60"/>
        <v>NG</v>
      </c>
      <c r="U415" s="117">
        <f t="shared" si="61"/>
        <v>1</v>
      </c>
      <c r="V415" s="89" t="str">
        <f>IF(G415="","",IF(T415="OK","NONE",INDEX({"S1","S2","W1","W2","N1","N2"},MATCH(MAX(K415:P415),K415:P415,0))))</f>
        <v>N1</v>
      </c>
      <c r="W415" s="117">
        <f t="shared" si="62"/>
        <v>1</v>
      </c>
      <c r="X415" s="114" t="str">
        <f t="shared" si="63"/>
        <v>CONFIDENT</v>
      </c>
      <c r="Y415" s="107"/>
    </row>
    <row r="416" spans="1:25">
      <c r="A416" s="115">
        <v>407</v>
      </c>
      <c r="B416" s="135">
        <f>'Runs Z-Score'!B409</f>
        <v>14</v>
      </c>
      <c r="C416" s="89" t="str">
        <f>'Runs Z-Score'!C409</f>
        <v>R6</v>
      </c>
      <c r="D416" s="89" t="str">
        <f>'Runs Z-Score'!D409</f>
        <v>NG</v>
      </c>
      <c r="E416" s="89" t="str">
        <f>'Runs Z-Score'!E409</f>
        <v>N1</v>
      </c>
      <c r="F416" s="89">
        <f>'Runs Z-Score'!F409</f>
        <v>7.45</v>
      </c>
      <c r="G416" s="89">
        <f t="shared" si="55"/>
        <v>8.42</v>
      </c>
      <c r="H416" s="89">
        <v>9.61</v>
      </c>
      <c r="I416" s="89">
        <f>VLOOKUP(C416,Recipes!$A$2:$N$4,12,FALSE())</f>
        <v>6.1509461004819709E-2</v>
      </c>
      <c r="J416" s="89">
        <f t="shared" si="56"/>
        <v>1.1899999999999995</v>
      </c>
      <c r="K416" s="89">
        <f>IF(G416="","",-0.5*((J416-Components!$C$2)/Components!$D$2)^2)</f>
        <v>-27977.495614036139</v>
      </c>
      <c r="L416" s="89">
        <f>IF(G416="","",-0.5*((J416-Components!$C$3)/Components!$D$3)^2)</f>
        <v>-21276.427898551265</v>
      </c>
      <c r="M416" s="89">
        <f>IF(G416="","",-0.5*((J416-Components!$C$4)/Components!$D$4)^2)</f>
        <v>-98.969607843137439</v>
      </c>
      <c r="N416" s="89">
        <f>IF(G416="","",-0.5*((J416-Components!$C$5)/Components!$D$5)^2)</f>
        <v>-8970.400640560747</v>
      </c>
      <c r="O416" s="89">
        <f>IF(G416="","",-0.5*((J416-Components!$C$6)/Components!$D$6)^2)</f>
        <v>-0.77212518195034319</v>
      </c>
      <c r="P416" s="89">
        <f>IF(G416="","",-0.5*((J416-Components!$C$7)/Components!$D$7)^2)</f>
        <v>-26.869238926255129</v>
      </c>
      <c r="Q416" s="89">
        <f t="shared" si="57"/>
        <v>0.99999999999536371</v>
      </c>
      <c r="R416" s="89">
        <f t="shared" si="58"/>
        <v>4.6362570554388569E-12</v>
      </c>
      <c r="S416" s="89">
        <f t="shared" si="59"/>
        <v>0.99999999999072742</v>
      </c>
      <c r="T416" s="89" t="str">
        <f t="shared" si="60"/>
        <v>NG</v>
      </c>
      <c r="U416" s="117">
        <f t="shared" si="61"/>
        <v>1</v>
      </c>
      <c r="V416" s="89" t="str">
        <f>IF(G416="","",IF(T416="OK","NONE",INDEX({"S1","S2","W1","W2","N1","N2"},MATCH(MAX(K416:P416),K416:P416,0))))</f>
        <v>N1</v>
      </c>
      <c r="W416" s="117">
        <f t="shared" si="62"/>
        <v>1</v>
      </c>
      <c r="X416" s="114" t="str">
        <f t="shared" si="63"/>
        <v>CONFIDENT</v>
      </c>
      <c r="Y416" s="107"/>
    </row>
    <row r="417" spans="1:25">
      <c r="A417" s="115">
        <v>408</v>
      </c>
      <c r="B417" s="135">
        <f>'Runs Z-Score'!B410</f>
        <v>14</v>
      </c>
      <c r="C417" s="89" t="str">
        <f>'Runs Z-Score'!C410</f>
        <v>R6</v>
      </c>
      <c r="D417" s="89" t="str">
        <f>'Runs Z-Score'!D410</f>
        <v>NG</v>
      </c>
      <c r="E417" s="89" t="str">
        <f>'Runs Z-Score'!E410</f>
        <v>N1</v>
      </c>
      <c r="F417" s="89">
        <f>'Runs Z-Score'!F410</f>
        <v>7.44</v>
      </c>
      <c r="G417" s="89">
        <f t="shared" si="55"/>
        <v>8.41</v>
      </c>
      <c r="H417" s="89">
        <v>9.61</v>
      </c>
      <c r="I417" s="89">
        <f>VLOOKUP(C417,Recipes!$A$2:$N$4,12,FALSE())</f>
        <v>6.1509461004819709E-2</v>
      </c>
      <c r="J417" s="89">
        <f t="shared" si="56"/>
        <v>1.1999999999999993</v>
      </c>
      <c r="K417" s="89">
        <f>IF(G417="","",-0.5*((J417-Components!$C$2)/Components!$D$2)^2)</f>
        <v>-27620.719298246655</v>
      </c>
      <c r="L417" s="89">
        <f>IF(G417="","",-0.5*((J417-Components!$C$3)/Components!$D$3)^2)</f>
        <v>-21127.172463768653</v>
      </c>
      <c r="M417" s="89">
        <f>IF(G417="","",-0.5*((J417-Components!$C$4)/Components!$D$4)^2)</f>
        <v>-109.29019607843135</v>
      </c>
      <c r="N417" s="89">
        <f>IF(G417="","",-0.5*((J417-Components!$C$5)/Components!$D$5)^2)</f>
        <v>-8917.284795745667</v>
      </c>
      <c r="O417" s="89">
        <f>IF(G417="","",-0.5*((J417-Components!$C$6)/Components!$D$6)^2)</f>
        <v>-1.2874090247450436</v>
      </c>
      <c r="P417" s="89">
        <f>IF(G417="","",-0.5*((J417-Components!$C$7)/Components!$D$7)^2)</f>
        <v>-24.033027328363929</v>
      </c>
      <c r="Q417" s="89">
        <f t="shared" si="57"/>
        <v>0.99999999986765631</v>
      </c>
      <c r="R417" s="89">
        <f t="shared" si="58"/>
        <v>1.3234376427868615E-10</v>
      </c>
      <c r="S417" s="89">
        <f t="shared" si="59"/>
        <v>0.99999999973531251</v>
      </c>
      <c r="T417" s="89" t="str">
        <f t="shared" si="60"/>
        <v>NG</v>
      </c>
      <c r="U417" s="117">
        <f t="shared" si="61"/>
        <v>1</v>
      </c>
      <c r="V417" s="89" t="str">
        <f>IF(G417="","",IF(T417="OK","NONE",INDEX({"S1","S2","W1","W2","N1","N2"},MATCH(MAX(K417:P417),K417:P417,0))))</f>
        <v>N1</v>
      </c>
      <c r="W417" s="117">
        <f t="shared" si="62"/>
        <v>1</v>
      </c>
      <c r="X417" s="114" t="str">
        <f t="shared" si="63"/>
        <v>CONFIDENT</v>
      </c>
      <c r="Y417" s="107"/>
    </row>
    <row r="418" spans="1:25">
      <c r="A418" s="115">
        <v>409</v>
      </c>
      <c r="B418" s="135">
        <f>'Runs Z-Score'!B411</f>
        <v>14</v>
      </c>
      <c r="C418" s="89" t="str">
        <f>'Runs Z-Score'!C411</f>
        <v>R6</v>
      </c>
      <c r="D418" s="89" t="str">
        <f>'Runs Z-Score'!D411</f>
        <v>NG</v>
      </c>
      <c r="E418" s="89" t="str">
        <f>'Runs Z-Score'!E411</f>
        <v>N1</v>
      </c>
      <c r="F418" s="89">
        <f>'Runs Z-Score'!F411</f>
        <v>7.47</v>
      </c>
      <c r="G418" s="89">
        <f t="shared" si="55"/>
        <v>8.44</v>
      </c>
      <c r="H418" s="89">
        <v>9.61</v>
      </c>
      <c r="I418" s="89">
        <f>VLOOKUP(C418,Recipes!$A$2:$N$4,12,FALSE())</f>
        <v>6.1509461004819709E-2</v>
      </c>
      <c r="J418" s="89">
        <f t="shared" si="56"/>
        <v>1.17</v>
      </c>
      <c r="K418" s="89">
        <f>IF(G418="","",-0.5*((J418-Components!$C$2)/Components!$D$2)^2)</f>
        <v>-28697.91666666773</v>
      </c>
      <c r="L418" s="89">
        <f>IF(G418="","",-0.5*((J418-Components!$C$3)/Components!$D$3)^2)</f>
        <v>-21576.514855073001</v>
      </c>
      <c r="M418" s="89">
        <f>IF(G418="","",-0.5*((J418-Components!$C$4)/Components!$D$4)^2)</f>
        <v>-79.8637254901966</v>
      </c>
      <c r="N418" s="89">
        <f>IF(G418="","",-0.5*((J418-Components!$C$5)/Components!$D$5)^2)</f>
        <v>-9077.1054991539295</v>
      </c>
      <c r="O418" s="89">
        <f>IF(G418="","",-0.5*((J418-Components!$C$6)/Components!$D$6)^2)</f>
        <v>-0.13457059679760872</v>
      </c>
      <c r="P418" s="89">
        <f>IF(G418="","",-0.5*((J418-Components!$C$7)/Components!$D$7)^2)</f>
        <v>-33.016121311275832</v>
      </c>
      <c r="Q418" s="89">
        <f t="shared" si="57"/>
        <v>0.99999999999999467</v>
      </c>
      <c r="R418" s="89">
        <f t="shared" si="58"/>
        <v>5.2447400568157394E-15</v>
      </c>
      <c r="S418" s="89">
        <f t="shared" si="59"/>
        <v>0.99999999999998945</v>
      </c>
      <c r="T418" s="89" t="str">
        <f t="shared" si="60"/>
        <v>NG</v>
      </c>
      <c r="U418" s="117">
        <f t="shared" si="61"/>
        <v>1</v>
      </c>
      <c r="V418" s="89" t="str">
        <f>IF(G418="","",IF(T418="OK","NONE",INDEX({"S1","S2","W1","W2","N1","N2"},MATCH(MAX(K418:P418),K418:P418,0))))</f>
        <v>N1</v>
      </c>
      <c r="W418" s="117">
        <f t="shared" si="62"/>
        <v>1</v>
      </c>
      <c r="X418" s="114" t="str">
        <f t="shared" si="63"/>
        <v>CONFIDENT</v>
      </c>
      <c r="Y418" s="107"/>
    </row>
    <row r="419" spans="1:25">
      <c r="A419" s="115">
        <v>410</v>
      </c>
      <c r="B419" s="135">
        <f>'Runs Z-Score'!B412</f>
        <v>14</v>
      </c>
      <c r="C419" s="89" t="str">
        <f>'Runs Z-Score'!C412</f>
        <v>R6</v>
      </c>
      <c r="D419" s="89" t="str">
        <f>'Runs Z-Score'!D412</f>
        <v>NG</v>
      </c>
      <c r="E419" s="89" t="str">
        <f>'Runs Z-Score'!E412</f>
        <v>N1</v>
      </c>
      <c r="F419" s="89">
        <f>'Runs Z-Score'!F412</f>
        <v>7.38</v>
      </c>
      <c r="G419" s="89">
        <f t="shared" si="55"/>
        <v>8.35</v>
      </c>
      <c r="H419" s="89">
        <v>9.61</v>
      </c>
      <c r="I419" s="89">
        <f>VLOOKUP(C419,Recipes!$A$2:$N$4,12,FALSE())</f>
        <v>6.1509461004819709E-2</v>
      </c>
      <c r="J419" s="89">
        <f t="shared" si="56"/>
        <v>1.2599999999999998</v>
      </c>
      <c r="K419" s="89">
        <f>IF(G419="","",-0.5*((J419-Components!$C$2)/Components!$D$2)^2)</f>
        <v>-25528.140350878133</v>
      </c>
      <c r="L419" s="89">
        <f>IF(G419="","",-0.5*((J419-Components!$C$3)/Components!$D$3)^2)</f>
        <v>-20242.67246376862</v>
      </c>
      <c r="M419" s="89">
        <f>IF(G419="","",-0.5*((J419-Components!$C$4)/Components!$D$4)^2)</f>
        <v>-181.96078431372624</v>
      </c>
      <c r="N419" s="89">
        <f>IF(G419="","",-0.5*((J419-Components!$C$5)/Components!$D$5)^2)</f>
        <v>-8601.9019095962813</v>
      </c>
      <c r="O419" s="89">
        <f>IF(G419="","",-0.5*((J419-Components!$C$6)/Components!$D$6)^2)</f>
        <v>-7.1302037845701545</v>
      </c>
      <c r="P419" s="89">
        <f>IF(G419="","",-0.5*((J419-Components!$C$7)/Components!$D$7)^2)</f>
        <v>-10.336972065684517</v>
      </c>
      <c r="Q419" s="89">
        <f t="shared" si="57"/>
        <v>0.9610881866672395</v>
      </c>
      <c r="R419" s="89">
        <f t="shared" si="58"/>
        <v>3.89118133327606E-2</v>
      </c>
      <c r="S419" s="89">
        <f t="shared" si="59"/>
        <v>0.92217637333447888</v>
      </c>
      <c r="T419" s="89" t="str">
        <f t="shared" si="60"/>
        <v>NG</v>
      </c>
      <c r="U419" s="117">
        <f t="shared" si="61"/>
        <v>1</v>
      </c>
      <c r="V419" s="89" t="str">
        <f>IF(G419="","",IF(T419="OK","NONE",INDEX({"S1","S2","W1","W2","N1","N2"},MATCH(MAX(K419:P419),K419:P419,0))))</f>
        <v>N1</v>
      </c>
      <c r="W419" s="117">
        <f t="shared" si="62"/>
        <v>1</v>
      </c>
      <c r="X419" s="114" t="str">
        <f t="shared" si="63"/>
        <v>CONFIDENT</v>
      </c>
      <c r="Y419" s="107"/>
    </row>
    <row r="420" spans="1:25">
      <c r="A420" s="115">
        <v>411</v>
      </c>
      <c r="B420" s="135">
        <f>'Runs Z-Score'!B413</f>
        <v>14</v>
      </c>
      <c r="C420" s="89" t="str">
        <f>'Runs Z-Score'!C413</f>
        <v>R6</v>
      </c>
      <c r="D420" s="89" t="str">
        <f>'Runs Z-Score'!D413</f>
        <v>NG</v>
      </c>
      <c r="E420" s="89" t="str">
        <f>'Runs Z-Score'!E413</f>
        <v>N1</v>
      </c>
      <c r="F420" s="89">
        <f>'Runs Z-Score'!F413</f>
        <v>7.45</v>
      </c>
      <c r="G420" s="89">
        <f t="shared" si="55"/>
        <v>8.42</v>
      </c>
      <c r="H420" s="89">
        <v>9.61</v>
      </c>
      <c r="I420" s="89">
        <f>VLOOKUP(C420,Recipes!$A$2:$N$4,12,FALSE())</f>
        <v>6.1509461004819709E-2</v>
      </c>
      <c r="J420" s="89">
        <f t="shared" si="56"/>
        <v>1.1899999999999995</v>
      </c>
      <c r="K420" s="89">
        <f>IF(G420="","",-0.5*((J420-Components!$C$2)/Components!$D$2)^2)</f>
        <v>-27977.495614036139</v>
      </c>
      <c r="L420" s="89">
        <f>IF(G420="","",-0.5*((J420-Components!$C$3)/Components!$D$3)^2)</f>
        <v>-21276.427898551265</v>
      </c>
      <c r="M420" s="89">
        <f>IF(G420="","",-0.5*((J420-Components!$C$4)/Components!$D$4)^2)</f>
        <v>-98.969607843137439</v>
      </c>
      <c r="N420" s="89">
        <f>IF(G420="","",-0.5*((J420-Components!$C$5)/Components!$D$5)^2)</f>
        <v>-8970.400640560747</v>
      </c>
      <c r="O420" s="89">
        <f>IF(G420="","",-0.5*((J420-Components!$C$6)/Components!$D$6)^2)</f>
        <v>-0.77212518195034319</v>
      </c>
      <c r="P420" s="89">
        <f>IF(G420="","",-0.5*((J420-Components!$C$7)/Components!$D$7)^2)</f>
        <v>-26.869238926255129</v>
      </c>
      <c r="Q420" s="89">
        <f t="shared" si="57"/>
        <v>0.99999999999536371</v>
      </c>
      <c r="R420" s="89">
        <f t="shared" si="58"/>
        <v>4.6362570554388569E-12</v>
      </c>
      <c r="S420" s="89">
        <f t="shared" si="59"/>
        <v>0.99999999999072742</v>
      </c>
      <c r="T420" s="89" t="str">
        <f t="shared" si="60"/>
        <v>NG</v>
      </c>
      <c r="U420" s="117">
        <f t="shared" si="61"/>
        <v>1</v>
      </c>
      <c r="V420" s="89" t="str">
        <f>IF(G420="","",IF(T420="OK","NONE",INDEX({"S1","S2","W1","W2","N1","N2"},MATCH(MAX(K420:P420),K420:P420,0))))</f>
        <v>N1</v>
      </c>
      <c r="W420" s="117">
        <f t="shared" si="62"/>
        <v>1</v>
      </c>
      <c r="X420" s="114" t="str">
        <f t="shared" si="63"/>
        <v>CONFIDENT</v>
      </c>
      <c r="Y420" s="107"/>
    </row>
    <row r="421" spans="1:25">
      <c r="A421" s="115">
        <v>412</v>
      </c>
      <c r="B421" s="135">
        <f>'Runs Z-Score'!B414</f>
        <v>14</v>
      </c>
      <c r="C421" s="89" t="str">
        <f>'Runs Z-Score'!C414</f>
        <v>R6</v>
      </c>
      <c r="D421" s="89" t="str">
        <f>'Runs Z-Score'!D414</f>
        <v>NG</v>
      </c>
      <c r="E421" s="89" t="str">
        <f>'Runs Z-Score'!E414</f>
        <v>N1</v>
      </c>
      <c r="F421" s="89">
        <f>'Runs Z-Score'!F414</f>
        <v>7.45</v>
      </c>
      <c r="G421" s="89">
        <f t="shared" si="55"/>
        <v>8.42</v>
      </c>
      <c r="H421" s="89">
        <v>9.61</v>
      </c>
      <c r="I421" s="89">
        <f>VLOOKUP(C421,Recipes!$A$2:$N$4,12,FALSE())</f>
        <v>6.1509461004819709E-2</v>
      </c>
      <c r="J421" s="89">
        <f t="shared" si="56"/>
        <v>1.1899999999999995</v>
      </c>
      <c r="K421" s="89">
        <f>IF(G421="","",-0.5*((J421-Components!$C$2)/Components!$D$2)^2)</f>
        <v>-27977.495614036139</v>
      </c>
      <c r="L421" s="89">
        <f>IF(G421="","",-0.5*((J421-Components!$C$3)/Components!$D$3)^2)</f>
        <v>-21276.427898551265</v>
      </c>
      <c r="M421" s="89">
        <f>IF(G421="","",-0.5*((J421-Components!$C$4)/Components!$D$4)^2)</f>
        <v>-98.969607843137439</v>
      </c>
      <c r="N421" s="89">
        <f>IF(G421="","",-0.5*((J421-Components!$C$5)/Components!$D$5)^2)</f>
        <v>-8970.400640560747</v>
      </c>
      <c r="O421" s="89">
        <f>IF(G421="","",-0.5*((J421-Components!$C$6)/Components!$D$6)^2)</f>
        <v>-0.77212518195034319</v>
      </c>
      <c r="P421" s="89">
        <f>IF(G421="","",-0.5*((J421-Components!$C$7)/Components!$D$7)^2)</f>
        <v>-26.869238926255129</v>
      </c>
      <c r="Q421" s="89">
        <f t="shared" si="57"/>
        <v>0.99999999999536371</v>
      </c>
      <c r="R421" s="89">
        <f t="shared" si="58"/>
        <v>4.6362570554388569E-12</v>
      </c>
      <c r="S421" s="89">
        <f t="shared" si="59"/>
        <v>0.99999999999072742</v>
      </c>
      <c r="T421" s="89" t="str">
        <f t="shared" si="60"/>
        <v>NG</v>
      </c>
      <c r="U421" s="117">
        <f t="shared" si="61"/>
        <v>1</v>
      </c>
      <c r="V421" s="89" t="str">
        <f>IF(G421="","",IF(T421="OK","NONE",INDEX({"S1","S2","W1","W2","N1","N2"},MATCH(MAX(K421:P421),K421:P421,0))))</f>
        <v>N1</v>
      </c>
      <c r="W421" s="117">
        <f t="shared" si="62"/>
        <v>1</v>
      </c>
      <c r="X421" s="114" t="str">
        <f t="shared" si="63"/>
        <v>CONFIDENT</v>
      </c>
      <c r="Y421" s="107"/>
    </row>
    <row r="422" spans="1:25">
      <c r="A422" s="115">
        <v>413</v>
      </c>
      <c r="B422" s="135">
        <f>'Runs Z-Score'!B415</f>
        <v>14</v>
      </c>
      <c r="C422" s="89" t="str">
        <f>'Runs Z-Score'!C415</f>
        <v>R6</v>
      </c>
      <c r="D422" s="89" t="str">
        <f>'Runs Z-Score'!D415</f>
        <v>NG</v>
      </c>
      <c r="E422" s="89" t="str">
        <f>'Runs Z-Score'!E415</f>
        <v>N1</v>
      </c>
      <c r="F422" s="89">
        <f>'Runs Z-Score'!F415</f>
        <v>7.45</v>
      </c>
      <c r="G422" s="89">
        <f t="shared" si="55"/>
        <v>8.42</v>
      </c>
      <c r="H422" s="89">
        <v>9.61</v>
      </c>
      <c r="I422" s="89">
        <f>VLOOKUP(C422,Recipes!$A$2:$N$4,12,FALSE())</f>
        <v>6.1509461004819709E-2</v>
      </c>
      <c r="J422" s="89">
        <f t="shared" si="56"/>
        <v>1.1899999999999995</v>
      </c>
      <c r="K422" s="89">
        <f>IF(G422="","",-0.5*((J422-Components!$C$2)/Components!$D$2)^2)</f>
        <v>-27977.495614036139</v>
      </c>
      <c r="L422" s="89">
        <f>IF(G422="","",-0.5*((J422-Components!$C$3)/Components!$D$3)^2)</f>
        <v>-21276.427898551265</v>
      </c>
      <c r="M422" s="89">
        <f>IF(G422="","",-0.5*((J422-Components!$C$4)/Components!$D$4)^2)</f>
        <v>-98.969607843137439</v>
      </c>
      <c r="N422" s="89">
        <f>IF(G422="","",-0.5*((J422-Components!$C$5)/Components!$D$5)^2)</f>
        <v>-8970.400640560747</v>
      </c>
      <c r="O422" s="89">
        <f>IF(G422="","",-0.5*((J422-Components!$C$6)/Components!$D$6)^2)</f>
        <v>-0.77212518195034319</v>
      </c>
      <c r="P422" s="89">
        <f>IF(G422="","",-0.5*((J422-Components!$C$7)/Components!$D$7)^2)</f>
        <v>-26.869238926255129</v>
      </c>
      <c r="Q422" s="89">
        <f t="shared" si="57"/>
        <v>0.99999999999536371</v>
      </c>
      <c r="R422" s="89">
        <f t="shared" si="58"/>
        <v>4.6362570554388569E-12</v>
      </c>
      <c r="S422" s="89">
        <f t="shared" si="59"/>
        <v>0.99999999999072742</v>
      </c>
      <c r="T422" s="89" t="str">
        <f t="shared" si="60"/>
        <v>NG</v>
      </c>
      <c r="U422" s="117">
        <f t="shared" si="61"/>
        <v>1</v>
      </c>
      <c r="V422" s="89" t="str">
        <f>IF(G422="","",IF(T422="OK","NONE",INDEX({"S1","S2","W1","W2","N1","N2"},MATCH(MAX(K422:P422),K422:P422,0))))</f>
        <v>N1</v>
      </c>
      <c r="W422" s="117">
        <f t="shared" si="62"/>
        <v>1</v>
      </c>
      <c r="X422" s="114" t="str">
        <f t="shared" si="63"/>
        <v>CONFIDENT</v>
      </c>
      <c r="Y422" s="107"/>
    </row>
    <row r="423" spans="1:25">
      <c r="A423" s="115">
        <v>414</v>
      </c>
      <c r="B423" s="135">
        <f>'Runs Z-Score'!B416</f>
        <v>14</v>
      </c>
      <c r="C423" s="89" t="str">
        <f>'Runs Z-Score'!C416</f>
        <v>R6</v>
      </c>
      <c r="D423" s="89" t="str">
        <f>'Runs Z-Score'!D416</f>
        <v>NG</v>
      </c>
      <c r="E423" s="89" t="str">
        <f>'Runs Z-Score'!E416</f>
        <v>N1</v>
      </c>
      <c r="F423" s="89">
        <f>'Runs Z-Score'!F416</f>
        <v>7.44</v>
      </c>
      <c r="G423" s="89">
        <f t="shared" si="55"/>
        <v>8.41</v>
      </c>
      <c r="H423" s="89">
        <v>9.61</v>
      </c>
      <c r="I423" s="89">
        <f>VLOOKUP(C423,Recipes!$A$2:$N$4,12,FALSE())</f>
        <v>6.1509461004819709E-2</v>
      </c>
      <c r="J423" s="89">
        <f t="shared" si="56"/>
        <v>1.1999999999999993</v>
      </c>
      <c r="K423" s="89">
        <f>IF(G423="","",-0.5*((J423-Components!$C$2)/Components!$D$2)^2)</f>
        <v>-27620.719298246655</v>
      </c>
      <c r="L423" s="89">
        <f>IF(G423="","",-0.5*((J423-Components!$C$3)/Components!$D$3)^2)</f>
        <v>-21127.172463768653</v>
      </c>
      <c r="M423" s="89">
        <f>IF(G423="","",-0.5*((J423-Components!$C$4)/Components!$D$4)^2)</f>
        <v>-109.29019607843135</v>
      </c>
      <c r="N423" s="89">
        <f>IF(G423="","",-0.5*((J423-Components!$C$5)/Components!$D$5)^2)</f>
        <v>-8917.284795745667</v>
      </c>
      <c r="O423" s="89">
        <f>IF(G423="","",-0.5*((J423-Components!$C$6)/Components!$D$6)^2)</f>
        <v>-1.2874090247450436</v>
      </c>
      <c r="P423" s="89">
        <f>IF(G423="","",-0.5*((J423-Components!$C$7)/Components!$D$7)^2)</f>
        <v>-24.033027328363929</v>
      </c>
      <c r="Q423" s="89">
        <f t="shared" si="57"/>
        <v>0.99999999986765631</v>
      </c>
      <c r="R423" s="89">
        <f t="shared" si="58"/>
        <v>1.3234376427868615E-10</v>
      </c>
      <c r="S423" s="89">
        <f t="shared" si="59"/>
        <v>0.99999999973531251</v>
      </c>
      <c r="T423" s="89" t="str">
        <f t="shared" si="60"/>
        <v>NG</v>
      </c>
      <c r="U423" s="117">
        <f t="shared" si="61"/>
        <v>1</v>
      </c>
      <c r="V423" s="89" t="str">
        <f>IF(G423="","",IF(T423="OK","NONE",INDEX({"S1","S2","W1","W2","N1","N2"},MATCH(MAX(K423:P423),K423:P423,0))))</f>
        <v>N1</v>
      </c>
      <c r="W423" s="117">
        <f t="shared" si="62"/>
        <v>1</v>
      </c>
      <c r="X423" s="114" t="str">
        <f t="shared" si="63"/>
        <v>CONFIDENT</v>
      </c>
      <c r="Y423" s="107"/>
    </row>
    <row r="424" spans="1:25">
      <c r="A424" s="115">
        <v>415</v>
      </c>
      <c r="B424" s="135">
        <f>'Runs Z-Score'!B417</f>
        <v>14</v>
      </c>
      <c r="C424" s="89" t="str">
        <f>'Runs Z-Score'!C417</f>
        <v>R6</v>
      </c>
      <c r="D424" s="89" t="str">
        <f>'Runs Z-Score'!D417</f>
        <v>NG</v>
      </c>
      <c r="E424" s="89" t="str">
        <f>'Runs Z-Score'!E417</f>
        <v>N1</v>
      </c>
      <c r="F424" s="89">
        <f>'Runs Z-Score'!F417</f>
        <v>7.45</v>
      </c>
      <c r="G424" s="89">
        <f t="shared" si="55"/>
        <v>8.42</v>
      </c>
      <c r="H424" s="89">
        <v>9.61</v>
      </c>
      <c r="I424" s="89">
        <f>VLOOKUP(C424,Recipes!$A$2:$N$4,12,FALSE())</f>
        <v>6.1509461004819709E-2</v>
      </c>
      <c r="J424" s="89">
        <f t="shared" si="56"/>
        <v>1.1899999999999995</v>
      </c>
      <c r="K424" s="89">
        <f>IF(G424="","",-0.5*((J424-Components!$C$2)/Components!$D$2)^2)</f>
        <v>-27977.495614036139</v>
      </c>
      <c r="L424" s="89">
        <f>IF(G424="","",-0.5*((J424-Components!$C$3)/Components!$D$3)^2)</f>
        <v>-21276.427898551265</v>
      </c>
      <c r="M424" s="89">
        <f>IF(G424="","",-0.5*((J424-Components!$C$4)/Components!$D$4)^2)</f>
        <v>-98.969607843137439</v>
      </c>
      <c r="N424" s="89">
        <f>IF(G424="","",-0.5*((J424-Components!$C$5)/Components!$D$5)^2)</f>
        <v>-8970.400640560747</v>
      </c>
      <c r="O424" s="89">
        <f>IF(G424="","",-0.5*((J424-Components!$C$6)/Components!$D$6)^2)</f>
        <v>-0.77212518195034319</v>
      </c>
      <c r="P424" s="89">
        <f>IF(G424="","",-0.5*((J424-Components!$C$7)/Components!$D$7)^2)</f>
        <v>-26.869238926255129</v>
      </c>
      <c r="Q424" s="89">
        <f t="shared" si="57"/>
        <v>0.99999999999536371</v>
      </c>
      <c r="R424" s="89">
        <f t="shared" si="58"/>
        <v>4.6362570554388569E-12</v>
      </c>
      <c r="S424" s="89">
        <f t="shared" si="59"/>
        <v>0.99999999999072742</v>
      </c>
      <c r="T424" s="89" t="str">
        <f t="shared" si="60"/>
        <v>NG</v>
      </c>
      <c r="U424" s="117">
        <f t="shared" si="61"/>
        <v>1</v>
      </c>
      <c r="V424" s="89" t="str">
        <f>IF(G424="","",IF(T424="OK","NONE",INDEX({"S1","S2","W1","W2","N1","N2"},MATCH(MAX(K424:P424),K424:P424,0))))</f>
        <v>N1</v>
      </c>
      <c r="W424" s="117">
        <f t="shared" si="62"/>
        <v>1</v>
      </c>
      <c r="X424" s="114" t="str">
        <f t="shared" si="63"/>
        <v>CONFIDENT</v>
      </c>
      <c r="Y424" s="107"/>
    </row>
    <row r="425" spans="1:25">
      <c r="A425" s="115">
        <v>416</v>
      </c>
      <c r="B425" s="135">
        <f>'Runs Z-Score'!B418</f>
        <v>14</v>
      </c>
      <c r="C425" s="89" t="str">
        <f>'Runs Z-Score'!C418</f>
        <v>R6</v>
      </c>
      <c r="D425" s="89" t="str">
        <f>'Runs Z-Score'!D418</f>
        <v>NG</v>
      </c>
      <c r="E425" s="89" t="str">
        <f>'Runs Z-Score'!E418</f>
        <v>N1</v>
      </c>
      <c r="F425" s="89">
        <f>'Runs Z-Score'!F418</f>
        <v>7.45</v>
      </c>
      <c r="G425" s="89">
        <f t="shared" si="55"/>
        <v>8.42</v>
      </c>
      <c r="H425" s="89">
        <v>9.61</v>
      </c>
      <c r="I425" s="89">
        <f>VLOOKUP(C425,Recipes!$A$2:$N$4,12,FALSE())</f>
        <v>6.1509461004819709E-2</v>
      </c>
      <c r="J425" s="89">
        <f t="shared" si="56"/>
        <v>1.1899999999999995</v>
      </c>
      <c r="K425" s="89">
        <f>IF(G425="","",-0.5*((J425-Components!$C$2)/Components!$D$2)^2)</f>
        <v>-27977.495614036139</v>
      </c>
      <c r="L425" s="89">
        <f>IF(G425="","",-0.5*((J425-Components!$C$3)/Components!$D$3)^2)</f>
        <v>-21276.427898551265</v>
      </c>
      <c r="M425" s="89">
        <f>IF(G425="","",-0.5*((J425-Components!$C$4)/Components!$D$4)^2)</f>
        <v>-98.969607843137439</v>
      </c>
      <c r="N425" s="89">
        <f>IF(G425="","",-0.5*((J425-Components!$C$5)/Components!$D$5)^2)</f>
        <v>-8970.400640560747</v>
      </c>
      <c r="O425" s="89">
        <f>IF(G425="","",-0.5*((J425-Components!$C$6)/Components!$D$6)^2)</f>
        <v>-0.77212518195034319</v>
      </c>
      <c r="P425" s="89">
        <f>IF(G425="","",-0.5*((J425-Components!$C$7)/Components!$D$7)^2)</f>
        <v>-26.869238926255129</v>
      </c>
      <c r="Q425" s="89">
        <f t="shared" si="57"/>
        <v>0.99999999999536371</v>
      </c>
      <c r="R425" s="89">
        <f t="shared" si="58"/>
        <v>4.6362570554388569E-12</v>
      </c>
      <c r="S425" s="89">
        <f t="shared" si="59"/>
        <v>0.99999999999072742</v>
      </c>
      <c r="T425" s="89" t="str">
        <f t="shared" si="60"/>
        <v>NG</v>
      </c>
      <c r="U425" s="117">
        <f t="shared" si="61"/>
        <v>1</v>
      </c>
      <c r="V425" s="89" t="str">
        <f>IF(G425="","",IF(T425="OK","NONE",INDEX({"S1","S2","W1","W2","N1","N2"},MATCH(MAX(K425:P425),K425:P425,0))))</f>
        <v>N1</v>
      </c>
      <c r="W425" s="117">
        <f t="shared" si="62"/>
        <v>1</v>
      </c>
      <c r="X425" s="114" t="str">
        <f t="shared" si="63"/>
        <v>CONFIDENT</v>
      </c>
      <c r="Y425" s="107"/>
    </row>
    <row r="426" spans="1:25">
      <c r="A426" s="115">
        <v>417</v>
      </c>
      <c r="B426" s="135">
        <f>'Runs Z-Score'!B419</f>
        <v>14</v>
      </c>
      <c r="C426" s="89" t="str">
        <f>'Runs Z-Score'!C419</f>
        <v>R6</v>
      </c>
      <c r="D426" s="89" t="str">
        <f>'Runs Z-Score'!D419</f>
        <v>NG</v>
      </c>
      <c r="E426" s="89" t="str">
        <f>'Runs Z-Score'!E419</f>
        <v>N1</v>
      </c>
      <c r="F426" s="89">
        <f>'Runs Z-Score'!F419</f>
        <v>7.44</v>
      </c>
      <c r="G426" s="89">
        <f t="shared" si="55"/>
        <v>8.41</v>
      </c>
      <c r="H426" s="89">
        <v>9.61</v>
      </c>
      <c r="I426" s="89">
        <f>VLOOKUP(C426,Recipes!$A$2:$N$4,12,FALSE())</f>
        <v>6.1509461004819709E-2</v>
      </c>
      <c r="J426" s="89">
        <f t="shared" si="56"/>
        <v>1.1999999999999993</v>
      </c>
      <c r="K426" s="89">
        <f>IF(G426="","",-0.5*((J426-Components!$C$2)/Components!$D$2)^2)</f>
        <v>-27620.719298246655</v>
      </c>
      <c r="L426" s="89">
        <f>IF(G426="","",-0.5*((J426-Components!$C$3)/Components!$D$3)^2)</f>
        <v>-21127.172463768653</v>
      </c>
      <c r="M426" s="89">
        <f>IF(G426="","",-0.5*((J426-Components!$C$4)/Components!$D$4)^2)</f>
        <v>-109.29019607843135</v>
      </c>
      <c r="N426" s="89">
        <f>IF(G426="","",-0.5*((J426-Components!$C$5)/Components!$D$5)^2)</f>
        <v>-8917.284795745667</v>
      </c>
      <c r="O426" s="89">
        <f>IF(G426="","",-0.5*((J426-Components!$C$6)/Components!$D$6)^2)</f>
        <v>-1.2874090247450436</v>
      </c>
      <c r="P426" s="89">
        <f>IF(G426="","",-0.5*((J426-Components!$C$7)/Components!$D$7)^2)</f>
        <v>-24.033027328363929</v>
      </c>
      <c r="Q426" s="89">
        <f t="shared" si="57"/>
        <v>0.99999999986765631</v>
      </c>
      <c r="R426" s="89">
        <f t="shared" si="58"/>
        <v>1.3234376427868615E-10</v>
      </c>
      <c r="S426" s="89">
        <f t="shared" si="59"/>
        <v>0.99999999973531251</v>
      </c>
      <c r="T426" s="89" t="str">
        <f t="shared" si="60"/>
        <v>NG</v>
      </c>
      <c r="U426" s="117">
        <f t="shared" si="61"/>
        <v>1</v>
      </c>
      <c r="V426" s="89" t="str">
        <f>IF(G426="","",IF(T426="OK","NONE",INDEX({"S1","S2","W1","W2","N1","N2"},MATCH(MAX(K426:P426),K426:P426,0))))</f>
        <v>N1</v>
      </c>
      <c r="W426" s="117">
        <f t="shared" si="62"/>
        <v>1</v>
      </c>
      <c r="X426" s="114" t="str">
        <f t="shared" si="63"/>
        <v>CONFIDENT</v>
      </c>
      <c r="Y426" s="107"/>
    </row>
    <row r="427" spans="1:25">
      <c r="A427" s="115">
        <v>418</v>
      </c>
      <c r="B427" s="135">
        <f>'Runs Z-Score'!B420</f>
        <v>14</v>
      </c>
      <c r="C427" s="89" t="str">
        <f>'Runs Z-Score'!C420</f>
        <v>R6</v>
      </c>
      <c r="D427" s="89" t="str">
        <f>'Runs Z-Score'!D420</f>
        <v>NG</v>
      </c>
      <c r="E427" s="89" t="str">
        <f>'Runs Z-Score'!E420</f>
        <v>N1</v>
      </c>
      <c r="F427" s="89">
        <f>'Runs Z-Score'!F420</f>
        <v>7.46</v>
      </c>
      <c r="G427" s="89">
        <f t="shared" si="55"/>
        <v>8.43</v>
      </c>
      <c r="H427" s="89">
        <v>9.61</v>
      </c>
      <c r="I427" s="89">
        <f>VLOOKUP(C427,Recipes!$A$2:$N$4,12,FALSE())</f>
        <v>6.1509461004819709E-2</v>
      </c>
      <c r="J427" s="89">
        <f t="shared" si="56"/>
        <v>1.1799999999999997</v>
      </c>
      <c r="K427" s="89">
        <f>IF(G427="","",-0.5*((J427-Components!$C$2)/Components!$D$2)^2)</f>
        <v>-28336.561403509833</v>
      </c>
      <c r="L427" s="89">
        <f>IF(G427="","",-0.5*((J427-Components!$C$3)/Components!$D$3)^2)</f>
        <v>-21426.208695652709</v>
      </c>
      <c r="M427" s="89">
        <f>IF(G427="","",-0.5*((J427-Components!$C$4)/Components!$D$4)^2)</f>
        <v>-89.160784313725856</v>
      </c>
      <c r="N427" s="89">
        <f>IF(G427="","",-0.5*((J427-Components!$C$5)/Components!$D$5)^2)</f>
        <v>-9023.6742083635017</v>
      </c>
      <c r="O427" s="89">
        <f>IF(G427="","",-0.5*((J427-Components!$C$6)/Components!$D$6)^2)</f>
        <v>-0.38784570596786494</v>
      </c>
      <c r="P427" s="89">
        <f>IF(G427="","",-0.5*((J427-Components!$C$7)/Components!$D$7)^2)</f>
        <v>-29.863603587225764</v>
      </c>
      <c r="Q427" s="89">
        <f t="shared" si="57"/>
        <v>0.9999999999998419</v>
      </c>
      <c r="R427" s="89">
        <f t="shared" si="58"/>
        <v>1.5806692410838608E-13</v>
      </c>
      <c r="S427" s="89">
        <f t="shared" si="59"/>
        <v>0.99999999999968381</v>
      </c>
      <c r="T427" s="89" t="str">
        <f t="shared" si="60"/>
        <v>NG</v>
      </c>
      <c r="U427" s="117">
        <f t="shared" si="61"/>
        <v>1</v>
      </c>
      <c r="V427" s="89" t="str">
        <f>IF(G427="","",IF(T427="OK","NONE",INDEX({"S1","S2","W1","W2","N1","N2"},MATCH(MAX(K427:P427),K427:P427,0))))</f>
        <v>N1</v>
      </c>
      <c r="W427" s="117">
        <f t="shared" si="62"/>
        <v>1</v>
      </c>
      <c r="X427" s="114" t="str">
        <f t="shared" si="63"/>
        <v>CONFIDENT</v>
      </c>
      <c r="Y427" s="107"/>
    </row>
    <row r="428" spans="1:25">
      <c r="A428" s="115">
        <v>419</v>
      </c>
      <c r="B428" s="135">
        <f>'Runs Z-Score'!B421</f>
        <v>14</v>
      </c>
      <c r="C428" s="89" t="str">
        <f>'Runs Z-Score'!C421</f>
        <v>R6</v>
      </c>
      <c r="D428" s="89" t="str">
        <f>'Runs Z-Score'!D421</f>
        <v>NG</v>
      </c>
      <c r="E428" s="89" t="str">
        <f>'Runs Z-Score'!E421</f>
        <v>N1</v>
      </c>
      <c r="F428" s="89">
        <f>'Runs Z-Score'!F421</f>
        <v>7.25</v>
      </c>
      <c r="G428" s="89">
        <f t="shared" si="55"/>
        <v>8.2200000000000006</v>
      </c>
      <c r="H428" s="89">
        <v>9.61</v>
      </c>
      <c r="I428" s="89">
        <f>VLOOKUP(C428,Recipes!$A$2:$N$4,12,FALSE())</f>
        <v>6.1509461004819709E-2</v>
      </c>
      <c r="J428" s="89">
        <f t="shared" si="56"/>
        <v>1.3899999999999988</v>
      </c>
      <c r="K428" s="89">
        <f>IF(G428="","",-0.5*((J428-Components!$C$2)/Components!$D$2)^2)</f>
        <v>-21276.969298246422</v>
      </c>
      <c r="L428" s="89">
        <f>IF(G428="","",-0.5*((J428-Components!$C$3)/Components!$D$3)^2)</f>
        <v>-18391.138043478735</v>
      </c>
      <c r="M428" s="89">
        <f>IF(G428="","",-0.5*((J428-Components!$C$4)/Components!$D$4)^2)</f>
        <v>-402.61666666666622</v>
      </c>
      <c r="N428" s="89">
        <f>IF(G428="","",-0.5*((J428-Components!$C$5)/Components!$D$5)^2)</f>
        <v>-7938.0511119168132</v>
      </c>
      <c r="O428" s="89">
        <f>IF(G428="","",-0.5*((J428-Components!$C$6)/Components!$D$6)^2)</f>
        <v>-35.968631732167651</v>
      </c>
      <c r="P428" s="89">
        <f>IF(G428="","",-0.5*((J428-Components!$C$7)/Components!$D$7)^2)</f>
        <v>-0.1940889535236533</v>
      </c>
      <c r="Q428" s="89">
        <f t="shared" si="57"/>
        <v>0.99999999999999978</v>
      </c>
      <c r="R428" s="89">
        <f t="shared" si="58"/>
        <v>2.9061195672510651E-16</v>
      </c>
      <c r="S428" s="89">
        <f t="shared" si="59"/>
        <v>0.99999999999999944</v>
      </c>
      <c r="T428" s="89" t="str">
        <f t="shared" si="60"/>
        <v>NG</v>
      </c>
      <c r="U428" s="117">
        <f t="shared" si="61"/>
        <v>1</v>
      </c>
      <c r="V428" s="89" t="str">
        <f>IF(G428="","",IF(T428="OK","NONE",INDEX({"S1","S2","W1","W2","N1","N2"},MATCH(MAX(K428:P428),K428:P428,0))))</f>
        <v>N2</v>
      </c>
      <c r="W428" s="122">
        <f t="shared" si="62"/>
        <v>0</v>
      </c>
      <c r="X428" s="114" t="str">
        <f t="shared" si="63"/>
        <v>CONFIDENT</v>
      </c>
      <c r="Y428" s="107"/>
    </row>
    <row r="429" spans="1:25">
      <c r="A429" s="115">
        <v>420</v>
      </c>
      <c r="B429" s="136">
        <f>'Runs Z-Score'!B422</f>
        <v>14</v>
      </c>
      <c r="C429" s="90" t="str">
        <f>'Runs Z-Score'!C422</f>
        <v>R6</v>
      </c>
      <c r="D429" s="90" t="str">
        <f>'Runs Z-Score'!D422</f>
        <v>NG</v>
      </c>
      <c r="E429" s="90" t="str">
        <f>'Runs Z-Score'!E422</f>
        <v>N1</v>
      </c>
      <c r="F429" s="90">
        <f>'Runs Z-Score'!F422</f>
        <v>7.47</v>
      </c>
      <c r="G429" s="90">
        <f t="shared" si="55"/>
        <v>8.44</v>
      </c>
      <c r="H429" s="89">
        <v>9.61</v>
      </c>
      <c r="I429" s="89">
        <f>VLOOKUP(C429,Recipes!$A$2:$N$4,12,FALSE())</f>
        <v>6.1509461004819709E-2</v>
      </c>
      <c r="J429" s="89">
        <f t="shared" si="56"/>
        <v>1.17</v>
      </c>
      <c r="K429" s="89">
        <f>IF(G429="","",-0.5*((J429-Components!$C$2)/Components!$D$2)^2)</f>
        <v>-28697.91666666773</v>
      </c>
      <c r="L429" s="89">
        <f>IF(G429="","",-0.5*((J429-Components!$C$3)/Components!$D$3)^2)</f>
        <v>-21576.514855073001</v>
      </c>
      <c r="M429" s="89">
        <f>IF(G429="","",-0.5*((J429-Components!$C$4)/Components!$D$4)^2)</f>
        <v>-79.8637254901966</v>
      </c>
      <c r="N429" s="89">
        <f>IF(G429="","",-0.5*((J429-Components!$C$5)/Components!$D$5)^2)</f>
        <v>-9077.1054991539295</v>
      </c>
      <c r="O429" s="89">
        <f>IF(G429="","",-0.5*((J429-Components!$C$6)/Components!$D$6)^2)</f>
        <v>-0.13457059679760872</v>
      </c>
      <c r="P429" s="89">
        <f>IF(G429="","",-0.5*((J429-Components!$C$7)/Components!$D$7)^2)</f>
        <v>-33.016121311275832</v>
      </c>
      <c r="Q429" s="89">
        <f t="shared" si="57"/>
        <v>0.99999999999999467</v>
      </c>
      <c r="R429" s="89">
        <f t="shared" si="58"/>
        <v>5.2447400568157394E-15</v>
      </c>
      <c r="S429" s="89">
        <f t="shared" si="59"/>
        <v>0.99999999999998945</v>
      </c>
      <c r="T429" s="89" t="str">
        <f t="shared" si="60"/>
        <v>NG</v>
      </c>
      <c r="U429" s="117">
        <f t="shared" si="61"/>
        <v>1</v>
      </c>
      <c r="V429" s="89" t="str">
        <f>IF(G429="","",IF(T429="OK","NONE",INDEX({"S1","S2","W1","W2","N1","N2"},MATCH(MAX(K429:P429),K429:P429,0))))</f>
        <v>N1</v>
      </c>
      <c r="W429" s="117">
        <f t="shared" si="62"/>
        <v>1</v>
      </c>
      <c r="X429" s="114" t="str">
        <f t="shared" si="63"/>
        <v>CONFIDENT</v>
      </c>
      <c r="Y429" s="107"/>
    </row>
    <row r="432" spans="1:25">
      <c r="A432" s="1" t="s">
        <v>348</v>
      </c>
    </row>
    <row r="433" spans="1:4">
      <c r="A433" t="s">
        <v>320</v>
      </c>
      <c r="B433" s="91">
        <f>COUNTA(F10:F429)</f>
        <v>420</v>
      </c>
    </row>
    <row r="434" spans="1:4">
      <c r="A434" t="s">
        <v>321</v>
      </c>
      <c r="B434" s="128">
        <f>IFERROR(AVERAGE(U10:U429),0)</f>
        <v>0.99285714285714288</v>
      </c>
    </row>
    <row r="435" spans="1:4">
      <c r="A435" t="s">
        <v>322</v>
      </c>
      <c r="B435" s="128">
        <f>IFERROR(AVERAGEIFS(W10:W429,D10:D429,"NG"),0)</f>
        <v>0.9363636363636364</v>
      </c>
    </row>
    <row r="436" spans="1:4">
      <c r="A436" t="s">
        <v>349</v>
      </c>
      <c r="B436" s="91">
        <f>COUNTIFS(D10:D429,"OK",T10:T429,"NG")</f>
        <v>3</v>
      </c>
    </row>
    <row r="437" spans="1:4">
      <c r="A437" t="s">
        <v>350</v>
      </c>
      <c r="B437" s="91">
        <f>COUNTIFS(D10:D429,"NG",T10:T429,"OK")</f>
        <v>0</v>
      </c>
    </row>
    <row r="438" spans="1:4">
      <c r="A438" t="s">
        <v>351</v>
      </c>
      <c r="B438" s="91">
        <f>COUNTIF(X10:X429,"AMBIGUOUS")</f>
        <v>0</v>
      </c>
    </row>
    <row r="439" spans="1:4">
      <c r="A439" t="s">
        <v>352</v>
      </c>
      <c r="B439" s="91">
        <f>IFERROR(COUNTIF(X10:X429,"AMBIGUOUS")/COUNTIF(D10:D429,"NG"),0)</f>
        <v>0</v>
      </c>
    </row>
    <row r="442" spans="1:4">
      <c r="A442" s="1" t="s">
        <v>327</v>
      </c>
    </row>
    <row r="443" spans="1:4">
      <c r="A443" s="84" t="s">
        <v>328</v>
      </c>
      <c r="B443" s="84" t="s">
        <v>329</v>
      </c>
      <c r="C443" s="84" t="s">
        <v>330</v>
      </c>
      <c r="D443" s="84" t="s">
        <v>353</v>
      </c>
    </row>
    <row r="444" spans="1:4">
      <c r="A444" t="s">
        <v>128</v>
      </c>
      <c r="B444" s="128">
        <f>IFERROR(AVERAGEIFS(U10:U429,C10:C429,"R3"),0)</f>
        <v>0.9916666666666667</v>
      </c>
      <c r="C444" s="128">
        <f>IFERROR(AVERAGEIFS(W10:W429,C10:C429,"R3",D10:D429,"NG"),0)</f>
        <v>0.98888888888888893</v>
      </c>
      <c r="D444" s="128">
        <f>IFERROR(COUNTIFS(X10:X429,"AMBIGUOUS",C10:C429,"R3")/COUNTIFS(D10:D429,"NG",C10:C429,"R3"),0)</f>
        <v>0</v>
      </c>
    </row>
    <row r="445" spans="1:4">
      <c r="A445" t="s">
        <v>130</v>
      </c>
      <c r="B445" s="128">
        <f>IFERROR(AVERAGEIFS(U10:U429,C10:C429,"R4"),0)</f>
        <v>0.99333333333333329</v>
      </c>
      <c r="C445" s="128">
        <f>IFERROR(AVERAGEIFS(W10:W429,C10:C429,"R4",D10:D429,"NG"),0)</f>
        <v>0.95</v>
      </c>
      <c r="D445" s="128">
        <f>IFERROR(COUNTIFS(X10:X429,"AMBIGUOUS",C10:C429,"R4")/COUNTIFS(D10:D429,"NG",C10:C429,"R4"),0)</f>
        <v>0</v>
      </c>
    </row>
    <row r="446" spans="1:4">
      <c r="A446" t="s">
        <v>132</v>
      </c>
      <c r="B446" s="128">
        <f>IFERROR(AVERAGEIFS(U10:U429,C10:C429,"R6"),0)</f>
        <v>0.99333333333333329</v>
      </c>
      <c r="C446" s="128">
        <f>IFERROR(AVERAGEIFS(W10:W429,C10:C429,"R6",D10:D429,"NG"),0)</f>
        <v>0.8833333333333333</v>
      </c>
      <c r="D446" s="128">
        <f>IFERROR(COUNTIFS(X10:X429,"AMBIGUOUS",C10:C429,"R6")/COUNTIFS(D10:D429,"NG",C10:C429,"R6"),0)</f>
        <v>0</v>
      </c>
    </row>
    <row r="447" spans="1:4">
      <c r="B447" s="128"/>
      <c r="C447" s="128">
        <f>AVERAGE(C444:C446)</f>
        <v>0.94074074074074066</v>
      </c>
      <c r="D447" s="128"/>
    </row>
    <row r="449" spans="1:3" ht="15.75">
      <c r="A449" s="129" t="s">
        <v>331</v>
      </c>
    </row>
    <row r="450" spans="1:3" ht="352.5" customHeight="1">
      <c r="A450" s="173" t="s">
        <v>458</v>
      </c>
      <c r="B450" s="173"/>
      <c r="C450" s="173"/>
    </row>
  </sheetData>
  <mergeCells count="3">
    <mergeCell ref="A450:C450"/>
    <mergeCell ref="A1:H1"/>
    <mergeCell ref="A2:H2"/>
  </mergeCells>
  <pageMargins left="0.75" right="0.75" top="1" bottom="1" header="0.511811023622047" footer="0.511811023622047"/>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1"/>
  <sheetViews>
    <sheetView topLeftCell="A72" zoomScale="155" zoomScaleNormal="155" workbookViewId="0">
      <selection activeCell="I18" sqref="I18"/>
    </sheetView>
  </sheetViews>
  <sheetFormatPr defaultColWidth="8.7109375" defaultRowHeight="15"/>
  <cols>
    <col min="1" max="1" width="38" customWidth="1"/>
    <col min="2" max="8" width="14" customWidth="1"/>
  </cols>
  <sheetData>
    <row r="1" spans="1:8" ht="18" customHeight="1">
      <c r="A1" s="177" t="s">
        <v>354</v>
      </c>
      <c r="B1" s="177"/>
      <c r="C1" s="177"/>
      <c r="D1" s="177"/>
      <c r="E1" s="177"/>
      <c r="F1" s="177"/>
    </row>
    <row r="3" spans="1:8">
      <c r="A3" s="178" t="s">
        <v>355</v>
      </c>
      <c r="B3" s="178"/>
      <c r="C3" s="178"/>
      <c r="D3" s="178"/>
      <c r="E3" s="178"/>
      <c r="F3" s="178"/>
    </row>
    <row r="4" spans="1:8">
      <c r="A4" s="92" t="s">
        <v>356</v>
      </c>
      <c r="B4" s="92" t="s">
        <v>357</v>
      </c>
      <c r="C4" s="179" t="s">
        <v>358</v>
      </c>
      <c r="D4" s="179"/>
      <c r="E4" s="179"/>
      <c r="F4" s="179"/>
    </row>
    <row r="5" spans="1:8">
      <c r="A5" s="8" t="s">
        <v>359</v>
      </c>
      <c r="B5" s="93">
        <f>COUNTA('Runs Distance + 3 Sigma'!F3:F424)</f>
        <v>420</v>
      </c>
      <c r="C5" s="180" t="s">
        <v>360</v>
      </c>
      <c r="D5" s="180"/>
      <c r="E5" s="180"/>
      <c r="F5" s="180"/>
    </row>
    <row r="6" spans="1:8" ht="21" customHeight="1">
      <c r="A6" s="8" t="s">
        <v>361</v>
      </c>
      <c r="B6" s="94">
        <f>IFERROR(AVERAGE('Runs Distance + 3 Sigma'!N3:N424),0)</f>
        <v>0.99285714285714288</v>
      </c>
      <c r="C6" s="180" t="s">
        <v>362</v>
      </c>
      <c r="D6" s="180"/>
      <c r="E6" s="180"/>
      <c r="F6" s="180"/>
      <c r="H6" s="95"/>
    </row>
    <row r="7" spans="1:8">
      <c r="A7" s="8" t="s">
        <v>363</v>
      </c>
      <c r="B7" s="94">
        <f>IFERROR(AVERAGEIFS('Runs Distance + 3 Sigma'!W3:W424,'Runs Distance + 3 Sigma'!D3:D424,"NG"),0)</f>
        <v>0.96060606060606057</v>
      </c>
      <c r="C7" s="180" t="s">
        <v>364</v>
      </c>
      <c r="D7" s="180"/>
      <c r="E7" s="180"/>
      <c r="F7" s="180"/>
    </row>
    <row r="8" spans="1:8">
      <c r="A8" s="8" t="s">
        <v>365</v>
      </c>
      <c r="B8" s="93">
        <f>COUNTIFS('Runs Distance + 3 Sigma'!D3:D424,"OK",'Runs Distance + 3 Sigma'!M3:M424,"NG")</f>
        <v>3</v>
      </c>
      <c r="C8" s="180" t="s">
        <v>366</v>
      </c>
      <c r="D8" s="180"/>
      <c r="E8" s="180"/>
      <c r="F8" s="180"/>
    </row>
    <row r="9" spans="1:8">
      <c r="A9" s="8" t="s">
        <v>367</v>
      </c>
      <c r="B9" s="93">
        <f>COUNTIFS('Runs Distance + 3 Sigma'!D3:D424,"NG",'Runs Distance + 3 Sigma'!M3:M424,"OK")</f>
        <v>0</v>
      </c>
      <c r="C9" s="180" t="s">
        <v>368</v>
      </c>
      <c r="D9" s="180"/>
      <c r="E9" s="180"/>
      <c r="F9" s="180"/>
    </row>
    <row r="10" spans="1:8">
      <c r="A10" s="8" t="s">
        <v>369</v>
      </c>
      <c r="B10" s="93">
        <f>COUNTIFS('Runs Distance + 3 Sigma'!D3:D424,"NG",'Runs Distance + 3 Sigma'!M3:M424,"NG")</f>
        <v>330</v>
      </c>
      <c r="C10" s="180"/>
      <c r="D10" s="180"/>
      <c r="E10" s="180"/>
      <c r="F10" s="180"/>
    </row>
    <row r="11" spans="1:8">
      <c r="A11" s="8" t="s">
        <v>370</v>
      </c>
      <c r="B11" s="93">
        <f>COUNTIFS('Runs Distance + 3 Sigma'!D3:D424,"OK",'Runs Distance + 3 Sigma'!M3:M424,"OK")</f>
        <v>87</v>
      </c>
      <c r="C11" s="180"/>
      <c r="D11" s="180"/>
      <c r="E11" s="180"/>
      <c r="F11" s="180"/>
    </row>
    <row r="14" spans="1:8">
      <c r="A14" s="179" t="s">
        <v>371</v>
      </c>
      <c r="B14" s="179"/>
      <c r="C14" s="179"/>
      <c r="D14" s="179"/>
      <c r="E14" s="179"/>
      <c r="F14" s="179"/>
    </row>
    <row r="15" spans="1:8">
      <c r="A15" s="92" t="s">
        <v>328</v>
      </c>
      <c r="B15" s="92" t="s">
        <v>372</v>
      </c>
      <c r="C15" s="92" t="s">
        <v>373</v>
      </c>
      <c r="D15" s="92" t="s">
        <v>374</v>
      </c>
      <c r="E15" s="92" t="s">
        <v>375</v>
      </c>
      <c r="F15" s="92" t="s">
        <v>376</v>
      </c>
    </row>
    <row r="16" spans="1:8">
      <c r="A16" s="7" t="s">
        <v>128</v>
      </c>
      <c r="B16" s="93">
        <f>COUNTIFS('Runs Distance + 3 Sigma'!C3:C424,"R3",'Runs Distance + 3 Sigma'!F3:F424,"&lt;&gt;")</f>
        <v>120</v>
      </c>
      <c r="C16" s="94">
        <f>IFERROR(AVERAGEIFS('Runs Distance + 3 Sigma'!N3:N424,'Runs Distance + 3 Sigma'!C3:C424,"R3"),0)</f>
        <v>0.9916666666666667</v>
      </c>
      <c r="D16" s="94">
        <f>IFERROR(AVERAGEIFS('Runs Distance + 3 Sigma'!W3:W424,'Runs Distance + 3 Sigma'!C3:C424,"R3",'Runs Distance + 3 Sigma'!D3:D424,"NG"),0)</f>
        <v>0.98888888888888893</v>
      </c>
      <c r="E16" s="93">
        <f>COUNTIFS('Runs Distance + 3 Sigma'!C3:C424,"R3",'Runs Distance + 3 Sigma'!D3:D424,"OK",'Runs Distance + 3 Sigma'!M3:M424,"NG")</f>
        <v>1</v>
      </c>
      <c r="F16" s="93">
        <f>COUNTIFS('Runs Distance + 3 Sigma'!C3:C424,"R3",'Runs Distance + 3 Sigma'!D3:D424,"NG",'Runs Distance + 3 Sigma'!M3:M424,"OK")</f>
        <v>0</v>
      </c>
    </row>
    <row r="17" spans="1:6">
      <c r="A17" s="7" t="s">
        <v>130</v>
      </c>
      <c r="B17" s="93">
        <f>COUNTIFS('Runs Distance + 3 Sigma'!C3:C424,"R4",'Runs Distance + 3 Sigma'!F3:F424,"&lt;&gt;")</f>
        <v>150</v>
      </c>
      <c r="C17" s="94">
        <f>IFERROR(AVERAGEIFS('Runs Distance + 3 Sigma'!N3:N424,'Runs Distance + 3 Sigma'!C3:C424,"R4"),0)</f>
        <v>0.99333333333333329</v>
      </c>
      <c r="D17" s="94">
        <f>IFERROR(AVERAGEIFS('Runs Distance + 3 Sigma'!W3:W424,'Runs Distance + 3 Sigma'!C3:C424,"R4",'Runs Distance + 3 Sigma'!D3:D424,"NG"),0)</f>
        <v>0.98333333333333328</v>
      </c>
      <c r="E17" s="93">
        <f>COUNTIFS('Runs Distance + 3 Sigma'!C3:C424,"R4",'Runs Distance + 3 Sigma'!D3:D424,"OK",'Runs Distance + 3 Sigma'!M3:M424,"NG")</f>
        <v>1</v>
      </c>
      <c r="F17" s="93">
        <f>COUNTIFS('Runs Distance + 3 Sigma'!C3:C424,"R4",'Runs Distance + 3 Sigma'!D3:D424,"NG",'Runs Distance + 3 Sigma'!M3:M424,"OK")</f>
        <v>0</v>
      </c>
    </row>
    <row r="18" spans="1:6">
      <c r="A18" s="7" t="s">
        <v>132</v>
      </c>
      <c r="B18" s="93">
        <f>COUNTIFS('Runs Distance + 3 Sigma'!C3:C424,"R6",'Runs Distance + 3 Sigma'!F3:F424,"&lt;&gt;")</f>
        <v>150</v>
      </c>
      <c r="C18" s="94">
        <f>IFERROR(AVERAGEIFS('Runs Distance + 3 Sigma'!N3:N424,'Runs Distance + 3 Sigma'!C3:C424,"R6"),0)</f>
        <v>0.99333333333333329</v>
      </c>
      <c r="D18" s="94">
        <f>IFERROR(AVERAGEIFS('Runs Distance + 3 Sigma'!W3:W424,'Runs Distance + 3 Sigma'!C3:C424,"R6",'Runs Distance + 3 Sigma'!D3:D424,"NG"),0)</f>
        <v>0.91666666666666663</v>
      </c>
      <c r="E18" s="93">
        <f>COUNTIFS('Runs Distance + 3 Sigma'!C3:C424,"R6",'Runs Distance + 3 Sigma'!D3:D424,"OK",'Runs Distance + 3 Sigma'!M3:M424,"NG")</f>
        <v>1</v>
      </c>
      <c r="F18" s="93">
        <f>COUNTIFS('Runs Distance + 3 Sigma'!C3:C424,"R6",'Runs Distance + 3 Sigma'!D3:D424,"NG",'Runs Distance + 3 Sigma'!M3:M424,"OK")</f>
        <v>0</v>
      </c>
    </row>
    <row r="21" spans="1:6">
      <c r="A21" s="179" t="s">
        <v>377</v>
      </c>
      <c r="B21" s="179"/>
      <c r="C21" s="179"/>
      <c r="D21" s="179"/>
      <c r="E21" s="179"/>
      <c r="F21" s="179"/>
    </row>
    <row r="22" spans="1:6">
      <c r="A22" s="92" t="s">
        <v>378</v>
      </c>
      <c r="B22" s="92" t="s">
        <v>379</v>
      </c>
      <c r="C22" s="92" t="s">
        <v>380</v>
      </c>
      <c r="D22" s="92" t="s">
        <v>381</v>
      </c>
      <c r="E22" s="92" t="s">
        <v>147</v>
      </c>
      <c r="F22" s="92"/>
    </row>
    <row r="23" spans="1:6">
      <c r="A23" s="7" t="s">
        <v>99</v>
      </c>
      <c r="B23" s="93">
        <f>COUNTIFS('Runs Distance + 3 Sigma'!E3:E424,"S1",'Runs Distance + 3 Sigma'!F3:F424,"&lt;&gt;")</f>
        <v>60</v>
      </c>
      <c r="C23" s="93">
        <f>SUMIFS('Runs Distance + 3 Sigma'!W3:W424,'Runs Distance + 3 Sigma'!E3:E424,"S1")</f>
        <v>60</v>
      </c>
      <c r="D23" s="94">
        <f t="shared" ref="D23:D28" si="0">IFERROR(C23/B23,0)</f>
        <v>1</v>
      </c>
    </row>
    <row r="24" spans="1:6">
      <c r="A24" s="7" t="s">
        <v>102</v>
      </c>
      <c r="B24" s="93">
        <f>COUNTIFS('Runs Distance + 3 Sigma'!E3:E424,"S2",'Runs Distance + 3 Sigma'!F3:F424,"&lt;&gt;")</f>
        <v>60</v>
      </c>
      <c r="C24" s="93">
        <f>SUMIFS('Runs Distance + 3 Sigma'!W3:W424,'Runs Distance + 3 Sigma'!E3:E424,"S2")</f>
        <v>59</v>
      </c>
      <c r="D24" s="94">
        <f t="shared" si="0"/>
        <v>0.98333333333333328</v>
      </c>
    </row>
    <row r="25" spans="1:6">
      <c r="A25" s="7" t="s">
        <v>104</v>
      </c>
      <c r="B25" s="93">
        <f>COUNTIFS('Runs Distance + 3 Sigma'!E3:E424,"W1",'Runs Distance + 3 Sigma'!F3:F424,"&lt;&gt;")</f>
        <v>60</v>
      </c>
      <c r="C25" s="93">
        <f>SUMIFS('Runs Distance + 3 Sigma'!W3:W424,'Runs Distance + 3 Sigma'!E3:E424,"W1")</f>
        <v>51</v>
      </c>
      <c r="D25" s="94">
        <f t="shared" si="0"/>
        <v>0.85</v>
      </c>
    </row>
    <row r="26" spans="1:6">
      <c r="A26" s="7" t="s">
        <v>106</v>
      </c>
      <c r="B26" s="93">
        <f>COUNTIFS('Runs Distance + 3 Sigma'!E3:E424,"W2",'Runs Distance + 3 Sigma'!F3:F424,"&lt;&gt;")</f>
        <v>30</v>
      </c>
      <c r="C26" s="93">
        <f>SUMIFS('Runs Distance + 3 Sigma'!W3:W424,'Runs Distance + 3 Sigma'!E3:E424,"W2")</f>
        <v>30</v>
      </c>
      <c r="D26" s="94">
        <f t="shared" si="0"/>
        <v>1</v>
      </c>
    </row>
    <row r="27" spans="1:6">
      <c r="A27" s="7" t="s">
        <v>108</v>
      </c>
      <c r="B27" s="93">
        <f>COUNTIFS('Runs Distance + 3 Sigma'!E3:E424,"N1",'Runs Distance + 3 Sigma'!F3:F424,"&lt;&gt;")</f>
        <v>60</v>
      </c>
      <c r="C27" s="93">
        <f>SUMIFS('Runs Distance + 3 Sigma'!W3:W424,'Runs Distance + 3 Sigma'!E3:E424,"N1")</f>
        <v>57</v>
      </c>
      <c r="D27" s="94">
        <f t="shared" si="0"/>
        <v>0.95</v>
      </c>
    </row>
    <row r="28" spans="1:6">
      <c r="A28" s="7" t="s">
        <v>110</v>
      </c>
      <c r="B28" s="93">
        <f>COUNTIFS('Runs Distance + 3 Sigma'!E3:E424,"N2",'Runs Distance + 3 Sigma'!F3:F424,"&lt;&gt;")</f>
        <v>60</v>
      </c>
      <c r="C28" s="93">
        <f>SUMIFS('Runs Distance + 3 Sigma'!W3:W424,'Runs Distance + 3 Sigma'!E3:E424,"N2")</f>
        <v>60</v>
      </c>
      <c r="D28" s="94">
        <f t="shared" si="0"/>
        <v>1</v>
      </c>
    </row>
    <row r="31" spans="1:6">
      <c r="A31" s="176" t="s">
        <v>382</v>
      </c>
      <c r="B31" s="176"/>
      <c r="C31" s="176"/>
      <c r="D31" s="176"/>
      <c r="E31" s="176"/>
      <c r="F31" s="176"/>
    </row>
    <row r="33" spans="1:8" ht="24" customHeight="1">
      <c r="A33" s="84" t="s">
        <v>383</v>
      </c>
      <c r="B33" s="84" t="s">
        <v>384</v>
      </c>
      <c r="C33" s="84" t="s">
        <v>385</v>
      </c>
      <c r="D33" s="84" t="s">
        <v>386</v>
      </c>
      <c r="E33" s="84" t="s">
        <v>387</v>
      </c>
      <c r="F33" s="84" t="s">
        <v>388</v>
      </c>
    </row>
    <row r="34" spans="1:8">
      <c r="A34" s="83" t="s">
        <v>389</v>
      </c>
      <c r="B34" s="57" t="s">
        <v>390</v>
      </c>
      <c r="C34" s="96">
        <f>IFERROR(AVERAGE('Runs Z-Score'!N3:N422),0)</f>
        <v>0.99285714285714288</v>
      </c>
      <c r="D34" s="96">
        <f>IFERROR(AVERAGEIFS('Runs Z-Score'!W3:W422,'Runs Z-Score'!D3:D422,"NG"),0)</f>
        <v>0.9363636363636364</v>
      </c>
      <c r="E34" s="57">
        <f>COUNTIFS('Runs Z-Score'!D3:D422,"OK",'Runs Z-Score'!M3:M422,"NG")</f>
        <v>3</v>
      </c>
      <c r="F34" s="57">
        <f>COUNTIFS('Runs Z-Score'!D3:D422,"NG",'Runs Z-Score'!M3:M422,"OK")</f>
        <v>0</v>
      </c>
    </row>
    <row r="35" spans="1:8">
      <c r="A35" s="83" t="s">
        <v>391</v>
      </c>
      <c r="B35" s="57" t="s">
        <v>390</v>
      </c>
      <c r="C35" s="96">
        <f>IFERROR(AVERAGE('Runs Distance + 3 Sigma'!N3:N422),0)</f>
        <v>0.99285714285714288</v>
      </c>
      <c r="D35" s="96">
        <f>IFERROR(AVERAGEIFS('Runs Distance + 3 Sigma'!W3:W422,'Runs Distance + 3 Sigma'!D3:D422,"NG"),0)</f>
        <v>0.96060606060606057</v>
      </c>
      <c r="E35" s="57">
        <f>COUNTIFS('Runs Distance + 3 Sigma'!D3:D422,"OK",'Runs Distance + 3 Sigma'!M3:M422,"NG")</f>
        <v>3</v>
      </c>
      <c r="F35" s="57">
        <f>COUNTIFS('Runs Distance + 3 Sigma'!D3:D422,"NG",'Runs Distance + 3 Sigma'!M3:M422,"OK")</f>
        <v>0</v>
      </c>
    </row>
    <row r="36" spans="1:8">
      <c r="A36" s="83" t="s">
        <v>392</v>
      </c>
      <c r="B36" s="57" t="s">
        <v>25</v>
      </c>
      <c r="C36" s="96">
        <f>IFERROR(AVERAGE('Runs Distance + 3.5 Sigma'!N3:N422),0)</f>
        <v>0.99285714285714288</v>
      </c>
      <c r="D36" s="96">
        <f>IFERROR(AVERAGEIFS('Runs Distance + 3.5 Sigma'!W3:W422,'Runs Distance + 3.5 Sigma'!D3:D422,"NG"),0)</f>
        <v>0.96060606060606057</v>
      </c>
      <c r="E36" s="57">
        <f>COUNTIFS('Runs Distance + 3.5 Sigma'!D3:D422,"OK",'Runs Distance + 3.5 Sigma'!M3:M422,"NG")</f>
        <v>3</v>
      </c>
      <c r="F36" s="57">
        <f>COUNTIFS('Runs Distance + 3.5 Sigma'!D3:D422,"NG",'Runs Distance + 3.5 Sigma'!M3:M422,"OK")</f>
        <v>0</v>
      </c>
    </row>
    <row r="37" spans="1:8">
      <c r="A37" s="83" t="s">
        <v>393</v>
      </c>
      <c r="B37" s="57" t="s">
        <v>394</v>
      </c>
      <c r="C37" s="96">
        <f>IFERROR(AVERAGE(#REF!),0)</f>
        <v>0</v>
      </c>
      <c r="D37" s="96">
        <f>IFERROR(AVERAGEIFS(#REF!,#REF!,"NG"),0)</f>
        <v>0</v>
      </c>
      <c r="E37" s="57" t="e">
        <f>COUNTIFS(#REF!,"OK",#REF!,"NG")</f>
        <v>#REF!</v>
      </c>
      <c r="F37" s="57" t="e">
        <f>COUNTIFS(#REF!,"NG",#REF!,"OK")</f>
        <v>#REF!</v>
      </c>
    </row>
    <row r="38" spans="1:8">
      <c r="A38" s="83" t="s">
        <v>395</v>
      </c>
      <c r="B38" s="57" t="s">
        <v>396</v>
      </c>
      <c r="C38" s="96">
        <f>IFERROR(AVERAGE('Runs Mahalanobis'!N15:N434),0)</f>
        <v>0.99285714285714288</v>
      </c>
      <c r="D38" s="96">
        <f>IFERROR(AVERAGEIFS('Runs Mahalanobis'!W15:W434,'Runs Mahalanobis'!D15:D434,"NG"),0)</f>
        <v>0.96060606060606057</v>
      </c>
      <c r="E38" s="57">
        <f>COUNTIFS('Runs Mahalanobis'!D15:D434,"OK",'Runs Mahalanobis'!M15:M434,"NG")</f>
        <v>3</v>
      </c>
      <c r="F38" s="57">
        <f>COUNTIFS('Runs Mahalanobis'!D15:D434,"NG",'Runs Mahalanobis'!M15:M434,"OK")</f>
        <v>0</v>
      </c>
    </row>
    <row r="39" spans="1:8">
      <c r="A39" s="83" t="s">
        <v>397</v>
      </c>
      <c r="B39" s="57" t="s">
        <v>398</v>
      </c>
      <c r="C39" s="96">
        <f>IFERROR(AVERAGE('Runs GMM'!U10:U429),0)</f>
        <v>0.99285714285714288</v>
      </c>
      <c r="D39" s="96">
        <f>IFERROR(AVERAGEIFS('Runs GMM'!W10:W429,'Runs GMM'!D10:D429,"NG"),0)</f>
        <v>0.9363636363636364</v>
      </c>
      <c r="E39" s="57">
        <f>COUNTIFS('Runs GMM'!D10:D429,"OK",'Runs GMM'!T10:T429,"NG")</f>
        <v>3</v>
      </c>
      <c r="F39" s="57">
        <f>COUNTIFS('Runs GMM'!D10:D429,"NG",'Runs GMM'!T10:T429,"OK")</f>
        <v>0</v>
      </c>
    </row>
    <row r="42" spans="1:8" ht="18.75" customHeight="1">
      <c r="A42" s="174" t="s">
        <v>399</v>
      </c>
      <c r="B42" s="174"/>
      <c r="C42" s="174"/>
      <c r="D42" s="174"/>
      <c r="E42" s="174"/>
      <c r="F42" s="174"/>
    </row>
    <row r="43" spans="1:8">
      <c r="A43" s="175" t="s">
        <v>400</v>
      </c>
      <c r="B43" s="175"/>
      <c r="C43" s="175"/>
      <c r="D43" s="175"/>
      <c r="E43" s="175"/>
      <c r="F43" s="175"/>
    </row>
    <row r="45" spans="1:8">
      <c r="A45" s="176" t="s">
        <v>401</v>
      </c>
      <c r="B45" s="176"/>
      <c r="C45" s="176"/>
      <c r="D45" s="176"/>
      <c r="E45" s="176"/>
      <c r="F45" s="176"/>
      <c r="G45" s="176"/>
      <c r="H45" s="176"/>
    </row>
    <row r="46" spans="1:8" ht="27.75" customHeight="1">
      <c r="A46" s="84" t="s">
        <v>383</v>
      </c>
      <c r="B46" s="84" t="s">
        <v>402</v>
      </c>
      <c r="C46" s="84" t="s">
        <v>385</v>
      </c>
      <c r="D46" s="84" t="s">
        <v>386</v>
      </c>
      <c r="E46" s="84" t="s">
        <v>403</v>
      </c>
      <c r="F46" s="84" t="s">
        <v>404</v>
      </c>
      <c r="G46" s="84" t="s">
        <v>405</v>
      </c>
      <c r="H46" s="84" t="s">
        <v>406</v>
      </c>
    </row>
    <row r="47" spans="1:8">
      <c r="A47" s="83" t="s">
        <v>407</v>
      </c>
      <c r="B47" s="57">
        <f>COUNTA('Runs Distance + 3 Sigma'!F3:F422)</f>
        <v>420</v>
      </c>
      <c r="C47" s="96">
        <f>IFERROR(AVERAGE('Runs Distance + 3 Sigma'!N3:N422),0)</f>
        <v>0.99285714285714288</v>
      </c>
      <c r="D47" s="96">
        <f>IFERROR(AVERAGEIFS('Runs Distance + 3 Sigma'!W3:W422,'Runs Distance + 3 Sigma'!D3:D422,"NG"),0)</f>
        <v>0.96060606060606057</v>
      </c>
      <c r="E47" s="57">
        <f>COUNTIFS('Runs Distance + 3 Sigma'!D3:D422,"OK",'Runs Distance + 3 Sigma'!M3:M422,"NG")</f>
        <v>3</v>
      </c>
      <c r="F47" s="57">
        <f>COUNTIFS('Runs Distance + 3 Sigma'!D3:D422,"NG",'Runs Distance + 3 Sigma'!M3:M422,"OK")</f>
        <v>0</v>
      </c>
      <c r="G47" s="57">
        <f>COUNTIFS('Runs Distance + 3 Sigma'!D3:D422,"NG",'Runs Distance + 3 Sigma'!M3:M422,"NG")</f>
        <v>330</v>
      </c>
      <c r="H47" s="57">
        <f>COUNTIFS('Runs Distance + 3 Sigma'!D3:D422,"OK",'Runs Distance + 3 Sigma'!M3:M422,"OK")</f>
        <v>87</v>
      </c>
    </row>
    <row r="48" spans="1:8">
      <c r="A48" s="83" t="s">
        <v>408</v>
      </c>
      <c r="B48" s="57">
        <f>COUNTA('Runs Distance + 3.5 Sigma'!F3:F422)</f>
        <v>420</v>
      </c>
      <c r="C48" s="96">
        <f>IFERROR(AVERAGE('Runs Distance + 3.5 Sigma'!N3:N422),0)</f>
        <v>0.99285714285714288</v>
      </c>
      <c r="D48" s="96">
        <f>IFERROR(AVERAGEIFS('Runs Distance + 3.5 Sigma'!W3:W422,'Runs Distance + 3.5 Sigma'!D3:D422,"NG"),0)</f>
        <v>0.96060606060606057</v>
      </c>
      <c r="E48" s="57">
        <f>COUNTIFS('Runs Distance + 3.5 Sigma'!D3:D422,"OK",'Runs Distance + 3.5 Sigma'!M3:M422,"NG")</f>
        <v>3</v>
      </c>
      <c r="F48" s="57">
        <f>COUNTIFS('Runs Distance + 3.5 Sigma'!D3:D422,"NG",'Runs Distance + 3.5 Sigma'!M3:M422,"OK")</f>
        <v>0</v>
      </c>
      <c r="G48" s="57">
        <f>COUNTIFS('Runs Distance + 3.5 Sigma'!D3:D422,"NG",'Runs Distance + 3.5 Sigma'!M3:M422,"NG")</f>
        <v>330</v>
      </c>
      <c r="H48" s="57">
        <f>COUNTIFS('Runs Distance + 3.5 Sigma'!D3:D422,"OK",'Runs Distance + 3.5 Sigma'!M3:M422,"OK")</f>
        <v>87</v>
      </c>
    </row>
    <row r="49" spans="1:8">
      <c r="A49" s="83" t="s">
        <v>409</v>
      </c>
      <c r="B49" s="57">
        <f>COUNTA('Runs Distance + 6 Sigma'!F3:F422)</f>
        <v>420</v>
      </c>
      <c r="C49" s="96">
        <f>IFERROR(AVERAGE('Runs Distance + 6 Sigma'!N3:N422),0)</f>
        <v>0.99761904761904763</v>
      </c>
      <c r="D49" s="96">
        <f>IFERROR(AVERAGEIFS('Runs Distance + 6 Sigma'!W3:W422,'Runs Distance + 6 Sigma'!D3:D422,"NG"),0)</f>
        <v>0.96060606060606057</v>
      </c>
      <c r="E49" s="57">
        <f>COUNTIFS('Runs Distance + 6 Sigma'!D3:D422,"OK",'Runs Distance + 6 Sigma'!M3:M422,"NG")</f>
        <v>1</v>
      </c>
      <c r="F49" s="57">
        <f>COUNTIFS('Runs Distance + 6 Sigma'!D3:D422,"NG",'Runs Distance + 6 Sigma'!M3:M422,"OK")</f>
        <v>0</v>
      </c>
      <c r="G49" s="57">
        <f>COUNTIFS('Runs Distance + 6 Sigma'!D3:D422,"NG",'Runs Distance + 6 Sigma'!M3:M422,"NG")</f>
        <v>330</v>
      </c>
      <c r="H49" s="57">
        <f>COUNTIFS('Runs Distance + 6 Sigma'!D3:D422,"OK",'Runs Distance + 6 Sigma'!M3:M422,"OK")</f>
        <v>89</v>
      </c>
    </row>
    <row r="50" spans="1:8">
      <c r="A50" s="83" t="s">
        <v>410</v>
      </c>
      <c r="B50" s="57">
        <f>COUNTA('Runs Z-Score'!F3:F422)</f>
        <v>420</v>
      </c>
      <c r="C50" s="96">
        <f>IFERROR(AVERAGE('Runs Z-Score'!N3:N422),0)</f>
        <v>0.99285714285714288</v>
      </c>
      <c r="D50" s="96">
        <f>IFERROR(AVERAGEIFS('Runs Z-Score'!W3:W422,'Runs Z-Score'!D3:D422,"NG"),0)</f>
        <v>0.9363636363636364</v>
      </c>
      <c r="E50" s="57">
        <f>COUNTIFS('Runs Z-Score'!D3:D422,"OK",'Runs Z-Score'!M3:M422,"NG")</f>
        <v>3</v>
      </c>
      <c r="F50" s="57">
        <f>COUNTIFS('Runs Z-Score'!D3:D422,"NG",'Runs Z-Score'!M3:M422,"OK")</f>
        <v>0</v>
      </c>
      <c r="G50" s="57">
        <f>COUNTIFS('Runs Z-Score'!D3:D422,"NG",'Runs Z-Score'!M3:M422,"NG")</f>
        <v>330</v>
      </c>
      <c r="H50" s="57">
        <f>COUNTIFS('Runs Z-Score'!D3:D422,"OK",'Runs Z-Score'!M3:M422,"OK")</f>
        <v>87</v>
      </c>
    </row>
    <row r="51" spans="1:8">
      <c r="A51" s="83" t="s">
        <v>411</v>
      </c>
      <c r="B51" s="57">
        <f>COUNTA(#REF!)</f>
        <v>1</v>
      </c>
      <c r="C51" s="96">
        <f>IFERROR(AVERAGE(#REF!),0)</f>
        <v>0</v>
      </c>
      <c r="D51" s="96">
        <f>IFERROR(AVERAGEIFS(#REF!,#REF!,"NG"),0)</f>
        <v>0</v>
      </c>
      <c r="E51" s="57" t="e">
        <f>COUNTIFS(#REF!,"OK",#REF!,"NG")</f>
        <v>#REF!</v>
      </c>
      <c r="F51" s="57" t="e">
        <f>COUNTIFS(#REF!,"NG",#REF!,"OK")</f>
        <v>#REF!</v>
      </c>
      <c r="G51" s="57" t="e">
        <f>COUNTIFS(#REF!,"NG",#REF!,"NG")</f>
        <v>#REF!</v>
      </c>
      <c r="H51" s="57" t="e">
        <f>COUNTIFS(#REF!,"OK",#REF!,"OK")</f>
        <v>#REF!</v>
      </c>
    </row>
    <row r="52" spans="1:8">
      <c r="A52" s="83" t="s">
        <v>32</v>
      </c>
      <c r="B52" s="57">
        <f>COUNTA('Runs Distance 2 + 3 S 20262904'!G3:G423)</f>
        <v>164</v>
      </c>
      <c r="C52" s="96">
        <f>IFERROR(AVERAGE('Runs Distance 2 + 3 S 20262904'!O3:O423),0)</f>
        <v>0.75609756097560976</v>
      </c>
      <c r="D52" s="96">
        <f>IFERROR(AVERAGEIFS('Runs Distance 2 + 3 S 20262904'!X3:X423,'Runs Distance 2 + 3 S 20262904'!D3:D423,"NG"),0)</f>
        <v>0.24193548387096775</v>
      </c>
      <c r="E52" s="57">
        <f>COUNTIFS('Runs Distance 2 + 3 S 20262904'!D3:D423,"OK",'Runs Distance 2 + 3 S 20262904'!N3:N423,"NG")</f>
        <v>40</v>
      </c>
      <c r="F52" s="57">
        <f>COUNTIFS('Runs Distance 2 + 3 S 20262904'!D3:D423,"NG",'Runs Distance 2 + 3 S 20262904'!N3:N423,"OK")</f>
        <v>0</v>
      </c>
      <c r="G52" s="57">
        <f>COUNTIFS('Runs Distance 2 + 3 S 20262904'!D3:D423,"NG",'Runs Distance 2 + 3 S 20262904'!N3:N423,"NG")</f>
        <v>124</v>
      </c>
      <c r="H52" s="57">
        <f>COUNTIFS('Runs Distance 2 + 3 S 20262904'!D3:D423,"OK",'Runs Distance 2 + 3 S 20262904'!N3:N423,"OK")</f>
        <v>0</v>
      </c>
    </row>
    <row r="53" spans="1:8">
      <c r="A53" s="83" t="s">
        <v>36</v>
      </c>
      <c r="B53" s="57">
        <f>COUNTA('Runs Mahalanobis'!F15:F434)</f>
        <v>420</v>
      </c>
      <c r="C53" s="96">
        <f>IFERROR(AVERAGE('Runs Mahalanobis'!N15:N434),0)</f>
        <v>0.99285714285714288</v>
      </c>
      <c r="D53" s="96">
        <f>IFERROR(AVERAGEIFS('Runs Mahalanobis'!W15:W434,'Runs Mahalanobis'!D15:D434,"NG"),0)</f>
        <v>0.96060606060606057</v>
      </c>
      <c r="E53" s="57">
        <f>COUNTIFS('Runs Mahalanobis'!D15:D434,"OK",'Runs Mahalanobis'!M15:M434,"NG")</f>
        <v>3</v>
      </c>
      <c r="F53" s="57">
        <f>COUNTIFS('Runs Mahalanobis'!D15:D434,"NG",'Runs Mahalanobis'!M15:M434,"OK")</f>
        <v>0</v>
      </c>
      <c r="G53" s="57">
        <f>COUNTIFS('Runs Mahalanobis'!D15:D434,"NG",'Runs Mahalanobis'!M15:M434,"NG")</f>
        <v>330</v>
      </c>
      <c r="H53" s="57">
        <f>COUNTIFS('Runs Mahalanobis'!D15:D434,"OK",'Runs Mahalanobis'!M15:M434,"OK")</f>
        <v>87</v>
      </c>
    </row>
    <row r="54" spans="1:8">
      <c r="A54" s="83" t="s">
        <v>38</v>
      </c>
      <c r="B54" s="57">
        <f>COUNTA('Runs GMM'!F10:F429)</f>
        <v>420</v>
      </c>
      <c r="C54" s="96">
        <f>IFERROR(AVERAGE('Runs GMM'!U10:U429),0)</f>
        <v>0.99285714285714288</v>
      </c>
      <c r="D54" s="96">
        <f>IFERROR(AVERAGEIFS('Runs GMM'!W10:W429,'Runs GMM'!D10:D429,"NG"),0)</f>
        <v>0.9363636363636364</v>
      </c>
      <c r="E54" s="57">
        <f>COUNTIFS('Runs GMM'!D10:D429,"OK",'Runs GMM'!T10:T429,"NG")</f>
        <v>3</v>
      </c>
      <c r="F54" s="57">
        <f>COUNTIFS('Runs GMM'!D10:D429,"NG",'Runs GMM'!T10:T429,"OK")</f>
        <v>0</v>
      </c>
      <c r="G54" s="57">
        <f>COUNTIFS('Runs GMM'!D10:D429,"NG",'Runs GMM'!T10:T429,"NG")</f>
        <v>330</v>
      </c>
      <c r="H54" s="57">
        <f>COUNTIFS('Runs GMM'!D10:D429,"OK",'Runs GMM'!T10:T429,"OK")</f>
        <v>87</v>
      </c>
    </row>
    <row r="57" spans="1:8">
      <c r="A57" s="176" t="s">
        <v>412</v>
      </c>
      <c r="B57" s="176"/>
      <c r="C57" s="176"/>
      <c r="D57" s="176"/>
      <c r="E57" s="176"/>
    </row>
    <row r="58" spans="1:8" ht="24" customHeight="1">
      <c r="A58" s="84" t="s">
        <v>383</v>
      </c>
      <c r="B58" s="84" t="s">
        <v>128</v>
      </c>
      <c r="C58" s="84" t="s">
        <v>130</v>
      </c>
      <c r="D58" s="84" t="s">
        <v>132</v>
      </c>
      <c r="E58" s="84" t="s">
        <v>413</v>
      </c>
    </row>
    <row r="59" spans="1:8">
      <c r="A59" s="83" t="s">
        <v>407</v>
      </c>
      <c r="B59" s="96">
        <f>IFERROR(AVERAGEIFS('Runs Distance + 3 Sigma'!N3:N422,'Runs Distance + 3 Sigma'!C3:C422,"R3"),0)</f>
        <v>0.9916666666666667</v>
      </c>
      <c r="C59" s="96">
        <f>IFERROR(AVERAGEIFS('Runs Distance + 3 Sigma'!N3:N422,'Runs Distance + 3 Sigma'!C3:C422,"R4"),0)</f>
        <v>0.99333333333333329</v>
      </c>
      <c r="D59" s="96">
        <f>IFERROR(AVERAGEIFS('Runs Distance + 3 Sigma'!N3:N422,'Runs Distance + 3 Sigma'!C3:C422,"R6"),0)</f>
        <v>0.99333333333333329</v>
      </c>
      <c r="E59" s="96">
        <f>IFERROR(AVERAGE('Runs Distance + 3 Sigma'!N3:N422),0)</f>
        <v>0.99285714285714288</v>
      </c>
    </row>
    <row r="60" spans="1:8">
      <c r="A60" s="83" t="s">
        <v>408</v>
      </c>
      <c r="B60" s="96">
        <f>IFERROR(AVERAGEIFS('Runs Distance + 3.5 Sigma'!N3:N422,'Runs Distance + 3.5 Sigma'!C3:C422,"R3"),0)</f>
        <v>0.9916666666666667</v>
      </c>
      <c r="C60" s="96">
        <f>IFERROR(AVERAGEIFS('Runs Distance + 3.5 Sigma'!N3:N422,'Runs Distance + 3.5 Sigma'!C3:C422,"R4"),0)</f>
        <v>0.99333333333333329</v>
      </c>
      <c r="D60" s="96">
        <f>IFERROR(AVERAGEIFS('Runs Distance + 3.5 Sigma'!N3:N422,'Runs Distance + 3.5 Sigma'!C3:C422,"R6"),0)</f>
        <v>0.99333333333333329</v>
      </c>
      <c r="E60" s="96">
        <f>IFERROR(AVERAGE('Runs Distance + 3.5 Sigma'!N3:N422),0)</f>
        <v>0.99285714285714288</v>
      </c>
    </row>
    <row r="61" spans="1:8">
      <c r="A61" s="83" t="s">
        <v>409</v>
      </c>
      <c r="B61" s="96">
        <f>IFERROR(AVERAGEIFS('Runs Distance + 6 Sigma'!N3:N422,'Runs Distance + 6 Sigma'!C3:C422,"R3"),0)</f>
        <v>0.9916666666666667</v>
      </c>
      <c r="C61" s="96">
        <f>IFERROR(AVERAGEIFS('Runs Distance + 6 Sigma'!N3:N422,'Runs Distance + 6 Sigma'!C3:C422,"R4"),0)</f>
        <v>1</v>
      </c>
      <c r="D61" s="96">
        <f>IFERROR(AVERAGEIFS('Runs Distance + 6 Sigma'!N3:N422,'Runs Distance + 6 Sigma'!C3:C422,"R6"),0)</f>
        <v>1</v>
      </c>
      <c r="E61" s="96">
        <f>IFERROR(AVERAGE('Runs Distance + 6 Sigma'!N3:N422),0)</f>
        <v>0.99761904761904763</v>
      </c>
    </row>
    <row r="62" spans="1:8">
      <c r="A62" s="83" t="s">
        <v>410</v>
      </c>
      <c r="B62" s="96">
        <f>IFERROR(AVERAGEIFS('Runs Z-Score'!N3:N422,'Runs Z-Score'!C3:C422,"R3"),0)</f>
        <v>0.9916666666666667</v>
      </c>
      <c r="C62" s="96">
        <f>IFERROR(AVERAGEIFS('Runs Z-Score'!N3:N422,'Runs Z-Score'!C3:C422,"R4"),0)</f>
        <v>0.99333333333333329</v>
      </c>
      <c r="D62" s="96">
        <f>IFERROR(AVERAGEIFS('Runs Z-Score'!N3:N422,'Runs Z-Score'!C3:C422,"R6"),0)</f>
        <v>0.99333333333333329</v>
      </c>
      <c r="E62" s="96">
        <f>IFERROR(AVERAGE('Runs Z-Score'!N3:N422),0)</f>
        <v>0.99285714285714288</v>
      </c>
    </row>
    <row r="63" spans="1:8">
      <c r="A63" s="83" t="s">
        <v>411</v>
      </c>
      <c r="B63" s="96">
        <f>IFERROR(AVERAGEIFS(#REF!,#REF!,"R3"),0)</f>
        <v>0</v>
      </c>
      <c r="C63" s="96">
        <f>IFERROR(AVERAGEIFS(#REF!,#REF!,"R4"),0)</f>
        <v>0</v>
      </c>
      <c r="D63" s="96">
        <f>IFERROR(AVERAGEIFS(#REF!,#REF!,"R6"),0)</f>
        <v>0</v>
      </c>
      <c r="E63" s="96">
        <f>IFERROR(AVERAGE(#REF!),0)</f>
        <v>0</v>
      </c>
    </row>
    <row r="64" spans="1:8">
      <c r="A64" s="83" t="s">
        <v>32</v>
      </c>
      <c r="B64" s="96">
        <f>IFERROR(AVERAGEIFS('Runs Distance 2 + 3 S 20262904'!O3:O423,'Runs Distance 2 + 3 S 20262904'!C3:C423,"R3"),0)</f>
        <v>0.73684210526315785</v>
      </c>
      <c r="C64" s="96">
        <f>IFERROR(AVERAGEIFS('Runs Distance 2 + 3 S 20262904'!O3:O423,'Runs Distance 2 + 3 S 20262904'!C3:C423,"R4"),0)</f>
        <v>0.8</v>
      </c>
      <c r="D64" s="96">
        <f>IFERROR(AVERAGEIFS('Runs Distance 2 + 3 S 20262904'!O3:O423,'Runs Distance 2 + 3 S 20262904'!C3:C423,"R6"),0)</f>
        <v>0.8</v>
      </c>
      <c r="E64" s="96">
        <f>IFERROR(AVERAGE('Runs Distance 2 + 3 S 20262904'!O3:O423),0)</f>
        <v>0.75609756097560976</v>
      </c>
    </row>
    <row r="65" spans="1:5">
      <c r="A65" s="83" t="s">
        <v>36</v>
      </c>
      <c r="B65" s="96">
        <f>IFERROR(AVERAGEIFS('Runs Mahalanobis'!N15:N434,'Runs Mahalanobis'!C15:C434,"R3"),0)</f>
        <v>0.9916666666666667</v>
      </c>
      <c r="C65" s="96">
        <f>IFERROR(AVERAGEIFS('Runs Mahalanobis'!N15:N434,'Runs Mahalanobis'!C15:C434,"R4"),0)</f>
        <v>0.99333333333333329</v>
      </c>
      <c r="D65" s="96">
        <f>IFERROR(AVERAGEIFS('Runs Mahalanobis'!N15:N434,'Runs Mahalanobis'!C15:C434,"R6"),0)</f>
        <v>0.99333333333333329</v>
      </c>
      <c r="E65" s="96">
        <f>IFERROR(AVERAGE('Runs Mahalanobis'!N15:N434),0)</f>
        <v>0.99285714285714288</v>
      </c>
    </row>
    <row r="66" spans="1:5">
      <c r="A66" s="83" t="s">
        <v>38</v>
      </c>
      <c r="B66" s="96">
        <f>IFERROR(AVERAGEIFS('Runs GMM'!U10:U429,'Runs GMM'!C10:C429,"R3"),0)</f>
        <v>0.9916666666666667</v>
      </c>
      <c r="C66" s="96">
        <f>IFERROR(AVERAGEIFS('Runs GMM'!U10:U429,'Runs GMM'!C10:C429,"R4"),0)</f>
        <v>0.99333333333333329</v>
      </c>
      <c r="D66" s="96">
        <f>IFERROR(AVERAGEIFS('Runs GMM'!U10:U429,'Runs GMM'!C10:C429,"R6"),0)</f>
        <v>0.99333333333333329</v>
      </c>
      <c r="E66" s="96">
        <f>IFERROR(AVERAGE('Runs GMM'!U10:U429),0)</f>
        <v>0.99285714285714288</v>
      </c>
    </row>
    <row r="69" spans="1:5">
      <c r="A69" s="176" t="s">
        <v>414</v>
      </c>
      <c r="B69" s="176"/>
      <c r="C69" s="176"/>
      <c r="D69" s="176"/>
      <c r="E69" s="176"/>
    </row>
    <row r="70" spans="1:5" ht="24" customHeight="1">
      <c r="A70" s="84" t="s">
        <v>383</v>
      </c>
      <c r="B70" s="84" t="s">
        <v>128</v>
      </c>
      <c r="C70" s="84" t="s">
        <v>130</v>
      </c>
      <c r="D70" s="84" t="s">
        <v>132</v>
      </c>
      <c r="E70" s="84" t="s">
        <v>413</v>
      </c>
    </row>
    <row r="71" spans="1:5">
      <c r="A71" s="83" t="s">
        <v>407</v>
      </c>
      <c r="B71" s="96">
        <f>IFERROR(AVERAGEIFS('Runs Distance + 3 Sigma'!W3:W422,'Runs Distance + 3 Sigma'!C3:C422,"R3",'Runs Distance + 3 Sigma'!D3:D422,"NG"),0)</f>
        <v>0.98888888888888893</v>
      </c>
      <c r="C71" s="96">
        <f>IFERROR(AVERAGEIFS('Runs Distance + 3 Sigma'!W3:W422,'Runs Distance + 3 Sigma'!C3:C422,"R4",'Runs Distance + 3 Sigma'!D3:D422,"NG"),0)</f>
        <v>0.98333333333333328</v>
      </c>
      <c r="D71" s="96">
        <f>IFERROR(AVERAGEIFS('Runs Distance + 3 Sigma'!W3:W422,'Runs Distance + 3 Sigma'!C3:C422,"R6",'Runs Distance + 3 Sigma'!D3:D422,"NG"),0)</f>
        <v>0.91666666666666663</v>
      </c>
      <c r="E71" s="96">
        <f>IFERROR(AVERAGEIFS('Runs Distance + 3 Sigma'!W3:W422,'Runs Distance + 3 Sigma'!D3:D422,"NG"),0)</f>
        <v>0.96060606060606057</v>
      </c>
    </row>
    <row r="72" spans="1:5">
      <c r="A72" s="83" t="s">
        <v>408</v>
      </c>
      <c r="B72" s="96">
        <f>IFERROR(AVERAGEIFS('Runs Distance + 3.5 Sigma'!W3:W422,'Runs Distance + 3.5 Sigma'!C3:C422,"R3",'Runs Distance + 3.5 Sigma'!D3:D422,"NG"),0)</f>
        <v>0.98888888888888893</v>
      </c>
      <c r="C72" s="96">
        <f>IFERROR(AVERAGEIFS('Runs Distance + 3.5 Sigma'!W3:W422,'Runs Distance + 3.5 Sigma'!C3:C422,"R4",'Runs Distance + 3.5 Sigma'!D3:D422,"NG"),0)</f>
        <v>0.98333333333333328</v>
      </c>
      <c r="D72" s="96">
        <f>IFERROR(AVERAGEIFS('Runs Distance + 3.5 Sigma'!W3:W422,'Runs Distance + 3.5 Sigma'!C3:C422,"R6",'Runs Distance + 3.5 Sigma'!D3:D422,"NG"),0)</f>
        <v>0.91666666666666663</v>
      </c>
      <c r="E72" s="96">
        <f>IFERROR(AVERAGEIFS('Runs Distance + 3.5 Sigma'!W3:W422,'Runs Distance + 3.5 Sigma'!D3:D422,"NG"),0)</f>
        <v>0.96060606060606057</v>
      </c>
    </row>
    <row r="73" spans="1:5">
      <c r="A73" s="83" t="s">
        <v>409</v>
      </c>
      <c r="B73" s="96">
        <f>IFERROR(AVERAGEIFS('Runs Distance + 6 Sigma'!W3:W422,'Runs Distance + 6 Sigma'!C3:C422,"R3",'Runs Distance + 6 Sigma'!D3:D422,"NG"),0)</f>
        <v>0.98888888888888893</v>
      </c>
      <c r="C73" s="96">
        <f>IFERROR(AVERAGEIFS('Runs Distance + 6 Sigma'!W3:W422,'Runs Distance + 6 Sigma'!C3:C422,"R4",'Runs Distance + 6 Sigma'!D3:D422,"NG"),0)</f>
        <v>0.98333333333333328</v>
      </c>
      <c r="D73" s="96">
        <f>IFERROR(AVERAGEIFS('Runs Distance + 6 Sigma'!W3:W422,'Runs Distance + 6 Sigma'!C3:C422,"R6",'Runs Distance + 6 Sigma'!D3:D422,"NG"),0)</f>
        <v>0.91666666666666663</v>
      </c>
      <c r="E73" s="96">
        <f>IFERROR(AVERAGEIFS('Runs Distance + 6 Sigma'!W3:W422,'Runs Distance + 6 Sigma'!D3:D422,"NG"),0)</f>
        <v>0.96060606060606057</v>
      </c>
    </row>
    <row r="74" spans="1:5">
      <c r="A74" s="83" t="s">
        <v>410</v>
      </c>
      <c r="B74" s="96">
        <f>IFERROR(AVERAGEIFS('Runs Z-Score'!W3:W422,'Runs Z-Score'!C3:C422,"R3",'Runs Z-Score'!D3:D422,"NG"),0)</f>
        <v>0.98888888888888893</v>
      </c>
      <c r="C74" s="96">
        <f>IFERROR(AVERAGEIFS('Runs Z-Score'!W3:W422,'Runs Z-Score'!C3:C422,"R4",'Runs Z-Score'!D3:D422,"NG"),0)</f>
        <v>0.95</v>
      </c>
      <c r="D74" s="96">
        <f>IFERROR(AVERAGEIFS('Runs Z-Score'!W3:W422,'Runs Z-Score'!C3:C422,"R6",'Runs Z-Score'!D3:D422,"NG"),0)</f>
        <v>0.8833333333333333</v>
      </c>
      <c r="E74" s="96">
        <f>IFERROR(AVERAGEIFS('Runs Z-Score'!W3:W422,'Runs Z-Score'!D3:D422,"NG"),0)</f>
        <v>0.9363636363636364</v>
      </c>
    </row>
    <row r="75" spans="1:5">
      <c r="A75" s="83" t="s">
        <v>411</v>
      </c>
      <c r="B75" s="96">
        <f>IFERROR(AVERAGEIFS(#REF!,#REF!,"R3",#REF!,"NG"),0)</f>
        <v>0</v>
      </c>
      <c r="C75" s="96">
        <f>IFERROR(AVERAGEIFS(#REF!,#REF!,"R4",#REF!,"NG"),0)</f>
        <v>0</v>
      </c>
      <c r="D75" s="96">
        <f>IFERROR(AVERAGEIFS(#REF!,#REF!,"R6",#REF!,"NG"),0)</f>
        <v>0</v>
      </c>
      <c r="E75" s="96">
        <f>IFERROR(AVERAGEIFS(#REF!,#REF!,"NG"),0)</f>
        <v>0</v>
      </c>
    </row>
    <row r="76" spans="1:5">
      <c r="A76" s="83" t="s">
        <v>32</v>
      </c>
      <c r="B76" s="96">
        <f>IFERROR(AVERAGEIFS('Runs Distance 2 + 3 S 20262904'!X3:X423,'Runs Distance 2 + 3 S 20262904'!C3:C423,"R3",'Runs Distance 2 + 3 S 20262904'!D3:D423,"NG"),0)</f>
        <v>0.35714285714285715</v>
      </c>
      <c r="C76" s="96">
        <f>IFERROR(AVERAGEIFS('Runs Distance 2 + 3 S 20262904'!X3:X423,'Runs Distance 2 + 3 S 20262904'!C3:C423,"R4",'Runs Distance 2 + 3 S 20262904'!D3:D423,"NG"),0)</f>
        <v>0</v>
      </c>
      <c r="D76" s="96">
        <f>IFERROR(AVERAGEIFS('Runs Distance 2 + 3 S 20262904'!X3:X423,'Runs Distance 2 + 3 S 20262904'!C3:C423,"R6",'Runs Distance 2 + 3 S 20262904'!D3:D423,"NG"),0)</f>
        <v>0</v>
      </c>
      <c r="E76" s="96">
        <f>IFERROR(AVERAGEIFS('Runs Distance 2 + 3 S 20262904'!X3:X423,'Runs Distance 2 + 3 S 20262904'!D3:D423,"NG"),0)</f>
        <v>0.24193548387096775</v>
      </c>
    </row>
    <row r="77" spans="1:5">
      <c r="A77" s="83" t="s">
        <v>36</v>
      </c>
      <c r="B77" s="96">
        <f>IFERROR(AVERAGEIFS('Runs Mahalanobis'!W15:W434,'Runs Mahalanobis'!C15:C434,"R3",'Runs Mahalanobis'!D15:D434,"NG"),0)</f>
        <v>0.98888888888888893</v>
      </c>
      <c r="C77" s="96">
        <f>IFERROR(AVERAGEIFS('Runs Mahalanobis'!W15:W434,'Runs Mahalanobis'!C15:C434,"R4",'Runs Mahalanobis'!D15:D434,"NG"),0)</f>
        <v>0.98333333333333328</v>
      </c>
      <c r="D77" s="96">
        <f>IFERROR(AVERAGEIFS('Runs Mahalanobis'!W15:W434,'Runs Mahalanobis'!C15:C434,"R6",'Runs Mahalanobis'!D15:D434,"NG"),0)</f>
        <v>0.91666666666666663</v>
      </c>
      <c r="E77" s="96">
        <f>IFERROR(AVERAGEIFS('Runs Mahalanobis'!W15:W434,'Runs Mahalanobis'!D15:D434,"NG"),0)</f>
        <v>0.96060606060606057</v>
      </c>
    </row>
    <row r="78" spans="1:5">
      <c r="A78" s="83" t="s">
        <v>38</v>
      </c>
      <c r="B78" s="96">
        <f>IFERROR(AVERAGEIFS('Runs GMM'!W10:W429,'Runs GMM'!C10:C429,"R3",'Runs GMM'!D10:D429,"NG"),0)</f>
        <v>0.98888888888888893</v>
      </c>
      <c r="C78" s="96">
        <f>IFERROR(AVERAGEIFS('Runs GMM'!W10:W429,'Runs GMM'!C10:C429,"R4",'Runs GMM'!D10:D429,"NG"),0)</f>
        <v>0.95</v>
      </c>
      <c r="D78" s="96">
        <f>IFERROR(AVERAGEIFS('Runs GMM'!W10:W429,'Runs GMM'!C10:C429,"R6",'Runs GMM'!D10:D429,"NG"),0)</f>
        <v>0.8833333333333333</v>
      </c>
      <c r="E78" s="96">
        <f>IFERROR(AVERAGEIFS('Runs GMM'!W10:W429,'Runs GMM'!D10:D429,"NG"),0)</f>
        <v>0.9363636363636364</v>
      </c>
    </row>
    <row r="81" spans="1:8">
      <c r="A81" s="176" t="s">
        <v>415</v>
      </c>
      <c r="B81" s="176"/>
      <c r="C81" s="176"/>
      <c r="D81" s="176"/>
      <c r="E81" s="176"/>
      <c r="F81" s="176"/>
      <c r="G81" s="176"/>
    </row>
    <row r="82" spans="1:8" ht="24" customHeight="1">
      <c r="A82" s="84" t="s">
        <v>383</v>
      </c>
      <c r="B82" s="84" t="s">
        <v>99</v>
      </c>
      <c r="C82" s="84" t="s">
        <v>102</v>
      </c>
      <c r="D82" s="84" t="s">
        <v>104</v>
      </c>
      <c r="E82" s="84" t="s">
        <v>106</v>
      </c>
      <c r="F82" s="84" t="s">
        <v>108</v>
      </c>
      <c r="G82" s="84" t="s">
        <v>110</v>
      </c>
    </row>
    <row r="83" spans="1:8">
      <c r="A83" s="83" t="s">
        <v>407</v>
      </c>
      <c r="B83" s="96">
        <f>IFERROR(AVERAGEIFS('Runs Distance + 3 Sigma'!W3:W422,'Runs Distance + 3 Sigma'!E3:E422,"S1"),0)</f>
        <v>1</v>
      </c>
      <c r="C83" s="96">
        <f>IFERROR(AVERAGEIFS('Runs Distance + 3 Sigma'!W3:W422,'Runs Distance + 3 Sigma'!E3:E422,"S2"),0)</f>
        <v>0.98333333333333328</v>
      </c>
      <c r="D83" s="96">
        <f>IFERROR(AVERAGEIFS('Runs Distance + 3 Sigma'!W3:W422,'Runs Distance + 3 Sigma'!E3:E422,"W1"),0)</f>
        <v>0.85</v>
      </c>
      <c r="E83" s="96">
        <f>IFERROR(AVERAGEIFS('Runs Distance + 3 Sigma'!W3:W422,'Runs Distance + 3 Sigma'!E3:E422,"W2"),0)</f>
        <v>1</v>
      </c>
      <c r="F83" s="96">
        <f>IFERROR(AVERAGEIFS('Runs Distance + 3 Sigma'!W3:W422,'Runs Distance + 3 Sigma'!E3:E422,"N1"),0)</f>
        <v>0.95</v>
      </c>
      <c r="G83" s="96">
        <f>IFERROR(AVERAGEIFS('Runs Distance + 3 Sigma'!W3:W422,'Runs Distance + 3 Sigma'!E3:E422,"N2"),0)</f>
        <v>1</v>
      </c>
    </row>
    <row r="84" spans="1:8">
      <c r="A84" s="83" t="s">
        <v>408</v>
      </c>
      <c r="B84" s="96">
        <f>IFERROR(AVERAGEIFS('Runs Distance + 3.5 Sigma'!W3:W422,'Runs Distance + 3.5 Sigma'!E3:E422,"S1"),0)</f>
        <v>1</v>
      </c>
      <c r="C84" s="96">
        <f>IFERROR(AVERAGEIFS('Runs Distance + 3.5 Sigma'!W3:W422,'Runs Distance + 3.5 Sigma'!E3:E422,"S2"),0)</f>
        <v>0.98333333333333328</v>
      </c>
      <c r="D84" s="96">
        <f>IFERROR(AVERAGEIFS('Runs Distance + 3.5 Sigma'!W3:W422,'Runs Distance + 3.5 Sigma'!E3:E422,"W1"),0)</f>
        <v>0.85</v>
      </c>
      <c r="E84" s="96">
        <f>IFERROR(AVERAGEIFS('Runs Distance + 3.5 Sigma'!W3:W422,'Runs Distance + 3.5 Sigma'!E3:E422,"W2"),0)</f>
        <v>1</v>
      </c>
      <c r="F84" s="96">
        <f>IFERROR(AVERAGEIFS('Runs Distance + 3.5 Sigma'!W3:W422,'Runs Distance + 3.5 Sigma'!E3:E422,"N1"),0)</f>
        <v>0.95</v>
      </c>
      <c r="G84" s="96">
        <f>IFERROR(AVERAGEIFS('Runs Distance + 3.5 Sigma'!W3:W422,'Runs Distance + 3.5 Sigma'!E3:E422,"N2"),0)</f>
        <v>1</v>
      </c>
    </row>
    <row r="85" spans="1:8">
      <c r="A85" s="83" t="s">
        <v>409</v>
      </c>
      <c r="B85" s="96">
        <f>IFERROR(AVERAGEIFS('Runs Distance + 6 Sigma'!W3:W422,'Runs Distance + 6 Sigma'!E3:E422,"S1"),0)</f>
        <v>1</v>
      </c>
      <c r="C85" s="96">
        <f>IFERROR(AVERAGEIFS('Runs Distance + 6 Sigma'!W3:W422,'Runs Distance + 6 Sigma'!E3:E422,"S2"),0)</f>
        <v>0.98333333333333328</v>
      </c>
      <c r="D85" s="96">
        <f>IFERROR(AVERAGEIFS('Runs Distance + 6 Sigma'!W3:W422,'Runs Distance + 6 Sigma'!E3:E422,"W1"),0)</f>
        <v>0.85</v>
      </c>
      <c r="E85" s="96">
        <f>IFERROR(AVERAGEIFS('Runs Distance + 6 Sigma'!W3:W422,'Runs Distance + 6 Sigma'!E3:E422,"W2"),0)</f>
        <v>1</v>
      </c>
      <c r="F85" s="96">
        <f>IFERROR(AVERAGEIFS('Runs Distance + 6 Sigma'!W3:W422,'Runs Distance + 6 Sigma'!E3:E422,"N1"),0)</f>
        <v>0.95</v>
      </c>
      <c r="G85" s="96">
        <f>IFERROR(AVERAGEIFS('Runs Distance + 6 Sigma'!W3:W422,'Runs Distance + 6 Sigma'!E3:E422,"N2"),0)</f>
        <v>1</v>
      </c>
    </row>
    <row r="86" spans="1:8">
      <c r="A86" s="83" t="s">
        <v>410</v>
      </c>
      <c r="B86" s="96">
        <f>IFERROR(AVERAGEIFS('Runs Z-Score'!W3:W422,'Runs Z-Score'!E3:E422,"S1"),0)</f>
        <v>1</v>
      </c>
      <c r="C86" s="96">
        <f>IFERROR(AVERAGEIFS('Runs Z-Score'!W3:W422,'Runs Z-Score'!E3:E422,"S2"),0)</f>
        <v>0.96666666666666667</v>
      </c>
      <c r="D86" s="96">
        <f>IFERROR(AVERAGEIFS('Runs Z-Score'!W3:W422,'Runs Z-Score'!E3:E422,"W1"),0)</f>
        <v>0.73333333333333328</v>
      </c>
      <c r="E86" s="96">
        <f>IFERROR(AVERAGEIFS('Runs Z-Score'!W3:W422,'Runs Z-Score'!E3:E422,"W2"),0)</f>
        <v>1</v>
      </c>
      <c r="F86" s="96">
        <f>IFERROR(AVERAGEIFS('Runs Z-Score'!W3:W422,'Runs Z-Score'!E3:E422,"N1"),0)</f>
        <v>0.95</v>
      </c>
      <c r="G86" s="96">
        <f>IFERROR(AVERAGEIFS('Runs Z-Score'!W3:W422,'Runs Z-Score'!E3:E422,"N2"),0)</f>
        <v>1</v>
      </c>
    </row>
    <row r="87" spans="1:8">
      <c r="A87" s="83" t="s">
        <v>411</v>
      </c>
      <c r="B87" s="96">
        <f>IFERROR(AVERAGEIFS(#REF!,#REF!,"S1"),0)</f>
        <v>0</v>
      </c>
      <c r="C87" s="96">
        <f>IFERROR(AVERAGEIFS(#REF!,#REF!,"S2"),0)</f>
        <v>0</v>
      </c>
      <c r="D87" s="96">
        <f>IFERROR(AVERAGEIFS(#REF!,#REF!,"W1"),0)</f>
        <v>0</v>
      </c>
      <c r="E87" s="96">
        <f>IFERROR(AVERAGEIFS(#REF!,#REF!,"W2"),0)</f>
        <v>0</v>
      </c>
      <c r="F87" s="96">
        <f>IFERROR(AVERAGEIFS(#REF!,#REF!,"N1"),0)</f>
        <v>0</v>
      </c>
      <c r="G87" s="96">
        <f>IFERROR(AVERAGEIFS(#REF!,#REF!,"N2"),0)</f>
        <v>0</v>
      </c>
    </row>
    <row r="88" spans="1:8">
      <c r="A88" s="83" t="s">
        <v>32</v>
      </c>
      <c r="B88" s="96">
        <f>IFERROR(AVERAGEIFS('Runs Distance 2 + 3 S 20262904'!X3:X423,'Runs Distance 2 + 3 S 20262904'!E3:E423,"S1"),0)</f>
        <v>0</v>
      </c>
      <c r="C88" s="96">
        <f>IFERROR(AVERAGEIFS('Runs Distance 2 + 3 S 20262904'!X3:X423,'Runs Distance 2 + 3 S 20262904'!E3:E423,"S2"),0)</f>
        <v>0</v>
      </c>
      <c r="D88" s="96">
        <f>IFERROR(AVERAGEIFS('Runs Distance 2 + 3 S 20262904'!X3:X423,'Runs Distance 2 + 3 S 20262904'!E3:E423,"W1"),0)</f>
        <v>0</v>
      </c>
      <c r="E88" s="96">
        <f>IFERROR(AVERAGEIFS('Runs Distance 2 + 3 S 20262904'!X3:X423,'Runs Distance 2 + 3 S 20262904'!E3:E423,"W2"),0)</f>
        <v>1</v>
      </c>
      <c r="F88" s="96">
        <f>IFERROR(AVERAGEIFS('Runs Distance 2 + 3 S 20262904'!X3:X423,'Runs Distance 2 + 3 S 20262904'!E3:E423,"N1"),0)</f>
        <v>0</v>
      </c>
      <c r="G88" s="96">
        <f>IFERROR(AVERAGEIFS('Runs Distance 2 + 3 S 20262904'!X3:X423,'Runs Distance 2 + 3 S 20262904'!E3:E423,"N2"),0)</f>
        <v>0</v>
      </c>
    </row>
    <row r="89" spans="1:8">
      <c r="A89" s="83" t="s">
        <v>36</v>
      </c>
      <c r="B89" s="96">
        <f>IFERROR(AVERAGEIFS('Runs Mahalanobis'!W15:W434,'Runs Mahalanobis'!E15:E434,"S1"),0)</f>
        <v>1</v>
      </c>
      <c r="C89" s="96">
        <f>IFERROR(AVERAGEIFS('Runs Mahalanobis'!W15:W434,'Runs Mahalanobis'!E15:E434,"S2"),0)</f>
        <v>0.98333333333333328</v>
      </c>
      <c r="D89" s="96">
        <f>IFERROR(AVERAGEIFS('Runs Mahalanobis'!W15:W434,'Runs Mahalanobis'!E15:E434,"W1"),0)</f>
        <v>0.85</v>
      </c>
      <c r="E89" s="96">
        <f>IFERROR(AVERAGEIFS('Runs Mahalanobis'!W15:W434,'Runs Mahalanobis'!E15:E434,"W2"),0)</f>
        <v>1</v>
      </c>
      <c r="F89" s="96">
        <f>IFERROR(AVERAGEIFS('Runs Mahalanobis'!W15:W434,'Runs Mahalanobis'!E15:E434,"N1"),0)</f>
        <v>0.95</v>
      </c>
      <c r="G89" s="96">
        <f>IFERROR(AVERAGEIFS('Runs Mahalanobis'!W15:W434,'Runs Mahalanobis'!E15:E434,"N2"),0)</f>
        <v>1</v>
      </c>
    </row>
    <row r="90" spans="1:8">
      <c r="A90" s="83" t="s">
        <v>38</v>
      </c>
      <c r="B90" s="96">
        <f>IFERROR(AVERAGEIFS('Runs GMM'!W10:W429,'Runs GMM'!E10:E429,"S1"),0)</f>
        <v>1</v>
      </c>
      <c r="C90" s="96">
        <f>IFERROR(AVERAGEIFS('Runs GMM'!W10:W429,'Runs GMM'!E10:E429,"S2"),0)</f>
        <v>0.96666666666666667</v>
      </c>
      <c r="D90" s="96">
        <f>IFERROR(AVERAGEIFS('Runs GMM'!W10:W429,'Runs GMM'!E10:E429,"W1"),0)</f>
        <v>0.73333333333333328</v>
      </c>
      <c r="E90" s="96">
        <f>IFERROR(AVERAGEIFS('Runs GMM'!W10:W429,'Runs GMM'!E10:E429,"W2"),0)</f>
        <v>1</v>
      </c>
      <c r="F90" s="96">
        <f>IFERROR(AVERAGEIFS('Runs GMM'!W10:W429,'Runs GMM'!E10:E429,"N1"),0)</f>
        <v>0.95</v>
      </c>
      <c r="G90" s="96">
        <f>IFERROR(AVERAGEIFS('Runs GMM'!W10:W429,'Runs GMM'!E10:E429,"N2"),0)</f>
        <v>1</v>
      </c>
    </row>
    <row r="93" spans="1:8">
      <c r="A93" s="176" t="s">
        <v>416</v>
      </c>
      <c r="B93" s="176"/>
      <c r="C93" s="176"/>
      <c r="D93" s="176"/>
      <c r="E93" s="176"/>
      <c r="F93" s="176"/>
    </row>
    <row r="94" spans="1:8" ht="18" customHeight="1">
      <c r="A94" s="181" t="s">
        <v>417</v>
      </c>
      <c r="B94" s="181"/>
      <c r="C94" s="181"/>
      <c r="D94" s="181"/>
      <c r="E94" s="181"/>
      <c r="F94" s="181"/>
      <c r="G94" s="181"/>
      <c r="H94" s="181"/>
    </row>
    <row r="95" spans="1:8" ht="18" customHeight="1">
      <c r="A95" s="181" t="s">
        <v>418</v>
      </c>
      <c r="B95" s="181"/>
      <c r="C95" s="181"/>
      <c r="D95" s="181"/>
      <c r="E95" s="181"/>
      <c r="F95" s="181"/>
      <c r="G95" s="181"/>
      <c r="H95" s="181"/>
    </row>
    <row r="96" spans="1:8" ht="18" customHeight="1">
      <c r="A96" s="181" t="s">
        <v>419</v>
      </c>
      <c r="B96" s="181"/>
      <c r="C96" s="181"/>
      <c r="D96" s="181"/>
      <c r="E96" s="181"/>
      <c r="F96" s="181"/>
      <c r="G96" s="181"/>
      <c r="H96" s="181"/>
    </row>
    <row r="97" spans="1:8" ht="18" customHeight="1">
      <c r="A97" s="181" t="s">
        <v>420</v>
      </c>
      <c r="B97" s="181"/>
      <c r="C97" s="181"/>
      <c r="D97" s="181"/>
      <c r="E97" s="181"/>
      <c r="F97" s="181"/>
      <c r="G97" s="181"/>
      <c r="H97" s="181"/>
    </row>
    <row r="98" spans="1:8" ht="18" customHeight="1">
      <c r="A98" s="181" t="s">
        <v>421</v>
      </c>
      <c r="B98" s="181"/>
      <c r="C98" s="181"/>
      <c r="D98" s="181"/>
      <c r="E98" s="181"/>
      <c r="F98" s="181"/>
      <c r="G98" s="181"/>
      <c r="H98" s="181"/>
    </row>
    <row r="99" spans="1:8" ht="18" customHeight="1">
      <c r="A99" s="181" t="s">
        <v>422</v>
      </c>
      <c r="B99" s="181"/>
      <c r="C99" s="181"/>
      <c r="D99" s="181"/>
      <c r="E99" s="181"/>
      <c r="F99" s="181"/>
      <c r="G99" s="181"/>
      <c r="H99" s="181"/>
    </row>
    <row r="100" spans="1:8" ht="18" customHeight="1">
      <c r="A100" s="181" t="s">
        <v>423</v>
      </c>
      <c r="B100" s="181"/>
      <c r="C100" s="181"/>
      <c r="D100" s="181"/>
      <c r="E100" s="181"/>
      <c r="F100" s="181"/>
      <c r="G100" s="181"/>
      <c r="H100" s="181"/>
    </row>
    <row r="101" spans="1:8" ht="18" customHeight="1">
      <c r="A101" s="181" t="s">
        <v>424</v>
      </c>
      <c r="B101" s="181"/>
      <c r="C101" s="181"/>
      <c r="D101" s="181"/>
      <c r="E101" s="181"/>
      <c r="F101" s="181"/>
      <c r="G101" s="181"/>
      <c r="H101" s="181"/>
    </row>
  </sheetData>
  <mergeCells count="28">
    <mergeCell ref="A99:H99"/>
    <mergeCell ref="A100:H100"/>
    <mergeCell ref="A101:H101"/>
    <mergeCell ref="A94:H94"/>
    <mergeCell ref="A95:H95"/>
    <mergeCell ref="A96:H96"/>
    <mergeCell ref="A97:H97"/>
    <mergeCell ref="A98:H98"/>
    <mergeCell ref="A45:H45"/>
    <mergeCell ref="A57:E57"/>
    <mergeCell ref="A69:E69"/>
    <mergeCell ref="A81:G81"/>
    <mergeCell ref="A93:F93"/>
    <mergeCell ref="A14:F14"/>
    <mergeCell ref="A21:F21"/>
    <mergeCell ref="A31:F31"/>
    <mergeCell ref="A42:F42"/>
    <mergeCell ref="A43:F43"/>
    <mergeCell ref="C7:F7"/>
    <mergeCell ref="C8:F8"/>
    <mergeCell ref="C9:F9"/>
    <mergeCell ref="C10:F10"/>
    <mergeCell ref="C11:F11"/>
    <mergeCell ref="A1:F1"/>
    <mergeCell ref="A3:F3"/>
    <mergeCell ref="C4:F4"/>
    <mergeCell ref="C5:F5"/>
    <mergeCell ref="C6:F6"/>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N73"/>
  <sheetViews>
    <sheetView zoomScaleNormal="100" workbookViewId="0">
      <pane ySplit="3" topLeftCell="A4" activePane="bottomLeft" state="frozen"/>
      <selection pane="bottomLeft" activeCell="K35" sqref="K35"/>
    </sheetView>
  </sheetViews>
  <sheetFormatPr defaultColWidth="8.7109375" defaultRowHeight="15"/>
  <cols>
    <col min="1" max="1" width="28" customWidth="1"/>
    <col min="2" max="2" width="53.85546875" customWidth="1"/>
    <col min="3" max="3" width="14.140625" customWidth="1"/>
    <col min="4" max="4" width="37.140625" bestFit="1" customWidth="1"/>
    <col min="5" max="8" width="14" customWidth="1"/>
  </cols>
  <sheetData>
    <row r="1" spans="1:12" ht="20.25" customHeight="1">
      <c r="A1" s="163" t="s">
        <v>459</v>
      </c>
      <c r="B1" s="163"/>
      <c r="C1" s="163"/>
      <c r="D1" s="163"/>
      <c r="E1" s="163"/>
      <c r="F1" s="163"/>
      <c r="G1" s="163"/>
      <c r="H1" s="163"/>
    </row>
    <row r="2" spans="1:12">
      <c r="A2" s="164" t="s">
        <v>425</v>
      </c>
      <c r="B2" s="164"/>
      <c r="C2" s="164"/>
      <c r="D2" s="164"/>
      <c r="E2" s="164"/>
      <c r="F2" s="164"/>
      <c r="G2" s="164"/>
      <c r="H2" s="164"/>
    </row>
    <row r="4" spans="1:12" ht="15.75" customHeight="1">
      <c r="A4" s="165" t="s">
        <v>426</v>
      </c>
      <c r="B4" s="165"/>
      <c r="C4" s="165"/>
      <c r="D4" s="165"/>
      <c r="E4" s="165"/>
      <c r="F4" s="165"/>
      <c r="G4" s="165"/>
      <c r="H4" s="165"/>
    </row>
    <row r="5" spans="1:12" ht="25.5" customHeight="1" thickBot="1">
      <c r="A5" s="147" t="s">
        <v>383</v>
      </c>
      <c r="B5" s="148" t="s">
        <v>427</v>
      </c>
      <c r="C5" s="148" t="s">
        <v>385</v>
      </c>
      <c r="D5" s="148" t="s">
        <v>386</v>
      </c>
      <c r="E5" s="148" t="s">
        <v>404</v>
      </c>
      <c r="F5" s="148" t="s">
        <v>403</v>
      </c>
      <c r="G5" s="148" t="s">
        <v>406</v>
      </c>
      <c r="H5" s="153" t="s">
        <v>405</v>
      </c>
    </row>
    <row r="6" spans="1:12">
      <c r="A6" s="146" t="s">
        <v>450</v>
      </c>
      <c r="B6" s="97">
        <f>COUNTA('Runs Distance + 3 Sigma'!F3:F422)</f>
        <v>420</v>
      </c>
      <c r="C6" s="98">
        <f>IFERROR(AVERAGE('Runs Distance + 3 Sigma'!N3:N422),0)</f>
        <v>0.99285714285714288</v>
      </c>
      <c r="D6" s="98">
        <f>IFERROR(AVERAGEIFS('Runs Distance + 3 Sigma'!W3:W422,'Runs Distance + 3 Sigma'!D3:D422,"NG"),0)</f>
        <v>0.96060606060606057</v>
      </c>
      <c r="E6" s="97">
        <f>COUNTIFS('Runs Distance + 3 Sigma'!D3:D422,"OK",'Runs Distance + 3 Sigma'!M3:M422,"NG")</f>
        <v>3</v>
      </c>
      <c r="F6" s="97">
        <f>COUNTIFS('Runs Distance + 3 Sigma'!D3:D422,"NG",'Runs Distance + 3 Sigma'!M3:M422,"OK")</f>
        <v>0</v>
      </c>
      <c r="G6" s="97">
        <f>COUNTIFS('Runs Distance + 3 Sigma'!D3:D422,"NG",'Runs Distance + 3 Sigma'!M3:M422,"NG")</f>
        <v>330</v>
      </c>
      <c r="H6" s="152">
        <f>COUNTIFS('Runs Distance + 3 Sigma'!D3:D422,"OK",'Runs Distance + 3 Sigma'!M3:M422,"OK")</f>
        <v>87</v>
      </c>
      <c r="I6" s="120"/>
    </row>
    <row r="7" spans="1:12">
      <c r="A7" s="146" t="s">
        <v>451</v>
      </c>
      <c r="B7" s="97">
        <f>COUNTA('Runs Distance + 3.5 Sigma'!F3:F422)</f>
        <v>420</v>
      </c>
      <c r="C7" s="98">
        <f>IFERROR(AVERAGE('Runs Distance + 3.5 Sigma'!N3:N422),0)</f>
        <v>0.99285714285714288</v>
      </c>
      <c r="D7" s="98">
        <f>IFERROR(AVERAGEIFS('Runs Distance + 3.5 Sigma'!W3:W422,'Runs Distance + 3.5 Sigma'!D3:D422,"NG"),0)</f>
        <v>0.96060606060606057</v>
      </c>
      <c r="E7" s="97">
        <f>COUNTIFS('Runs Distance + 3.5 Sigma'!D3:D422,"OK",'Runs Distance + 3.5 Sigma'!M3:M422,"NG")</f>
        <v>3</v>
      </c>
      <c r="F7" s="97">
        <f>COUNTIFS('Runs Distance + 3.5 Sigma'!D3:D422,"NG",'Runs Distance + 3.5 Sigma'!M3:M422,"OK")</f>
        <v>0</v>
      </c>
      <c r="G7" s="97">
        <f>COUNTIFS('Runs Distance + 3.5 Sigma'!D3:D422,"NG",'Runs Distance + 3.5 Sigma'!M3:M422,"NG")</f>
        <v>330</v>
      </c>
      <c r="H7" s="152">
        <f>COUNTIFS('Runs Distance + 3.5 Sigma'!D3:D422,"OK",'Runs Distance + 3.5 Sigma'!M3:M422,"OK")</f>
        <v>87</v>
      </c>
      <c r="I7" s="120"/>
    </row>
    <row r="8" spans="1:12">
      <c r="A8" s="146" t="s">
        <v>452</v>
      </c>
      <c r="B8" s="97">
        <f>COUNTA('Runs Distance + 6 Sigma'!F3:F422)</f>
        <v>420</v>
      </c>
      <c r="C8" s="98">
        <f>IFERROR(AVERAGE('Runs Distance + 6 Sigma'!N3:N422),0)</f>
        <v>0.99761904761904763</v>
      </c>
      <c r="D8" s="98">
        <f>IFERROR(AVERAGEIFS('Runs Distance + 6 Sigma'!W3:W422,'Runs Distance + 6 Sigma'!D3:D422,"NG"),0)</f>
        <v>0.96060606060606057</v>
      </c>
      <c r="E8" s="97">
        <f>COUNTIFS('Runs Distance + 6 Sigma'!D3:D422,"OK",'Runs Distance + 6 Sigma'!M3:M422,"NG")</f>
        <v>1</v>
      </c>
      <c r="F8" s="97">
        <f>COUNTIFS('Runs Distance + 6 Sigma'!D3:D422,"NG",'Runs Distance + 6 Sigma'!M3:M422,"OK")</f>
        <v>0</v>
      </c>
      <c r="G8" s="97">
        <f>COUNTIFS('Runs Distance + 6 Sigma'!D3:D422,"NG",'Runs Distance + 6 Sigma'!M3:M422,"NG")</f>
        <v>330</v>
      </c>
      <c r="H8" s="152">
        <f>COUNTIFS('Runs Distance + 6 Sigma'!D3:D422,"OK",'Runs Distance + 6 Sigma'!M3:M422,"OK")</f>
        <v>89</v>
      </c>
      <c r="I8" s="120"/>
      <c r="L8" s="34"/>
    </row>
    <row r="9" spans="1:12">
      <c r="A9" s="146" t="s">
        <v>449</v>
      </c>
      <c r="B9" s="97">
        <f>COUNTA('Runs Z-Score'!F3:F422)</f>
        <v>420</v>
      </c>
      <c r="C9" s="98">
        <f>IFERROR(AVERAGE('Runs Z-Score'!N3:N422),0)</f>
        <v>0.99285714285714288</v>
      </c>
      <c r="D9" s="98">
        <f>IFERROR(AVERAGEIFS('Runs Z-Score'!W3:W422,'Runs Z-Score'!D3:D422,"NG"),0)</f>
        <v>0.9363636363636364</v>
      </c>
      <c r="E9" s="97">
        <f>COUNTIFS('Runs Z-Score'!D3:D422,"OK",'Runs Z-Score'!M3:M422,"NG")</f>
        <v>3</v>
      </c>
      <c r="F9" s="97">
        <f>COUNTIFS('Runs Z-Score'!D3:D422,"NG",'Runs Z-Score'!M3:M422,"OK")</f>
        <v>0</v>
      </c>
      <c r="G9" s="97">
        <f>COUNTIFS('Runs Z-Score'!D3:D422,"NG",'Runs Z-Score'!M3:M422,"NG")</f>
        <v>330</v>
      </c>
      <c r="H9" s="152">
        <f>COUNTIFS('Runs Z-Score'!D3:D422,"OK",'Runs Z-Score'!M3:M422,"OK")</f>
        <v>87</v>
      </c>
      <c r="I9" s="120"/>
    </row>
    <row r="10" spans="1:12">
      <c r="A10" s="146" t="s">
        <v>448</v>
      </c>
      <c r="B10" s="97">
        <f>COUNTA('Runs Z-Score + 3.5 Sigma'!F3:F422)</f>
        <v>420</v>
      </c>
      <c r="C10" s="98">
        <f>IFERROR(AVERAGE('Runs Z-Score + 3.5 Sigma'!N3:N422),0)</f>
        <v>0.99285714285714288</v>
      </c>
      <c r="D10" s="98">
        <f>IFERROR(AVERAGEIFS('Runs Z-Score + 3.5 Sigma'!W4:W423,'Runs Z-Score + 3.5 Sigma'!D4:D423,"NG"),0)</f>
        <v>0.9363636363636364</v>
      </c>
      <c r="E10" s="97">
        <f>COUNTIFS('Runs Z-Score'!D3:D422,"OK",'Runs Z-Score'!M3:M422,"NG")</f>
        <v>3</v>
      </c>
      <c r="F10" s="97">
        <f>COUNTIFS('Runs Z-Score'!D3:D422,"NG",'Runs Z-Score'!M3:M422,"OK")</f>
        <v>0</v>
      </c>
      <c r="G10" s="97">
        <f>COUNTIFS('Runs Z-Score'!D3:D422,"NG",'Runs Z-Score'!M3:M422,"NG")</f>
        <v>330</v>
      </c>
      <c r="H10" s="152">
        <f>COUNTIFS('Runs Z-Score'!D3:D422,"OK",'Runs Z-Score'!M3:M422,"OK")</f>
        <v>87</v>
      </c>
      <c r="I10" s="120"/>
    </row>
    <row r="11" spans="1:12">
      <c r="A11" s="146" t="s">
        <v>428</v>
      </c>
      <c r="B11" s="97">
        <f>COUNTA('Runs Z-Score + 6 Sigma'!F3:F422)</f>
        <v>420</v>
      </c>
      <c r="C11" s="98">
        <f>IFERROR(AVERAGE('Runs Z-Score + 6 Sigma'!N3:N422),0)</f>
        <v>0.99761904761904763</v>
      </c>
      <c r="D11" s="98">
        <f>IFERROR(AVERAGEIFS('Runs Z-Score + 6 Sigma'!W5:W424,'Runs Z-Score + 6 Sigma'!D5:D424,"NG"),0)</f>
        <v>0.9363636363636364</v>
      </c>
      <c r="E11" s="97">
        <f>COUNTIFS('Runs Z-Score + 6 Sigma'!D3:D422,"OK",'Runs Z-Score + 6 Sigma'!M3:M422,"NG")</f>
        <v>1</v>
      </c>
      <c r="F11" s="97">
        <f>COUNTIFS('Runs Z-Score + 6 Sigma'!D5:D424,"NG",'Runs Z-Score + 6 Sigma'!M5:M424,"OK")</f>
        <v>0</v>
      </c>
      <c r="G11" s="97">
        <f>COUNTIFS('Runs Z-Score + 6 Sigma'!D3:D422,"NG",'Runs Z-Score + 6 Sigma'!M3:M422,"NG")</f>
        <v>330</v>
      </c>
      <c r="H11" s="152">
        <f>COUNTIFS('Runs Z-Score + 6 Sigma'!D3:D422,"OK",'Runs Z-Score + 6 Sigma'!M3:M422,"OK")</f>
        <v>89</v>
      </c>
      <c r="I11" s="120"/>
    </row>
    <row r="12" spans="1:12">
      <c r="A12" s="146" t="s">
        <v>36</v>
      </c>
      <c r="B12" s="97">
        <f>COUNTA('Runs Mahalanobis'!F15:F434)</f>
        <v>420</v>
      </c>
      <c r="C12" s="98">
        <f>IFERROR(AVERAGE('Runs Mahalanobis'!N15:N434),0)</f>
        <v>0.99285714285714288</v>
      </c>
      <c r="D12" s="98">
        <f>IFERROR(AVERAGEIFS('Runs Mahalanobis'!W15:W434,'Runs Mahalanobis'!D15:D434,"NG"),0)</f>
        <v>0.96060606060606057</v>
      </c>
      <c r="E12" s="97">
        <f>COUNTIFS('Runs Mahalanobis'!D15:D434,"OK",'Runs Mahalanobis'!M15:M434,"NG")</f>
        <v>3</v>
      </c>
      <c r="F12" s="97">
        <f>COUNTIFS('Runs Mahalanobis'!D15:D434,"NG",'Runs Mahalanobis'!M15:M434,"OK")</f>
        <v>0</v>
      </c>
      <c r="G12" s="97">
        <f>COUNTIFS('Runs Mahalanobis'!D15:D434,"NG",'Runs Mahalanobis'!M15:M434,"NG")</f>
        <v>330</v>
      </c>
      <c r="H12" s="152">
        <f>COUNTIFS('Runs Mahalanobis'!D15:D434,"OK",'Runs Mahalanobis'!M15:M434,"OK")</f>
        <v>87</v>
      </c>
      <c r="I12" s="120"/>
    </row>
    <row r="13" spans="1:12">
      <c r="A13" s="149" t="s">
        <v>38</v>
      </c>
      <c r="B13" s="154">
        <f>COUNTA('Runs GMM'!F10:F429)</f>
        <v>420</v>
      </c>
      <c r="C13" s="155">
        <f>IFERROR(AVERAGE('Runs GMM'!U10:U429),0)</f>
        <v>0.99285714285714288</v>
      </c>
      <c r="D13" s="155">
        <f>IFERROR(AVERAGEIFS('Runs GMM'!W10:W429,'Runs GMM'!D10:D429,"NG"),0)</f>
        <v>0.9363636363636364</v>
      </c>
      <c r="E13" s="154">
        <f>COUNTIFS('Runs GMM'!D10:D429,"OK",'Runs GMM'!T10:T429,"NG")</f>
        <v>3</v>
      </c>
      <c r="F13" s="154">
        <f>COUNTIFS('Runs GMM'!D10:D429,"NG",'Runs GMM'!T10:T429,"OK")</f>
        <v>0</v>
      </c>
      <c r="G13" s="154">
        <f>COUNTIFS('Runs GMM'!D10:D429,"NG",'Runs GMM'!T10:T429,"NG")</f>
        <v>330</v>
      </c>
      <c r="H13" s="156">
        <f>COUNTIFS('Runs GMM'!D10:D429,"OK",'Runs GMM'!T10:T429,"OK")</f>
        <v>87</v>
      </c>
      <c r="I13" s="120"/>
    </row>
    <row r="15" spans="1:12" ht="15.75">
      <c r="A15" s="47" t="s">
        <v>429</v>
      </c>
    </row>
    <row r="16" spans="1:12" ht="15.75" thickBot="1">
      <c r="A16" s="147" t="s">
        <v>383</v>
      </c>
      <c r="B16" s="148" t="s">
        <v>128</v>
      </c>
      <c r="C16" s="148" t="s">
        <v>130</v>
      </c>
      <c r="D16" s="148" t="s">
        <v>132</v>
      </c>
      <c r="E16" s="148" t="s">
        <v>413</v>
      </c>
    </row>
    <row r="17" spans="1:14">
      <c r="A17" s="146" t="s">
        <v>450</v>
      </c>
      <c r="B17" s="99">
        <f>IFERROR(AVERAGEIFS('Runs Distance + 3 Sigma'!W3:W422,'Runs Distance + 3 Sigma'!C3:C422,"R3",'Runs Distance + 3 Sigma'!D3:D422,"NG"),0)</f>
        <v>0.98888888888888893</v>
      </c>
      <c r="C17" s="100">
        <f>IFERROR(AVERAGEIFS('Runs Distance + 3 Sigma'!W3:W422,'Runs Distance + 3 Sigma'!C3:C422,"R4",'Runs Distance + 3 Sigma'!D3:D422,"NG"),0)</f>
        <v>0.98333333333333328</v>
      </c>
      <c r="D17" s="100">
        <f>IFERROR(AVERAGEIFS('Runs Distance + 3 Sigma'!W3:W422,'Runs Distance + 3 Sigma'!C3:C422,"R6",'Runs Distance + 3 Sigma'!D3:D422,"NG"),0)</f>
        <v>0.91666666666666663</v>
      </c>
      <c r="E17" s="99">
        <f>IFERROR(AVERAGEIFS('Runs Distance + 3 Sigma'!W3:W422,'Runs Distance + 3 Sigma'!D3:D422,"NG"),0)</f>
        <v>0.96060606060606057</v>
      </c>
    </row>
    <row r="18" spans="1:14">
      <c r="A18" s="146" t="s">
        <v>451</v>
      </c>
      <c r="B18" s="99">
        <f>IFERROR(AVERAGEIFS('Runs Distance + 3.5 Sigma'!W3:W422,'Runs Distance + 3.5 Sigma'!C3:C422,"R3",'Runs Distance + 3.5 Sigma'!D3:D422,"NG"),0)</f>
        <v>0.98888888888888893</v>
      </c>
      <c r="C18" s="100">
        <f>IFERROR(AVERAGEIFS('Runs Distance + 3.5 Sigma'!W3:W422,'Runs Distance + 3.5 Sigma'!C3:C422,"R4",'Runs Distance + 3.5 Sigma'!D3:D422,"NG"),0)</f>
        <v>0.98333333333333328</v>
      </c>
      <c r="D18" s="100">
        <f>IFERROR(AVERAGEIFS('Runs Distance + 3.5 Sigma'!W3:W422,'Runs Distance + 3.5 Sigma'!C3:C422,"R6",'Runs Distance + 3.5 Sigma'!D3:D422,"NG"),0)</f>
        <v>0.91666666666666663</v>
      </c>
      <c r="E18" s="99">
        <f>IFERROR(AVERAGEIFS('Runs Distance + 3.5 Sigma'!W3:W422,'Runs Distance + 3.5 Sigma'!D3:D422,"NG"),0)</f>
        <v>0.96060606060606057</v>
      </c>
    </row>
    <row r="19" spans="1:14">
      <c r="A19" s="146" t="s">
        <v>452</v>
      </c>
      <c r="B19" s="99">
        <f>IFERROR(AVERAGEIFS('Runs Distance + 6 Sigma'!W3:W422,'Runs Distance + 6 Sigma'!C3:C422,"R3",'Runs Distance + 6 Sigma'!D3:D422,"NG"),0)</f>
        <v>0.98888888888888893</v>
      </c>
      <c r="C19" s="100">
        <f>IFERROR(AVERAGEIFS('Runs Distance + 6 Sigma'!W3:W422,'Runs Distance + 6 Sigma'!C3:C422,"R4",'Runs Distance + 6 Sigma'!D3:D422,"NG"),0)</f>
        <v>0.98333333333333328</v>
      </c>
      <c r="D19" s="100">
        <f>IFERROR(AVERAGEIFS('Runs Distance + 6 Sigma'!W3:W422,'Runs Distance + 6 Sigma'!C3:C422,"R6",'Runs Distance + 6 Sigma'!D3:D422,"NG"),0)</f>
        <v>0.91666666666666663</v>
      </c>
      <c r="E19" s="99">
        <f>IFERROR(AVERAGEIFS('Runs Distance + 6 Sigma'!W3:W422,'Runs Distance + 6 Sigma'!D3:D422,"NG"),0)</f>
        <v>0.96060606060606057</v>
      </c>
    </row>
    <row r="20" spans="1:14">
      <c r="A20" s="146" t="s">
        <v>449</v>
      </c>
      <c r="B20" s="99">
        <f>IFERROR(AVERAGEIFS('Runs Z-Score'!W2:W421,'Runs Z-Score'!C2:C421,"R3",'Runs Z-Score'!D2:D421,"NG"),0)</f>
        <v>0.98888888888888893</v>
      </c>
      <c r="C20" s="100">
        <f>IFERROR(AVERAGEIFS('Runs Z-Score'!W2:W421,'Runs Z-Score'!C2:C421,"R4",'Runs Z-Score'!D2:D421,"NG"),0)</f>
        <v>0.95</v>
      </c>
      <c r="D20" s="100">
        <f>IFERROR(AVERAGEIFS('Runs Z-Score'!W2:W421,'Runs Z-Score'!C2:C421,"R6",'Runs Z-Score'!D2:D421,"NG"),0)</f>
        <v>0.88235294117647056</v>
      </c>
      <c r="E20" s="99">
        <f>IFERROR(AVERAGEIFS('Runs Z-Score'!W2:W421,'Runs Z-Score'!D2:D421,"NG"),0)</f>
        <v>0.93617021276595747</v>
      </c>
    </row>
    <row r="21" spans="1:14" ht="15.75" customHeight="1">
      <c r="A21" s="146" t="s">
        <v>448</v>
      </c>
      <c r="B21" s="141">
        <f>IFERROR(AVERAGEIFS('Runs Z-Score + 3.5 Sigma'!W2:W421,'Runs Z-Score'!C2:C421,"R3",'Runs Z-Score + 3.5 Sigma'!D2:D421,"NG"),0)</f>
        <v>0.98888888888888893</v>
      </c>
      <c r="C21" s="100">
        <f>IFERROR(AVERAGEIFS('Runs Z-Score + 3.5 Sigma'!W2:W421,'Runs Z-Score'!C2:C421,"R4",'Runs Z-Score + 3.5 Sigma'!D2:D421,"NG"),0)</f>
        <v>0.95</v>
      </c>
      <c r="D21" s="100">
        <f>IFERROR(AVERAGEIFS('Runs Z-Score + 3.5 Sigma'!W2:W421,'Runs Z-Score'!C2:C421,"R6",'Runs Z-Score + 3.5 Sigma'!D2:D421,"NG"),0)</f>
        <v>0.88235294117647056</v>
      </c>
      <c r="E21" s="141">
        <f>IFERROR(AVERAGEIFS('Runs Z-Score + 3.5 Sigma'!W2:W421,'Runs Z-Score + 3.5 Sigma'!D2:D421,"NG"),0)</f>
        <v>0.93617021276595747</v>
      </c>
      <c r="N21" s="142"/>
    </row>
    <row r="22" spans="1:14">
      <c r="A22" s="146" t="s">
        <v>428</v>
      </c>
      <c r="B22" s="99">
        <f>IFERROR(AVERAGEIFS('Runs Z-Score + 6 Sigma'!W3:W422,'Runs Z-Score + 6 Sigma'!C3:C422,"R3",'Runs Z-Score + 6 Sigma'!D3:D422,"NG"),0)</f>
        <v>0.98888888888888893</v>
      </c>
      <c r="C22" s="100">
        <f>IFERROR(AVERAGEIFS('Runs Z-Score + 6 Sigma'!W3:W422,'Runs Z-Score + 6 Sigma'!C3:C422,"R4",'Runs Z-Score + 6 Sigma'!D3:D422,"NG"),0)</f>
        <v>0.95</v>
      </c>
      <c r="D22" s="100">
        <f>IFERROR(AVERAGEIFS('Runs Z-Score + 6 Sigma'!W3:W422,'Runs Z-Score + 6 Sigma'!C3:C422,"R6",'Runs Z-Score + 6 Sigma'!D3:D422,"NG"),0)</f>
        <v>0.8833333333333333</v>
      </c>
      <c r="E22" s="99">
        <f>IFERROR(AVERAGEIFS('Runs Z-Score + 6 Sigma'!W3:W422,'Runs Z-Score + 6 Sigma'!D3:D422,"NG"),0)</f>
        <v>0.9363636363636364</v>
      </c>
    </row>
    <row r="23" spans="1:14">
      <c r="A23" s="146" t="s">
        <v>36</v>
      </c>
      <c r="B23" s="99">
        <f>IFERROR(AVERAGEIFS('Runs Mahalanobis'!W15:W434,'Runs Mahalanobis'!C15:C434,"R3",'Runs Mahalanobis'!D15:D434,"NG"),0)</f>
        <v>0.98888888888888893</v>
      </c>
      <c r="C23" s="100">
        <f>IFERROR(AVERAGEIFS('Runs Mahalanobis'!W15:W434,'Runs Mahalanobis'!C15:C434,"R4",'Runs Mahalanobis'!D15:D434,"NG"),0)</f>
        <v>0.98333333333333328</v>
      </c>
      <c r="D23" s="100">
        <f>IFERROR(AVERAGEIFS('Runs Mahalanobis'!W15:W434,'Runs Mahalanobis'!C15:C434,"R6",'Runs Mahalanobis'!D15:D434,"NG"),0)</f>
        <v>0.91666666666666663</v>
      </c>
      <c r="E23" s="99">
        <f>IFERROR(AVERAGEIFS('Runs Mahalanobis'!W15:W434,'Runs Mahalanobis'!D15:D434,"NG"),0)</f>
        <v>0.96060606060606057</v>
      </c>
    </row>
    <row r="24" spans="1:14">
      <c r="A24" s="149" t="s">
        <v>38</v>
      </c>
      <c r="B24" s="150">
        <f>IFERROR(AVERAGEIFS('Runs GMM'!W10:W429,'Runs GMM'!C10:C429,"R3",'Runs GMM'!D10:D429,"NG"),0)</f>
        <v>0.98888888888888893</v>
      </c>
      <c r="C24" s="151">
        <f>IFERROR(AVERAGEIFS('Runs GMM'!W10:W429,'Runs GMM'!C10:C429,"R4",'Runs GMM'!D10:D429,"NG"),0)</f>
        <v>0.95</v>
      </c>
      <c r="D24" s="151">
        <f>IFERROR(AVERAGEIFS('Runs GMM'!W10:W429,'Runs GMM'!C10:C429,"R6",'Runs GMM'!D10:D429,"NG"),0)</f>
        <v>0.8833333333333333</v>
      </c>
      <c r="E24" s="150">
        <f>IFERROR(AVERAGEIFS('Runs GMM'!W10:W429,'Runs GMM'!D10:D429,"NG"),0)</f>
        <v>0.9363636363636364</v>
      </c>
    </row>
    <row r="26" spans="1:14" ht="15.75">
      <c r="A26" s="47" t="s">
        <v>430</v>
      </c>
    </row>
    <row r="27" spans="1:14">
      <c r="A27" s="145" t="s">
        <v>383</v>
      </c>
      <c r="B27" s="6" t="s">
        <v>99</v>
      </c>
      <c r="C27" s="6" t="s">
        <v>102</v>
      </c>
      <c r="D27" s="6" t="s">
        <v>104</v>
      </c>
      <c r="E27" s="6" t="s">
        <v>106</v>
      </c>
      <c r="F27" s="6" t="s">
        <v>108</v>
      </c>
      <c r="G27" s="6" t="s">
        <v>110</v>
      </c>
      <c r="H27" s="144" t="s">
        <v>460</v>
      </c>
    </row>
    <row r="28" spans="1:14">
      <c r="A28" s="146" t="s">
        <v>450</v>
      </c>
      <c r="B28" s="99">
        <f>IFERROR(AVERAGEIFS('Runs Distance + 3 Sigma'!W3:W422,'Runs Distance + 3 Sigma'!E3:E422,"S1"),0)</f>
        <v>1</v>
      </c>
      <c r="C28" s="100">
        <f>IFERROR(AVERAGEIFS('Runs Distance + 3 Sigma'!W3:W422,'Runs Distance + 3 Sigma'!E3:E422,"S2"),0)</f>
        <v>0.98333333333333328</v>
      </c>
      <c r="D28" s="100">
        <f>IFERROR(AVERAGEIFS('Runs Distance + 3 Sigma'!W3:W422,'Runs Distance + 3 Sigma'!E3:E422,"W1"),0)</f>
        <v>0.85</v>
      </c>
      <c r="E28" s="99">
        <f>IFERROR(AVERAGEIFS('Runs Distance + 3 Sigma'!W3:W422,'Runs Distance + 3 Sigma'!E3:E422,"W2"),0)</f>
        <v>1</v>
      </c>
      <c r="F28" s="99">
        <f>IFERROR(AVERAGEIFS('Runs Distance + 3 Sigma'!W3:W422,'Runs Distance + 3 Sigma'!E3:E422,"N1"),0)</f>
        <v>0.95</v>
      </c>
      <c r="G28" s="99">
        <f>IFERROR(AVERAGEIFS('Runs Distance + 3 Sigma'!W3:W422,'Runs Distance + 3 Sigma'!E3:E422,"N2"),0)</f>
        <v>1</v>
      </c>
      <c r="H28" s="143">
        <f t="shared" ref="H28:H35" si="0">AVERAGE(B28:G28)</f>
        <v>0.96388888888888891</v>
      </c>
    </row>
    <row r="29" spans="1:14">
      <c r="A29" s="146" t="s">
        <v>451</v>
      </c>
      <c r="B29" s="99">
        <f>IFERROR(AVERAGEIFS('Runs Distance + 3.5 Sigma'!W3:W422,'Runs Distance + 3.5 Sigma'!E3:E422,"S1"),0)</f>
        <v>1</v>
      </c>
      <c r="C29" s="100">
        <f>IFERROR(AVERAGEIFS('Runs Distance + 3.5 Sigma'!W3:W422,'Runs Distance + 3.5 Sigma'!E3:E422,"S2"),0)</f>
        <v>0.98333333333333328</v>
      </c>
      <c r="D29" s="100">
        <f>IFERROR(AVERAGEIFS('Runs Distance + 3.5 Sigma'!W3:W422,'Runs Distance + 3.5 Sigma'!E3:E422,"W1"),0)</f>
        <v>0.85</v>
      </c>
      <c r="E29" s="99">
        <f>IFERROR(AVERAGEIFS('Runs Distance + 3.5 Sigma'!W3:W422,'Runs Distance + 3.5 Sigma'!E3:E422,"W2"),0)</f>
        <v>1</v>
      </c>
      <c r="F29" s="99">
        <f>IFERROR(AVERAGEIFS('Runs Distance + 3.5 Sigma'!W3:W422,'Runs Distance + 3.5 Sigma'!E3:E422,"N1"),0)</f>
        <v>0.95</v>
      </c>
      <c r="G29" s="99">
        <f>IFERROR(AVERAGEIFS('Runs Distance + 3.5 Sigma'!W3:W422,'Runs Distance + 3.5 Sigma'!E3:E422,"N2"),0)</f>
        <v>1</v>
      </c>
      <c r="H29" s="143">
        <f t="shared" si="0"/>
        <v>0.96388888888888891</v>
      </c>
    </row>
    <row r="30" spans="1:14">
      <c r="A30" s="146" t="s">
        <v>452</v>
      </c>
      <c r="B30" s="99">
        <f>IFERROR(AVERAGEIFS('Runs Distance + 6 Sigma'!W3:W422,'Runs Distance + 6 Sigma'!E3:E422,"S1"),0)</f>
        <v>1</v>
      </c>
      <c r="C30" s="100">
        <f>IFERROR(AVERAGEIFS('Runs Distance + 6 Sigma'!W3:W422,'Runs Distance + 6 Sigma'!E3:E422,"S2"),0)</f>
        <v>0.98333333333333328</v>
      </c>
      <c r="D30" s="100">
        <f>IFERROR(AVERAGEIFS('Runs Distance + 6 Sigma'!W3:W422,'Runs Distance + 6 Sigma'!E3:E422,"W1"),0)</f>
        <v>0.85</v>
      </c>
      <c r="E30" s="99">
        <f>IFERROR(AVERAGEIFS('Runs Distance + 6 Sigma'!W3:W422,'Runs Distance + 6 Sigma'!E3:E422,"W2"),0)</f>
        <v>1</v>
      </c>
      <c r="F30" s="99">
        <f>IFERROR(AVERAGEIFS('Runs Distance + 6 Sigma'!W3:W422,'Runs Distance + 6 Sigma'!E3:E422,"N1"),0)</f>
        <v>0.95</v>
      </c>
      <c r="G30" s="99">
        <f>IFERROR(AVERAGEIFS('Runs Distance + 6 Sigma'!W3:W422,'Runs Distance + 6 Sigma'!E3:E422,"N2"),0)</f>
        <v>1</v>
      </c>
      <c r="H30" s="143">
        <f t="shared" si="0"/>
        <v>0.96388888888888891</v>
      </c>
    </row>
    <row r="31" spans="1:14">
      <c r="A31" s="146" t="s">
        <v>36</v>
      </c>
      <c r="B31" s="99">
        <f>IFERROR(AVERAGEIFS('Runs Mahalanobis'!W15:W434,'Runs Mahalanobis'!E15:E434,"S1"),0)</f>
        <v>1</v>
      </c>
      <c r="C31" s="100">
        <f>IFERROR(AVERAGEIFS('Runs Mahalanobis'!W15:W434,'Runs Mahalanobis'!E15:E434,"S2"),0)</f>
        <v>0.98333333333333328</v>
      </c>
      <c r="D31" s="100">
        <f>IFERROR(AVERAGEIFS('Runs Mahalanobis'!W15:W434,'Runs Mahalanobis'!E15:E434,"W1"),0)</f>
        <v>0.85</v>
      </c>
      <c r="E31" s="99">
        <f>IFERROR(AVERAGEIFS('Runs Mahalanobis'!W15:W434,'Runs Mahalanobis'!E15:E434,"W2"),0)</f>
        <v>1</v>
      </c>
      <c r="F31" s="99">
        <f>IFERROR(AVERAGEIFS('Runs Mahalanobis'!W15:W434,'Runs Mahalanobis'!E15:E434,"N1"),0)</f>
        <v>0.95</v>
      </c>
      <c r="G31" s="99">
        <f>IFERROR(AVERAGEIFS('Runs Mahalanobis'!W15:W434,'Runs Mahalanobis'!E15:E434,"N2"),0)</f>
        <v>1</v>
      </c>
      <c r="H31" s="143">
        <f t="shared" si="0"/>
        <v>0.96388888888888891</v>
      </c>
    </row>
    <row r="32" spans="1:14">
      <c r="A32" s="146" t="s">
        <v>449</v>
      </c>
      <c r="B32" s="99">
        <f>IFERROR(AVERAGEIFS('Runs Z-Score'!W3:W422,'Runs Z-Score'!E3:E422,"S1"),0)</f>
        <v>1</v>
      </c>
      <c r="C32" s="100">
        <f>IFERROR(AVERAGEIFS('Runs Z-Score'!W3:W422,'Runs Z-Score'!E3:E422,"S2"),0)</f>
        <v>0.96666666666666667</v>
      </c>
      <c r="D32" s="100">
        <f>IFERROR(AVERAGEIFS('Runs Z-Score'!W3:W422,'Runs Z-Score'!E3:E422,"W1"),0)</f>
        <v>0.73333333333333328</v>
      </c>
      <c r="E32" s="99">
        <f>IFERROR(AVERAGEIFS('Runs Z-Score'!W3:W422,'Runs Z-Score'!E3:E422,"W2"),0)</f>
        <v>1</v>
      </c>
      <c r="F32" s="99">
        <f>IFERROR(AVERAGEIFS('Runs Z-Score'!W3:W422,'Runs Z-Score'!E3:E422,"N1"),0)</f>
        <v>0.95</v>
      </c>
      <c r="G32" s="99">
        <f>IFERROR(AVERAGEIFS('Runs Z-Score'!W3:W422,'Runs Z-Score'!E3:E422,"N2"),0)</f>
        <v>1</v>
      </c>
      <c r="H32" s="143">
        <f t="shared" si="0"/>
        <v>0.94166666666666676</v>
      </c>
    </row>
    <row r="33" spans="1:8">
      <c r="A33" s="146" t="s">
        <v>448</v>
      </c>
      <c r="B33" s="99">
        <f>IFERROR(AVERAGEIFS('Runs Z-Score + 3.5 Sigma'!W3:W422,'Runs Z-Score + 3.5 Sigma'!E3:E422,"S1"),0)</f>
        <v>1</v>
      </c>
      <c r="C33" s="100">
        <f>IFERROR(AVERAGEIFS('Runs Z-Score + 3.5 Sigma'!W3:W422,'Runs Z-Score + 3.5 Sigma'!E3:E422,"S2"),0)</f>
        <v>0.96666666666666667</v>
      </c>
      <c r="D33" s="100">
        <f>IFERROR(AVERAGEIFS('Runs Z-Score + 3.5 Sigma'!W3:W422,'Runs Z-Score + 3.5 Sigma'!E3:E422,"W1"),0)</f>
        <v>0.73333333333333328</v>
      </c>
      <c r="E33" s="99">
        <f>IFERROR(AVERAGEIFS('Runs Z-Score + 3.5 Sigma'!W3:W422,'Runs Z-Score + 3.5 Sigma'!E3:E422,"W2"),0)</f>
        <v>1</v>
      </c>
      <c r="F33" s="99">
        <f>IFERROR(AVERAGEIFS('Runs Z-Score + 3.5 Sigma'!W3:W422,'Runs Z-Score + 3.5 Sigma'!E3:E422,"N1"),0)</f>
        <v>0.95</v>
      </c>
      <c r="G33" s="99">
        <f>IFERROR(AVERAGEIFS('Runs Z-Score + 3.5 Sigma'!W3:W422,'Runs Z-Score + 3.5 Sigma'!E3:E422,"N2"),0)</f>
        <v>1</v>
      </c>
      <c r="H33" s="143">
        <f t="shared" si="0"/>
        <v>0.94166666666666676</v>
      </c>
    </row>
    <row r="34" spans="1:8">
      <c r="A34" s="146" t="s">
        <v>428</v>
      </c>
      <c r="B34" s="99">
        <f>IFERROR(AVERAGEIFS('Runs Z-Score + 6 Sigma'!W3:W422,'Runs Z-Score + 6 Sigma'!E3:E422,"S1"),0)</f>
        <v>1</v>
      </c>
      <c r="C34" s="100">
        <f>IFERROR(AVERAGEIFS('Runs Z-Score + 6 Sigma'!W3:W422,'Runs Z-Score + 6 Sigma'!E3:E422,"S2"),0)</f>
        <v>0.96666666666666667</v>
      </c>
      <c r="D34" s="100">
        <f>IFERROR(AVERAGEIFS('Runs Z-Score + 6 Sigma'!W3:W422,'Runs Z-Score + 6 Sigma'!E3:E422,"W1"),0)</f>
        <v>0.73333333333333328</v>
      </c>
      <c r="E34" s="99">
        <f>IFERROR(AVERAGEIFS('Runs Z-Score + 6 Sigma'!W3:W422,'Runs Z-Score + 6 Sigma'!E3:E422,"W2"),0)</f>
        <v>1</v>
      </c>
      <c r="F34" s="99">
        <f>IFERROR(AVERAGEIFS('Runs Z-Score + 6 Sigma'!W3:W422,'Runs Z-Score + 6 Sigma'!E3:E422,"N1"),0)</f>
        <v>0.95</v>
      </c>
      <c r="G34" s="99">
        <f>IFERROR(AVERAGEIFS('Runs Z-Score + 6 Sigma'!W3:W422,'Runs Z-Score + 6 Sigma'!E3:E422,"N2"),0)</f>
        <v>1</v>
      </c>
      <c r="H34" s="143">
        <f t="shared" si="0"/>
        <v>0.94166666666666676</v>
      </c>
    </row>
    <row r="35" spans="1:8">
      <c r="A35" s="146" t="s">
        <v>38</v>
      </c>
      <c r="B35" s="99">
        <f>IFERROR(AVERAGEIFS('Runs GMM'!W10:W429,'Runs GMM'!E10:E429,"S1"),0)</f>
        <v>1</v>
      </c>
      <c r="C35" s="100">
        <f>IFERROR(AVERAGEIFS('Runs GMM'!W10:W429,'Runs GMM'!E10:E429,"S2"),0)</f>
        <v>0.96666666666666667</v>
      </c>
      <c r="D35" s="100">
        <f>IFERROR(AVERAGEIFS('Runs GMM'!W10:W429,'Runs GMM'!E10:E429,"W1"),0)</f>
        <v>0.73333333333333328</v>
      </c>
      <c r="E35" s="99">
        <f>IFERROR(AVERAGEIFS('Runs GMM'!W10:W429,'Runs GMM'!E10:E429,"W2"),0)</f>
        <v>1</v>
      </c>
      <c r="F35" s="99">
        <f>IFERROR(AVERAGEIFS('Runs GMM'!W10:W429,'Runs GMM'!E10:E429,"N1"),0)</f>
        <v>0.95</v>
      </c>
      <c r="G35" s="99">
        <f>IFERROR(AVERAGEIFS('Runs GMM'!W10:W429,'Runs GMM'!E10:E429,"N2"),0)</f>
        <v>1</v>
      </c>
      <c r="H35" s="143">
        <f t="shared" si="0"/>
        <v>0.94166666666666676</v>
      </c>
    </row>
    <row r="37" spans="1:8" ht="15.75" customHeight="1" thickBot="1">
      <c r="A37" s="165" t="s">
        <v>431</v>
      </c>
      <c r="B37" s="165"/>
      <c r="C37" s="165"/>
      <c r="D37" s="165"/>
      <c r="E37" s="165"/>
      <c r="F37" s="165"/>
      <c r="G37" s="165"/>
    </row>
    <row r="38" spans="1:8" ht="25.5" customHeight="1" thickBot="1">
      <c r="A38" s="6" t="s">
        <v>3</v>
      </c>
      <c r="B38" s="6" t="s">
        <v>383</v>
      </c>
      <c r="C38" s="6" t="s">
        <v>432</v>
      </c>
      <c r="D38" s="6" t="s">
        <v>433</v>
      </c>
    </row>
    <row r="39" spans="1:8">
      <c r="A39" s="161">
        <v>1</v>
      </c>
      <c r="B39" s="162" t="s">
        <v>450</v>
      </c>
      <c r="C39" s="162">
        <f>H28</f>
        <v>0.96388888888888891</v>
      </c>
      <c r="D39" s="162" t="s">
        <v>461</v>
      </c>
    </row>
    <row r="40" spans="1:8">
      <c r="A40" s="160">
        <v>2</v>
      </c>
      <c r="B40" s="157" t="s">
        <v>451</v>
      </c>
      <c r="C40" s="157">
        <f>H29</f>
        <v>0.96388888888888891</v>
      </c>
      <c r="D40" s="157" t="s">
        <v>461</v>
      </c>
    </row>
    <row r="41" spans="1:8">
      <c r="A41" s="159">
        <v>3</v>
      </c>
      <c r="B41" s="158" t="s">
        <v>452</v>
      </c>
      <c r="C41" s="158">
        <f>H30</f>
        <v>0.96388888888888891</v>
      </c>
      <c r="D41" s="158" t="s">
        <v>461</v>
      </c>
    </row>
    <row r="42" spans="1:8">
      <c r="A42" s="160">
        <v>4</v>
      </c>
      <c r="B42" s="157" t="s">
        <v>36</v>
      </c>
      <c r="C42" s="157">
        <f>H31</f>
        <v>0.96388888888888891</v>
      </c>
      <c r="D42" s="157" t="s">
        <v>461</v>
      </c>
    </row>
    <row r="43" spans="1:8">
      <c r="A43" s="159">
        <v>5</v>
      </c>
      <c r="B43" s="158" t="s">
        <v>449</v>
      </c>
      <c r="C43" s="158">
        <f>H32</f>
        <v>0.94166666666666676</v>
      </c>
      <c r="D43" s="158" t="s">
        <v>461</v>
      </c>
    </row>
    <row r="45" spans="1:8" ht="15.75">
      <c r="A45" s="47" t="s">
        <v>434</v>
      </c>
    </row>
    <row r="46" spans="1:8" ht="25.5">
      <c r="A46" s="101" t="s">
        <v>435</v>
      </c>
      <c r="B46" s="127" t="s">
        <v>462</v>
      </c>
      <c r="C46" s="102"/>
      <c r="D46" s="102"/>
      <c r="E46" s="102"/>
      <c r="F46" s="102"/>
      <c r="G46" s="102"/>
      <c r="H46" s="103"/>
    </row>
    <row r="47" spans="1:8" ht="38.25">
      <c r="A47" s="126" t="s">
        <v>454</v>
      </c>
      <c r="B47" s="127" t="s">
        <v>455</v>
      </c>
      <c r="C47" s="102"/>
      <c r="D47" s="102"/>
      <c r="E47" s="102"/>
      <c r="F47" s="102"/>
      <c r="G47" s="102"/>
      <c r="H47" s="103"/>
    </row>
    <row r="51" spans="1:4" ht="15.75" customHeight="1">
      <c r="A51" s="166"/>
      <c r="B51" s="166"/>
      <c r="C51" s="166"/>
      <c r="D51" s="166"/>
    </row>
    <row r="66" spans="1:8" ht="15.75" customHeight="1">
      <c r="A66" s="166"/>
      <c r="B66" s="166"/>
      <c r="C66" s="166"/>
      <c r="D66" s="166"/>
      <c r="E66" s="166"/>
      <c r="F66" s="166"/>
      <c r="G66" s="166"/>
      <c r="H66" s="166"/>
    </row>
    <row r="67" spans="1:8" ht="37.5" customHeight="1">
      <c r="B67" s="166"/>
      <c r="C67" s="166"/>
      <c r="D67" s="166"/>
      <c r="E67" s="166"/>
      <c r="F67" s="166"/>
      <c r="G67" s="166"/>
      <c r="H67" s="166"/>
    </row>
    <row r="68" spans="1:8" ht="37.5" customHeight="1">
      <c r="B68" s="166"/>
      <c r="C68" s="166"/>
      <c r="D68" s="166"/>
      <c r="E68" s="166"/>
      <c r="F68" s="166"/>
      <c r="G68" s="166"/>
      <c r="H68" s="166"/>
    </row>
    <row r="69" spans="1:8" ht="37.5" customHeight="1">
      <c r="B69" s="166"/>
      <c r="C69" s="166"/>
      <c r="D69" s="166"/>
      <c r="E69" s="166"/>
      <c r="F69" s="166"/>
      <c r="G69" s="166"/>
      <c r="H69" s="166"/>
    </row>
    <row r="70" spans="1:8" ht="37.5" customHeight="1">
      <c r="B70" s="166"/>
      <c r="C70" s="166"/>
      <c r="D70" s="166"/>
      <c r="E70" s="166"/>
      <c r="F70" s="166"/>
      <c r="G70" s="166"/>
      <c r="H70" s="166"/>
    </row>
    <row r="71" spans="1:8" ht="37.5" customHeight="1">
      <c r="B71" s="166"/>
      <c r="C71" s="166"/>
      <c r="D71" s="166"/>
      <c r="E71" s="166"/>
      <c r="F71" s="166"/>
      <c r="G71" s="166"/>
      <c r="H71" s="166"/>
    </row>
    <row r="72" spans="1:8" ht="37.5" customHeight="1">
      <c r="B72" s="166"/>
      <c r="C72" s="166"/>
      <c r="D72" s="166"/>
      <c r="E72" s="166"/>
      <c r="F72" s="166"/>
      <c r="G72" s="166"/>
      <c r="H72" s="166"/>
    </row>
    <row r="73" spans="1:8" ht="37.5" customHeight="1">
      <c r="B73" s="166"/>
      <c r="C73" s="166"/>
      <c r="D73" s="166"/>
      <c r="E73" s="166"/>
      <c r="F73" s="166"/>
      <c r="G73" s="166"/>
      <c r="H73" s="166"/>
    </row>
  </sheetData>
  <mergeCells count="13">
    <mergeCell ref="B71:H71"/>
    <mergeCell ref="B72:H72"/>
    <mergeCell ref="B73:H73"/>
    <mergeCell ref="A51:D51"/>
    <mergeCell ref="A66:H66"/>
    <mergeCell ref="B67:H67"/>
    <mergeCell ref="B68:H68"/>
    <mergeCell ref="B69:H69"/>
    <mergeCell ref="A1:H1"/>
    <mergeCell ref="A2:H2"/>
    <mergeCell ref="A4:H4"/>
    <mergeCell ref="A37:G37"/>
    <mergeCell ref="B70:H70"/>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11"/>
  <sheetViews>
    <sheetView topLeftCell="A4" zoomScaleNormal="100" workbookViewId="0">
      <selection activeCell="H26" sqref="H26"/>
    </sheetView>
  </sheetViews>
  <sheetFormatPr defaultColWidth="8.7109375" defaultRowHeight="15"/>
  <sheetData>
    <row r="1" spans="1:24">
      <c r="A1" s="7"/>
      <c r="B1" s="16"/>
      <c r="C1" s="7" t="s">
        <v>132</v>
      </c>
      <c r="D1" s="104" t="s">
        <v>240</v>
      </c>
      <c r="E1" s="7" t="s">
        <v>436</v>
      </c>
      <c r="F1" s="7"/>
      <c r="G1" s="15">
        <v>6.59</v>
      </c>
      <c r="H1" s="77"/>
      <c r="I1" s="78"/>
      <c r="J1" s="70">
        <f>VLOOKUP(C1,Recipes!$A$2:$N$4,10,FALSE())</f>
        <v>9.6113333333333255</v>
      </c>
      <c r="K1" s="70">
        <f>VLOOKUP(C1,Recipes!$A$2:$N$4,12,FALSE())</f>
        <v>6.1509461004819709E-2</v>
      </c>
      <c r="L1" s="71">
        <f>J1-3*K1</f>
        <v>9.426804950318866</v>
      </c>
      <c r="M1" s="71">
        <f>J1+3*K1</f>
        <v>9.795861716347785</v>
      </c>
      <c r="N1" s="7" t="str">
        <f>IF(G1="","",IF(AND(G1&gt;=L1,G1&lt;=M1),"OK","NG"))</f>
        <v>NG</v>
      </c>
      <c r="O1" s="7">
        <f>IF(N1="","",IF(N1=D1,1,0))</f>
        <v>1</v>
      </c>
      <c r="P1" s="71">
        <f>IF(G1="","",J1-G1)</f>
        <v>3.0213333333333257</v>
      </c>
      <c r="Q1" s="72">
        <f>IF(G1="","",ABS(P1-Components!$C$2))</f>
        <v>0.2679999999999958</v>
      </c>
      <c r="R1" s="72">
        <f>IF(G1="","",ABS(P1-Components!$C$3))</f>
        <v>1.0146666666666739</v>
      </c>
      <c r="S1" s="72">
        <f>IF(G1="","",ABS(P1-Components!$C$4))</f>
        <v>2.0279999999999925</v>
      </c>
      <c r="T1" s="72">
        <f>IF(G1="","",ABS(P1-Components!$C$5))</f>
        <v>1.5413333333333448</v>
      </c>
      <c r="U1" s="72">
        <f>IF(G1="","",ABS(P1-Components!$C$6))</f>
        <v>1.8656666666666557</v>
      </c>
      <c r="V1" s="72">
        <f>IF(G1="","",ABS(P1-Components!$C$7))</f>
        <v>1.6469999999999956</v>
      </c>
      <c r="W1" s="7" t="str">
        <f>IF(G1="","",IF(N1="OK","NONE",INDEX({"S1","S2","W1","W2","N1","N2"},MATCH(MIN(Q1:V1),Q1:V1,0))))</f>
        <v>S1</v>
      </c>
      <c r="X1" s="7">
        <f>IF(G1="","",IF(W1=E1,1,0))</f>
        <v>0</v>
      </c>
    </row>
    <row r="2" spans="1:24">
      <c r="A2" s="7"/>
      <c r="B2" s="16"/>
      <c r="C2" s="7" t="s">
        <v>132</v>
      </c>
      <c r="D2" s="104" t="s">
        <v>240</v>
      </c>
      <c r="E2" s="7" t="s">
        <v>436</v>
      </c>
      <c r="F2" s="7"/>
      <c r="G2" s="15">
        <v>6.35</v>
      </c>
      <c r="H2" s="77"/>
      <c r="I2" s="78"/>
      <c r="J2" s="70">
        <f>VLOOKUP(C2,Recipes!$A$2:$N$4,10,FALSE())</f>
        <v>9.6113333333333255</v>
      </c>
      <c r="K2" s="70">
        <f>VLOOKUP(C2,Recipes!$A$2:$N$4,12,FALSE())</f>
        <v>6.1509461004819709E-2</v>
      </c>
      <c r="L2" s="71">
        <f>J2-3*K2</f>
        <v>9.426804950318866</v>
      </c>
      <c r="M2" s="71">
        <f>J2+3*K2</f>
        <v>9.795861716347785</v>
      </c>
      <c r="N2" s="7" t="str">
        <f>IF(G2="","",IF(AND(G2&gt;=L2,G2&lt;=M2),"OK","NG"))</f>
        <v>NG</v>
      </c>
      <c r="O2" s="7">
        <f>IF(N2="","",IF(N2=D2,1,0))</f>
        <v>1</v>
      </c>
      <c r="P2" s="71">
        <f>IF(G2="","",J2-G2)</f>
        <v>3.2613333333333259</v>
      </c>
      <c r="Q2" s="72">
        <f>IF(G2="","",ABS(P2-Components!$C$2))</f>
        <v>0.50799999999999601</v>
      </c>
      <c r="R2" s="72">
        <f>IF(G2="","",ABS(P2-Components!$C$3))</f>
        <v>0.77466666666667372</v>
      </c>
      <c r="S2" s="72">
        <f>IF(G2="","",ABS(P2-Components!$C$4))</f>
        <v>2.2679999999999927</v>
      </c>
      <c r="T2" s="72">
        <f>IF(G2="","",ABS(P2-Components!$C$5))</f>
        <v>1.3013333333333446</v>
      </c>
      <c r="U2" s="72">
        <f>IF(G2="","",ABS(P2-Components!$C$6))</f>
        <v>2.1056666666666559</v>
      </c>
      <c r="V2" s="72">
        <f>IF(G2="","",ABS(P2-Components!$C$7))</f>
        <v>1.8869999999999958</v>
      </c>
      <c r="W2" s="7" t="str">
        <f>IF(G2="","",IF(N2="OK","NONE",INDEX({"S1","S2","W1","W2","N1","N2"},MATCH(MIN(Q2:V2),Q2:V2,0))))</f>
        <v>S1</v>
      </c>
      <c r="X2" s="7">
        <f>IF(G2="","",IF(W2=E2,1,0))</f>
        <v>0</v>
      </c>
    </row>
    <row r="3" spans="1:24">
      <c r="A3" s="7"/>
      <c r="B3" s="16"/>
      <c r="C3" s="7" t="s">
        <v>132</v>
      </c>
      <c r="D3" s="104" t="s">
        <v>240</v>
      </c>
      <c r="E3" s="7" t="s">
        <v>436</v>
      </c>
      <c r="F3" s="7"/>
      <c r="G3" s="15">
        <v>6.71</v>
      </c>
      <c r="H3" s="77"/>
      <c r="I3" s="78"/>
      <c r="J3" s="70">
        <f>VLOOKUP(C3,Recipes!$A$2:$N$4,10,FALSE())</f>
        <v>9.6113333333333255</v>
      </c>
      <c r="K3" s="70">
        <f>VLOOKUP(C3,Recipes!$A$2:$N$4,12,FALSE())</f>
        <v>6.1509461004819709E-2</v>
      </c>
      <c r="L3" s="71">
        <f>J3-3*K3</f>
        <v>9.426804950318866</v>
      </c>
      <c r="M3" s="71">
        <f>J3+3*K3</f>
        <v>9.795861716347785</v>
      </c>
      <c r="N3" s="7" t="str">
        <f>IF(G3="","",IF(AND(G3&gt;=L3,G3&lt;=M3),"OK","NG"))</f>
        <v>NG</v>
      </c>
      <c r="O3" s="7">
        <f>IF(N3="","",IF(N3=D3,1,0))</f>
        <v>1</v>
      </c>
      <c r="P3" s="71">
        <f>IF(G3="","",J3-G3)</f>
        <v>2.9013333333333255</v>
      </c>
      <c r="Q3" s="72">
        <f>IF(G3="","",ABS(P3-Components!$C$2))</f>
        <v>0.14799999999999569</v>
      </c>
      <c r="R3" s="72">
        <f>IF(G3="","",ABS(P3-Components!$C$3))</f>
        <v>1.134666666666674</v>
      </c>
      <c r="S3" s="72">
        <f>IF(G3="","",ABS(P3-Components!$C$4))</f>
        <v>1.9079999999999926</v>
      </c>
      <c r="T3" s="72">
        <f>IF(G3="","",ABS(P3-Components!$C$5))</f>
        <v>1.6613333333333449</v>
      </c>
      <c r="U3" s="72">
        <f>IF(G3="","",ABS(P3-Components!$C$6))</f>
        <v>1.7456666666666556</v>
      </c>
      <c r="V3" s="72">
        <f>IF(G3="","",ABS(P3-Components!$C$7))</f>
        <v>1.5269999999999955</v>
      </c>
      <c r="W3" s="7" t="str">
        <f>IF(G3="","",IF(N3="OK","NONE",INDEX({"S1","S2","W1","W2","N1","N2"},MATCH(MIN(Q3:V3),Q3:V3,0))))</f>
        <v>S1</v>
      </c>
      <c r="X3" s="7">
        <f>IF(G3="","",IF(W3=E3,1,0))</f>
        <v>0</v>
      </c>
    </row>
    <row r="4" spans="1:24">
      <c r="A4" s="7"/>
      <c r="B4" s="16"/>
      <c r="C4" s="7" t="s">
        <v>132</v>
      </c>
      <c r="D4" s="104" t="s">
        <v>240</v>
      </c>
      <c r="E4" s="7" t="s">
        <v>436</v>
      </c>
      <c r="F4" s="7"/>
      <c r="G4" s="15">
        <v>6.69</v>
      </c>
      <c r="H4" s="77"/>
      <c r="I4" s="78"/>
      <c r="J4" s="70">
        <f>VLOOKUP(C4,Recipes!$A$2:$N$4,10,FALSE())</f>
        <v>9.6113333333333255</v>
      </c>
      <c r="K4" s="70">
        <f>VLOOKUP(C4,Recipes!$A$2:$N$4,12,FALSE())</f>
        <v>6.1509461004819709E-2</v>
      </c>
      <c r="L4" s="71">
        <f>J4-3*K4</f>
        <v>9.426804950318866</v>
      </c>
      <c r="M4" s="71">
        <f>J4+3*K4</f>
        <v>9.795861716347785</v>
      </c>
      <c r="N4" s="7" t="str">
        <f>IF(G4="","",IF(AND(G4&gt;=L4,G4&lt;=M4),"OK","NG"))</f>
        <v>NG</v>
      </c>
      <c r="O4" s="7">
        <f>IF(N4="","",IF(N4=D4,1,0))</f>
        <v>1</v>
      </c>
      <c r="P4" s="71">
        <f>IF(G4="","",J4-G4)</f>
        <v>2.9213333333333251</v>
      </c>
      <c r="Q4" s="72">
        <f>IF(G4="","",ABS(P4-Components!$C$2))</f>
        <v>0.16799999999999526</v>
      </c>
      <c r="R4" s="72">
        <f>IF(G4="","",ABS(P4-Components!$C$3))</f>
        <v>1.1146666666666745</v>
      </c>
      <c r="S4" s="72">
        <f>IF(G4="","",ABS(P4-Components!$C$4))</f>
        <v>1.9279999999999922</v>
      </c>
      <c r="T4" s="72">
        <f>IF(G4="","",ABS(P4-Components!$C$5))</f>
        <v>1.6413333333333453</v>
      </c>
      <c r="U4" s="72">
        <f>IF(G4="","",ABS(P4-Components!$C$6))</f>
        <v>1.7656666666666552</v>
      </c>
      <c r="V4" s="72">
        <f>IF(G4="","",ABS(P4-Components!$C$7))</f>
        <v>1.546999999999995</v>
      </c>
      <c r="W4" s="7" t="str">
        <f>IF(G4="","",IF(N4="OK","NONE",INDEX({"S1","S2","W1","W2","N1","N2"},MATCH(MIN(Q4:V4),Q4:V4,0))))</f>
        <v>S1</v>
      </c>
      <c r="X4" s="7">
        <f>IF(G4="","",IF(W4=E4,1,0))</f>
        <v>0</v>
      </c>
    </row>
    <row r="5" spans="1:24">
      <c r="A5" s="7"/>
      <c r="B5" s="16"/>
      <c r="C5" s="7" t="s">
        <v>132</v>
      </c>
      <c r="D5" s="104" t="s">
        <v>240</v>
      </c>
      <c r="E5" s="7" t="s">
        <v>436</v>
      </c>
      <c r="F5" s="7"/>
      <c r="G5" s="15">
        <v>6.65</v>
      </c>
      <c r="H5" s="77"/>
      <c r="I5" s="78"/>
      <c r="J5" s="70">
        <f>VLOOKUP(C5,Recipes!$A$2:$N$4,10,FALSE())</f>
        <v>9.6113333333333255</v>
      </c>
      <c r="K5" s="70">
        <f>VLOOKUP(C5,Recipes!$A$2:$N$4,12,FALSE())</f>
        <v>6.1509461004819709E-2</v>
      </c>
      <c r="L5" s="71">
        <f>J5-3*K5</f>
        <v>9.426804950318866</v>
      </c>
      <c r="M5" s="71">
        <f>J5+3*K5</f>
        <v>9.795861716347785</v>
      </c>
      <c r="N5" s="7" t="str">
        <f>IF(G5="","",IF(AND(G5&gt;=L5,G5&lt;=M5),"OK","NG"))</f>
        <v>NG</v>
      </c>
      <c r="O5" s="7">
        <f>IF(N5="","",IF(N5=D5,1,0))</f>
        <v>1</v>
      </c>
      <c r="P5" s="71">
        <f>IF(G5="","",J5-G5)</f>
        <v>2.9613333333333252</v>
      </c>
      <c r="Q5" s="72">
        <f>IF(G5="","",ABS(P5-Components!$C$2))</f>
        <v>0.2079999999999953</v>
      </c>
      <c r="R5" s="72">
        <f>IF(G5="","",ABS(P5-Components!$C$3))</f>
        <v>1.0746666666666744</v>
      </c>
      <c r="S5" s="72">
        <f>IF(G5="","",ABS(P5-Components!$C$4))</f>
        <v>1.9679999999999922</v>
      </c>
      <c r="T5" s="72">
        <f>IF(G5="","",ABS(P5-Components!$C$5))</f>
        <v>1.6013333333333453</v>
      </c>
      <c r="U5" s="72">
        <f>IF(G5="","",ABS(P5-Components!$C$6))</f>
        <v>1.8056666666666552</v>
      </c>
      <c r="V5" s="72">
        <f>IF(G5="","",ABS(P5-Components!$C$7))</f>
        <v>1.5869999999999951</v>
      </c>
      <c r="W5" s="7" t="str">
        <f>IF(G5="","",IF(N5="OK","NONE",INDEX({"S1","S2","W1","W2","N1","N2"},MATCH(MIN(Q5:V5),Q5:V5,0))))</f>
        <v>S1</v>
      </c>
      <c r="X5" s="7">
        <f>IF(G5="","",IF(W5=E5,1,0))</f>
        <v>0</v>
      </c>
    </row>
    <row r="7" spans="1:24">
      <c r="A7" s="7"/>
      <c r="B7" s="66"/>
      <c r="C7" s="7" t="s">
        <v>132</v>
      </c>
      <c r="D7" s="7" t="s">
        <v>240</v>
      </c>
      <c r="E7" s="7" t="s">
        <v>437</v>
      </c>
      <c r="F7" s="7"/>
      <c r="G7" s="67">
        <v>5.63</v>
      </c>
      <c r="H7" s="77"/>
      <c r="I7" s="78"/>
      <c r="J7" s="70">
        <f>VLOOKUP(C7,Recipes!$A$2:$N$4,10,FALSE())</f>
        <v>9.6113333333333255</v>
      </c>
      <c r="K7" s="70">
        <f>VLOOKUP(C7,Recipes!$A$2:$N$4,12,FALSE())</f>
        <v>6.1509461004819709E-2</v>
      </c>
      <c r="L7" s="71">
        <f>J7-3*K7</f>
        <v>9.426804950318866</v>
      </c>
      <c r="M7" s="71">
        <f>J7+3*K7</f>
        <v>9.795861716347785</v>
      </c>
      <c r="N7" s="7" t="str">
        <f>IF(G7="","",IF(AND(G7&gt;=L7,G7&lt;=M7),"OK","NG"))</f>
        <v>NG</v>
      </c>
      <c r="O7" s="7">
        <f>IF(N7="","",IF(N7=D7,1,0))</f>
        <v>1</v>
      </c>
      <c r="P7" s="71">
        <f>IF(G7="","",J7-G7)</f>
        <v>3.9813333333333256</v>
      </c>
      <c r="Q7" s="72">
        <f>IF(G7="","",ABS(P7-Components!$C$2))</f>
        <v>1.2279999999999958</v>
      </c>
      <c r="R7" s="72">
        <f>IF(G7="","",ABS(P7-Components!$C$3))</f>
        <v>5.4666666666673969E-2</v>
      </c>
      <c r="S7" s="72">
        <f>IF(G7="","",ABS(P7-Components!$C$4))</f>
        <v>2.9879999999999924</v>
      </c>
      <c r="T7" s="72">
        <f>IF(G7="","",ABS(P7-Components!$C$5))</f>
        <v>0.5813333333333448</v>
      </c>
      <c r="U7" s="72">
        <f>IF(G7="","",ABS(P7-Components!$C$6))</f>
        <v>2.8256666666666557</v>
      </c>
      <c r="V7" s="72">
        <f>IF(G7="","",ABS(P7-Components!$C$7))</f>
        <v>2.6069999999999958</v>
      </c>
      <c r="W7" s="7" t="str">
        <f>IF(G7="","",IF(N7="OK","NONE",INDEX({"S1","S2","W1","W2","N1","N2"},MATCH(MIN(Q7:V7),Q7:V7,0))))</f>
        <v>S2</v>
      </c>
      <c r="X7" s="7">
        <f>IF(G7="","",IF(W7=E7,1,0))</f>
        <v>0</v>
      </c>
    </row>
    <row r="8" spans="1:24">
      <c r="A8" s="7"/>
      <c r="B8" s="66"/>
      <c r="C8" s="7" t="s">
        <v>132</v>
      </c>
      <c r="D8" s="7" t="s">
        <v>438</v>
      </c>
      <c r="E8" s="7" t="s">
        <v>437</v>
      </c>
      <c r="F8" s="7"/>
      <c r="G8" s="67">
        <v>5.63</v>
      </c>
      <c r="H8" s="77"/>
      <c r="I8" s="78"/>
      <c r="J8" s="70">
        <f>VLOOKUP(C8,Recipes!$A$2:$N$4,10,FALSE())</f>
        <v>9.6113333333333255</v>
      </c>
      <c r="K8" s="70">
        <f>VLOOKUP(C8,Recipes!$A$2:$N$4,12,FALSE())</f>
        <v>6.1509461004819709E-2</v>
      </c>
      <c r="L8" s="71">
        <f>J8-3*K8</f>
        <v>9.426804950318866</v>
      </c>
      <c r="M8" s="71">
        <f>J8+3*K8</f>
        <v>9.795861716347785</v>
      </c>
      <c r="N8" s="7" t="str">
        <f>IF(G8="","",IF(AND(G8&gt;=L8,G8&lt;=M8),"OK","NG"))</f>
        <v>NG</v>
      </c>
      <c r="O8" s="7">
        <f>IF(N8="","",IF(N8=D8,1,0))</f>
        <v>0</v>
      </c>
      <c r="P8" s="71">
        <f>IF(G8="","",J8-G8)</f>
        <v>3.9813333333333256</v>
      </c>
      <c r="Q8" s="72">
        <f>IF(G8="","",ABS(P8-Components!$C$2))</f>
        <v>1.2279999999999958</v>
      </c>
      <c r="R8" s="72">
        <f>IF(G8="","",ABS(P8-Components!$C$3))</f>
        <v>5.4666666666673969E-2</v>
      </c>
      <c r="S8" s="72">
        <f>IF(G8="","",ABS(P8-Components!$C$4))</f>
        <v>2.9879999999999924</v>
      </c>
      <c r="T8" s="72">
        <f>IF(G8="","",ABS(P8-Components!$C$5))</f>
        <v>0.5813333333333448</v>
      </c>
      <c r="U8" s="72">
        <f>IF(G8="","",ABS(P8-Components!$C$6))</f>
        <v>2.8256666666666557</v>
      </c>
      <c r="V8" s="72">
        <f>IF(G8="","",ABS(P8-Components!$C$7))</f>
        <v>2.6069999999999958</v>
      </c>
      <c r="W8" s="7" t="str">
        <f>IF(G8="","",IF(N8="OK","NONE",INDEX({"S1","S2","W1","W2","N1","N2"},MATCH(MIN(Q8:V8),Q8:V8,0))))</f>
        <v>S2</v>
      </c>
      <c r="X8" s="7">
        <f>IF(G8="","",IF(W8=E8,1,0))</f>
        <v>0</v>
      </c>
    </row>
    <row r="9" spans="1:24">
      <c r="A9" s="7"/>
      <c r="B9" s="66"/>
      <c r="C9" s="7" t="s">
        <v>132</v>
      </c>
      <c r="D9" s="7" t="s">
        <v>240</v>
      </c>
      <c r="E9" s="7" t="s">
        <v>437</v>
      </c>
      <c r="F9" s="7"/>
      <c r="G9" s="67">
        <v>5.86</v>
      </c>
      <c r="H9" s="77"/>
      <c r="I9" s="78"/>
      <c r="J9" s="70">
        <f>VLOOKUP(C9,Recipes!$A$2:$N$4,10,FALSE())</f>
        <v>9.6113333333333255</v>
      </c>
      <c r="K9" s="70">
        <f>VLOOKUP(C9,Recipes!$A$2:$N$4,12,FALSE())</f>
        <v>6.1509461004819709E-2</v>
      </c>
      <c r="L9" s="71">
        <f>J9-3*K9</f>
        <v>9.426804950318866</v>
      </c>
      <c r="M9" s="71">
        <f>J9+3*K9</f>
        <v>9.795861716347785</v>
      </c>
      <c r="N9" s="7" t="str">
        <f>IF(G9="","",IF(AND(G9&gt;=L9,G9&lt;=M9),"OK","NG"))</f>
        <v>NG</v>
      </c>
      <c r="O9" s="7">
        <f>IF(N9="","",IF(N9=D9,1,0))</f>
        <v>1</v>
      </c>
      <c r="P9" s="71">
        <f>IF(G9="","",J9-G9)</f>
        <v>3.7513333333333252</v>
      </c>
      <c r="Q9" s="72">
        <f>IF(G9="","",ABS(P9-Components!$C$2))</f>
        <v>0.99799999999999534</v>
      </c>
      <c r="R9" s="72">
        <f>IF(G9="","",ABS(P9-Components!$C$3))</f>
        <v>0.2846666666666744</v>
      </c>
      <c r="S9" s="72">
        <f>IF(G9="","",ABS(P9-Components!$C$4))</f>
        <v>2.757999999999992</v>
      </c>
      <c r="T9" s="72">
        <f>IF(G9="","",ABS(P9-Components!$C$5))</f>
        <v>0.81133333333334523</v>
      </c>
      <c r="U9" s="72">
        <f>IF(G9="","",ABS(P9-Components!$C$6))</f>
        <v>2.5956666666666552</v>
      </c>
      <c r="V9" s="72">
        <f>IF(G9="","",ABS(P9-Components!$C$7))</f>
        <v>2.3769999999999953</v>
      </c>
      <c r="W9" s="7" t="str">
        <f>IF(G9="","",IF(N9="OK","NONE",INDEX({"S1","S2","W1","W2","N1","N2"},MATCH(MIN(Q9:V9),Q9:V9,0))))</f>
        <v>S2</v>
      </c>
      <c r="X9" s="7">
        <f>IF(G9="","",IF(W9=E9,1,0))</f>
        <v>0</v>
      </c>
    </row>
    <row r="10" spans="1:24">
      <c r="A10" s="7"/>
      <c r="B10" s="66"/>
      <c r="C10" s="7" t="s">
        <v>132</v>
      </c>
      <c r="D10" s="7" t="s">
        <v>240</v>
      </c>
      <c r="E10" s="7" t="s">
        <v>437</v>
      </c>
      <c r="F10" s="7"/>
      <c r="G10" s="67">
        <v>5.91</v>
      </c>
      <c r="H10" s="77"/>
      <c r="I10" s="78"/>
      <c r="J10" s="70">
        <f>VLOOKUP(C10,Recipes!$A$2:$N$4,10,FALSE())</f>
        <v>9.6113333333333255</v>
      </c>
      <c r="K10" s="70">
        <f>VLOOKUP(C10,Recipes!$A$2:$N$4,12,FALSE())</f>
        <v>6.1509461004819709E-2</v>
      </c>
      <c r="L10" s="71">
        <f>J10-3*K10</f>
        <v>9.426804950318866</v>
      </c>
      <c r="M10" s="71">
        <f>J10+3*K10</f>
        <v>9.795861716347785</v>
      </c>
      <c r="N10" s="7" t="str">
        <f>IF(G10="","",IF(AND(G10&gt;=L10,G10&lt;=M10),"OK","NG"))</f>
        <v>NG</v>
      </c>
      <c r="O10" s="7">
        <f>IF(N10="","",IF(N10=D10,1,0))</f>
        <v>1</v>
      </c>
      <c r="P10" s="71">
        <f>IF(G10="","",J10-G10)</f>
        <v>3.7013333333333254</v>
      </c>
      <c r="Q10" s="72">
        <f>IF(G10="","",ABS(P10-Components!$C$2))</f>
        <v>0.94799999999999551</v>
      </c>
      <c r="R10" s="72">
        <f>IF(G10="","",ABS(P10-Components!$C$3))</f>
        <v>0.33466666666667422</v>
      </c>
      <c r="S10" s="72">
        <f>IF(G10="","",ABS(P10-Components!$C$4))</f>
        <v>2.7079999999999922</v>
      </c>
      <c r="T10" s="72">
        <f>IF(G10="","",ABS(P10-Components!$C$5))</f>
        <v>0.86133333333334505</v>
      </c>
      <c r="U10" s="72">
        <f>IF(G10="","",ABS(P10-Components!$C$6))</f>
        <v>2.5456666666666554</v>
      </c>
      <c r="V10" s="72">
        <f>IF(G10="","",ABS(P10-Components!$C$7))</f>
        <v>2.3269999999999955</v>
      </c>
      <c r="W10" s="7" t="str">
        <f>IF(G10="","",IF(N10="OK","NONE",INDEX({"S1","S2","W1","W2","N1","N2"},MATCH(MIN(Q10:V10),Q10:V10,0))))</f>
        <v>S2</v>
      </c>
      <c r="X10" s="7">
        <f>IF(G10="","",IF(W10=E10,1,0))</f>
        <v>0</v>
      </c>
    </row>
    <row r="11" spans="1:24">
      <c r="A11" s="7"/>
      <c r="B11" s="66"/>
      <c r="C11" s="7" t="s">
        <v>132</v>
      </c>
      <c r="D11" s="7" t="s">
        <v>240</v>
      </c>
      <c r="E11" s="7" t="s">
        <v>437</v>
      </c>
      <c r="F11" s="7"/>
      <c r="G11" s="67">
        <v>5.89</v>
      </c>
      <c r="H11" s="77"/>
      <c r="I11" s="78"/>
      <c r="J11" s="70">
        <f>VLOOKUP(C11,Recipes!$A$2:$N$4,10,FALSE())</f>
        <v>9.6113333333333255</v>
      </c>
      <c r="K11" s="70">
        <f>VLOOKUP(C11,Recipes!$A$2:$N$4,12,FALSE())</f>
        <v>6.1509461004819709E-2</v>
      </c>
      <c r="L11" s="71">
        <f>J11-3*K11</f>
        <v>9.426804950318866</v>
      </c>
      <c r="M11" s="71">
        <f>J11+3*K11</f>
        <v>9.795861716347785</v>
      </c>
      <c r="N11" s="7" t="str">
        <f>IF(G11="","",IF(AND(G11&gt;=L11,G11&lt;=M11),"OK","NG"))</f>
        <v>NG</v>
      </c>
      <c r="O11" s="7">
        <f>IF(N11="","",IF(N11=D11,1,0))</f>
        <v>1</v>
      </c>
      <c r="P11" s="71">
        <f>IF(G11="","",J11-G11)</f>
        <v>3.7213333333333258</v>
      </c>
      <c r="Q11" s="72">
        <f>IF(G11="","",ABS(P11-Components!$C$2))</f>
        <v>0.96799999999999597</v>
      </c>
      <c r="R11" s="72">
        <f>IF(G11="","",ABS(P11-Components!$C$3))</f>
        <v>0.31466666666667376</v>
      </c>
      <c r="S11" s="72">
        <f>IF(G11="","",ABS(P11-Components!$C$4))</f>
        <v>2.7279999999999927</v>
      </c>
      <c r="T11" s="72">
        <f>IF(G11="","",ABS(P11-Components!$C$5))</f>
        <v>0.84133333333334459</v>
      </c>
      <c r="U11" s="72">
        <f>IF(G11="","",ABS(P11-Components!$C$6))</f>
        <v>2.5656666666666559</v>
      </c>
      <c r="V11" s="72">
        <f>IF(G11="","",ABS(P11-Components!$C$7))</f>
        <v>2.346999999999996</v>
      </c>
      <c r="W11" s="7" t="str">
        <f>IF(G11="","",IF(N11="OK","NONE",INDEX({"S1","S2","W1","W2","N1","N2"},MATCH(MIN(Q11:V11),Q11:V11,0))))</f>
        <v>S2</v>
      </c>
      <c r="X11" s="7">
        <f>IF(G11="","",IF(W11=E11,1,0))</f>
        <v>0</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G22"/>
  <sheetViews>
    <sheetView zoomScale="73" zoomScaleNormal="73" workbookViewId="0">
      <selection activeCell="R63" sqref="R63"/>
    </sheetView>
  </sheetViews>
  <sheetFormatPr defaultColWidth="8.7109375" defaultRowHeight="15"/>
  <cols>
    <col min="1" max="1" width="27.5703125" customWidth="1"/>
    <col min="2" max="2" width="29.140625" customWidth="1"/>
    <col min="3" max="3" width="24.7109375" customWidth="1"/>
    <col min="4" max="4" width="21.7109375" customWidth="1"/>
    <col min="5" max="5" width="21.140625" customWidth="1"/>
    <col min="6" max="6" width="20.7109375" customWidth="1"/>
  </cols>
  <sheetData>
    <row r="2" spans="1:7" ht="75" customHeight="1">
      <c r="A2" s="31" t="s">
        <v>439</v>
      </c>
      <c r="B2" s="31" t="s">
        <v>440</v>
      </c>
      <c r="C2" s="31" t="s">
        <v>441</v>
      </c>
      <c r="D2" s="31" t="s">
        <v>442</v>
      </c>
      <c r="E2" s="31" t="s">
        <v>443</v>
      </c>
      <c r="F2" s="31" t="s">
        <v>444</v>
      </c>
      <c r="G2" s="105"/>
    </row>
    <row r="3" spans="1:7">
      <c r="A3" s="106">
        <v>0.9</v>
      </c>
      <c r="B3" s="106">
        <v>0.99</v>
      </c>
      <c r="C3" s="106">
        <v>0.05</v>
      </c>
      <c r="D3" s="106">
        <v>0.8</v>
      </c>
      <c r="E3" s="34">
        <f>_xlfn.NORM.S.INV(1-C3)</f>
        <v>1.6448536269514715</v>
      </c>
      <c r="F3" s="34">
        <f>_xlfn.NORM.S.INV(D3)</f>
        <v>0.84162123357291474</v>
      </c>
    </row>
    <row r="22" spans="6:6">
      <c r="F22" s="106"/>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Índice</vt:lpstr>
      <vt:lpstr>Instructions</vt:lpstr>
      <vt:lpstr>Components</vt:lpstr>
      <vt:lpstr>Recipes</vt:lpstr>
      <vt:lpstr>INFO Muestras Componentes</vt:lpstr>
      <vt:lpstr>Documentación</vt:lpstr>
      <vt:lpstr>Runs Distance + 3 Sigma</vt:lpstr>
      <vt:lpstr>Runs Distance 2 + 3 S 20262904</vt:lpstr>
      <vt:lpstr>Runs Distance + 3.5 Sigma</vt:lpstr>
      <vt:lpstr>Runs Distance + 6 Sigma</vt:lpstr>
      <vt:lpstr>Runs Z-Score</vt:lpstr>
      <vt:lpstr>Runs Z-Score + 3.5 Sigma</vt:lpstr>
      <vt:lpstr>Runs Z-Score + 6 Sigma</vt:lpstr>
      <vt:lpstr>Runs Mahalanobis</vt:lpstr>
      <vt:lpstr>Runs GMM</vt:lpstr>
      <vt:lpstr>Results</vt:lpstr>
      <vt:lpstr>Comparativa Final</vt:lpstr>
      <vt:lpstr>Future Data 2 pieces missing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Vargas Valencia, Jesus Ian</cp:lastModifiedBy>
  <cp:revision>0</cp:revision>
  <dcterms:created xsi:type="dcterms:W3CDTF">2026-04-20T20:11:59Z</dcterms:created>
  <dcterms:modified xsi:type="dcterms:W3CDTF">2026-06-08T00:20:11Z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0x010100D03915ACFA57E242ACA539F521BF9489</vt:lpwstr>
  </property>
</Properties>
</file>